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codeName="ThisWorkbook"/>
  <mc:AlternateContent xmlns:mc="http://schemas.openxmlformats.org/markup-compatibility/2006">
    <mc:Choice Requires="x15">
      <x15ac:absPath xmlns:x15ac="http://schemas.microsoft.com/office/spreadsheetml/2010/11/ac" url="K:\CD - PROVINCIAL BUDGET ANALYSIS\Provinces\Early Warning System\2019-20\06. Section 32 Publication\4th Quarter\Final\"/>
    </mc:Choice>
  </mc:AlternateContent>
  <xr:revisionPtr revIDLastSave="0" documentId="13_ncr:1_{D9617ECA-492A-4662-A120-96BF9735380F}" xr6:coauthVersionLast="36" xr6:coauthVersionMax="45" xr10:uidLastSave="{00000000-0000-0000-0000-000000000000}"/>
  <bookViews>
    <workbookView xWindow="-110" yWindow="-110" windowWidth="23260" windowHeight="14020" tabRatio="893" xr2:uid="{00000000-000D-0000-FFFF-FFFF00000000}"/>
  </bookViews>
  <sheets>
    <sheet name="General" sheetId="7" r:id="rId1"/>
    <sheet name="Settings" sheetId="9" state="hidden" r:id="rId2"/>
    <sheet name="Overview" sheetId="3" state="hidden" r:id="rId3"/>
    <sheet name="Conditional Grants" sheetId="2" state="hidden" r:id="rId4"/>
    <sheet name="EC_1" sheetId="11" r:id="rId5"/>
    <sheet name="EC_2" sheetId="12" r:id="rId6"/>
    <sheet name="FS_1" sheetId="15" r:id="rId7"/>
    <sheet name="FS_2" sheetId="16" r:id="rId8"/>
    <sheet name="GT_1" sheetId="19" r:id="rId9"/>
    <sheet name="GT_2" sheetId="20" r:id="rId10"/>
    <sheet name="KZN_1" sheetId="23" r:id="rId11"/>
    <sheet name="KZN_2" sheetId="24" r:id="rId12"/>
    <sheet name="LIM_1" sheetId="27" r:id="rId13"/>
    <sheet name="LIM_2" sheetId="28" r:id="rId14"/>
    <sheet name="MPU_1" sheetId="31" r:id="rId15"/>
    <sheet name="MPU_2" sheetId="32" r:id="rId16"/>
    <sheet name="NC_1" sheetId="35" r:id="rId17"/>
    <sheet name="NC_2" sheetId="36" r:id="rId18"/>
    <sheet name="NW_1" sheetId="39" r:id="rId19"/>
    <sheet name="NW_2" sheetId="40" r:id="rId20"/>
    <sheet name="WC_1" sheetId="43" r:id="rId21"/>
    <sheet name="WC_2" sheetId="44" r:id="rId22"/>
  </sheets>
  <definedNames>
    <definedName name="_xlnm._FilterDatabase" localSheetId="4" hidden="1">EC_1!$A$9:$A$226</definedName>
    <definedName name="_xlnm._FilterDatabase" localSheetId="5" hidden="1">EC_2!$A$9:$A$129</definedName>
    <definedName name="_xlnm._FilterDatabase" localSheetId="6" hidden="1">FS_1!$A$9:$A$226</definedName>
    <definedName name="_xlnm._FilterDatabase" localSheetId="7" hidden="1">FS_2!$A$9:$A$129</definedName>
    <definedName name="_xlnm._FilterDatabase" localSheetId="8" hidden="1">GT_1!$A$9:$A$226</definedName>
    <definedName name="_xlnm._FilterDatabase" localSheetId="10" hidden="1">KZN_1!$A$9:$A$226</definedName>
    <definedName name="_xlnm._FilterDatabase" localSheetId="12" hidden="1">LIM_1!$A$9:$A$226</definedName>
    <definedName name="_xlnm._FilterDatabase" localSheetId="14" hidden="1">MPU_1!$A$9:$A$226</definedName>
    <definedName name="_xlnm._FilterDatabase" localSheetId="16" hidden="1">NC_1!$A$9:$A$226</definedName>
    <definedName name="_xlnm._FilterDatabase" localSheetId="18" hidden="1">NW_1!$A$9:$A$226</definedName>
    <definedName name="_xlnm._FilterDatabase" localSheetId="2" hidden="1">Overview!$A$9:$A$237</definedName>
    <definedName name="_xlnm._FilterDatabase" localSheetId="20" hidden="1">WC_1!$A$9:$A$226</definedName>
    <definedName name="CheckDir">Settings!$Q$5</definedName>
    <definedName name="Directory">Settings!$J$23</definedName>
    <definedName name="EC_Dept1">EC_1!$C$20</definedName>
    <definedName name="EC_Dept10">EC_1!$C$29</definedName>
    <definedName name="EC_Dept11">EC_1!$C$30</definedName>
    <definedName name="EC_Dept12">EC_1!$C$31</definedName>
    <definedName name="EC_Dept13">EC_1!$C$32</definedName>
    <definedName name="EC_Dept14">EC_1!$C$33</definedName>
    <definedName name="EC_Dept15">EC_1!$C$34</definedName>
    <definedName name="EC_Dept16">EC_1!$C$35</definedName>
    <definedName name="EC_Dept17">EC_1!$C$36</definedName>
    <definedName name="EC_Dept18">EC_1!$C$37</definedName>
    <definedName name="EC_Dept19">EC_1!$C$38</definedName>
    <definedName name="EC_Dept2">EC_1!$C$21</definedName>
    <definedName name="EC_Dept20">EC_1!$C$39</definedName>
    <definedName name="EC_Dept3">EC_1!$C$22</definedName>
    <definedName name="EC_Dept4">EC_1!$C$23</definedName>
    <definedName name="EC_Dept5">EC_1!$C$24</definedName>
    <definedName name="EC_Dept6">EC_1!$C$25</definedName>
    <definedName name="EC_Dept7">EC_1!$C$26</definedName>
    <definedName name="EC_Dept8">EC_1!$C$27</definedName>
    <definedName name="EC_Dept9">EC_1!$C$28</definedName>
    <definedName name="FinYear" localSheetId="1">Settings!$R$5</definedName>
    <definedName name="FS_Dept1">FS_1!$C$20</definedName>
    <definedName name="FS_Dept10">FS_1!$C$29</definedName>
    <definedName name="FS_Dept11">FS_1!$C$30</definedName>
    <definedName name="FS_Dept12">FS_1!$C$31</definedName>
    <definedName name="FS_Dept13">FS_1!$C$32</definedName>
    <definedName name="FS_Dept14">FS_1!$C$33</definedName>
    <definedName name="FS_Dept15">FS_1!$C$34</definedName>
    <definedName name="FS_Dept16">FS_1!$C$35</definedName>
    <definedName name="FS_Dept17">FS_1!$C$36</definedName>
    <definedName name="FS_Dept18">FS_1!$C$37</definedName>
    <definedName name="FS_Dept19">FS_1!$C$38</definedName>
    <definedName name="FS_Dept2">FS_1!$C$21</definedName>
    <definedName name="FS_Dept20">FS_1!$C$39</definedName>
    <definedName name="FS_Dept3">FS_1!$C$22</definedName>
    <definedName name="FS_Dept4">FS_1!$C$23</definedName>
    <definedName name="FS_Dept5">FS_1!$C$24</definedName>
    <definedName name="FS_Dept6">FS_1!$C$25</definedName>
    <definedName name="FS_Dept7">FS_1!$C$26</definedName>
    <definedName name="FS_Dept8">FS_1!$C$27</definedName>
    <definedName name="FS_Dept9">FS_1!$C$28</definedName>
    <definedName name="GT_Dept1">GT_1!$C$20</definedName>
    <definedName name="GT_Dept10">GT_1!$C$29</definedName>
    <definedName name="GT_Dept11">GT_1!$C$30</definedName>
    <definedName name="GT_Dept12">GT_1!$C$31</definedName>
    <definedName name="GT_Dept13">GT_1!$C$32</definedName>
    <definedName name="GT_Dept14">GT_1!$C$33</definedName>
    <definedName name="GT_Dept15">GT_1!$C$34</definedName>
    <definedName name="GT_Dept16">GT_1!$C$35</definedName>
    <definedName name="GT_Dept17">GT_1!$C$36</definedName>
    <definedName name="GT_Dept18">GT_1!$C$37</definedName>
    <definedName name="GT_Dept19">GT_1!$C$38</definedName>
    <definedName name="GT_Dept2">GT_1!$C$21</definedName>
    <definedName name="GT_Dept20">GT_1!$C$39</definedName>
    <definedName name="GT_Dept3">GT_1!$C$22</definedName>
    <definedName name="GT_Dept4">GT_1!$C$23</definedName>
    <definedName name="GT_Dept5">GT_1!$C$24</definedName>
    <definedName name="GT_Dept6">GT_1!$C$25</definedName>
    <definedName name="GT_Dept7">GT_1!$C$26</definedName>
    <definedName name="GT_Dept8">GT_1!$C$27</definedName>
    <definedName name="GT_Dept9">GT_1!$C$28</definedName>
    <definedName name="KZN_Dept1">KZN_1!$C$20</definedName>
    <definedName name="KZN_Dept10">KZN_1!$C$29</definedName>
    <definedName name="KZN_Dept11">KZN_1!$C$30</definedName>
    <definedName name="KZN_Dept12">KZN_1!$C$31</definedName>
    <definedName name="KZN_Dept13">KZN_1!$C$32</definedName>
    <definedName name="KZN_Dept14">KZN_1!$C$33</definedName>
    <definedName name="KZN_Dept15">KZN_1!$C$34</definedName>
    <definedName name="KZN_Dept16">KZN_1!$C$35</definedName>
    <definedName name="KZN_Dept17">KZN_1!$C$36</definedName>
    <definedName name="KZN_Dept18">KZN_1!$C$37</definedName>
    <definedName name="KZN_Dept19">KZN_1!$C$38</definedName>
    <definedName name="KZN_Dept2">KZN_1!$C$21</definedName>
    <definedName name="KZN_Dept20">KZN_1!$C$39</definedName>
    <definedName name="KZN_Dept3">KZN_1!$C$22</definedName>
    <definedName name="KZN_Dept4">KZN_1!$C$23</definedName>
    <definedName name="KZN_Dept5">KZN_1!$C$24</definedName>
    <definedName name="KZN_Dept6">KZN_1!$C$25</definedName>
    <definedName name="KZN_Dept7">KZN_1!$C$26</definedName>
    <definedName name="KZN_Dept8">KZN_1!$C$27</definedName>
    <definedName name="KZN_Dept9">KZN_1!$C$28</definedName>
    <definedName name="LIM_Dept1">LIM_1!$C$20</definedName>
    <definedName name="LIM_Dept10">LIM_1!$C$29</definedName>
    <definedName name="LIM_Dept11">LIM_1!$C$30</definedName>
    <definedName name="LIM_Dept12">LIM_1!$C$31</definedName>
    <definedName name="LIM_Dept13">LIM_1!$C$32</definedName>
    <definedName name="LIM_Dept14">LIM_1!$C$33</definedName>
    <definedName name="LIM_Dept15">LIM_1!$C$34</definedName>
    <definedName name="LIM_Dept16">LIM_1!$C$35</definedName>
    <definedName name="LIM_Dept17">LIM_1!$C$36</definedName>
    <definedName name="LIM_Dept18">LIM_1!$C$37</definedName>
    <definedName name="LIM_Dept19">LIM_1!$C$38</definedName>
    <definedName name="LIM_Dept2">LIM_1!$C$21</definedName>
    <definedName name="LIM_Dept20">LIM_1!$C$39</definedName>
    <definedName name="LIM_Dept3">LIM_1!$C$22</definedName>
    <definedName name="LIM_Dept4">LIM_1!$C$23</definedName>
    <definedName name="LIM_Dept5">LIM_1!$C$24</definedName>
    <definedName name="LIM_Dept6">LIM_1!$C$25</definedName>
    <definedName name="LIM_Dept7">LIM_1!$C$26</definedName>
    <definedName name="LIM_Dept8">LIM_1!$C$27</definedName>
    <definedName name="LIM_Dept9">LIM_1!$C$28</definedName>
    <definedName name="MPU_Dept1">MPU_1!$C$20</definedName>
    <definedName name="MPU_Dept10">MPU_1!$C$29</definedName>
    <definedName name="MPU_Dept11">MPU_1!$C$30</definedName>
    <definedName name="MPU_Dept12">MPU_1!$C$31</definedName>
    <definedName name="MPU_Dept13">MPU_1!$C$32</definedName>
    <definedName name="MPU_Dept14">MPU_1!$C$33</definedName>
    <definedName name="MPU_Dept15">MPU_1!$C$34</definedName>
    <definedName name="MPU_Dept16">MPU_1!$C$35</definedName>
    <definedName name="MPU_Dept17">MPU_1!$C$36</definedName>
    <definedName name="MPU_Dept18">MPU_1!$C$37</definedName>
    <definedName name="MPU_Dept19">MPU_1!$C$38</definedName>
    <definedName name="MPU_Dept2">MPU_1!$C$21</definedName>
    <definedName name="MPU_Dept20">MPU_1!$C$39</definedName>
    <definedName name="MPU_Dept3">MPU_1!$C$22</definedName>
    <definedName name="MPU_Dept4">MPU_1!$C$23</definedName>
    <definedName name="MPU_Dept5">MPU_1!$C$24</definedName>
    <definedName name="MPU_Dept6">MPU_1!$C$25</definedName>
    <definedName name="MPU_Dept7">MPU_1!$C$26</definedName>
    <definedName name="MPU_Dept8">MPU_1!$C$27</definedName>
    <definedName name="MPU_Dept9">MPU_1!$C$28</definedName>
    <definedName name="NC_Dept1">NC_1!$C$20</definedName>
    <definedName name="NC_Dept10">NC_1!$C$29</definedName>
    <definedName name="NC_Dept11">NC_1!$C$30</definedName>
    <definedName name="NC_Dept12">NC_1!$C$31</definedName>
    <definedName name="NC_Dept13">NC_1!$C$32</definedName>
    <definedName name="NC_Dept14">NC_1!$C$33</definedName>
    <definedName name="NC_Dept15">NC_1!$C$34</definedName>
    <definedName name="NC_Dept16">NC_1!$C$35</definedName>
    <definedName name="NC_Dept17">NC_1!$C$36</definedName>
    <definedName name="NC_Dept18">NC_1!$C$37</definedName>
    <definedName name="NC_Dept19">NC_1!$C$38</definedName>
    <definedName name="NC_Dept2">NC_1!$C$21</definedName>
    <definedName name="NC_Dept20">NC_1!$C$39</definedName>
    <definedName name="NC_Dept3">NC_1!$C$22</definedName>
    <definedName name="NC_Dept4">NC_1!$C$23</definedName>
    <definedName name="NC_Dept5">NC_1!$C$24</definedName>
    <definedName name="NC_Dept6">NC_1!$C$25</definedName>
    <definedName name="NC_Dept7">NC_1!$C$26</definedName>
    <definedName name="NC_Dept8">NC_1!$C$27</definedName>
    <definedName name="NC_Dept9">NC_1!$C$28</definedName>
    <definedName name="NW_Dept1">NW_1!$C$20</definedName>
    <definedName name="NW_Dept10">NW_1!$C$29</definedName>
    <definedName name="NW_Dept11">NW_1!$C$30</definedName>
    <definedName name="NW_Dept12">NW_1!$C$31</definedName>
    <definedName name="NW_Dept13">NW_1!$C$32</definedName>
    <definedName name="NW_Dept14">NW_1!$C$33</definedName>
    <definedName name="NW_Dept15">NW_1!$C$34</definedName>
    <definedName name="NW_Dept16">NW_1!$C$35</definedName>
    <definedName name="NW_Dept17">NW_1!$C$36</definedName>
    <definedName name="NW_Dept18">NW_1!$C$37</definedName>
    <definedName name="NW_Dept19">NW_1!$C$38</definedName>
    <definedName name="NW_Dept2">NW_1!$C$21</definedName>
    <definedName name="NW_Dept20">NW_1!$C$39</definedName>
    <definedName name="NW_Dept3">NW_1!$C$22</definedName>
    <definedName name="NW_Dept4">NW_1!$C$23</definedName>
    <definedName name="NW_Dept5">NW_1!$C$24</definedName>
    <definedName name="NW_Dept6">NW_1!$C$25</definedName>
    <definedName name="NW_Dept7">NW_1!$C$26</definedName>
    <definedName name="NW_Dept8">NW_1!$C$27</definedName>
    <definedName name="NW_Dept9">NW_1!$C$28</definedName>
    <definedName name="Print">Settings!$S$5</definedName>
    <definedName name="_xlnm.Print_Area" localSheetId="3">'Conditional Grants'!$B$2:$O$128</definedName>
    <definedName name="_xlnm.Print_Area" localSheetId="4">EC_1!$B$2:$O$72</definedName>
    <definedName name="_xlnm.Print_Area" localSheetId="5">EC_2!$B$2:$O$129</definedName>
    <definedName name="_xlnm.Print_Area" localSheetId="6">FS_1!$B$2:$O$72</definedName>
    <definedName name="_xlnm.Print_Area" localSheetId="7">FS_2!$B$2:$O$129</definedName>
    <definedName name="_xlnm.Print_Area" localSheetId="8">GT_1!$B$2:$O$72</definedName>
    <definedName name="_xlnm.Print_Area" localSheetId="9">GT_2!$B$2:$O$129</definedName>
    <definedName name="_xlnm.Print_Area" localSheetId="10">KZN_1!$B$2:$O$72</definedName>
    <definedName name="_xlnm.Print_Area" localSheetId="11">KZN_2!$B$2:$O$129</definedName>
    <definedName name="_xlnm.Print_Area" localSheetId="12">LIM_1!$B$2:$O$72</definedName>
    <definedName name="_xlnm.Print_Area" localSheetId="13">LIM_2!$B$2:$O$129</definedName>
    <definedName name="_xlnm.Print_Area" localSheetId="14">MPU_1!$B$2:$O$72</definedName>
    <definedName name="_xlnm.Print_Area" localSheetId="15">MPU_2!$B$2:$O$129</definedName>
    <definedName name="_xlnm.Print_Area" localSheetId="16">NC_1!$B$2:$O$72</definedName>
    <definedName name="_xlnm.Print_Area" localSheetId="17">NC_2!$B$2:$O$129</definedName>
    <definedName name="_xlnm.Print_Area" localSheetId="18">NW_1!$B$2:$O$72</definedName>
    <definedName name="_xlnm.Print_Area" localSheetId="19">NW_2!$B$2:$O$129</definedName>
    <definedName name="_xlnm.Print_Area" localSheetId="2">Overview!$B$2:$O$71</definedName>
    <definedName name="_xlnm.Print_Area" localSheetId="20">WC_1!$B$2:$O$72</definedName>
    <definedName name="_xlnm.Print_Area" localSheetId="21">WC_2!$B$2:$O$129</definedName>
    <definedName name="PrintDate" localSheetId="1">Settings!$T$5</definedName>
    <definedName name="PrintFinYear">Settings!$U$5</definedName>
    <definedName name="PrintSheets">Settings!$AF$5</definedName>
    <definedName name="Prov">Settings!$V$5</definedName>
    <definedName name="QUARTER">General!$BD$7</definedName>
    <definedName name="QUARTER1">General!$BD$2</definedName>
    <definedName name="QUARTER2">General!$BD$3</definedName>
    <definedName name="QUARTER3">General!$BD$4</definedName>
    <definedName name="QUARTER4">General!$BD$5</definedName>
    <definedName name="WC_Dept1">WC_1!$C$20</definedName>
    <definedName name="WC_Dept10">WC_1!$C$29</definedName>
    <definedName name="WC_Dept11">WC_1!$C$30</definedName>
    <definedName name="WC_Dept12">WC_1!$C$31</definedName>
    <definedName name="WC_Dept13">WC_1!$C$32</definedName>
    <definedName name="WC_Dept14">WC_1!$C$33</definedName>
    <definedName name="WC_Dept15">WC_1!$C$34</definedName>
    <definedName name="WC_Dept16">WC_1!$C$35</definedName>
    <definedName name="WC_Dept17">WC_1!$C$36</definedName>
    <definedName name="WC_Dept18">WC_1!$C$37</definedName>
    <definedName name="WC_Dept19">WC_1!$C$38</definedName>
    <definedName name="WC_Dept2">WC_1!$C$21</definedName>
    <definedName name="WC_Dept20">WC_1!$C$39</definedName>
    <definedName name="WC_Dept3">WC_1!$C$22</definedName>
    <definedName name="WC_Dept4">WC_1!$C$23</definedName>
    <definedName name="WC_Dept5">WC_1!$C$24</definedName>
    <definedName name="WC_Dept6">WC_1!$C$25</definedName>
    <definedName name="WC_Dept7">WC_1!$C$26</definedName>
    <definedName name="WC_Dept8">WC_1!$C$27</definedName>
    <definedName name="WC_Dept9">WC_1!$C$28</definedName>
    <definedName name="Z_14A37906_4245_11D2_A0DD_006008720D93_.wvu.PrintArea" hidden="1">#REF!</definedName>
    <definedName name="Z_8EEF5401_87C6_11D3_BF6F_444553540000_.wvu.PrintArea" hidden="1">#REF!</definedName>
    <definedName name="Z_B5B3C281_3E7C_11D3_BF6D_444553540000_.wvu.Cols" hidden="1">#REF!,#REF!,#REF!,#REF!</definedName>
    <definedName name="Z_B5B3C281_3E7C_11D3_BF6D_444553540000_.wvu.PrintArea" hidden="1">#REF!</definedName>
    <definedName name="Z_B5B3C281_3E7C_11D3_BF6D_444553540000_.wvu.Rows" hidden="1">#REF!</definedName>
    <definedName name="Z_E06AAC6B_EB02_4A68_A314_AB97A5C2BEF4_.wvu.PrintArea"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19" l="1"/>
  <c r="E64" i="15" l="1"/>
  <c r="C71" i="15" l="1"/>
  <c r="C71" i="19"/>
  <c r="C71" i="23"/>
  <c r="C71" i="27"/>
  <c r="C71" i="31"/>
  <c r="C71" i="35"/>
  <c r="C71" i="39"/>
  <c r="C71" i="43"/>
  <c r="C71" i="11"/>
  <c r="M80" i="2" l="1"/>
  <c r="M117" i="2"/>
  <c r="M101" i="2"/>
  <c r="M87" i="2"/>
  <c r="M108" i="2" l="1"/>
  <c r="M125" i="2" l="1"/>
  <c r="L125" i="2"/>
  <c r="K125" i="2"/>
  <c r="J125" i="2"/>
  <c r="I125" i="2"/>
  <c r="H125" i="2"/>
  <c r="G125" i="2"/>
  <c r="F125" i="2"/>
  <c r="E125" i="2"/>
  <c r="D125" i="2"/>
  <c r="L124" i="2"/>
  <c r="M123" i="2"/>
  <c r="L123" i="2"/>
  <c r="K123" i="2"/>
  <c r="J123" i="2"/>
  <c r="I123" i="2"/>
  <c r="H123" i="2"/>
  <c r="G123" i="2"/>
  <c r="F123" i="2"/>
  <c r="E123" i="2"/>
  <c r="D123" i="2"/>
  <c r="L122" i="2"/>
  <c r="J122" i="2"/>
  <c r="I122" i="2"/>
  <c r="M121" i="2"/>
  <c r="L121" i="2"/>
  <c r="K121" i="2"/>
  <c r="J121" i="2"/>
  <c r="I121" i="2"/>
  <c r="H121" i="2"/>
  <c r="G121" i="2"/>
  <c r="F121" i="2"/>
  <c r="E121" i="2"/>
  <c r="D121" i="2"/>
  <c r="M120" i="2"/>
  <c r="L120" i="2"/>
  <c r="K120" i="2"/>
  <c r="J120" i="2"/>
  <c r="I120" i="2"/>
  <c r="H120" i="2"/>
  <c r="G120" i="2"/>
  <c r="F120" i="2"/>
  <c r="E120" i="2"/>
  <c r="D120" i="2"/>
  <c r="M119" i="2"/>
  <c r="L119" i="2"/>
  <c r="K119" i="2"/>
  <c r="J119" i="2"/>
  <c r="I119" i="2"/>
  <c r="H119" i="2"/>
  <c r="G119" i="2"/>
  <c r="F119" i="2"/>
  <c r="E119" i="2"/>
  <c r="D119" i="2"/>
  <c r="L118" i="2"/>
  <c r="J118" i="2"/>
  <c r="I118" i="2"/>
  <c r="L117" i="2"/>
  <c r="J117" i="2"/>
  <c r="I117" i="2"/>
  <c r="M116" i="2"/>
  <c r="L116" i="2"/>
  <c r="K116" i="2"/>
  <c r="J116" i="2"/>
  <c r="I116" i="2"/>
  <c r="H116" i="2"/>
  <c r="G116" i="2"/>
  <c r="F116" i="2"/>
  <c r="E116" i="2"/>
  <c r="D116" i="2"/>
  <c r="M115" i="2"/>
  <c r="L115" i="2"/>
  <c r="K115" i="2"/>
  <c r="J115" i="2"/>
  <c r="I115" i="2"/>
  <c r="G115" i="2"/>
  <c r="F115" i="2"/>
  <c r="D115" i="2"/>
  <c r="M114" i="2"/>
  <c r="L114" i="2"/>
  <c r="K114" i="2"/>
  <c r="J114" i="2"/>
  <c r="I114" i="2"/>
  <c r="G114" i="2"/>
  <c r="F114" i="2"/>
  <c r="D114" i="2"/>
  <c r="L113" i="2"/>
  <c r="J113" i="2"/>
  <c r="I113" i="2"/>
  <c r="L112" i="2"/>
  <c r="J112" i="2"/>
  <c r="I112" i="2"/>
  <c r="M111" i="2"/>
  <c r="L111" i="2"/>
  <c r="K111" i="2"/>
  <c r="J111" i="2"/>
  <c r="I111" i="2"/>
  <c r="H111" i="2"/>
  <c r="G111" i="2"/>
  <c r="F111" i="2"/>
  <c r="E111" i="2"/>
  <c r="D111" i="2"/>
  <c r="M110" i="2"/>
  <c r="L110" i="2"/>
  <c r="K110" i="2"/>
  <c r="J110" i="2"/>
  <c r="I110" i="2"/>
  <c r="H110" i="2"/>
  <c r="G110" i="2"/>
  <c r="F110" i="2"/>
  <c r="E110" i="2"/>
  <c r="D110" i="2"/>
  <c r="M109" i="2"/>
  <c r="L109" i="2"/>
  <c r="K109" i="2"/>
  <c r="J109" i="2"/>
  <c r="I109" i="2"/>
  <c r="H109" i="2"/>
  <c r="G109" i="2"/>
  <c r="F109" i="2"/>
  <c r="E109" i="2"/>
  <c r="D109" i="2"/>
  <c r="L108" i="2"/>
  <c r="M107" i="2"/>
  <c r="L107" i="2"/>
  <c r="K107" i="2"/>
  <c r="J107" i="2"/>
  <c r="I107" i="2"/>
  <c r="H107" i="2"/>
  <c r="G107" i="2"/>
  <c r="F107" i="2"/>
  <c r="E107" i="2"/>
  <c r="D107" i="2"/>
  <c r="M106" i="2"/>
  <c r="L106" i="2"/>
  <c r="K106" i="2"/>
  <c r="J106" i="2"/>
  <c r="I106" i="2"/>
  <c r="G106" i="2"/>
  <c r="F106" i="2"/>
  <c r="D106" i="2"/>
  <c r="M105" i="2"/>
  <c r="L105" i="2"/>
  <c r="K105" i="2"/>
  <c r="J105" i="2"/>
  <c r="I105" i="2"/>
  <c r="G105" i="2"/>
  <c r="F105" i="2"/>
  <c r="D105" i="2"/>
  <c r="M104" i="2"/>
  <c r="L104" i="2"/>
  <c r="K104" i="2"/>
  <c r="J104" i="2"/>
  <c r="I104" i="2"/>
  <c r="G104" i="2"/>
  <c r="F104" i="2"/>
  <c r="D104" i="2"/>
  <c r="L103" i="2"/>
  <c r="I103" i="2"/>
  <c r="L102" i="2"/>
  <c r="I102" i="2"/>
  <c r="L101" i="2"/>
  <c r="M100" i="2"/>
  <c r="L100" i="2"/>
  <c r="K100" i="2"/>
  <c r="J100" i="2"/>
  <c r="I100" i="2"/>
  <c r="H100" i="2"/>
  <c r="G100" i="2"/>
  <c r="F100" i="2"/>
  <c r="E100" i="2"/>
  <c r="D100" i="2"/>
  <c r="M99" i="2"/>
  <c r="L99" i="2"/>
  <c r="K99" i="2"/>
  <c r="J99" i="2"/>
  <c r="I99" i="2"/>
  <c r="G99" i="2"/>
  <c r="F99" i="2"/>
  <c r="D99" i="2"/>
  <c r="M98" i="2"/>
  <c r="L98" i="2"/>
  <c r="K98" i="2"/>
  <c r="J98" i="2"/>
  <c r="I98" i="2"/>
  <c r="G98" i="2"/>
  <c r="F98" i="2"/>
  <c r="D98" i="2"/>
  <c r="M97" i="2"/>
  <c r="L97" i="2"/>
  <c r="K97" i="2"/>
  <c r="J97" i="2"/>
  <c r="I97" i="2"/>
  <c r="G97" i="2"/>
  <c r="F97" i="2"/>
  <c r="D97" i="2"/>
  <c r="M96" i="2"/>
  <c r="L96" i="2"/>
  <c r="K96" i="2"/>
  <c r="J96" i="2"/>
  <c r="I96" i="2"/>
  <c r="G96" i="2"/>
  <c r="F96" i="2"/>
  <c r="D96" i="2"/>
  <c r="M95" i="2"/>
  <c r="L95" i="2"/>
  <c r="I95" i="2"/>
  <c r="M94" i="2"/>
  <c r="L94" i="2"/>
  <c r="K94" i="2"/>
  <c r="J94" i="2"/>
  <c r="I94" i="2"/>
  <c r="H94" i="2"/>
  <c r="G94" i="2"/>
  <c r="F94" i="2"/>
  <c r="D94" i="2"/>
  <c r="M93" i="2"/>
  <c r="L93" i="2"/>
  <c r="K93" i="2"/>
  <c r="J93" i="2"/>
  <c r="I93" i="2"/>
  <c r="H93" i="2"/>
  <c r="G93" i="2"/>
  <c r="F93" i="2"/>
  <c r="E93" i="2"/>
  <c r="D93" i="2"/>
  <c r="M92" i="2"/>
  <c r="L92" i="2"/>
  <c r="K92" i="2"/>
  <c r="J92" i="2"/>
  <c r="I92" i="2"/>
  <c r="G92" i="2"/>
  <c r="F92" i="2"/>
  <c r="D92" i="2"/>
  <c r="M91" i="2"/>
  <c r="L91" i="2"/>
  <c r="K91" i="2"/>
  <c r="J91" i="2"/>
  <c r="I91" i="2"/>
  <c r="G91" i="2"/>
  <c r="F91" i="2"/>
  <c r="D91" i="2"/>
  <c r="M90" i="2"/>
  <c r="L90" i="2"/>
  <c r="K90" i="2"/>
  <c r="J90" i="2"/>
  <c r="I90" i="2"/>
  <c r="G90" i="2"/>
  <c r="F90" i="2"/>
  <c r="D90" i="2"/>
  <c r="L89" i="2"/>
  <c r="I89" i="2"/>
  <c r="L88" i="2"/>
  <c r="I88" i="2"/>
  <c r="L87" i="2"/>
  <c r="M86" i="2"/>
  <c r="L86" i="2"/>
  <c r="K86" i="2"/>
  <c r="J86" i="2"/>
  <c r="I86" i="2"/>
  <c r="H86" i="2"/>
  <c r="G86" i="2"/>
  <c r="F86" i="2"/>
  <c r="E86" i="2"/>
  <c r="D86" i="2"/>
  <c r="M85" i="2"/>
  <c r="L85" i="2"/>
  <c r="K85" i="2"/>
  <c r="J85" i="2"/>
  <c r="I85" i="2"/>
  <c r="G85" i="2"/>
  <c r="F85" i="2"/>
  <c r="D85" i="2"/>
  <c r="M84" i="2"/>
  <c r="L84" i="2"/>
  <c r="K84" i="2"/>
  <c r="J84" i="2"/>
  <c r="I84" i="2"/>
  <c r="G84" i="2"/>
  <c r="F84" i="2"/>
  <c r="D84" i="2"/>
  <c r="M83" i="2"/>
  <c r="L83" i="2"/>
  <c r="K83" i="2"/>
  <c r="J83" i="2"/>
  <c r="I83" i="2"/>
  <c r="G83" i="2"/>
  <c r="F83" i="2"/>
  <c r="D83" i="2"/>
  <c r="M82" i="2"/>
  <c r="L82" i="2"/>
  <c r="K82" i="2"/>
  <c r="J82" i="2"/>
  <c r="I82" i="2"/>
  <c r="G82" i="2"/>
  <c r="F82" i="2"/>
  <c r="D82" i="2"/>
  <c r="L81" i="2"/>
  <c r="I81" i="2"/>
  <c r="L80" i="2"/>
  <c r="M79" i="2"/>
  <c r="L79" i="2"/>
  <c r="K79" i="2"/>
  <c r="J79" i="2"/>
  <c r="I79" i="2"/>
  <c r="H79" i="2"/>
  <c r="G79" i="2"/>
  <c r="F79" i="2"/>
  <c r="E79" i="2"/>
  <c r="D79" i="2"/>
  <c r="M78" i="2"/>
  <c r="L78" i="2"/>
  <c r="K78" i="2"/>
  <c r="J78" i="2"/>
  <c r="I78" i="2"/>
  <c r="H78" i="2"/>
  <c r="G78" i="2"/>
  <c r="F78" i="2"/>
  <c r="E78" i="2"/>
  <c r="D78" i="2"/>
  <c r="M77" i="2"/>
  <c r="L77" i="2"/>
  <c r="K77" i="2"/>
  <c r="J77" i="2"/>
  <c r="I77" i="2"/>
  <c r="H77" i="2"/>
  <c r="G77" i="2"/>
  <c r="F77" i="2"/>
  <c r="E77" i="2"/>
  <c r="D77" i="2"/>
  <c r="L76" i="2"/>
  <c r="M75" i="2"/>
  <c r="L75" i="2"/>
  <c r="K75" i="2"/>
  <c r="J75" i="2"/>
  <c r="I75" i="2"/>
  <c r="H75" i="2"/>
  <c r="G75" i="2"/>
  <c r="F75" i="2"/>
  <c r="E75" i="2"/>
  <c r="D75" i="2"/>
  <c r="M74" i="2"/>
  <c r="L74" i="2"/>
  <c r="K74" i="2"/>
  <c r="J74" i="2"/>
  <c r="I74" i="2"/>
  <c r="G74" i="2"/>
  <c r="F74" i="2"/>
  <c r="D74" i="2"/>
  <c r="M73" i="2"/>
  <c r="L73" i="2"/>
  <c r="K73" i="2"/>
  <c r="J73" i="2"/>
  <c r="I73" i="2"/>
  <c r="G73" i="2"/>
  <c r="F73" i="2"/>
  <c r="D73" i="2"/>
  <c r="M72" i="2"/>
  <c r="L72" i="2"/>
  <c r="K72" i="2"/>
  <c r="J72" i="2"/>
  <c r="I72" i="2"/>
  <c r="G72" i="2"/>
  <c r="F72" i="2"/>
  <c r="D72" i="2"/>
  <c r="M71" i="2"/>
  <c r="L71" i="2"/>
  <c r="K71" i="2"/>
  <c r="J71" i="2"/>
  <c r="I71" i="2"/>
  <c r="G71" i="2"/>
  <c r="F71" i="2"/>
  <c r="D71" i="2"/>
  <c r="L70" i="2"/>
  <c r="I70" i="2"/>
  <c r="L69" i="2"/>
  <c r="M68" i="2"/>
  <c r="L68" i="2"/>
  <c r="K68" i="2"/>
  <c r="J68" i="2"/>
  <c r="I68" i="2"/>
  <c r="H68" i="2"/>
  <c r="G68" i="2"/>
  <c r="F68" i="2"/>
  <c r="E68" i="2"/>
  <c r="D68" i="2"/>
  <c r="M67" i="2"/>
  <c r="L67" i="2"/>
  <c r="K67" i="2"/>
  <c r="J67" i="2"/>
  <c r="I67" i="2"/>
  <c r="G67" i="2"/>
  <c r="F67" i="2"/>
  <c r="D67" i="2"/>
  <c r="M66" i="2"/>
  <c r="L66" i="2"/>
  <c r="K66" i="2"/>
  <c r="J66" i="2"/>
  <c r="I66" i="2"/>
  <c r="G66" i="2"/>
  <c r="F66" i="2"/>
  <c r="D66" i="2"/>
  <c r="M65" i="2"/>
  <c r="L65" i="2"/>
  <c r="K65" i="2"/>
  <c r="J65" i="2"/>
  <c r="I65" i="2"/>
  <c r="G65" i="2"/>
  <c r="F65" i="2"/>
  <c r="D65" i="2"/>
  <c r="M64" i="2"/>
  <c r="N64" i="2" s="1"/>
  <c r="L64" i="2"/>
  <c r="K64" i="2"/>
  <c r="J64" i="2"/>
  <c r="I64" i="2"/>
  <c r="H64" i="2"/>
  <c r="G64" i="2"/>
  <c r="F64" i="2"/>
  <c r="E64" i="2"/>
  <c r="D64" i="2"/>
  <c r="L63" i="2"/>
  <c r="I63" i="2"/>
  <c r="L62" i="2"/>
  <c r="M61" i="2"/>
  <c r="L61" i="2"/>
  <c r="K61" i="2"/>
  <c r="J61" i="2"/>
  <c r="I61" i="2"/>
  <c r="H61" i="2"/>
  <c r="G61" i="2"/>
  <c r="F61" i="2"/>
  <c r="E61" i="2"/>
  <c r="D61" i="2"/>
  <c r="M60" i="2"/>
  <c r="L60" i="2"/>
  <c r="K60" i="2"/>
  <c r="J60" i="2"/>
  <c r="I60" i="2"/>
  <c r="G60" i="2"/>
  <c r="F60" i="2"/>
  <c r="D60" i="2"/>
  <c r="M59" i="2"/>
  <c r="L59" i="2"/>
  <c r="K59" i="2"/>
  <c r="J59" i="2"/>
  <c r="I59" i="2"/>
  <c r="G59" i="2"/>
  <c r="F59" i="2"/>
  <c r="D59" i="2"/>
  <c r="M58" i="2"/>
  <c r="L58" i="2"/>
  <c r="K58" i="2"/>
  <c r="J58" i="2"/>
  <c r="I58" i="2"/>
  <c r="G58" i="2"/>
  <c r="F58" i="2"/>
  <c r="D58" i="2"/>
  <c r="L57" i="2"/>
  <c r="I57" i="2"/>
  <c r="L56" i="2"/>
  <c r="I56" i="2"/>
  <c r="L55" i="2"/>
  <c r="M54" i="2"/>
  <c r="L54" i="2"/>
  <c r="K54" i="2"/>
  <c r="J54" i="2"/>
  <c r="I54" i="2"/>
  <c r="H54" i="2"/>
  <c r="G54" i="2"/>
  <c r="F54" i="2"/>
  <c r="E54" i="2"/>
  <c r="D54" i="2"/>
  <c r="M53" i="2"/>
  <c r="L53" i="2"/>
  <c r="K53" i="2"/>
  <c r="J53" i="2"/>
  <c r="I53" i="2"/>
  <c r="G53" i="2"/>
  <c r="F53" i="2"/>
  <c r="D53" i="2"/>
  <c r="M52" i="2"/>
  <c r="L52" i="2"/>
  <c r="K52" i="2"/>
  <c r="J52" i="2"/>
  <c r="I52" i="2"/>
  <c r="G52" i="2"/>
  <c r="F52" i="2"/>
  <c r="D52" i="2"/>
  <c r="M51" i="2"/>
  <c r="L51" i="2"/>
  <c r="K51" i="2"/>
  <c r="J51" i="2"/>
  <c r="I51" i="2"/>
  <c r="G51" i="2"/>
  <c r="F51" i="2"/>
  <c r="D51" i="2"/>
  <c r="L50" i="2"/>
  <c r="I50" i="2"/>
  <c r="L49" i="2"/>
  <c r="I49" i="2"/>
  <c r="L48" i="2"/>
  <c r="M47" i="2"/>
  <c r="L47" i="2"/>
  <c r="K47" i="2"/>
  <c r="J47" i="2"/>
  <c r="I47" i="2"/>
  <c r="H47" i="2"/>
  <c r="G47" i="2"/>
  <c r="F47" i="2"/>
  <c r="E47" i="2"/>
  <c r="D47" i="2"/>
  <c r="L46" i="2"/>
  <c r="I46" i="2"/>
  <c r="L45" i="2"/>
  <c r="I45" i="2"/>
  <c r="L44" i="2"/>
  <c r="I44" i="2"/>
  <c r="L43" i="2"/>
  <c r="I43" i="2"/>
  <c r="L42" i="2"/>
  <c r="I42" i="2"/>
  <c r="L41" i="2"/>
  <c r="M40" i="2"/>
  <c r="L40" i="2"/>
  <c r="K40" i="2"/>
  <c r="J40" i="2"/>
  <c r="I40" i="2"/>
  <c r="H40" i="2"/>
  <c r="G40" i="2"/>
  <c r="F40" i="2"/>
  <c r="E40" i="2"/>
  <c r="D40" i="2"/>
  <c r="M39" i="2"/>
  <c r="L39" i="2"/>
  <c r="K39" i="2"/>
  <c r="J39" i="2"/>
  <c r="I39" i="2"/>
  <c r="G39" i="2"/>
  <c r="F39" i="2"/>
  <c r="D39" i="2"/>
  <c r="M38" i="2"/>
  <c r="L38" i="2"/>
  <c r="K38" i="2"/>
  <c r="J38" i="2"/>
  <c r="I38" i="2"/>
  <c r="G38" i="2"/>
  <c r="F38" i="2"/>
  <c r="D38" i="2"/>
  <c r="M37" i="2"/>
  <c r="L37" i="2"/>
  <c r="K37" i="2"/>
  <c r="J37" i="2"/>
  <c r="I37" i="2"/>
  <c r="G37" i="2"/>
  <c r="F37" i="2"/>
  <c r="D37" i="2"/>
  <c r="M36" i="2"/>
  <c r="L36" i="2"/>
  <c r="K36" i="2"/>
  <c r="J36" i="2"/>
  <c r="I36" i="2"/>
  <c r="G36" i="2"/>
  <c r="F36" i="2"/>
  <c r="D36" i="2"/>
  <c r="L35" i="2"/>
  <c r="I35" i="2"/>
  <c r="M33" i="2"/>
  <c r="L33" i="2"/>
  <c r="K33" i="2"/>
  <c r="J33" i="2"/>
  <c r="I33" i="2"/>
  <c r="H33" i="2"/>
  <c r="G33" i="2"/>
  <c r="F33" i="2"/>
  <c r="E33" i="2"/>
  <c r="D33" i="2"/>
  <c r="M32" i="2"/>
  <c r="L32" i="2"/>
  <c r="K32" i="2"/>
  <c r="J32" i="2"/>
  <c r="I32" i="2"/>
  <c r="G32" i="2"/>
  <c r="F32" i="2"/>
  <c r="D32" i="2"/>
  <c r="L31" i="2"/>
  <c r="I31" i="2"/>
  <c r="L30" i="2"/>
  <c r="I30" i="2"/>
  <c r="L29" i="2"/>
  <c r="I29" i="2"/>
  <c r="L28" i="2"/>
  <c r="I28" i="2"/>
  <c r="L27" i="2"/>
  <c r="M26" i="2"/>
  <c r="L26" i="2"/>
  <c r="K26" i="2"/>
  <c r="J26" i="2"/>
  <c r="I26" i="2"/>
  <c r="H26" i="2"/>
  <c r="G26" i="2"/>
  <c r="F26" i="2"/>
  <c r="E26" i="2"/>
  <c r="D26" i="2"/>
  <c r="M25" i="2"/>
  <c r="L25" i="2"/>
  <c r="K25" i="2"/>
  <c r="J25" i="2"/>
  <c r="I25" i="2"/>
  <c r="G25" i="2"/>
  <c r="F25" i="2"/>
  <c r="D25" i="2"/>
  <c r="M24" i="2"/>
  <c r="L24" i="2"/>
  <c r="K24" i="2"/>
  <c r="J24" i="2"/>
  <c r="I24" i="2"/>
  <c r="G24" i="2"/>
  <c r="F24" i="2"/>
  <c r="D24" i="2"/>
  <c r="M23" i="2"/>
  <c r="L23" i="2"/>
  <c r="K23" i="2"/>
  <c r="J23" i="2"/>
  <c r="I23" i="2"/>
  <c r="G23" i="2"/>
  <c r="F23" i="2"/>
  <c r="D23" i="2"/>
  <c r="M22" i="2"/>
  <c r="L22" i="2"/>
  <c r="K22" i="2"/>
  <c r="J22" i="2"/>
  <c r="I22" i="2"/>
  <c r="G22" i="2"/>
  <c r="F22" i="2"/>
  <c r="D22" i="2"/>
  <c r="L21" i="2"/>
  <c r="I21" i="2"/>
  <c r="L20" i="2"/>
  <c r="M19" i="2"/>
  <c r="L19" i="2"/>
  <c r="K19" i="2"/>
  <c r="J19" i="2"/>
  <c r="I19" i="2"/>
  <c r="H19" i="2"/>
  <c r="G19" i="2"/>
  <c r="F19" i="2"/>
  <c r="E19" i="2"/>
  <c r="D19" i="2"/>
  <c r="M18" i="2"/>
  <c r="L18" i="2"/>
  <c r="K18" i="2"/>
  <c r="J18" i="2"/>
  <c r="I18" i="2"/>
  <c r="G18" i="2"/>
  <c r="F18" i="2"/>
  <c r="D18" i="2"/>
  <c r="M17" i="2"/>
  <c r="L17" i="2"/>
  <c r="K17" i="2"/>
  <c r="J17" i="2"/>
  <c r="I17" i="2"/>
  <c r="G17" i="2"/>
  <c r="F17" i="2"/>
  <c r="D17" i="2"/>
  <c r="L16" i="2"/>
  <c r="I16" i="2"/>
  <c r="L15" i="2"/>
  <c r="I15" i="2"/>
  <c r="L14" i="2"/>
  <c r="I14" i="2"/>
  <c r="L13" i="2"/>
  <c r="M12" i="2"/>
  <c r="L12" i="2"/>
  <c r="K12" i="2"/>
  <c r="J12" i="2"/>
  <c r="I12" i="2"/>
  <c r="H12" i="2"/>
  <c r="G12" i="2"/>
  <c r="F12" i="2"/>
  <c r="E12" i="2"/>
  <c r="D12" i="2"/>
  <c r="M11" i="2"/>
  <c r="L11" i="2"/>
  <c r="K11" i="2"/>
  <c r="J11" i="2"/>
  <c r="I11" i="2"/>
  <c r="H11" i="2"/>
  <c r="G11" i="2"/>
  <c r="F11" i="2"/>
  <c r="E11" i="2"/>
  <c r="D11" i="2"/>
  <c r="M10" i="2"/>
  <c r="L10" i="2"/>
  <c r="K10" i="2"/>
  <c r="J10" i="2"/>
  <c r="I10" i="2"/>
  <c r="H10" i="2"/>
  <c r="G10" i="2"/>
  <c r="F10" i="2"/>
  <c r="E10" i="2"/>
  <c r="D10" i="2"/>
  <c r="M35" i="2" l="1"/>
  <c r="J35" i="2"/>
  <c r="K35" i="2"/>
  <c r="G35" i="2"/>
  <c r="F35" i="2"/>
  <c r="D35" i="2"/>
  <c r="E35" i="44"/>
  <c r="H35" i="44"/>
  <c r="E35" i="40"/>
  <c r="H35" i="40"/>
  <c r="E35" i="36"/>
  <c r="H35" i="36"/>
  <c r="E35" i="32"/>
  <c r="H35" i="32"/>
  <c r="E35" i="28"/>
  <c r="H35" i="28"/>
  <c r="E35" i="20"/>
  <c r="H35" i="20"/>
  <c r="E35" i="16"/>
  <c r="H35" i="16"/>
  <c r="E35" i="12"/>
  <c r="H35" i="12"/>
  <c r="M112" i="2" l="1"/>
  <c r="G46" i="2"/>
  <c r="D46" i="2"/>
  <c r="F46" i="2"/>
  <c r="H35" i="24"/>
  <c r="N35" i="24" s="1"/>
  <c r="E35" i="24"/>
  <c r="H46" i="12"/>
  <c r="H46" i="16"/>
  <c r="E46" i="16"/>
  <c r="H46" i="20"/>
  <c r="N46" i="20" s="1"/>
  <c r="E46" i="20"/>
  <c r="E46" i="28"/>
  <c r="H46" i="32"/>
  <c r="E46" i="32"/>
  <c r="H46" i="36"/>
  <c r="E46" i="36"/>
  <c r="H46" i="44"/>
  <c r="E46" i="44"/>
  <c r="H46" i="24"/>
  <c r="E34" i="20"/>
  <c r="E34" i="40"/>
  <c r="I108" i="36"/>
  <c r="I101" i="12"/>
  <c r="I101" i="16"/>
  <c r="I101" i="20"/>
  <c r="I101" i="28"/>
  <c r="I101" i="32"/>
  <c r="I108" i="32" s="1"/>
  <c r="I101" i="36"/>
  <c r="I101" i="40"/>
  <c r="I101" i="44"/>
  <c r="I101" i="24"/>
  <c r="I87" i="12"/>
  <c r="I87" i="16"/>
  <c r="I87" i="20"/>
  <c r="I87" i="28"/>
  <c r="I108" i="28" s="1"/>
  <c r="I87" i="32"/>
  <c r="I87" i="36"/>
  <c r="I87" i="40"/>
  <c r="I87" i="44"/>
  <c r="I87" i="24"/>
  <c r="I80" i="12"/>
  <c r="I80" i="16"/>
  <c r="I108" i="16" s="1"/>
  <c r="I80" i="20"/>
  <c r="I108" i="20" s="1"/>
  <c r="I80" i="28"/>
  <c r="I80" i="32"/>
  <c r="I80" i="36"/>
  <c r="I80" i="40"/>
  <c r="I108" i="40" s="1"/>
  <c r="I80" i="44"/>
  <c r="I108" i="44" s="1"/>
  <c r="I80" i="24"/>
  <c r="I108" i="24" s="1"/>
  <c r="I69" i="12"/>
  <c r="I69" i="16"/>
  <c r="I69" i="20"/>
  <c r="I69" i="28"/>
  <c r="I69" i="32"/>
  <c r="I69" i="36"/>
  <c r="I69" i="40"/>
  <c r="I69" i="44"/>
  <c r="I69" i="24"/>
  <c r="I62" i="12"/>
  <c r="I62" i="2" s="1"/>
  <c r="I62" i="16"/>
  <c r="I62" i="20"/>
  <c r="I62" i="28"/>
  <c r="I62" i="32"/>
  <c r="I62" i="36"/>
  <c r="I62" i="40"/>
  <c r="I62" i="44"/>
  <c r="I62" i="24"/>
  <c r="I55" i="12"/>
  <c r="I55" i="16"/>
  <c r="I55" i="20"/>
  <c r="I55" i="28"/>
  <c r="I55" i="32"/>
  <c r="I55" i="36"/>
  <c r="I55" i="40"/>
  <c r="I55" i="44"/>
  <c r="I55" i="24"/>
  <c r="I48" i="12"/>
  <c r="I48" i="16"/>
  <c r="I48" i="20"/>
  <c r="I48" i="28"/>
  <c r="I48" i="32"/>
  <c r="I48" i="36"/>
  <c r="I48" i="40"/>
  <c r="I48" i="44"/>
  <c r="I48" i="24"/>
  <c r="I41" i="12"/>
  <c r="I41" i="16"/>
  <c r="I41" i="20"/>
  <c r="I41" i="28"/>
  <c r="I41" i="32"/>
  <c r="I41" i="36"/>
  <c r="I41" i="40"/>
  <c r="I41" i="44"/>
  <c r="I41" i="24"/>
  <c r="M34" i="12"/>
  <c r="K34" i="12"/>
  <c r="J34" i="12"/>
  <c r="I34" i="12"/>
  <c r="I34" i="2" s="1"/>
  <c r="H34" i="12"/>
  <c r="G34" i="12"/>
  <c r="F34" i="12"/>
  <c r="E34" i="12"/>
  <c r="M34" i="16"/>
  <c r="K34" i="16"/>
  <c r="J34" i="16"/>
  <c r="I34" i="16"/>
  <c r="H34" i="16"/>
  <c r="G34" i="16"/>
  <c r="F34" i="16"/>
  <c r="E34" i="16"/>
  <c r="M34" i="20"/>
  <c r="K34" i="20"/>
  <c r="J34" i="20"/>
  <c r="I34" i="20"/>
  <c r="H34" i="20"/>
  <c r="G34" i="20"/>
  <c r="F34" i="20"/>
  <c r="M34" i="28"/>
  <c r="K34" i="28"/>
  <c r="J34" i="28"/>
  <c r="I34" i="28"/>
  <c r="H34" i="28"/>
  <c r="G34" i="28"/>
  <c r="F34" i="28"/>
  <c r="E34" i="28"/>
  <c r="M34" i="32"/>
  <c r="K34" i="32"/>
  <c r="J34" i="32"/>
  <c r="I34" i="32"/>
  <c r="H34" i="32"/>
  <c r="G34" i="32"/>
  <c r="F34" i="32"/>
  <c r="E34" i="32"/>
  <c r="M34" i="36"/>
  <c r="K34" i="36"/>
  <c r="J34" i="36"/>
  <c r="I34" i="36"/>
  <c r="H34" i="36"/>
  <c r="G34" i="36"/>
  <c r="F34" i="36"/>
  <c r="E34" i="36"/>
  <c r="M34" i="40"/>
  <c r="K34" i="40"/>
  <c r="J34" i="40"/>
  <c r="I34" i="40"/>
  <c r="H34" i="40"/>
  <c r="G34" i="40"/>
  <c r="F34" i="40"/>
  <c r="M34" i="44"/>
  <c r="K34" i="44"/>
  <c r="J34" i="44"/>
  <c r="I34" i="44"/>
  <c r="H34" i="44"/>
  <c r="N34" i="44" s="1"/>
  <c r="G34" i="44"/>
  <c r="F34" i="44"/>
  <c r="E34" i="44"/>
  <c r="M34" i="24"/>
  <c r="K34" i="24"/>
  <c r="J34" i="24"/>
  <c r="J34" i="2" s="1"/>
  <c r="I34" i="24"/>
  <c r="G34" i="24"/>
  <c r="F34" i="24"/>
  <c r="I27" i="12"/>
  <c r="I27" i="16"/>
  <c r="I27" i="20"/>
  <c r="I27" i="28"/>
  <c r="I27" i="32"/>
  <c r="I27" i="36"/>
  <c r="I27" i="40"/>
  <c r="I27" i="44"/>
  <c r="I27" i="24"/>
  <c r="I20" i="12"/>
  <c r="I20" i="16"/>
  <c r="I20" i="20"/>
  <c r="I20" i="28"/>
  <c r="I20" i="32"/>
  <c r="I20" i="36"/>
  <c r="I20" i="40"/>
  <c r="I20" i="44"/>
  <c r="I20" i="24"/>
  <c r="I13" i="12"/>
  <c r="I13" i="16"/>
  <c r="I13" i="20"/>
  <c r="I13" i="28"/>
  <c r="I13" i="32"/>
  <c r="I13" i="36"/>
  <c r="I13" i="40"/>
  <c r="I13" i="44"/>
  <c r="I13" i="24"/>
  <c r="D34" i="12"/>
  <c r="D34" i="16"/>
  <c r="D34" i="20"/>
  <c r="D34" i="28"/>
  <c r="D34" i="32"/>
  <c r="D34" i="36"/>
  <c r="D34" i="40"/>
  <c r="D34" i="44"/>
  <c r="D34" i="24"/>
  <c r="I69" i="2" l="1"/>
  <c r="G34" i="2"/>
  <c r="I80" i="2"/>
  <c r="I87" i="2"/>
  <c r="I27" i="2"/>
  <c r="K34" i="2"/>
  <c r="M34" i="2"/>
  <c r="I48" i="2"/>
  <c r="F34" i="2"/>
  <c r="I101" i="2"/>
  <c r="D34" i="2"/>
  <c r="I41" i="2"/>
  <c r="I108" i="12"/>
  <c r="I108" i="2" s="1"/>
  <c r="I13" i="2"/>
  <c r="I20" i="2"/>
  <c r="I55" i="2"/>
  <c r="M122" i="2"/>
  <c r="H34" i="24"/>
  <c r="H35" i="2"/>
  <c r="N35" i="2" s="1"/>
  <c r="E34" i="24"/>
  <c r="E34" i="2" s="1"/>
  <c r="E35" i="2"/>
  <c r="N34" i="20"/>
  <c r="N34" i="16"/>
  <c r="N34" i="12"/>
  <c r="N34" i="40"/>
  <c r="N34" i="36"/>
  <c r="N34" i="32"/>
  <c r="N34" i="28"/>
  <c r="I76" i="16"/>
  <c r="I124" i="16" s="1"/>
  <c r="I76" i="20"/>
  <c r="I124" i="20" s="1"/>
  <c r="I76" i="24"/>
  <c r="I124" i="24" s="1"/>
  <c r="I76" i="40"/>
  <c r="I124" i="40" s="1"/>
  <c r="I76" i="36"/>
  <c r="I124" i="36" s="1"/>
  <c r="I76" i="28"/>
  <c r="I124" i="28" s="1"/>
  <c r="I76" i="44"/>
  <c r="I124" i="44" s="1"/>
  <c r="I76" i="32"/>
  <c r="I124" i="32" s="1"/>
  <c r="I76" i="12"/>
  <c r="N46" i="12"/>
  <c r="N46" i="24"/>
  <c r="N46" i="44"/>
  <c r="N46" i="36"/>
  <c r="N46" i="32"/>
  <c r="E46" i="40"/>
  <c r="H46" i="28"/>
  <c r="E46" i="24"/>
  <c r="E46" i="12"/>
  <c r="H46" i="40"/>
  <c r="K44" i="35"/>
  <c r="K44" i="31"/>
  <c r="K12" i="31"/>
  <c r="K12" i="35"/>
  <c r="I124" i="12" l="1"/>
  <c r="I124" i="2" s="1"/>
  <c r="I76" i="2"/>
  <c r="K12" i="23"/>
  <c r="K17" i="23" s="1"/>
  <c r="K12" i="19"/>
  <c r="K17" i="31"/>
  <c r="H46" i="2"/>
  <c r="K12" i="43"/>
  <c r="K17" i="43" s="1"/>
  <c r="K48" i="31"/>
  <c r="K12" i="11"/>
  <c r="K17" i="11" s="1"/>
  <c r="K48" i="19"/>
  <c r="K56" i="19"/>
  <c r="K41" i="43"/>
  <c r="K44" i="43"/>
  <c r="K56" i="43"/>
  <c r="K41" i="35"/>
  <c r="K41" i="31"/>
  <c r="K48" i="43"/>
  <c r="K44" i="23"/>
  <c r="E46" i="2"/>
  <c r="N34" i="24"/>
  <c r="H34" i="2"/>
  <c r="N34" i="2" s="1"/>
  <c r="K44" i="11"/>
  <c r="K41" i="11"/>
  <c r="K48" i="11"/>
  <c r="K56" i="11"/>
  <c r="K41" i="23"/>
  <c r="K48" i="23"/>
  <c r="K56" i="23"/>
  <c r="K17" i="19"/>
  <c r="K48" i="35"/>
  <c r="K56" i="35"/>
  <c r="K56" i="31"/>
  <c r="K41" i="19"/>
  <c r="K44" i="19"/>
  <c r="K17" i="35"/>
  <c r="K66" i="11" l="1"/>
  <c r="K66" i="31"/>
  <c r="K66" i="35"/>
  <c r="K66" i="43"/>
  <c r="K66" i="19"/>
  <c r="K66" i="23"/>
  <c r="L34" i="12" l="1"/>
  <c r="L34" i="16"/>
  <c r="L34" i="20"/>
  <c r="L34" i="24"/>
  <c r="L34" i="28"/>
  <c r="L34" i="32"/>
  <c r="L34" i="36"/>
  <c r="L34" i="40"/>
  <c r="L34" i="44"/>
  <c r="L34" i="2" l="1"/>
  <c r="J12" i="23"/>
  <c r="J12" i="43" l="1"/>
  <c r="J17" i="43" s="1"/>
  <c r="J48" i="19"/>
  <c r="J12" i="31"/>
  <c r="J17" i="31" s="1"/>
  <c r="J44" i="11"/>
  <c r="J44" i="23"/>
  <c r="J56" i="11"/>
  <c r="J41" i="23"/>
  <c r="J41" i="43"/>
  <c r="J12" i="35"/>
  <c r="J17" i="35" s="1"/>
  <c r="J41" i="11"/>
  <c r="J48" i="11"/>
  <c r="J56" i="23"/>
  <c r="J12" i="11"/>
  <c r="J17" i="11" s="1"/>
  <c r="J44" i="43"/>
  <c r="J41" i="31"/>
  <c r="J48" i="23"/>
  <c r="J12" i="19"/>
  <c r="J17" i="19" s="1"/>
  <c r="J44" i="19"/>
  <c r="J56" i="19"/>
  <c r="J44" i="35"/>
  <c r="J48" i="43"/>
  <c r="J56" i="43"/>
  <c r="J44" i="31"/>
  <c r="J56" i="31"/>
  <c r="J41" i="19"/>
  <c r="J48" i="31"/>
  <c r="J48" i="35"/>
  <c r="J56" i="35"/>
  <c r="J41" i="35"/>
  <c r="J17" i="23"/>
  <c r="C30" i="39"/>
  <c r="C29" i="39"/>
  <c r="J66" i="19" l="1"/>
  <c r="J66" i="31"/>
  <c r="J66" i="23"/>
  <c r="J66" i="11"/>
  <c r="J66" i="43"/>
  <c r="J66" i="35"/>
  <c r="C28" i="39"/>
  <c r="C27" i="39"/>
  <c r="C20" i="39"/>
  <c r="K117" i="20" l="1"/>
  <c r="G117" i="20"/>
  <c r="D117" i="20"/>
  <c r="K112" i="20"/>
  <c r="G112" i="20"/>
  <c r="D112" i="20"/>
  <c r="D122" i="20" s="1"/>
  <c r="K80" i="20"/>
  <c r="J80" i="20"/>
  <c r="G80" i="20"/>
  <c r="D80" i="20"/>
  <c r="K69" i="20"/>
  <c r="J69" i="20"/>
  <c r="G69" i="20"/>
  <c r="D69" i="20"/>
  <c r="K62" i="20"/>
  <c r="J62" i="20"/>
  <c r="G62" i="20"/>
  <c r="D62" i="20"/>
  <c r="K20" i="20"/>
  <c r="J20" i="20"/>
  <c r="G20" i="20"/>
  <c r="D20" i="20"/>
  <c r="J87" i="20" l="1"/>
  <c r="J55" i="20"/>
  <c r="G122" i="20"/>
  <c r="K122" i="20"/>
  <c r="M55" i="20"/>
  <c r="J13" i="20"/>
  <c r="J27" i="20"/>
  <c r="J41" i="20"/>
  <c r="J48" i="20"/>
  <c r="K13" i="20"/>
  <c r="K41" i="20"/>
  <c r="D55" i="20"/>
  <c r="K87" i="20"/>
  <c r="G101" i="20"/>
  <c r="D13" i="20"/>
  <c r="D27" i="20"/>
  <c r="K55" i="20"/>
  <c r="D41" i="20"/>
  <c r="D48" i="20"/>
  <c r="D87" i="20"/>
  <c r="K27" i="20"/>
  <c r="K48" i="20"/>
  <c r="J101" i="20"/>
  <c r="M13" i="20"/>
  <c r="E16" i="20"/>
  <c r="H16" i="20"/>
  <c r="N16" i="20" s="1"/>
  <c r="M27" i="20"/>
  <c r="E30" i="20"/>
  <c r="H30" i="20"/>
  <c r="N30" i="20" s="1"/>
  <c r="M41" i="20"/>
  <c r="E44" i="20"/>
  <c r="H44" i="20"/>
  <c r="N44" i="20" s="1"/>
  <c r="M48" i="20"/>
  <c r="E56" i="20"/>
  <c r="H56" i="20"/>
  <c r="F55" i="20"/>
  <c r="M62" i="20"/>
  <c r="F80" i="20"/>
  <c r="E81" i="20"/>
  <c r="E80" i="20" s="1"/>
  <c r="H81" i="20"/>
  <c r="H80" i="20" s="1"/>
  <c r="G55" i="20"/>
  <c r="F112" i="20"/>
  <c r="E113" i="20"/>
  <c r="E112" i="20" s="1"/>
  <c r="H113" i="20"/>
  <c r="H112" i="20" s="1"/>
  <c r="E15" i="20"/>
  <c r="H15" i="20"/>
  <c r="N15" i="20" s="1"/>
  <c r="M20" i="20"/>
  <c r="E29" i="20"/>
  <c r="H29" i="20"/>
  <c r="N29" i="20" s="1"/>
  <c r="E43" i="20"/>
  <c r="H43" i="20"/>
  <c r="N43" i="20" s="1"/>
  <c r="E50" i="20"/>
  <c r="H50" i="20"/>
  <c r="N50" i="20" s="1"/>
  <c r="E70" i="20"/>
  <c r="E69" i="20" s="1"/>
  <c r="H70" i="20"/>
  <c r="H69" i="20" s="1"/>
  <c r="F69" i="20"/>
  <c r="H89" i="20"/>
  <c r="E89" i="20"/>
  <c r="K101" i="20"/>
  <c r="F13" i="20"/>
  <c r="H14" i="20"/>
  <c r="E14" i="20"/>
  <c r="E28" i="20"/>
  <c r="H28" i="20"/>
  <c r="N28" i="20" s="1"/>
  <c r="F27" i="20"/>
  <c r="E42" i="20"/>
  <c r="F41" i="20"/>
  <c r="H42" i="20"/>
  <c r="H49" i="20"/>
  <c r="F48" i="20"/>
  <c r="E49" i="20"/>
  <c r="E63" i="20"/>
  <c r="E62" i="20" s="1"/>
  <c r="H63" i="20"/>
  <c r="H62" i="20" s="1"/>
  <c r="F62" i="20"/>
  <c r="E103" i="20"/>
  <c r="H103" i="20"/>
  <c r="G13" i="20"/>
  <c r="G27" i="20"/>
  <c r="G41" i="20"/>
  <c r="G48" i="20"/>
  <c r="E88" i="20"/>
  <c r="F87" i="20"/>
  <c r="H88" i="20"/>
  <c r="E118" i="20"/>
  <c r="E117" i="20" s="1"/>
  <c r="H118" i="20"/>
  <c r="H117" i="20" s="1"/>
  <c r="F117" i="20"/>
  <c r="E21" i="20"/>
  <c r="E20" i="20" s="1"/>
  <c r="H21" i="20"/>
  <c r="H20" i="20" s="1"/>
  <c r="N20" i="20" s="1"/>
  <c r="F20" i="20"/>
  <c r="E31" i="20"/>
  <c r="H31" i="20"/>
  <c r="N31" i="20" s="1"/>
  <c r="E45" i="20"/>
  <c r="H45" i="20"/>
  <c r="N45" i="20" s="1"/>
  <c r="E57" i="20"/>
  <c r="H57" i="20"/>
  <c r="N57" i="20" s="1"/>
  <c r="M69" i="20"/>
  <c r="G87" i="20"/>
  <c r="D101" i="20"/>
  <c r="D108" i="20" s="1"/>
  <c r="F101" i="20"/>
  <c r="E102" i="20"/>
  <c r="H102" i="20"/>
  <c r="G108" i="20" l="1"/>
  <c r="J108" i="20"/>
  <c r="E87" i="20"/>
  <c r="J76" i="20"/>
  <c r="H101" i="20"/>
  <c r="K108" i="20"/>
  <c r="N62" i="20"/>
  <c r="H87" i="20"/>
  <c r="H108" i="20" s="1"/>
  <c r="N70" i="20"/>
  <c r="D76" i="20"/>
  <c r="D124" i="20" s="1"/>
  <c r="K76" i="20"/>
  <c r="G76" i="20"/>
  <c r="G124" i="20" s="1"/>
  <c r="H48" i="20"/>
  <c r="N48" i="20" s="1"/>
  <c r="E13" i="20"/>
  <c r="E27" i="20"/>
  <c r="E55" i="20"/>
  <c r="E101" i="20"/>
  <c r="E108" i="20" s="1"/>
  <c r="H41" i="20"/>
  <c r="N41" i="20" s="1"/>
  <c r="N49" i="20"/>
  <c r="H13" i="20"/>
  <c r="F108" i="20"/>
  <c r="E41" i="20"/>
  <c r="F76" i="20"/>
  <c r="N69" i="20"/>
  <c r="H122" i="20"/>
  <c r="E122" i="20"/>
  <c r="N63" i="20"/>
  <c r="M76" i="20"/>
  <c r="E48" i="20"/>
  <c r="F122" i="20"/>
  <c r="N42" i="20"/>
  <c r="N14" i="20"/>
  <c r="H27" i="20"/>
  <c r="N27" i="20" s="1"/>
  <c r="N21" i="20"/>
  <c r="N56" i="20"/>
  <c r="H55" i="20"/>
  <c r="N55" i="20" s="1"/>
  <c r="J80" i="24"/>
  <c r="J69" i="24"/>
  <c r="J62" i="24"/>
  <c r="J20" i="24"/>
  <c r="J80" i="32"/>
  <c r="J69" i="32"/>
  <c r="J62" i="32"/>
  <c r="J20" i="32"/>
  <c r="J101" i="44"/>
  <c r="J87" i="44"/>
  <c r="J80" i="44"/>
  <c r="J69" i="44"/>
  <c r="J62" i="44"/>
  <c r="J20" i="44"/>
  <c r="J124" i="20" l="1"/>
  <c r="K124" i="20"/>
  <c r="J87" i="24"/>
  <c r="J13" i="44"/>
  <c r="J48" i="24"/>
  <c r="J108" i="44"/>
  <c r="J48" i="32"/>
  <c r="J27" i="44"/>
  <c r="J55" i="44"/>
  <c r="J13" i="32"/>
  <c r="J41" i="32"/>
  <c r="F124" i="20"/>
  <c r="E76" i="20"/>
  <c r="E124" i="20" s="1"/>
  <c r="J13" i="24"/>
  <c r="J48" i="44"/>
  <c r="J55" i="32"/>
  <c r="J69" i="12"/>
  <c r="H76" i="20"/>
  <c r="J80" i="12"/>
  <c r="J20" i="12"/>
  <c r="J41" i="44"/>
  <c r="J87" i="32"/>
  <c r="J27" i="32"/>
  <c r="J101" i="32"/>
  <c r="J13" i="12"/>
  <c r="J62" i="12"/>
  <c r="N13" i="20"/>
  <c r="J41" i="12"/>
  <c r="J101" i="12"/>
  <c r="J27" i="12"/>
  <c r="J48" i="12"/>
  <c r="J87" i="12"/>
  <c r="J55" i="12"/>
  <c r="J27" i="24"/>
  <c r="J55" i="24"/>
  <c r="J41" i="24"/>
  <c r="J101" i="24"/>
  <c r="K13" i="3"/>
  <c r="J13" i="3"/>
  <c r="J108" i="24" l="1"/>
  <c r="J76" i="32"/>
  <c r="J76" i="44"/>
  <c r="J124" i="44" s="1"/>
  <c r="J108" i="32"/>
  <c r="J124" i="32" s="1"/>
  <c r="N76" i="20"/>
  <c r="H124" i="20"/>
  <c r="J108" i="12"/>
  <c r="J76" i="12"/>
  <c r="J76" i="24"/>
  <c r="C25" i="39"/>
  <c r="C32" i="39"/>
  <c r="J124" i="24" l="1"/>
  <c r="J124" i="12"/>
  <c r="G117" i="44" l="1"/>
  <c r="G112" i="44"/>
  <c r="G101" i="44"/>
  <c r="G80" i="44"/>
  <c r="G69" i="44"/>
  <c r="G62" i="44"/>
  <c r="G20" i="44"/>
  <c r="D117" i="44"/>
  <c r="D112" i="44"/>
  <c r="D80" i="44"/>
  <c r="D69" i="44"/>
  <c r="D62" i="44"/>
  <c r="D20" i="44"/>
  <c r="C39" i="43"/>
  <c r="C38" i="43"/>
  <c r="C37" i="43"/>
  <c r="C36" i="43"/>
  <c r="C35" i="43"/>
  <c r="C34" i="43"/>
  <c r="C33" i="43"/>
  <c r="C32" i="43"/>
  <c r="C31" i="43"/>
  <c r="C30" i="43"/>
  <c r="C29" i="43"/>
  <c r="C28" i="43"/>
  <c r="C27" i="43"/>
  <c r="C26" i="43"/>
  <c r="C25" i="43"/>
  <c r="C24" i="43"/>
  <c r="C23" i="43"/>
  <c r="C22" i="43"/>
  <c r="C21" i="43"/>
  <c r="C20" i="43"/>
  <c r="G13" i="44" l="1"/>
  <c r="D55" i="44"/>
  <c r="G27" i="44"/>
  <c r="G87" i="44"/>
  <c r="G108" i="44" s="1"/>
  <c r="G122" i="44"/>
  <c r="D27" i="44"/>
  <c r="D101" i="44"/>
  <c r="G48" i="44"/>
  <c r="G41" i="44"/>
  <c r="D87" i="44"/>
  <c r="H28" i="44"/>
  <c r="F27" i="44"/>
  <c r="E28" i="44"/>
  <c r="H49" i="44"/>
  <c r="E49" i="44"/>
  <c r="F48" i="44"/>
  <c r="H89" i="44"/>
  <c r="E89" i="44"/>
  <c r="E29" i="44"/>
  <c r="H29" i="44"/>
  <c r="E50" i="44"/>
  <c r="H50" i="44"/>
  <c r="E102" i="44"/>
  <c r="F101" i="44"/>
  <c r="H102" i="44"/>
  <c r="D122" i="44"/>
  <c r="H30" i="44"/>
  <c r="E30" i="44"/>
  <c r="F55" i="44"/>
  <c r="H56" i="44"/>
  <c r="E56" i="44"/>
  <c r="H103" i="44"/>
  <c r="E103" i="44"/>
  <c r="D13" i="44"/>
  <c r="D41" i="44"/>
  <c r="H31" i="44"/>
  <c r="E31" i="44"/>
  <c r="H57" i="44"/>
  <c r="E57" i="44"/>
  <c r="F112" i="44"/>
  <c r="H113" i="44"/>
  <c r="H112" i="44" s="1"/>
  <c r="E113" i="44"/>
  <c r="E112" i="44" s="1"/>
  <c r="G55" i="44"/>
  <c r="H14" i="44"/>
  <c r="E14" i="44"/>
  <c r="F13" i="44"/>
  <c r="H42" i="44"/>
  <c r="E42" i="44"/>
  <c r="F41" i="44"/>
  <c r="H63" i="44"/>
  <c r="H62" i="44" s="1"/>
  <c r="E63" i="44"/>
  <c r="E62" i="44" s="1"/>
  <c r="F62" i="44"/>
  <c r="F117" i="44"/>
  <c r="H118" i="44"/>
  <c r="H117" i="44" s="1"/>
  <c r="E118" i="44"/>
  <c r="E117" i="44" s="1"/>
  <c r="H15" i="44"/>
  <c r="E15" i="44"/>
  <c r="H43" i="44"/>
  <c r="E43" i="44"/>
  <c r="H70" i="44"/>
  <c r="H69" i="44" s="1"/>
  <c r="E70" i="44"/>
  <c r="E69" i="44" s="1"/>
  <c r="F69" i="44"/>
  <c r="H16" i="44"/>
  <c r="E16" i="44"/>
  <c r="H44" i="44"/>
  <c r="E44" i="44"/>
  <c r="H81" i="44"/>
  <c r="H80" i="44" s="1"/>
  <c r="F80" i="44"/>
  <c r="E81" i="44"/>
  <c r="E80" i="44" s="1"/>
  <c r="D48" i="44"/>
  <c r="H21" i="44"/>
  <c r="H20" i="44" s="1"/>
  <c r="E21" i="44"/>
  <c r="E20" i="44" s="1"/>
  <c r="F20" i="44"/>
  <c r="H45" i="44"/>
  <c r="E45" i="44"/>
  <c r="F87" i="44"/>
  <c r="H88" i="44"/>
  <c r="E88" i="44"/>
  <c r="E87" i="44" s="1"/>
  <c r="G117" i="40"/>
  <c r="G112" i="40"/>
  <c r="G87" i="40"/>
  <c r="G80" i="40"/>
  <c r="G69" i="40"/>
  <c r="G62" i="40"/>
  <c r="G20" i="40"/>
  <c r="D117" i="40"/>
  <c r="D112" i="40"/>
  <c r="D87" i="40"/>
  <c r="D80" i="40"/>
  <c r="D69" i="40"/>
  <c r="D62" i="40"/>
  <c r="D48" i="40"/>
  <c r="D20" i="40"/>
  <c r="C39" i="39"/>
  <c r="C38" i="39"/>
  <c r="C37" i="39"/>
  <c r="C36" i="39"/>
  <c r="C35" i="39"/>
  <c r="C34" i="39"/>
  <c r="C33" i="39"/>
  <c r="C31" i="39"/>
  <c r="C26" i="39"/>
  <c r="C24" i="39"/>
  <c r="C23" i="39"/>
  <c r="C22" i="39"/>
  <c r="C21" i="39"/>
  <c r="G101" i="40" l="1"/>
  <c r="E101" i="44"/>
  <c r="E108" i="44" s="1"/>
  <c r="F122" i="44"/>
  <c r="G122" i="40"/>
  <c r="E48" i="44"/>
  <c r="H87" i="44"/>
  <c r="G108" i="40"/>
  <c r="G76" i="44"/>
  <c r="G124" i="44" s="1"/>
  <c r="D55" i="40"/>
  <c r="D108" i="44"/>
  <c r="G27" i="40"/>
  <c r="E122" i="44"/>
  <c r="G13" i="40"/>
  <c r="G41" i="40"/>
  <c r="D101" i="40"/>
  <c r="D108" i="40" s="1"/>
  <c r="G55" i="40"/>
  <c r="H101" i="44"/>
  <c r="E41" i="44"/>
  <c r="D122" i="40"/>
  <c r="H30" i="40"/>
  <c r="E30" i="40"/>
  <c r="F55" i="40"/>
  <c r="E56" i="40"/>
  <c r="H56" i="40"/>
  <c r="E103" i="40"/>
  <c r="H103" i="40"/>
  <c r="D76" i="44"/>
  <c r="D13" i="40"/>
  <c r="D41" i="40"/>
  <c r="H31" i="40"/>
  <c r="E31" i="40"/>
  <c r="E57" i="40"/>
  <c r="H57" i="40"/>
  <c r="E113" i="40"/>
  <c r="E112" i="40" s="1"/>
  <c r="H113" i="40"/>
  <c r="H112" i="40" s="1"/>
  <c r="F112" i="40"/>
  <c r="H14" i="40"/>
  <c r="F13" i="40"/>
  <c r="E14" i="40"/>
  <c r="E42" i="40"/>
  <c r="H42" i="40"/>
  <c r="F41" i="40"/>
  <c r="E63" i="40"/>
  <c r="E62" i="40" s="1"/>
  <c r="H63" i="40"/>
  <c r="H62" i="40" s="1"/>
  <c r="F62" i="40"/>
  <c r="E118" i="40"/>
  <c r="E117" i="40" s="1"/>
  <c r="H118" i="40"/>
  <c r="H117" i="40" s="1"/>
  <c r="F117" i="40"/>
  <c r="H15" i="40"/>
  <c r="E15" i="40"/>
  <c r="E43" i="40"/>
  <c r="H43" i="40"/>
  <c r="E70" i="40"/>
  <c r="E69" i="40" s="1"/>
  <c r="H70" i="40"/>
  <c r="H69" i="40" s="1"/>
  <c r="F69" i="40"/>
  <c r="H41" i="44"/>
  <c r="E55" i="44"/>
  <c r="H16" i="40"/>
  <c r="E16" i="40"/>
  <c r="E44" i="40"/>
  <c r="H44" i="40"/>
  <c r="E81" i="40"/>
  <c r="E80" i="40" s="1"/>
  <c r="H81" i="40"/>
  <c r="H80" i="40" s="1"/>
  <c r="F80" i="40"/>
  <c r="H122" i="44"/>
  <c r="F76" i="44"/>
  <c r="H55" i="44"/>
  <c r="H48" i="44"/>
  <c r="D27" i="40"/>
  <c r="H21" i="40"/>
  <c r="H20" i="40" s="1"/>
  <c r="E21" i="40"/>
  <c r="E20" i="40" s="1"/>
  <c r="F20" i="40"/>
  <c r="E45" i="40"/>
  <c r="H45" i="40"/>
  <c r="E88" i="40"/>
  <c r="H88" i="40"/>
  <c r="F87" i="40"/>
  <c r="F108" i="44"/>
  <c r="E13" i="44"/>
  <c r="E27" i="44"/>
  <c r="H28" i="40"/>
  <c r="F27" i="40"/>
  <c r="E28" i="40"/>
  <c r="E49" i="40"/>
  <c r="H49" i="40"/>
  <c r="F48" i="40"/>
  <c r="E89" i="40"/>
  <c r="H89" i="40"/>
  <c r="H13" i="44"/>
  <c r="E29" i="40"/>
  <c r="H29" i="40"/>
  <c r="E50" i="40"/>
  <c r="H50" i="40"/>
  <c r="F101" i="40"/>
  <c r="E102" i="40"/>
  <c r="H102" i="40"/>
  <c r="G48" i="40"/>
  <c r="H27" i="44"/>
  <c r="H108" i="44" l="1"/>
  <c r="D124" i="44"/>
  <c r="H101" i="40"/>
  <c r="G76" i="40"/>
  <c r="G124" i="40" s="1"/>
  <c r="F124" i="44"/>
  <c r="H122" i="40"/>
  <c r="E41" i="40"/>
  <c r="E76" i="44"/>
  <c r="E124" i="44" s="1"/>
  <c r="E13" i="40"/>
  <c r="E101" i="40"/>
  <c r="F76" i="40"/>
  <c r="H55" i="40"/>
  <c r="H48" i="40"/>
  <c r="F108" i="40"/>
  <c r="H13" i="40"/>
  <c r="E55" i="40"/>
  <c r="E48" i="40"/>
  <c r="H87" i="40"/>
  <c r="H108" i="40" s="1"/>
  <c r="F122" i="40"/>
  <c r="D76" i="40"/>
  <c r="D124" i="40" s="1"/>
  <c r="H76" i="44"/>
  <c r="E27" i="40"/>
  <c r="E87" i="40"/>
  <c r="E122" i="40"/>
  <c r="H27" i="40"/>
  <c r="H41" i="40"/>
  <c r="H124" i="44" l="1"/>
  <c r="E108" i="40"/>
  <c r="F124" i="40"/>
  <c r="H76" i="40"/>
  <c r="H124" i="40" s="1"/>
  <c r="E76" i="40"/>
  <c r="E124" i="40" l="1"/>
  <c r="G117" i="36" l="1"/>
  <c r="G112" i="36"/>
  <c r="G101" i="36"/>
  <c r="G87" i="36"/>
  <c r="G80" i="36"/>
  <c r="G69" i="36"/>
  <c r="G62" i="36"/>
  <c r="G20" i="36"/>
  <c r="D117" i="36"/>
  <c r="D112" i="36"/>
  <c r="D122" i="36" s="1"/>
  <c r="D101" i="36"/>
  <c r="D80" i="36"/>
  <c r="D69" i="36"/>
  <c r="D62" i="36"/>
  <c r="D20" i="36"/>
  <c r="C39" i="35"/>
  <c r="C38" i="35"/>
  <c r="C37" i="35"/>
  <c r="C36" i="35"/>
  <c r="C35" i="35"/>
  <c r="C34" i="35"/>
  <c r="C33" i="35"/>
  <c r="C32" i="35"/>
  <c r="C31" i="35"/>
  <c r="C30" i="35"/>
  <c r="C29" i="35"/>
  <c r="C28" i="35"/>
  <c r="C27" i="35"/>
  <c r="C26" i="35"/>
  <c r="C25" i="35"/>
  <c r="C24" i="35"/>
  <c r="C23" i="35"/>
  <c r="C22" i="35"/>
  <c r="C21" i="35"/>
  <c r="C20" i="35"/>
  <c r="G13" i="36" l="1"/>
  <c r="G41" i="36"/>
  <c r="D27" i="36"/>
  <c r="G108" i="36"/>
  <c r="D48" i="36"/>
  <c r="G122" i="36"/>
  <c r="D87" i="36"/>
  <c r="D108" i="36" s="1"/>
  <c r="G27" i="36"/>
  <c r="D55" i="36"/>
  <c r="D13" i="36"/>
  <c r="E15" i="36"/>
  <c r="H15" i="36"/>
  <c r="E43" i="36"/>
  <c r="H43" i="36"/>
  <c r="E70" i="36"/>
  <c r="E69" i="36" s="1"/>
  <c r="H70" i="36"/>
  <c r="F69" i="36"/>
  <c r="E16" i="36"/>
  <c r="H16" i="36"/>
  <c r="E44" i="36"/>
  <c r="H44" i="36"/>
  <c r="E81" i="36"/>
  <c r="E80" i="36" s="1"/>
  <c r="H81" i="36"/>
  <c r="H80" i="36" s="1"/>
  <c r="F80" i="36"/>
  <c r="E21" i="36"/>
  <c r="E20" i="36" s="1"/>
  <c r="H21" i="36"/>
  <c r="F20" i="36"/>
  <c r="E45" i="36"/>
  <c r="H45" i="36"/>
  <c r="E88" i="36"/>
  <c r="H88" i="36"/>
  <c r="F87" i="36"/>
  <c r="E28" i="36"/>
  <c r="H28" i="36"/>
  <c r="F27" i="36"/>
  <c r="E49" i="36"/>
  <c r="H49" i="36"/>
  <c r="F48" i="36"/>
  <c r="E89" i="36"/>
  <c r="H89" i="36"/>
  <c r="E29" i="36"/>
  <c r="H29" i="36"/>
  <c r="E50" i="36"/>
  <c r="H50" i="36"/>
  <c r="F101" i="36"/>
  <c r="E102" i="36"/>
  <c r="H102" i="36"/>
  <c r="G48" i="36"/>
  <c r="E30" i="36"/>
  <c r="H30" i="36"/>
  <c r="F55" i="36"/>
  <c r="E56" i="36"/>
  <c r="H56" i="36"/>
  <c r="E103" i="36"/>
  <c r="H103" i="36"/>
  <c r="D41" i="36"/>
  <c r="E31" i="36"/>
  <c r="H31" i="36"/>
  <c r="E57" i="36"/>
  <c r="H57" i="36"/>
  <c r="F112" i="36"/>
  <c r="E113" i="36"/>
  <c r="E112" i="36" s="1"/>
  <c r="H113" i="36"/>
  <c r="H112" i="36" s="1"/>
  <c r="G55" i="36"/>
  <c r="H14" i="36"/>
  <c r="E14" i="36"/>
  <c r="F13" i="36"/>
  <c r="F41" i="36"/>
  <c r="E42" i="36"/>
  <c r="E41" i="36" s="1"/>
  <c r="H42" i="36"/>
  <c r="E63" i="36"/>
  <c r="E62" i="36" s="1"/>
  <c r="H63" i="36"/>
  <c r="H62" i="36" s="1"/>
  <c r="F62" i="36"/>
  <c r="F117" i="36"/>
  <c r="E118" i="36"/>
  <c r="E117" i="36" s="1"/>
  <c r="H118" i="36"/>
  <c r="H117" i="36" s="1"/>
  <c r="G117" i="32"/>
  <c r="G112" i="32"/>
  <c r="G122" i="32" s="1"/>
  <c r="G87" i="32"/>
  <c r="G80" i="32"/>
  <c r="G69" i="32"/>
  <c r="G62" i="32"/>
  <c r="G48" i="32"/>
  <c r="G20" i="32"/>
  <c r="D117" i="32"/>
  <c r="D112" i="32"/>
  <c r="D101" i="32"/>
  <c r="D80" i="32"/>
  <c r="D69" i="32"/>
  <c r="D62" i="32"/>
  <c r="D20" i="32"/>
  <c r="C39" i="31"/>
  <c r="C38" i="31"/>
  <c r="C37" i="31"/>
  <c r="C36" i="31"/>
  <c r="C35" i="31"/>
  <c r="C34" i="31"/>
  <c r="C33" i="31"/>
  <c r="C32" i="31"/>
  <c r="C31" i="31"/>
  <c r="C30" i="31"/>
  <c r="C29" i="31"/>
  <c r="C28" i="31"/>
  <c r="C27" i="31"/>
  <c r="C26" i="31"/>
  <c r="C25" i="31"/>
  <c r="C24" i="31"/>
  <c r="C23" i="31"/>
  <c r="C22" i="31"/>
  <c r="C21" i="31"/>
  <c r="C20" i="31"/>
  <c r="F122" i="36" l="1"/>
  <c r="G13" i="32"/>
  <c r="D76" i="36"/>
  <c r="D124" i="36" s="1"/>
  <c r="D122" i="32"/>
  <c r="H122" i="36"/>
  <c r="H41" i="36"/>
  <c r="E122" i="36"/>
  <c r="H13" i="36"/>
  <c r="G76" i="36"/>
  <c r="G124" i="36" s="1"/>
  <c r="D55" i="32"/>
  <c r="E29" i="32"/>
  <c r="H29" i="32"/>
  <c r="E50" i="32"/>
  <c r="H50" i="32"/>
  <c r="E102" i="32"/>
  <c r="H102" i="32"/>
  <c r="F101" i="32"/>
  <c r="G27" i="32"/>
  <c r="E27" i="36"/>
  <c r="E49" i="32"/>
  <c r="H49" i="32"/>
  <c r="F48" i="32"/>
  <c r="E30" i="32"/>
  <c r="H30" i="32"/>
  <c r="F55" i="32"/>
  <c r="E56" i="32"/>
  <c r="H56" i="32"/>
  <c r="E103" i="32"/>
  <c r="H103" i="32"/>
  <c r="G101" i="32"/>
  <c r="G108" i="32" s="1"/>
  <c r="F108" i="36"/>
  <c r="E89" i="32"/>
  <c r="H89" i="32"/>
  <c r="D13" i="32"/>
  <c r="D41" i="32"/>
  <c r="E31" i="32"/>
  <c r="H31" i="32"/>
  <c r="E57" i="32"/>
  <c r="H57" i="32"/>
  <c r="E113" i="32"/>
  <c r="E112" i="32" s="1"/>
  <c r="H113" i="32"/>
  <c r="H112" i="32" s="1"/>
  <c r="F112" i="32"/>
  <c r="G55" i="32"/>
  <c r="H101" i="36"/>
  <c r="E87" i="36"/>
  <c r="H87" i="36"/>
  <c r="H69" i="36"/>
  <c r="E118" i="32"/>
  <c r="E117" i="32" s="1"/>
  <c r="E122" i="32" s="1"/>
  <c r="H118" i="32"/>
  <c r="H117" i="32" s="1"/>
  <c r="F117" i="32"/>
  <c r="E101" i="36"/>
  <c r="E42" i="32"/>
  <c r="H42" i="32"/>
  <c r="F41" i="32"/>
  <c r="E15" i="32"/>
  <c r="H15" i="32"/>
  <c r="E43" i="32"/>
  <c r="H43" i="32"/>
  <c r="E70" i="32"/>
  <c r="E69" i="32" s="1"/>
  <c r="H70" i="32"/>
  <c r="H69" i="32" s="1"/>
  <c r="F69" i="32"/>
  <c r="G41" i="32"/>
  <c r="H55" i="36"/>
  <c r="H48" i="36"/>
  <c r="D87" i="32"/>
  <c r="D108" i="32" s="1"/>
  <c r="E16" i="32"/>
  <c r="H16" i="32"/>
  <c r="E44" i="32"/>
  <c r="H44" i="32"/>
  <c r="E81" i="32"/>
  <c r="E80" i="32" s="1"/>
  <c r="H81" i="32"/>
  <c r="H80" i="32" s="1"/>
  <c r="F80" i="32"/>
  <c r="F76" i="36"/>
  <c r="E55" i="36"/>
  <c r="E48" i="36"/>
  <c r="E14" i="32"/>
  <c r="F13" i="32"/>
  <c r="H14" i="32"/>
  <c r="E63" i="32"/>
  <c r="E62" i="32" s="1"/>
  <c r="H63" i="32"/>
  <c r="H62" i="32" s="1"/>
  <c r="F62" i="32"/>
  <c r="D27" i="32"/>
  <c r="D48" i="32"/>
  <c r="E21" i="32"/>
  <c r="E20" i="32" s="1"/>
  <c r="H21" i="32"/>
  <c r="H20" i="32" s="1"/>
  <c r="F20" i="32"/>
  <c r="E45" i="32"/>
  <c r="H45" i="32"/>
  <c r="E88" i="32"/>
  <c r="H88" i="32"/>
  <c r="H87" i="32" s="1"/>
  <c r="F87" i="32"/>
  <c r="E13" i="36"/>
  <c r="E28" i="32"/>
  <c r="H28" i="32"/>
  <c r="F27" i="32"/>
  <c r="H27" i="36"/>
  <c r="H20" i="36"/>
  <c r="N50" i="32"/>
  <c r="N43" i="32"/>
  <c r="N29" i="32"/>
  <c r="H48" i="32" l="1"/>
  <c r="E27" i="32"/>
  <c r="N30" i="32"/>
  <c r="N16" i="32"/>
  <c r="E87" i="32"/>
  <c r="N31" i="32"/>
  <c r="E108" i="36"/>
  <c r="H55" i="32"/>
  <c r="N44" i="32"/>
  <c r="E55" i="32"/>
  <c r="F124" i="36"/>
  <c r="E13" i="32"/>
  <c r="E48" i="32"/>
  <c r="M27" i="32"/>
  <c r="G76" i="32"/>
  <c r="G124" i="32" s="1"/>
  <c r="H108" i="36"/>
  <c r="N49" i="32"/>
  <c r="M48" i="32"/>
  <c r="N48" i="32" s="1"/>
  <c r="N15" i="32"/>
  <c r="N63" i="32"/>
  <c r="M62" i="32"/>
  <c r="N62" i="32" s="1"/>
  <c r="F122" i="32"/>
  <c r="D76" i="32"/>
  <c r="D124" i="32" s="1"/>
  <c r="H122" i="32"/>
  <c r="M41" i="32"/>
  <c r="N42" i="32"/>
  <c r="N28" i="32"/>
  <c r="H27" i="32"/>
  <c r="N45" i="32"/>
  <c r="F108" i="32"/>
  <c r="H41" i="32"/>
  <c r="N56" i="32"/>
  <c r="M55" i="32"/>
  <c r="E41" i="32"/>
  <c r="N57" i="32"/>
  <c r="H101" i="32"/>
  <c r="H108" i="32" s="1"/>
  <c r="N70" i="32"/>
  <c r="M69" i="32"/>
  <c r="N69" i="32" s="1"/>
  <c r="H13" i="32"/>
  <c r="E101" i="32"/>
  <c r="E108" i="32" s="1"/>
  <c r="H76" i="36"/>
  <c r="N21" i="32"/>
  <c r="M20" i="32"/>
  <c r="N20" i="32" s="1"/>
  <c r="E76" i="36"/>
  <c r="F76" i="32"/>
  <c r="K62" i="32"/>
  <c r="K69" i="32"/>
  <c r="K20" i="32"/>
  <c r="K112" i="32"/>
  <c r="K80" i="32"/>
  <c r="K48" i="32"/>
  <c r="K117" i="32"/>
  <c r="E124" i="36" l="1"/>
  <c r="N27" i="32"/>
  <c r="N55" i="32"/>
  <c r="K87" i="32"/>
  <c r="K122" i="32"/>
  <c r="E76" i="32"/>
  <c r="E124" i="32" s="1"/>
  <c r="K101" i="32"/>
  <c r="K108" i="32" s="1"/>
  <c r="H124" i="36"/>
  <c r="K41" i="32"/>
  <c r="F124" i="32"/>
  <c r="H76" i="32"/>
  <c r="H124" i="32" s="1"/>
  <c r="K27" i="32"/>
  <c r="N41" i="32"/>
  <c r="K55" i="32"/>
  <c r="N14" i="32" l="1"/>
  <c r="M13" i="32"/>
  <c r="K13" i="32"/>
  <c r="K76" i="32" s="1"/>
  <c r="K124" i="32" s="1"/>
  <c r="N13" i="32" l="1"/>
  <c r="M76" i="32"/>
  <c r="N76" i="32" s="1"/>
  <c r="G117" i="28" l="1"/>
  <c r="G112" i="28"/>
  <c r="G101" i="28"/>
  <c r="G87" i="28"/>
  <c r="G80" i="28"/>
  <c r="G69" i="28"/>
  <c r="G62" i="28"/>
  <c r="G20" i="28"/>
  <c r="D117" i="28"/>
  <c r="D112" i="28"/>
  <c r="D122" i="28" s="1"/>
  <c r="D101" i="28"/>
  <c r="D80" i="28"/>
  <c r="D69" i="28"/>
  <c r="D62" i="28"/>
  <c r="D20" i="28"/>
  <c r="C39" i="27"/>
  <c r="C38" i="27"/>
  <c r="C37" i="27"/>
  <c r="C36" i="27"/>
  <c r="C35" i="27"/>
  <c r="C34" i="27"/>
  <c r="C33" i="27"/>
  <c r="G13" i="28" l="1"/>
  <c r="G41" i="28"/>
  <c r="D27" i="28"/>
  <c r="G108" i="28"/>
  <c r="G122" i="28"/>
  <c r="D87" i="28"/>
  <c r="D108" i="28" s="1"/>
  <c r="G48" i="28"/>
  <c r="E15" i="28"/>
  <c r="H15" i="28"/>
  <c r="E43" i="28"/>
  <c r="H43" i="28"/>
  <c r="E70" i="28"/>
  <c r="E69" i="28" s="1"/>
  <c r="H70" i="28"/>
  <c r="H69" i="28" s="1"/>
  <c r="F69" i="28"/>
  <c r="E16" i="28"/>
  <c r="H16" i="28"/>
  <c r="E44" i="28"/>
  <c r="H44" i="28"/>
  <c r="E81" i="28"/>
  <c r="E80" i="28" s="1"/>
  <c r="H81" i="28"/>
  <c r="H80" i="28" s="1"/>
  <c r="F80" i="28"/>
  <c r="D48" i="28"/>
  <c r="E21" i="28"/>
  <c r="E20" i="28" s="1"/>
  <c r="H21" i="28"/>
  <c r="H20" i="28" s="1"/>
  <c r="F20" i="28"/>
  <c r="E45" i="28"/>
  <c r="H45" i="28"/>
  <c r="E88" i="28"/>
  <c r="H88" i="28"/>
  <c r="F87" i="28"/>
  <c r="E28" i="28"/>
  <c r="H28" i="28"/>
  <c r="F27" i="28"/>
  <c r="E49" i="28"/>
  <c r="H49" i="28"/>
  <c r="F48" i="28"/>
  <c r="E89" i="28"/>
  <c r="H89" i="28"/>
  <c r="D55" i="28"/>
  <c r="E29" i="28"/>
  <c r="H29" i="28"/>
  <c r="E50" i="28"/>
  <c r="H50" i="28"/>
  <c r="F101" i="28"/>
  <c r="E102" i="28"/>
  <c r="H102" i="28"/>
  <c r="G27" i="28"/>
  <c r="E30" i="28"/>
  <c r="H30" i="28"/>
  <c r="F55" i="28"/>
  <c r="E56" i="28"/>
  <c r="H56" i="28"/>
  <c r="E103" i="28"/>
  <c r="H103" i="28"/>
  <c r="D13" i="28"/>
  <c r="D41" i="28"/>
  <c r="E31" i="28"/>
  <c r="H31" i="28"/>
  <c r="E57" i="28"/>
  <c r="H57" i="28"/>
  <c r="F112" i="28"/>
  <c r="E113" i="28"/>
  <c r="E112" i="28" s="1"/>
  <c r="H113" i="28"/>
  <c r="H112" i="28" s="1"/>
  <c r="G55" i="28"/>
  <c r="F13" i="28"/>
  <c r="H14" i="28"/>
  <c r="E14" i="28"/>
  <c r="F41" i="28"/>
  <c r="E42" i="28"/>
  <c r="H42" i="28"/>
  <c r="E63" i="28"/>
  <c r="E62" i="28" s="1"/>
  <c r="H63" i="28"/>
  <c r="F62" i="28"/>
  <c r="F117" i="28"/>
  <c r="E118" i="28"/>
  <c r="E117" i="28" s="1"/>
  <c r="H118" i="28"/>
  <c r="H117" i="28" s="1"/>
  <c r="G117" i="24"/>
  <c r="G112" i="24"/>
  <c r="G80" i="24"/>
  <c r="G69" i="24"/>
  <c r="G62" i="24"/>
  <c r="G20" i="24"/>
  <c r="D117" i="24"/>
  <c r="D112" i="24"/>
  <c r="D87" i="24"/>
  <c r="D80" i="24"/>
  <c r="D69" i="24"/>
  <c r="D62" i="24"/>
  <c r="D20" i="24"/>
  <c r="C39" i="23"/>
  <c r="C38" i="23"/>
  <c r="C37" i="23"/>
  <c r="C36" i="23"/>
  <c r="C35" i="23"/>
  <c r="C34" i="23"/>
  <c r="C33" i="23"/>
  <c r="C32" i="23"/>
  <c r="C31" i="23"/>
  <c r="C30" i="23"/>
  <c r="C29" i="23"/>
  <c r="C28" i="23"/>
  <c r="C27" i="23"/>
  <c r="C26" i="23"/>
  <c r="C25" i="23"/>
  <c r="C24" i="23"/>
  <c r="C23" i="23"/>
  <c r="C22" i="23"/>
  <c r="C21" i="23"/>
  <c r="C20" i="23"/>
  <c r="G27" i="24" l="1"/>
  <c r="G101" i="24"/>
  <c r="H13" i="28"/>
  <c r="D27" i="24"/>
  <c r="D48" i="24"/>
  <c r="G87" i="24"/>
  <c r="G108" i="24" s="1"/>
  <c r="G76" i="28"/>
  <c r="G124" i="28" s="1"/>
  <c r="G13" i="24"/>
  <c r="G41" i="24"/>
  <c r="H41" i="28"/>
  <c r="E122" i="28"/>
  <c r="E41" i="28"/>
  <c r="F122" i="28"/>
  <c r="H122" i="28"/>
  <c r="D122" i="24"/>
  <c r="H101" i="28"/>
  <c r="G122" i="24"/>
  <c r="E101" i="28"/>
  <c r="H87" i="28"/>
  <c r="F108" i="28"/>
  <c r="H55" i="28"/>
  <c r="E87" i="28"/>
  <c r="E55" i="28"/>
  <c r="H48" i="28"/>
  <c r="E48" i="28"/>
  <c r="F76" i="28"/>
  <c r="D101" i="24"/>
  <c r="D108" i="24" s="1"/>
  <c r="H62" i="28"/>
  <c r="H27" i="28"/>
  <c r="D76" i="28"/>
  <c r="D124" i="28" s="1"/>
  <c r="E27" i="28"/>
  <c r="E13" i="28"/>
  <c r="E15" i="24"/>
  <c r="H15" i="24"/>
  <c r="H43" i="24"/>
  <c r="E43" i="24"/>
  <c r="H70" i="24"/>
  <c r="H69" i="24" s="1"/>
  <c r="F69" i="24"/>
  <c r="E70" i="24"/>
  <c r="E69" i="24" s="1"/>
  <c r="E16" i="24"/>
  <c r="H16" i="24"/>
  <c r="E44" i="24"/>
  <c r="H44" i="24"/>
  <c r="E81" i="24"/>
  <c r="E80" i="24" s="1"/>
  <c r="F80" i="24"/>
  <c r="H81" i="24"/>
  <c r="H80" i="24" s="1"/>
  <c r="F20" i="24"/>
  <c r="E21" i="24"/>
  <c r="E20" i="24" s="1"/>
  <c r="H21" i="24"/>
  <c r="H20" i="24" s="1"/>
  <c r="E45" i="24"/>
  <c r="H45" i="24"/>
  <c r="E88" i="24"/>
  <c r="F87" i="24"/>
  <c r="H88" i="24"/>
  <c r="E28" i="24"/>
  <c r="F27" i="24"/>
  <c r="H28" i="24"/>
  <c r="E49" i="24"/>
  <c r="H49" i="24"/>
  <c r="F48" i="24"/>
  <c r="E89" i="24"/>
  <c r="H89" i="24"/>
  <c r="D55" i="24"/>
  <c r="E29" i="24"/>
  <c r="H29" i="24"/>
  <c r="E50" i="24"/>
  <c r="H50" i="24"/>
  <c r="E102" i="24"/>
  <c r="H102" i="24"/>
  <c r="F101" i="24"/>
  <c r="G48" i="24"/>
  <c r="E30" i="24"/>
  <c r="H30" i="24"/>
  <c r="H56" i="24"/>
  <c r="F55" i="24"/>
  <c r="E56" i="24"/>
  <c r="H103" i="24"/>
  <c r="E103" i="24"/>
  <c r="D13" i="24"/>
  <c r="D41" i="24"/>
  <c r="H31" i="24"/>
  <c r="E31" i="24"/>
  <c r="H57" i="24"/>
  <c r="E57" i="24"/>
  <c r="H113" i="24"/>
  <c r="H112" i="24" s="1"/>
  <c r="F112" i="24"/>
  <c r="E113" i="24"/>
  <c r="E112" i="24" s="1"/>
  <c r="G55" i="24"/>
  <c r="H14" i="24"/>
  <c r="H13" i="24" s="1"/>
  <c r="F13" i="24"/>
  <c r="E14" i="24"/>
  <c r="F41" i="24"/>
  <c r="E42" i="24"/>
  <c r="H42" i="24"/>
  <c r="F62" i="24"/>
  <c r="E63" i="24"/>
  <c r="E62" i="24" s="1"/>
  <c r="H63" i="24"/>
  <c r="H62" i="24" s="1"/>
  <c r="E118" i="24"/>
  <c r="E117" i="24" s="1"/>
  <c r="F117" i="24"/>
  <c r="H118" i="24"/>
  <c r="H117" i="24" s="1"/>
  <c r="N44" i="24"/>
  <c r="N29" i="24"/>
  <c r="N30" i="24" l="1"/>
  <c r="N31" i="24"/>
  <c r="N16" i="24"/>
  <c r="F124" i="28"/>
  <c r="N50" i="24"/>
  <c r="F122" i="24"/>
  <c r="E108" i="28"/>
  <c r="N43" i="24"/>
  <c r="H108" i="28"/>
  <c r="E76" i="28"/>
  <c r="G76" i="24"/>
  <c r="G124" i="24" s="1"/>
  <c r="E27" i="24"/>
  <c r="E41" i="24"/>
  <c r="F76" i="24"/>
  <c r="E87" i="24"/>
  <c r="H76" i="28"/>
  <c r="M41" i="24"/>
  <c r="N70" i="24"/>
  <c r="M69" i="24"/>
  <c r="N69" i="24" s="1"/>
  <c r="N42" i="24"/>
  <c r="H41" i="24"/>
  <c r="H87" i="24"/>
  <c r="M55" i="24"/>
  <c r="H122" i="24"/>
  <c r="H101" i="24"/>
  <c r="F108" i="24"/>
  <c r="E55" i="24"/>
  <c r="E101" i="24"/>
  <c r="N57" i="24"/>
  <c r="H48" i="24"/>
  <c r="N45" i="24"/>
  <c r="M27" i="24"/>
  <c r="M48" i="24"/>
  <c r="N49" i="24"/>
  <c r="E122" i="24"/>
  <c r="N56" i="24"/>
  <c r="H55" i="24"/>
  <c r="E48" i="24"/>
  <c r="N21" i="24"/>
  <c r="M20" i="24"/>
  <c r="N20" i="24" s="1"/>
  <c r="N28" i="24"/>
  <c r="H27" i="24"/>
  <c r="N15" i="24"/>
  <c r="M62" i="24"/>
  <c r="N62" i="24" s="1"/>
  <c r="N63" i="24"/>
  <c r="D76" i="24"/>
  <c r="D124" i="24" s="1"/>
  <c r="E13" i="24"/>
  <c r="K62" i="24"/>
  <c r="K69" i="24"/>
  <c r="K20" i="24"/>
  <c r="K112" i="24"/>
  <c r="K80" i="24"/>
  <c r="K117" i="24"/>
  <c r="N27" i="24" l="1"/>
  <c r="E124" i="28"/>
  <c r="E108" i="24"/>
  <c r="K48" i="24"/>
  <c r="H124" i="28"/>
  <c r="H108" i="24"/>
  <c r="F124" i="24"/>
  <c r="E76" i="24"/>
  <c r="E124" i="24" s="1"/>
  <c r="N41" i="24"/>
  <c r="K87" i="24"/>
  <c r="K122" i="24"/>
  <c r="K101" i="24"/>
  <c r="H76" i="24"/>
  <c r="N48" i="24"/>
  <c r="K41" i="24"/>
  <c r="K27" i="24"/>
  <c r="N55" i="24"/>
  <c r="K55" i="24"/>
  <c r="H124" i="24" l="1"/>
  <c r="K108" i="24"/>
  <c r="N14" i="24" l="1"/>
  <c r="M13" i="24"/>
  <c r="K13" i="24"/>
  <c r="K76" i="24" s="1"/>
  <c r="K124" i="24" s="1"/>
  <c r="M76" i="24" l="1"/>
  <c r="N76" i="24" s="1"/>
  <c r="N13" i="24"/>
  <c r="C39" i="19" l="1"/>
  <c r="C38" i="19"/>
  <c r="C37" i="19"/>
  <c r="C36" i="19"/>
  <c r="C35" i="19"/>
  <c r="C34" i="19"/>
  <c r="C33" i="19"/>
  <c r="C32" i="19"/>
  <c r="C31" i="19"/>
  <c r="C30" i="19"/>
  <c r="C29" i="19"/>
  <c r="C28" i="19"/>
  <c r="C27" i="19"/>
  <c r="C26" i="19"/>
  <c r="C25" i="19"/>
  <c r="C24" i="19"/>
  <c r="C23" i="19"/>
  <c r="C22" i="19"/>
  <c r="C21" i="19"/>
  <c r="C20" i="19"/>
  <c r="G117" i="16" l="1"/>
  <c r="G112" i="16"/>
  <c r="G101" i="16"/>
  <c r="G87" i="16"/>
  <c r="G80" i="16"/>
  <c r="G69" i="16"/>
  <c r="G62" i="16"/>
  <c r="G20" i="16"/>
  <c r="D117" i="16"/>
  <c r="D112" i="16"/>
  <c r="D101" i="16"/>
  <c r="D80" i="16"/>
  <c r="D69" i="16"/>
  <c r="D62" i="16"/>
  <c r="D20" i="16"/>
  <c r="C39" i="15"/>
  <c r="C38" i="15"/>
  <c r="C37" i="15"/>
  <c r="C36" i="15"/>
  <c r="C35" i="15"/>
  <c r="C34" i="15"/>
  <c r="C33" i="15"/>
  <c r="C32" i="15"/>
  <c r="C31" i="15"/>
  <c r="C30" i="15"/>
  <c r="C29" i="15"/>
  <c r="C28" i="15"/>
  <c r="C27" i="15"/>
  <c r="C26" i="15"/>
  <c r="C25" i="15"/>
  <c r="C24" i="15"/>
  <c r="C23" i="15"/>
  <c r="C22" i="15"/>
  <c r="C21" i="15"/>
  <c r="C20" i="15"/>
  <c r="D55" i="16" l="1"/>
  <c r="D87" i="16"/>
  <c r="D27" i="16"/>
  <c r="G108" i="16"/>
  <c r="D48" i="16"/>
  <c r="G122" i="16"/>
  <c r="D108" i="16"/>
  <c r="G13" i="16"/>
  <c r="G41" i="16"/>
  <c r="E15" i="16"/>
  <c r="H15" i="16"/>
  <c r="E43" i="16"/>
  <c r="H43" i="16"/>
  <c r="E70" i="16"/>
  <c r="E69" i="16" s="1"/>
  <c r="H70" i="16"/>
  <c r="F69" i="16"/>
  <c r="E16" i="16"/>
  <c r="H16" i="16"/>
  <c r="E44" i="16"/>
  <c r="H44" i="16"/>
  <c r="E81" i="16"/>
  <c r="E80" i="16" s="1"/>
  <c r="F80" i="16"/>
  <c r="H81" i="16"/>
  <c r="H80" i="16" s="1"/>
  <c r="E21" i="16"/>
  <c r="E20" i="16" s="1"/>
  <c r="H21" i="16"/>
  <c r="H20" i="16" s="1"/>
  <c r="F20" i="16"/>
  <c r="E45" i="16"/>
  <c r="H45" i="16"/>
  <c r="E88" i="16"/>
  <c r="H88" i="16"/>
  <c r="F87" i="16"/>
  <c r="H28" i="16"/>
  <c r="F27" i="16"/>
  <c r="E28" i="16"/>
  <c r="H49" i="16"/>
  <c r="F48" i="16"/>
  <c r="E49" i="16"/>
  <c r="H89" i="16"/>
  <c r="E89" i="16"/>
  <c r="E29" i="16"/>
  <c r="H29" i="16"/>
  <c r="E50" i="16"/>
  <c r="H50" i="16"/>
  <c r="F101" i="16"/>
  <c r="E102" i="16"/>
  <c r="H102" i="16"/>
  <c r="G27" i="16"/>
  <c r="G48" i="16"/>
  <c r="D122" i="16"/>
  <c r="E30" i="16"/>
  <c r="H30" i="16"/>
  <c r="E56" i="16"/>
  <c r="H56" i="16"/>
  <c r="F55" i="16"/>
  <c r="E103" i="16"/>
  <c r="H103" i="16"/>
  <c r="D13" i="16"/>
  <c r="D41" i="16"/>
  <c r="E31" i="16"/>
  <c r="H31" i="16"/>
  <c r="E57" i="16"/>
  <c r="H57" i="16"/>
  <c r="E113" i="16"/>
  <c r="E112" i="16" s="1"/>
  <c r="H113" i="16"/>
  <c r="H112" i="16" s="1"/>
  <c r="F112" i="16"/>
  <c r="G55" i="16"/>
  <c r="H14" i="16"/>
  <c r="F13" i="16"/>
  <c r="E14" i="16"/>
  <c r="E42" i="16"/>
  <c r="H42" i="16"/>
  <c r="F41" i="16"/>
  <c r="E63" i="16"/>
  <c r="E62" i="16" s="1"/>
  <c r="H63" i="16"/>
  <c r="F62" i="16"/>
  <c r="E118" i="16"/>
  <c r="E117" i="16" s="1"/>
  <c r="H118" i="16"/>
  <c r="H117" i="16" s="1"/>
  <c r="F117" i="16"/>
  <c r="G118" i="2"/>
  <c r="G113" i="2"/>
  <c r="G103" i="2"/>
  <c r="G102" i="2"/>
  <c r="G89" i="2"/>
  <c r="G88" i="2"/>
  <c r="G81" i="2"/>
  <c r="G70" i="2"/>
  <c r="G57" i="2"/>
  <c r="G56" i="2"/>
  <c r="G50" i="2"/>
  <c r="G49" i="2"/>
  <c r="G45" i="2"/>
  <c r="G44" i="2"/>
  <c r="G43" i="2"/>
  <c r="G31" i="2"/>
  <c r="G30" i="2"/>
  <c r="G29" i="2"/>
  <c r="G28" i="2"/>
  <c r="G21" i="2"/>
  <c r="G16" i="2"/>
  <c r="G15" i="2"/>
  <c r="G14" i="2"/>
  <c r="F118" i="2"/>
  <c r="F113" i="2"/>
  <c r="F103" i="2"/>
  <c r="F102" i="2"/>
  <c r="F89" i="2"/>
  <c r="F88" i="2"/>
  <c r="F81" i="2"/>
  <c r="F70" i="2"/>
  <c r="F63" i="2"/>
  <c r="F57" i="2"/>
  <c r="F56" i="2"/>
  <c r="F50" i="2"/>
  <c r="F49" i="2"/>
  <c r="F45" i="2"/>
  <c r="F44" i="2"/>
  <c r="F43" i="2"/>
  <c r="F42" i="2"/>
  <c r="F31" i="2"/>
  <c r="F30" i="2"/>
  <c r="F29" i="2"/>
  <c r="F28" i="2"/>
  <c r="F21" i="2"/>
  <c r="F16" i="2"/>
  <c r="F15" i="2"/>
  <c r="F14" i="2"/>
  <c r="D103" i="2"/>
  <c r="D102" i="2"/>
  <c r="D89" i="2"/>
  <c r="D88" i="2"/>
  <c r="D81" i="2"/>
  <c r="D70" i="2"/>
  <c r="D57" i="2"/>
  <c r="D56" i="2"/>
  <c r="D50" i="2"/>
  <c r="D49" i="2"/>
  <c r="D45" i="2"/>
  <c r="D44" i="2"/>
  <c r="D43" i="2"/>
  <c r="D31" i="2"/>
  <c r="D30" i="2"/>
  <c r="D29" i="2"/>
  <c r="D28" i="2"/>
  <c r="D21" i="2"/>
  <c r="D16" i="2"/>
  <c r="D15" i="2"/>
  <c r="D14" i="2"/>
  <c r="C39" i="11"/>
  <c r="C38" i="11"/>
  <c r="C37" i="11"/>
  <c r="C36" i="11"/>
  <c r="C35" i="11"/>
  <c r="C34" i="11"/>
  <c r="C33" i="11"/>
  <c r="C32" i="11"/>
  <c r="C31" i="11"/>
  <c r="C30" i="11"/>
  <c r="C29" i="11"/>
  <c r="C28" i="11"/>
  <c r="C27" i="11"/>
  <c r="C26" i="11"/>
  <c r="C25" i="11"/>
  <c r="C24" i="11"/>
  <c r="C23" i="11"/>
  <c r="C22" i="11"/>
  <c r="C21" i="11"/>
  <c r="C20" i="11"/>
  <c r="H13" i="16" l="1"/>
  <c r="E41" i="16"/>
  <c r="E13" i="16"/>
  <c r="E48" i="16"/>
  <c r="H122" i="16"/>
  <c r="H41" i="16"/>
  <c r="E122" i="16"/>
  <c r="H27" i="16"/>
  <c r="G76" i="16"/>
  <c r="G124" i="16" s="1"/>
  <c r="D41" i="12"/>
  <c r="D41" i="2" s="1"/>
  <c r="D42" i="2"/>
  <c r="D62" i="12"/>
  <c r="D62" i="2" s="1"/>
  <c r="D63" i="2"/>
  <c r="D117" i="12"/>
  <c r="D117" i="2" s="1"/>
  <c r="D118" i="2"/>
  <c r="G41" i="12"/>
  <c r="G41" i="2" s="1"/>
  <c r="G42" i="2"/>
  <c r="G62" i="12"/>
  <c r="G62" i="2" s="1"/>
  <c r="G63" i="2"/>
  <c r="H101" i="16"/>
  <c r="H87" i="16"/>
  <c r="F108" i="16"/>
  <c r="H69" i="16"/>
  <c r="H55" i="16"/>
  <c r="E101" i="16"/>
  <c r="E87" i="16"/>
  <c r="F76" i="16"/>
  <c r="E55" i="16"/>
  <c r="H48" i="16"/>
  <c r="H62" i="16"/>
  <c r="E27" i="16"/>
  <c r="D112" i="12"/>
  <c r="D113" i="2"/>
  <c r="F122" i="16"/>
  <c r="D76" i="16"/>
  <c r="D124" i="16" s="1"/>
  <c r="D80" i="12"/>
  <c r="D80" i="2" s="1"/>
  <c r="E15" i="12"/>
  <c r="E15" i="2" s="1"/>
  <c r="H15" i="12"/>
  <c r="H15" i="2" s="1"/>
  <c r="E43" i="12"/>
  <c r="E43" i="2" s="1"/>
  <c r="H43" i="12"/>
  <c r="H43" i="2" s="1"/>
  <c r="F69" i="12"/>
  <c r="F69" i="2" s="1"/>
  <c r="H70" i="12"/>
  <c r="E70" i="12"/>
  <c r="G13" i="12"/>
  <c r="G13" i="2" s="1"/>
  <c r="G117" i="12"/>
  <c r="G117" i="2" s="1"/>
  <c r="D20" i="12"/>
  <c r="D20" i="2" s="1"/>
  <c r="D87" i="12"/>
  <c r="D87" i="2" s="1"/>
  <c r="E16" i="12"/>
  <c r="E16" i="2" s="1"/>
  <c r="H16" i="12"/>
  <c r="H16" i="2" s="1"/>
  <c r="E44" i="12"/>
  <c r="E44" i="2" s="1"/>
  <c r="H44" i="12"/>
  <c r="H44" i="2" s="1"/>
  <c r="E81" i="12"/>
  <c r="H81" i="12"/>
  <c r="F80" i="12"/>
  <c r="F80" i="2" s="1"/>
  <c r="G69" i="12"/>
  <c r="G69" i="2" s="1"/>
  <c r="D27" i="12"/>
  <c r="D27" i="2" s="1"/>
  <c r="D48" i="12"/>
  <c r="D48" i="2" s="1"/>
  <c r="F20" i="12"/>
  <c r="F20" i="2" s="1"/>
  <c r="E21" i="12"/>
  <c r="H21" i="12"/>
  <c r="E45" i="12"/>
  <c r="E45" i="2" s="1"/>
  <c r="H45" i="12"/>
  <c r="H45" i="2" s="1"/>
  <c r="H88" i="12"/>
  <c r="H88" i="2" s="1"/>
  <c r="N88" i="2" s="1"/>
  <c r="F87" i="12"/>
  <c r="F87" i="2" s="1"/>
  <c r="E88" i="12"/>
  <c r="G80" i="12"/>
  <c r="G80" i="2" s="1"/>
  <c r="D101" i="12"/>
  <c r="D101" i="2" s="1"/>
  <c r="E28" i="12"/>
  <c r="E28" i="2" s="1"/>
  <c r="H28" i="12"/>
  <c r="H28" i="2" s="1"/>
  <c r="F27" i="12"/>
  <c r="F27" i="2" s="1"/>
  <c r="E49" i="12"/>
  <c r="E49" i="2" s="1"/>
  <c r="F48" i="12"/>
  <c r="F48" i="2" s="1"/>
  <c r="H49" i="12"/>
  <c r="E89" i="12"/>
  <c r="E89" i="2" s="1"/>
  <c r="H89" i="12"/>
  <c r="H89" i="2" s="1"/>
  <c r="N89" i="2" s="1"/>
  <c r="G20" i="12"/>
  <c r="G20" i="2" s="1"/>
  <c r="G87" i="12"/>
  <c r="G87" i="2" s="1"/>
  <c r="D55" i="12"/>
  <c r="D55" i="2" s="1"/>
  <c r="E29" i="12"/>
  <c r="E29" i="2" s="1"/>
  <c r="H29" i="12"/>
  <c r="H29" i="2" s="1"/>
  <c r="E50" i="12"/>
  <c r="E50" i="2" s="1"/>
  <c r="H50" i="12"/>
  <c r="H50" i="2" s="1"/>
  <c r="E102" i="12"/>
  <c r="E102" i="2" s="1"/>
  <c r="F101" i="12"/>
  <c r="F101" i="2" s="1"/>
  <c r="H102" i="12"/>
  <c r="H102" i="2" s="1"/>
  <c r="G27" i="12"/>
  <c r="G27" i="2" s="1"/>
  <c r="G48" i="12"/>
  <c r="G48" i="2" s="1"/>
  <c r="H30" i="12"/>
  <c r="H30" i="2" s="1"/>
  <c r="E30" i="12"/>
  <c r="E30" i="2" s="1"/>
  <c r="H56" i="12"/>
  <c r="H56" i="2" s="1"/>
  <c r="F55" i="12"/>
  <c r="F55" i="2" s="1"/>
  <c r="E56" i="12"/>
  <c r="H103" i="12"/>
  <c r="H103" i="2" s="1"/>
  <c r="E103" i="12"/>
  <c r="E103" i="2" s="1"/>
  <c r="G101" i="12"/>
  <c r="G101" i="2" s="1"/>
  <c r="D13" i="12"/>
  <c r="H31" i="12"/>
  <c r="H31" i="2" s="1"/>
  <c r="E31" i="12"/>
  <c r="E31" i="2" s="1"/>
  <c r="H57" i="12"/>
  <c r="H57" i="2" s="1"/>
  <c r="E57" i="12"/>
  <c r="E57" i="2" s="1"/>
  <c r="H113" i="12"/>
  <c r="E113" i="12"/>
  <c r="F112" i="12"/>
  <c r="F112" i="2" s="1"/>
  <c r="G55" i="12"/>
  <c r="G55" i="2" s="1"/>
  <c r="D69" i="12"/>
  <c r="D69" i="2" s="1"/>
  <c r="F13" i="12"/>
  <c r="E14" i="12"/>
  <c r="H14" i="12"/>
  <c r="F41" i="12"/>
  <c r="F41" i="2" s="1"/>
  <c r="E42" i="12"/>
  <c r="H42" i="12"/>
  <c r="F62" i="12"/>
  <c r="F62" i="2" s="1"/>
  <c r="E63" i="12"/>
  <c r="H63" i="12"/>
  <c r="F117" i="12"/>
  <c r="F117" i="2" s="1"/>
  <c r="E118" i="12"/>
  <c r="H118" i="12"/>
  <c r="G112" i="12"/>
  <c r="H108" i="16" l="1"/>
  <c r="E76" i="16"/>
  <c r="D76" i="12"/>
  <c r="D76" i="2" s="1"/>
  <c r="N16" i="12"/>
  <c r="N29" i="12"/>
  <c r="N43" i="12"/>
  <c r="K101" i="12"/>
  <c r="E13" i="12"/>
  <c r="E13" i="2" s="1"/>
  <c r="E14" i="2"/>
  <c r="E20" i="12"/>
  <c r="E20" i="2" s="1"/>
  <c r="E21" i="2"/>
  <c r="E69" i="12"/>
  <c r="E69" i="2" s="1"/>
  <c r="E70" i="2"/>
  <c r="E108" i="16"/>
  <c r="E124" i="16" s="1"/>
  <c r="K117" i="12"/>
  <c r="H62" i="12"/>
  <c r="H62" i="2" s="1"/>
  <c r="H63" i="2"/>
  <c r="F76" i="12"/>
  <c r="F76" i="2" s="1"/>
  <c r="F13" i="2"/>
  <c r="H69" i="12"/>
  <c r="H69" i="2" s="1"/>
  <c r="H70" i="2"/>
  <c r="N30" i="12"/>
  <c r="E62" i="12"/>
  <c r="E62" i="2" s="1"/>
  <c r="E63" i="2"/>
  <c r="H48" i="12"/>
  <c r="H48" i="2" s="1"/>
  <c r="H49" i="2"/>
  <c r="E87" i="12"/>
  <c r="E87" i="2" s="1"/>
  <c r="E88" i="2"/>
  <c r="N44" i="12"/>
  <c r="N31" i="12"/>
  <c r="K62" i="12"/>
  <c r="H41" i="12"/>
  <c r="H41" i="2" s="1"/>
  <c r="H42" i="2"/>
  <c r="D122" i="12"/>
  <c r="D122" i="2" s="1"/>
  <c r="D112" i="2"/>
  <c r="H76" i="16"/>
  <c r="H124" i="16" s="1"/>
  <c r="K20" i="12"/>
  <c r="K112" i="12"/>
  <c r="N57" i="12"/>
  <c r="K80" i="12"/>
  <c r="G122" i="12"/>
  <c r="G122" i="2" s="1"/>
  <c r="G112" i="2"/>
  <c r="E41" i="12"/>
  <c r="E41" i="2" s="1"/>
  <c r="E42" i="2"/>
  <c r="E112" i="12"/>
  <c r="E112" i="2" s="1"/>
  <c r="E113" i="2"/>
  <c r="K69" i="12"/>
  <c r="H117" i="12"/>
  <c r="H117" i="2" s="1"/>
  <c r="N117" i="2" s="1"/>
  <c r="H118" i="2"/>
  <c r="N118" i="2" s="1"/>
  <c r="H112" i="12"/>
  <c r="H113" i="2"/>
  <c r="N113" i="2" s="1"/>
  <c r="H80" i="12"/>
  <c r="H80" i="2" s="1"/>
  <c r="N80" i="2" s="1"/>
  <c r="H81" i="2"/>
  <c r="N81" i="2" s="1"/>
  <c r="N50" i="12"/>
  <c r="N15" i="12"/>
  <c r="K48" i="12"/>
  <c r="E117" i="12"/>
  <c r="E118" i="2"/>
  <c r="H13" i="12"/>
  <c r="H13" i="2" s="1"/>
  <c r="H14" i="2"/>
  <c r="E55" i="12"/>
  <c r="E55" i="2" s="1"/>
  <c r="E56" i="2"/>
  <c r="H20" i="12"/>
  <c r="H20" i="2" s="1"/>
  <c r="H21" i="2"/>
  <c r="E80" i="12"/>
  <c r="E80" i="2" s="1"/>
  <c r="E81" i="2"/>
  <c r="F124" i="16"/>
  <c r="M55" i="12"/>
  <c r="N70" i="12"/>
  <c r="M69" i="12"/>
  <c r="M48" i="12"/>
  <c r="N49" i="12"/>
  <c r="N56" i="12"/>
  <c r="H55" i="12"/>
  <c r="H55" i="2" s="1"/>
  <c r="K87" i="12"/>
  <c r="H101" i="12"/>
  <c r="H101" i="2" s="1"/>
  <c r="N28" i="12"/>
  <c r="H27" i="12"/>
  <c r="H27" i="2" s="1"/>
  <c r="F108" i="12"/>
  <c r="F108" i="2" s="1"/>
  <c r="G76" i="12"/>
  <c r="M20" i="12"/>
  <c r="N21" i="12"/>
  <c r="E27" i="12"/>
  <c r="H87" i="12"/>
  <c r="H87" i="2" s="1"/>
  <c r="N87" i="2" s="1"/>
  <c r="E101" i="12"/>
  <c r="N45" i="12"/>
  <c r="K27" i="12"/>
  <c r="K41" i="12"/>
  <c r="N63" i="12"/>
  <c r="M62" i="12"/>
  <c r="D108" i="12"/>
  <c r="M27" i="12"/>
  <c r="M41" i="12"/>
  <c r="N42" i="12"/>
  <c r="F122" i="12"/>
  <c r="F122" i="2" s="1"/>
  <c r="E48" i="12"/>
  <c r="E48" i="2" s="1"/>
  <c r="G108" i="12"/>
  <c r="G108" i="2" s="1"/>
  <c r="E76" i="12" l="1"/>
  <c r="E76" i="2" s="1"/>
  <c r="E27" i="2"/>
  <c r="K108" i="12"/>
  <c r="H76" i="12"/>
  <c r="H76" i="2" s="1"/>
  <c r="G124" i="12"/>
  <c r="G76" i="2"/>
  <c r="E122" i="12"/>
  <c r="E122" i="2" s="1"/>
  <c r="E117" i="2"/>
  <c r="K122" i="12"/>
  <c r="N41" i="12"/>
  <c r="E108" i="12"/>
  <c r="E108" i="2" s="1"/>
  <c r="E101" i="2"/>
  <c r="N48" i="12"/>
  <c r="H122" i="12"/>
  <c r="H122" i="2" s="1"/>
  <c r="N122" i="2" s="1"/>
  <c r="H112" i="2"/>
  <c r="N112" i="2" s="1"/>
  <c r="N62" i="12"/>
  <c r="N20" i="12"/>
  <c r="H108" i="12"/>
  <c r="H108" i="2" s="1"/>
  <c r="N108" i="2" s="1"/>
  <c r="N69" i="12"/>
  <c r="F124" i="12"/>
  <c r="K55" i="12"/>
  <c r="D124" i="12"/>
  <c r="D108" i="2"/>
  <c r="N55" i="12"/>
  <c r="N27" i="12"/>
  <c r="H124" i="12" l="1"/>
  <c r="G124" i="2"/>
  <c r="D124" i="2"/>
  <c r="H124" i="2"/>
  <c r="E124" i="12"/>
  <c r="F124" i="2"/>
  <c r="E124" i="2" l="1"/>
  <c r="K13" i="12" l="1"/>
  <c r="M13" i="12"/>
  <c r="N14" i="12"/>
  <c r="K76" i="12" l="1"/>
  <c r="N13" i="12"/>
  <c r="M76" i="12"/>
  <c r="K124" i="12" l="1"/>
  <c r="N76" i="12"/>
  <c r="J95" i="2" l="1"/>
  <c r="G95" i="2" l="1"/>
  <c r="F95" i="2"/>
  <c r="D95" i="2"/>
  <c r="K95" i="2" l="1"/>
  <c r="AK120" i="2" l="1"/>
  <c r="T120" i="2"/>
  <c r="AU120" i="2"/>
  <c r="AS120" i="2"/>
  <c r="AR120" i="2"/>
  <c r="AO120" i="2"/>
  <c r="AL120" i="2"/>
  <c r="AK119" i="2"/>
  <c r="T119" i="2"/>
  <c r="AU119" i="2"/>
  <c r="AS119" i="2"/>
  <c r="AR119" i="2"/>
  <c r="AO119" i="2"/>
  <c r="AN119" i="2"/>
  <c r="AL119" i="2"/>
  <c r="AU118" i="2"/>
  <c r="AK118" i="2"/>
  <c r="T118" i="2"/>
  <c r="AR118" i="2"/>
  <c r="AK115" i="2"/>
  <c r="T115" i="2"/>
  <c r="AU115" i="2"/>
  <c r="AS115" i="2"/>
  <c r="AR115" i="2"/>
  <c r="AO115" i="2"/>
  <c r="AL115" i="2"/>
  <c r="AR114" i="2"/>
  <c r="AK114" i="2"/>
  <c r="T114" i="2"/>
  <c r="AS114" i="2"/>
  <c r="AO114" i="2"/>
  <c r="AN114" i="2"/>
  <c r="AL114" i="2"/>
  <c r="AU113" i="2"/>
  <c r="AK113" i="2"/>
  <c r="T113" i="2"/>
  <c r="AR113" i="2"/>
  <c r="AU106" i="2"/>
  <c r="AK106" i="2"/>
  <c r="T106" i="2"/>
  <c r="AS106" i="2"/>
  <c r="AO106" i="2"/>
  <c r="AL106" i="2"/>
  <c r="AU105" i="2"/>
  <c r="AK105" i="2"/>
  <c r="T105" i="2"/>
  <c r="AS105" i="2"/>
  <c r="AR105" i="2"/>
  <c r="AO105" i="2"/>
  <c r="AN105" i="2"/>
  <c r="AL105" i="2"/>
  <c r="AK104" i="2"/>
  <c r="T104" i="2"/>
  <c r="AU104" i="2"/>
  <c r="AS104" i="2"/>
  <c r="AR104" i="2"/>
  <c r="AN104" i="2"/>
  <c r="AL104" i="2"/>
  <c r="AU103" i="2"/>
  <c r="AK103" i="2"/>
  <c r="T103" i="2"/>
  <c r="AK102" i="2"/>
  <c r="T102" i="2"/>
  <c r="AU102" i="2"/>
  <c r="AK99" i="2"/>
  <c r="T99" i="2"/>
  <c r="AU99" i="2"/>
  <c r="AS99" i="2"/>
  <c r="AR99" i="2"/>
  <c r="AO99" i="2"/>
  <c r="AL99" i="2"/>
  <c r="AU98" i="2"/>
  <c r="AK98" i="2"/>
  <c r="T98" i="2"/>
  <c r="AS98" i="2"/>
  <c r="AR98" i="2"/>
  <c r="AO98" i="2"/>
  <c r="AN98" i="2"/>
  <c r="AL98" i="2"/>
  <c r="AU97" i="2"/>
  <c r="AK97" i="2"/>
  <c r="T97" i="2"/>
  <c r="AS97" i="2"/>
  <c r="AR97" i="2"/>
  <c r="AO97" i="2"/>
  <c r="AN97" i="2"/>
  <c r="AL97" i="2"/>
  <c r="AK96" i="2"/>
  <c r="T96" i="2"/>
  <c r="AU96" i="2"/>
  <c r="AS96" i="2"/>
  <c r="AR96" i="2"/>
  <c r="AO96" i="2"/>
  <c r="AL96" i="2"/>
  <c r="AU95" i="2"/>
  <c r="AK95" i="2"/>
  <c r="T95" i="2"/>
  <c r="AK92" i="2"/>
  <c r="T92" i="2"/>
  <c r="AU92" i="2"/>
  <c r="AS92" i="2"/>
  <c r="AR92" i="2"/>
  <c r="AL92" i="2"/>
  <c r="AK91" i="2"/>
  <c r="T91" i="2"/>
  <c r="AS91" i="2"/>
  <c r="AR91" i="2"/>
  <c r="AO91" i="2"/>
  <c r="AN91" i="2"/>
  <c r="AU90" i="2"/>
  <c r="AK90" i="2"/>
  <c r="T90" i="2"/>
  <c r="AS90" i="2"/>
  <c r="AR90" i="2"/>
  <c r="AO90" i="2"/>
  <c r="AL90" i="2"/>
  <c r="AK89" i="2"/>
  <c r="T89" i="2"/>
  <c r="AU89" i="2"/>
  <c r="AK88" i="2"/>
  <c r="T88" i="2"/>
  <c r="AU88" i="2"/>
  <c r="AK85" i="2"/>
  <c r="T85" i="2"/>
  <c r="AU85" i="2"/>
  <c r="AS85" i="2"/>
  <c r="AR85" i="2"/>
  <c r="AO85" i="2"/>
  <c r="AL85" i="2"/>
  <c r="AK84" i="2"/>
  <c r="T84" i="2"/>
  <c r="AS84" i="2"/>
  <c r="AR84" i="2"/>
  <c r="AO84" i="2"/>
  <c r="AN84" i="2"/>
  <c r="AL84" i="2"/>
  <c r="AU83" i="2"/>
  <c r="AK83" i="2"/>
  <c r="T83" i="2"/>
  <c r="AS83" i="2"/>
  <c r="AR83" i="2"/>
  <c r="AO83" i="2"/>
  <c r="AL83" i="2"/>
  <c r="AK82" i="2"/>
  <c r="T82" i="2"/>
  <c r="AU82" i="2"/>
  <c r="AS82" i="2"/>
  <c r="AR82" i="2"/>
  <c r="AO82" i="2"/>
  <c r="AL82" i="2"/>
  <c r="AK81" i="2"/>
  <c r="T81" i="2"/>
  <c r="AK74" i="2"/>
  <c r="T74" i="2"/>
  <c r="AU74" i="2"/>
  <c r="AS74" i="2"/>
  <c r="AR74" i="2"/>
  <c r="AO74" i="2"/>
  <c r="AL74" i="2"/>
  <c r="AK73" i="2"/>
  <c r="T73" i="2"/>
  <c r="AU73" i="2"/>
  <c r="AS73" i="2"/>
  <c r="AR73" i="2"/>
  <c r="AO73" i="2"/>
  <c r="AN73" i="2"/>
  <c r="AL73" i="2"/>
  <c r="AK72" i="2"/>
  <c r="T72" i="2"/>
  <c r="AU72" i="2"/>
  <c r="AS72" i="2"/>
  <c r="AR72" i="2"/>
  <c r="AO72" i="2"/>
  <c r="AL72" i="2"/>
  <c r="AK71" i="2"/>
  <c r="T71" i="2"/>
  <c r="AU71" i="2"/>
  <c r="AS71" i="2"/>
  <c r="AR71" i="2"/>
  <c r="AO71" i="2"/>
  <c r="AL71" i="2"/>
  <c r="AK70" i="2"/>
  <c r="T70" i="2"/>
  <c r="AK67" i="2"/>
  <c r="T67" i="2"/>
  <c r="AU67" i="2"/>
  <c r="AS67" i="2"/>
  <c r="AR67" i="2"/>
  <c r="AL67" i="2"/>
  <c r="AK66" i="2"/>
  <c r="T66" i="2"/>
  <c r="AU66" i="2"/>
  <c r="AS66" i="2"/>
  <c r="AR66" i="2"/>
  <c r="AO66" i="2"/>
  <c r="AN66" i="2"/>
  <c r="AL66" i="2"/>
  <c r="AK65" i="2"/>
  <c r="T65" i="2"/>
  <c r="AU65" i="2"/>
  <c r="AS65" i="2"/>
  <c r="AR65" i="2"/>
  <c r="AO65" i="2"/>
  <c r="AL65" i="2"/>
  <c r="AK64" i="2"/>
  <c r="T64" i="2"/>
  <c r="AK63" i="2"/>
  <c r="T63" i="2"/>
  <c r="AK60" i="2"/>
  <c r="T60" i="2"/>
  <c r="AU60" i="2"/>
  <c r="AS60" i="2"/>
  <c r="AR60" i="2"/>
  <c r="AO60" i="2"/>
  <c r="AL60" i="2"/>
  <c r="AK59" i="2"/>
  <c r="T59" i="2"/>
  <c r="AU59" i="2"/>
  <c r="AS59" i="2"/>
  <c r="AR59" i="2"/>
  <c r="AO59" i="2"/>
  <c r="AN59" i="2"/>
  <c r="AL59" i="2"/>
  <c r="AK58" i="2"/>
  <c r="T58" i="2"/>
  <c r="AU58" i="2"/>
  <c r="AS58" i="2"/>
  <c r="AR58" i="2"/>
  <c r="AO58" i="2"/>
  <c r="AL58" i="2"/>
  <c r="AK57" i="2"/>
  <c r="T57" i="2"/>
  <c r="AK56" i="2"/>
  <c r="T56" i="2"/>
  <c r="AK53" i="2"/>
  <c r="T53" i="2"/>
  <c r="AU53" i="2"/>
  <c r="AS53" i="2"/>
  <c r="AR53" i="2"/>
  <c r="AO53" i="2"/>
  <c r="AL53" i="2"/>
  <c r="AK52" i="2"/>
  <c r="T52" i="2"/>
  <c r="AU52" i="2"/>
  <c r="AS52" i="2"/>
  <c r="AR52" i="2"/>
  <c r="AO52" i="2"/>
  <c r="AN52" i="2"/>
  <c r="AL52" i="2"/>
  <c r="AK51" i="2"/>
  <c r="T51" i="2"/>
  <c r="AU51" i="2"/>
  <c r="AS51" i="2"/>
  <c r="AR51" i="2"/>
  <c r="AO51" i="2"/>
  <c r="AL51" i="2"/>
  <c r="AK50" i="2"/>
  <c r="T50" i="2"/>
  <c r="AK49" i="2"/>
  <c r="T49" i="2"/>
  <c r="AK46" i="2"/>
  <c r="T46" i="2"/>
  <c r="AO46" i="2"/>
  <c r="AL46" i="2"/>
  <c r="AK45" i="2"/>
  <c r="T45" i="2"/>
  <c r="AO45" i="2"/>
  <c r="AK44" i="2"/>
  <c r="T44" i="2"/>
  <c r="AK43" i="2"/>
  <c r="T43" i="2"/>
  <c r="AK42" i="2"/>
  <c r="T42" i="2"/>
  <c r="AK39" i="2"/>
  <c r="T39" i="2"/>
  <c r="AU39" i="2"/>
  <c r="AS39" i="2"/>
  <c r="AR39" i="2"/>
  <c r="AL39" i="2"/>
  <c r="AK38" i="2"/>
  <c r="T38" i="2"/>
  <c r="AU38" i="2"/>
  <c r="AS38" i="2"/>
  <c r="AR38" i="2"/>
  <c r="AO38" i="2"/>
  <c r="AN38" i="2"/>
  <c r="AL38" i="2"/>
  <c r="AK37" i="2"/>
  <c r="T37" i="2"/>
  <c r="AU37" i="2"/>
  <c r="AS37" i="2"/>
  <c r="AR37" i="2"/>
  <c r="AO37" i="2"/>
  <c r="AL37" i="2"/>
  <c r="AK36" i="2"/>
  <c r="T36" i="2"/>
  <c r="AU36" i="2"/>
  <c r="AS36" i="2"/>
  <c r="AR36" i="2"/>
  <c r="AO36" i="2"/>
  <c r="AL36" i="2"/>
  <c r="AK35" i="2"/>
  <c r="T35" i="2"/>
  <c r="AK32" i="2"/>
  <c r="T32" i="2"/>
  <c r="AU32" i="2"/>
  <c r="AS32" i="2"/>
  <c r="AR32" i="2"/>
  <c r="AO32" i="2"/>
  <c r="AL32" i="2"/>
  <c r="AK31" i="2"/>
  <c r="T31" i="2"/>
  <c r="AK30" i="2"/>
  <c r="T30" i="2"/>
  <c r="AK29" i="2"/>
  <c r="T29" i="2"/>
  <c r="AK28" i="2"/>
  <c r="T28" i="2"/>
  <c r="AK25" i="2"/>
  <c r="T25" i="2"/>
  <c r="AU25" i="2"/>
  <c r="AS25" i="2"/>
  <c r="AR25" i="2"/>
  <c r="AO25" i="2"/>
  <c r="AL25" i="2"/>
  <c r="AK24" i="2"/>
  <c r="T24" i="2"/>
  <c r="N24" i="2"/>
  <c r="AS24" i="2"/>
  <c r="AR24" i="2"/>
  <c r="AO24" i="2"/>
  <c r="AN24" i="2"/>
  <c r="AL24" i="2"/>
  <c r="AK23" i="2"/>
  <c r="T23" i="2"/>
  <c r="AU23" i="2"/>
  <c r="AS23" i="2"/>
  <c r="AR23" i="2"/>
  <c r="AO23" i="2"/>
  <c r="AL23" i="2"/>
  <c r="AK22" i="2"/>
  <c r="T22" i="2"/>
  <c r="AU22" i="2"/>
  <c r="AS22" i="2"/>
  <c r="AR22" i="2"/>
  <c r="AO22" i="2"/>
  <c r="AL22" i="2"/>
  <c r="AK21" i="2"/>
  <c r="T21" i="2"/>
  <c r="AK18" i="2"/>
  <c r="T18" i="2"/>
  <c r="AU18" i="2"/>
  <c r="AS18" i="2"/>
  <c r="AR18" i="2"/>
  <c r="AO18" i="2"/>
  <c r="AN18" i="2"/>
  <c r="AL18" i="2"/>
  <c r="AK17" i="2"/>
  <c r="T17" i="2"/>
  <c r="AU17" i="2"/>
  <c r="AS17" i="2"/>
  <c r="AR17" i="2"/>
  <c r="AO17" i="2"/>
  <c r="AN17" i="2"/>
  <c r="AL17" i="2"/>
  <c r="AK16" i="2"/>
  <c r="T16" i="2"/>
  <c r="AK15" i="2"/>
  <c r="T15" i="2"/>
  <c r="AK124" i="2"/>
  <c r="AU123" i="2"/>
  <c r="AS123" i="2"/>
  <c r="AR123" i="2"/>
  <c r="AP123" i="2"/>
  <c r="AO123" i="2"/>
  <c r="AN123" i="2"/>
  <c r="AM123" i="2"/>
  <c r="AL123" i="2"/>
  <c r="AU122" i="2"/>
  <c r="AR122" i="2"/>
  <c r="AK122" i="2"/>
  <c r="AU121" i="2"/>
  <c r="AS121" i="2"/>
  <c r="AR121" i="2"/>
  <c r="AP121" i="2"/>
  <c r="AO121" i="2"/>
  <c r="AN121" i="2"/>
  <c r="AM121" i="2"/>
  <c r="AL121" i="2"/>
  <c r="AK121" i="2"/>
  <c r="AU117" i="2"/>
  <c r="AR117" i="2"/>
  <c r="AK117" i="2"/>
  <c r="T117" i="2"/>
  <c r="AU116" i="2"/>
  <c r="AS116" i="2"/>
  <c r="AR116" i="2"/>
  <c r="AP116" i="2"/>
  <c r="AO116" i="2"/>
  <c r="AN116" i="2"/>
  <c r="AM116" i="2"/>
  <c r="AL116" i="2"/>
  <c r="AK116" i="2"/>
  <c r="AU112" i="2"/>
  <c r="AR112" i="2"/>
  <c r="AK112" i="2"/>
  <c r="T112" i="2"/>
  <c r="AU111" i="2"/>
  <c r="AS111" i="2"/>
  <c r="AR111" i="2"/>
  <c r="AP111" i="2"/>
  <c r="AO111" i="2"/>
  <c r="AN111" i="2"/>
  <c r="AM111" i="2"/>
  <c r="AL111" i="2"/>
  <c r="AK111" i="2"/>
  <c r="AU110" i="2"/>
  <c r="AS110" i="2"/>
  <c r="AR110" i="2"/>
  <c r="AP110" i="2"/>
  <c r="AO110" i="2"/>
  <c r="AN110" i="2"/>
  <c r="AM110" i="2"/>
  <c r="AL110" i="2"/>
  <c r="AK110" i="2"/>
  <c r="AU109" i="2"/>
  <c r="AS109" i="2"/>
  <c r="AR109" i="2"/>
  <c r="AP109" i="2"/>
  <c r="AO109" i="2"/>
  <c r="AN109" i="2"/>
  <c r="AM109" i="2"/>
  <c r="AL109" i="2"/>
  <c r="AU108" i="2"/>
  <c r="AK108" i="2"/>
  <c r="AU107" i="2"/>
  <c r="AS107" i="2"/>
  <c r="AR107" i="2"/>
  <c r="AP107" i="2"/>
  <c r="AO107" i="2"/>
  <c r="AN107" i="2"/>
  <c r="AM107" i="2"/>
  <c r="AL107" i="2"/>
  <c r="AK107" i="2"/>
  <c r="AU101" i="2"/>
  <c r="AK101" i="2"/>
  <c r="T101" i="2"/>
  <c r="AU100" i="2"/>
  <c r="AS100" i="2"/>
  <c r="AR100" i="2"/>
  <c r="AP100" i="2"/>
  <c r="AO100" i="2"/>
  <c r="AN100" i="2"/>
  <c r="AM100" i="2"/>
  <c r="AL100" i="2"/>
  <c r="AK100" i="2"/>
  <c r="AU94" i="2"/>
  <c r="AS94" i="2"/>
  <c r="AR94" i="2"/>
  <c r="AP94" i="2"/>
  <c r="AO94" i="2"/>
  <c r="AN94" i="2"/>
  <c r="AL94" i="2"/>
  <c r="AK94" i="2"/>
  <c r="T94" i="2"/>
  <c r="AU93" i="2"/>
  <c r="AS93" i="2"/>
  <c r="AR93" i="2"/>
  <c r="AP93" i="2"/>
  <c r="AO93" i="2"/>
  <c r="AN93" i="2"/>
  <c r="AM93" i="2"/>
  <c r="AL93" i="2"/>
  <c r="AK93" i="2"/>
  <c r="AU87" i="2"/>
  <c r="AK87" i="2"/>
  <c r="T87" i="2"/>
  <c r="AU86" i="2"/>
  <c r="AS86" i="2"/>
  <c r="AR86" i="2"/>
  <c r="AP86" i="2"/>
  <c r="AO86" i="2"/>
  <c r="AN86" i="2"/>
  <c r="AM86" i="2"/>
  <c r="AL86" i="2"/>
  <c r="AK86" i="2"/>
  <c r="AU80" i="2"/>
  <c r="AK80" i="2"/>
  <c r="T80" i="2"/>
  <c r="AU79" i="2"/>
  <c r="AS79" i="2"/>
  <c r="AR79" i="2"/>
  <c r="AP79" i="2"/>
  <c r="AO79" i="2"/>
  <c r="AN79" i="2"/>
  <c r="AM79" i="2"/>
  <c r="AL79" i="2"/>
  <c r="AK79" i="2"/>
  <c r="AU78" i="2"/>
  <c r="AS78" i="2"/>
  <c r="AR78" i="2"/>
  <c r="AP78" i="2"/>
  <c r="AO78" i="2"/>
  <c r="AN78" i="2"/>
  <c r="AM78" i="2"/>
  <c r="AL78" i="2"/>
  <c r="AK78" i="2"/>
  <c r="AU77" i="2"/>
  <c r="AS77" i="2"/>
  <c r="AR77" i="2"/>
  <c r="AP77" i="2"/>
  <c r="AO77" i="2"/>
  <c r="AN77" i="2"/>
  <c r="AM77" i="2"/>
  <c r="AL77" i="2"/>
  <c r="AK76" i="2"/>
  <c r="AU75" i="2"/>
  <c r="AS75" i="2"/>
  <c r="AR75" i="2"/>
  <c r="AP75" i="2"/>
  <c r="AO75" i="2"/>
  <c r="AN75" i="2"/>
  <c r="AM75" i="2"/>
  <c r="AL75" i="2"/>
  <c r="AK75" i="2"/>
  <c r="AK69" i="2"/>
  <c r="T69" i="2"/>
  <c r="AU68" i="2"/>
  <c r="AS68" i="2"/>
  <c r="AR68" i="2"/>
  <c r="AP68" i="2"/>
  <c r="AO68" i="2"/>
  <c r="AN68" i="2"/>
  <c r="AM68" i="2"/>
  <c r="AL68" i="2"/>
  <c r="AK68" i="2"/>
  <c r="AK62" i="2"/>
  <c r="T62" i="2"/>
  <c r="AU61" i="2"/>
  <c r="AS61" i="2"/>
  <c r="AR61" i="2"/>
  <c r="AP61" i="2"/>
  <c r="AO61" i="2"/>
  <c r="AN61" i="2"/>
  <c r="AM61" i="2"/>
  <c r="AL61" i="2"/>
  <c r="AK61" i="2"/>
  <c r="AK55" i="2"/>
  <c r="T55" i="2"/>
  <c r="AU54" i="2"/>
  <c r="AS54" i="2"/>
  <c r="AR54" i="2"/>
  <c r="AP54" i="2"/>
  <c r="AO54" i="2"/>
  <c r="AN54" i="2"/>
  <c r="AM54" i="2"/>
  <c r="AL54" i="2"/>
  <c r="AK54" i="2"/>
  <c r="AK48" i="2"/>
  <c r="T48" i="2"/>
  <c r="AU47" i="2"/>
  <c r="AS47" i="2"/>
  <c r="AR47" i="2"/>
  <c r="AP47" i="2"/>
  <c r="AO47" i="2"/>
  <c r="AN47" i="2"/>
  <c r="AM47" i="2"/>
  <c r="AL47" i="2"/>
  <c r="AK47" i="2"/>
  <c r="AK41" i="2"/>
  <c r="T41" i="2"/>
  <c r="AU40" i="2"/>
  <c r="AS40" i="2"/>
  <c r="AR40" i="2"/>
  <c r="AP40" i="2"/>
  <c r="AO40" i="2"/>
  <c r="AN40" i="2"/>
  <c r="AM40" i="2"/>
  <c r="AL40" i="2"/>
  <c r="AK40" i="2"/>
  <c r="AK34" i="2"/>
  <c r="T34" i="2"/>
  <c r="AU33" i="2"/>
  <c r="AS33" i="2"/>
  <c r="AR33" i="2"/>
  <c r="AP33" i="2"/>
  <c r="AO33" i="2"/>
  <c r="AN33" i="2"/>
  <c r="AM33" i="2"/>
  <c r="AL33" i="2"/>
  <c r="AK33" i="2"/>
  <c r="AK27" i="2"/>
  <c r="T27" i="2"/>
  <c r="AU26" i="2"/>
  <c r="AS26" i="2"/>
  <c r="AR26" i="2"/>
  <c r="AP26" i="2"/>
  <c r="AO26" i="2"/>
  <c r="AN26" i="2"/>
  <c r="AM26" i="2"/>
  <c r="AL26" i="2"/>
  <c r="AK26" i="2"/>
  <c r="AK20" i="2"/>
  <c r="T20" i="2"/>
  <c r="AU19" i="2"/>
  <c r="AS19" i="2"/>
  <c r="AR19" i="2"/>
  <c r="AP19" i="2"/>
  <c r="AO19" i="2"/>
  <c r="AN19" i="2"/>
  <c r="AM19" i="2"/>
  <c r="AL19" i="2"/>
  <c r="AK19" i="2"/>
  <c r="AN35" i="2" l="1"/>
  <c r="AN106" i="2"/>
  <c r="AM120" i="2"/>
  <c r="N17" i="2"/>
  <c r="AM46" i="2"/>
  <c r="N36" i="2"/>
  <c r="N72" i="2"/>
  <c r="AN22" i="2"/>
  <c r="AN82" i="2"/>
  <c r="AU24" i="2"/>
  <c r="N52" i="2"/>
  <c r="AN115" i="2"/>
  <c r="AN36" i="2"/>
  <c r="N51" i="2"/>
  <c r="AN25" i="2"/>
  <c r="AN46" i="2"/>
  <c r="AN92" i="2"/>
  <c r="AN99" i="2"/>
  <c r="N23" i="2"/>
  <c r="N22" i="2"/>
  <c r="N37" i="2"/>
  <c r="N58" i="2"/>
  <c r="AN53" i="2"/>
  <c r="AN71" i="2"/>
  <c r="AN45" i="2"/>
  <c r="N65" i="2"/>
  <c r="AN85" i="2"/>
  <c r="AN120" i="2"/>
  <c r="AP120" i="2"/>
  <c r="AU114" i="2"/>
  <c r="AM119" i="2"/>
  <c r="AP119" i="2"/>
  <c r="AO104" i="2"/>
  <c r="AR106" i="2"/>
  <c r="AN96" i="2"/>
  <c r="AO92" i="2"/>
  <c r="AN90" i="2"/>
  <c r="AU91" i="2"/>
  <c r="AL91" i="2"/>
  <c r="AU81" i="2"/>
  <c r="AN83" i="2"/>
  <c r="AU84" i="2"/>
  <c r="N73" i="2"/>
  <c r="AN74" i="2"/>
  <c r="N71" i="2"/>
  <c r="AN72" i="2"/>
  <c r="N74" i="2"/>
  <c r="N66" i="2"/>
  <c r="AN67" i="2"/>
  <c r="AO67" i="2"/>
  <c r="AN65" i="2"/>
  <c r="N67" i="2"/>
  <c r="N59" i="2"/>
  <c r="AN60" i="2"/>
  <c r="AN58" i="2"/>
  <c r="N60" i="2"/>
  <c r="AN51" i="2"/>
  <c r="N53" i="2"/>
  <c r="AP46" i="2"/>
  <c r="AL45" i="2"/>
  <c r="N38" i="2"/>
  <c r="AN39" i="2"/>
  <c r="AO39" i="2"/>
  <c r="AN37" i="2"/>
  <c r="N39" i="2"/>
  <c r="AN32" i="2"/>
  <c r="N32" i="2"/>
  <c r="AN23" i="2"/>
  <c r="N25" i="2"/>
  <c r="N18" i="2"/>
  <c r="T119" i="16"/>
  <c r="T118" i="16"/>
  <c r="T117" i="16"/>
  <c r="T114" i="16"/>
  <c r="T113" i="16"/>
  <c r="T112" i="16"/>
  <c r="T119" i="20"/>
  <c r="T118" i="20"/>
  <c r="T117" i="20"/>
  <c r="T114" i="20"/>
  <c r="T113" i="20"/>
  <c r="T112" i="20"/>
  <c r="T119" i="24"/>
  <c r="T118" i="24"/>
  <c r="T117" i="24"/>
  <c r="T114" i="24"/>
  <c r="T113" i="24"/>
  <c r="T112" i="24"/>
  <c r="T119" i="28"/>
  <c r="T118" i="28"/>
  <c r="T117" i="28"/>
  <c r="T114" i="28"/>
  <c r="T113" i="28"/>
  <c r="T112" i="28"/>
  <c r="T119" i="32"/>
  <c r="T118" i="32"/>
  <c r="T117" i="32"/>
  <c r="T114" i="32"/>
  <c r="T113" i="32"/>
  <c r="T112" i="32"/>
  <c r="T119" i="36"/>
  <c r="T118" i="36"/>
  <c r="T117" i="36"/>
  <c r="T114" i="36"/>
  <c r="T113" i="36"/>
  <c r="T112" i="36"/>
  <c r="T119" i="40"/>
  <c r="T118" i="40"/>
  <c r="T117" i="40"/>
  <c r="T114" i="40"/>
  <c r="T113" i="40"/>
  <c r="T112" i="40"/>
  <c r="T119" i="44"/>
  <c r="T118" i="44"/>
  <c r="T117" i="44"/>
  <c r="T114" i="44"/>
  <c r="T113" i="44"/>
  <c r="T112" i="44"/>
  <c r="T119" i="12"/>
  <c r="T118" i="12"/>
  <c r="T117" i="12"/>
  <c r="T114" i="12"/>
  <c r="T113" i="12"/>
  <c r="T112" i="12"/>
  <c r="T106" i="16"/>
  <c r="T105" i="16"/>
  <c r="T104" i="16"/>
  <c r="T103" i="16"/>
  <c r="T102" i="16"/>
  <c r="T101" i="16"/>
  <c r="T99" i="16"/>
  <c r="T98" i="16"/>
  <c r="T97" i="16"/>
  <c r="T96" i="16"/>
  <c r="T95" i="16"/>
  <c r="T94" i="16"/>
  <c r="T92" i="16"/>
  <c r="T91" i="16"/>
  <c r="T90" i="16"/>
  <c r="T89" i="16"/>
  <c r="T88" i="16"/>
  <c r="T87" i="16"/>
  <c r="T85" i="16"/>
  <c r="T84" i="16"/>
  <c r="T83" i="16"/>
  <c r="T82" i="16"/>
  <c r="T81" i="16"/>
  <c r="T80" i="16"/>
  <c r="T106" i="20"/>
  <c r="T105" i="20"/>
  <c r="T104" i="20"/>
  <c r="T103" i="20"/>
  <c r="T102" i="20"/>
  <c r="T101" i="20"/>
  <c r="T99" i="20"/>
  <c r="T98" i="20"/>
  <c r="T97" i="20"/>
  <c r="T96" i="20"/>
  <c r="T95" i="20"/>
  <c r="T94" i="20"/>
  <c r="T92" i="20"/>
  <c r="T91" i="20"/>
  <c r="T90" i="20"/>
  <c r="T89" i="20"/>
  <c r="T88" i="20"/>
  <c r="T87" i="20"/>
  <c r="T85" i="20"/>
  <c r="T84" i="20"/>
  <c r="T83" i="20"/>
  <c r="T82" i="20"/>
  <c r="T81" i="20"/>
  <c r="T80" i="20"/>
  <c r="T106" i="24"/>
  <c r="T105" i="24"/>
  <c r="T104" i="24"/>
  <c r="T103" i="24"/>
  <c r="T102" i="24"/>
  <c r="T101" i="24"/>
  <c r="T99" i="24"/>
  <c r="T98" i="24"/>
  <c r="T97" i="24"/>
  <c r="T96" i="24"/>
  <c r="T95" i="24"/>
  <c r="T94" i="24"/>
  <c r="T92" i="24"/>
  <c r="T91" i="24"/>
  <c r="T90" i="24"/>
  <c r="T89" i="24"/>
  <c r="T88" i="24"/>
  <c r="T87" i="24"/>
  <c r="T85" i="24"/>
  <c r="T84" i="24"/>
  <c r="T83" i="24"/>
  <c r="T82" i="24"/>
  <c r="T81" i="24"/>
  <c r="T80" i="24"/>
  <c r="T106" i="28"/>
  <c r="T105" i="28"/>
  <c r="T104" i="28"/>
  <c r="T103" i="28"/>
  <c r="T102" i="28"/>
  <c r="T101" i="28"/>
  <c r="T99" i="28"/>
  <c r="T98" i="28"/>
  <c r="T97" i="28"/>
  <c r="T96" i="28"/>
  <c r="T95" i="28"/>
  <c r="T94" i="28"/>
  <c r="T92" i="28"/>
  <c r="T91" i="28"/>
  <c r="T90" i="28"/>
  <c r="T89" i="28"/>
  <c r="T88" i="28"/>
  <c r="T87" i="28"/>
  <c r="T85" i="28"/>
  <c r="T84" i="28"/>
  <c r="T83" i="28"/>
  <c r="T82" i="28"/>
  <c r="T81" i="28"/>
  <c r="T80" i="28"/>
  <c r="T106" i="32"/>
  <c r="T105" i="32"/>
  <c r="T104" i="32"/>
  <c r="T103" i="32"/>
  <c r="T102" i="32"/>
  <c r="T101" i="32"/>
  <c r="T99" i="32"/>
  <c r="T98" i="32"/>
  <c r="T97" i="32"/>
  <c r="T96" i="32"/>
  <c r="T95" i="32"/>
  <c r="T94" i="32"/>
  <c r="T92" i="32"/>
  <c r="T91" i="32"/>
  <c r="T90" i="32"/>
  <c r="T89" i="32"/>
  <c r="T88" i="32"/>
  <c r="T87" i="32"/>
  <c r="T85" i="32"/>
  <c r="T84" i="32"/>
  <c r="T83" i="32"/>
  <c r="T82" i="32"/>
  <c r="T81" i="32"/>
  <c r="T80" i="32"/>
  <c r="T106" i="36"/>
  <c r="T105" i="36"/>
  <c r="T104" i="36"/>
  <c r="T103" i="36"/>
  <c r="T102" i="36"/>
  <c r="T101" i="36"/>
  <c r="T99" i="36"/>
  <c r="T98" i="36"/>
  <c r="T97" i="36"/>
  <c r="T96" i="36"/>
  <c r="T95" i="36"/>
  <c r="T94" i="36"/>
  <c r="T92" i="36"/>
  <c r="T91" i="36"/>
  <c r="T90" i="36"/>
  <c r="T89" i="36"/>
  <c r="T88" i="36"/>
  <c r="T87" i="36"/>
  <c r="T85" i="36"/>
  <c r="T84" i="36"/>
  <c r="T83" i="36"/>
  <c r="T82" i="36"/>
  <c r="T81" i="36"/>
  <c r="T80" i="36"/>
  <c r="T106" i="40"/>
  <c r="T105" i="40"/>
  <c r="T104" i="40"/>
  <c r="T103" i="40"/>
  <c r="T102" i="40"/>
  <c r="T101" i="40"/>
  <c r="T99" i="40"/>
  <c r="T98" i="40"/>
  <c r="T97" i="40"/>
  <c r="T96" i="40"/>
  <c r="T95" i="40"/>
  <c r="T94" i="40"/>
  <c r="T92" i="40"/>
  <c r="T91" i="40"/>
  <c r="T90" i="40"/>
  <c r="T89" i="40"/>
  <c r="T88" i="40"/>
  <c r="T87" i="40"/>
  <c r="T85" i="40"/>
  <c r="T84" i="40"/>
  <c r="T83" i="40"/>
  <c r="T82" i="40"/>
  <c r="T81" i="40"/>
  <c r="T80" i="40"/>
  <c r="T106" i="44"/>
  <c r="T105" i="44"/>
  <c r="T104" i="44"/>
  <c r="T103" i="44"/>
  <c r="T102" i="44"/>
  <c r="T101" i="44"/>
  <c r="T99" i="44"/>
  <c r="T98" i="44"/>
  <c r="T97" i="44"/>
  <c r="T96" i="44"/>
  <c r="T95" i="44"/>
  <c r="T94" i="44"/>
  <c r="T92" i="44"/>
  <c r="T91" i="44"/>
  <c r="T90" i="44"/>
  <c r="T89" i="44"/>
  <c r="T88" i="44"/>
  <c r="T87" i="44"/>
  <c r="T85" i="44"/>
  <c r="T84" i="44"/>
  <c r="T83" i="44"/>
  <c r="T82" i="44"/>
  <c r="T81" i="44"/>
  <c r="T80" i="44"/>
  <c r="T106" i="12"/>
  <c r="T105" i="12"/>
  <c r="T104" i="12"/>
  <c r="T103" i="12"/>
  <c r="T102" i="12"/>
  <c r="T101" i="12"/>
  <c r="T99" i="12"/>
  <c r="T98" i="12"/>
  <c r="T97" i="12"/>
  <c r="T96" i="12"/>
  <c r="T95" i="12"/>
  <c r="T94" i="12"/>
  <c r="T92" i="12"/>
  <c r="T91" i="12"/>
  <c r="T90" i="12"/>
  <c r="T89" i="12"/>
  <c r="T88" i="12"/>
  <c r="T87" i="12"/>
  <c r="T85" i="12"/>
  <c r="T84" i="12"/>
  <c r="T83" i="12"/>
  <c r="T82" i="12"/>
  <c r="T81" i="12"/>
  <c r="T80" i="12"/>
  <c r="T74" i="16"/>
  <c r="T73" i="16"/>
  <c r="T72" i="16"/>
  <c r="T71" i="16"/>
  <c r="T70" i="16"/>
  <c r="T69" i="16"/>
  <c r="T67" i="16"/>
  <c r="T66" i="16"/>
  <c r="T65" i="16"/>
  <c r="T64" i="16"/>
  <c r="T63" i="16"/>
  <c r="T62" i="16"/>
  <c r="T60" i="16"/>
  <c r="T59" i="16"/>
  <c r="T58" i="16"/>
  <c r="T57" i="16"/>
  <c r="T56" i="16"/>
  <c r="T55" i="16"/>
  <c r="T53" i="16"/>
  <c r="T52" i="16"/>
  <c r="T51" i="16"/>
  <c r="T50" i="16"/>
  <c r="T49" i="16"/>
  <c r="T48" i="16"/>
  <c r="T46" i="16"/>
  <c r="T45" i="16"/>
  <c r="T44" i="16"/>
  <c r="T43" i="16"/>
  <c r="T42" i="16"/>
  <c r="T41" i="16"/>
  <c r="T39" i="16"/>
  <c r="T38" i="16"/>
  <c r="T37" i="16"/>
  <c r="T36" i="16"/>
  <c r="T35" i="16"/>
  <c r="T34" i="16"/>
  <c r="T32" i="16"/>
  <c r="T31" i="16"/>
  <c r="T30" i="16"/>
  <c r="T29" i="16"/>
  <c r="T28" i="16"/>
  <c r="T27" i="16"/>
  <c r="T25" i="16"/>
  <c r="T24" i="16"/>
  <c r="T23" i="16"/>
  <c r="T22" i="16"/>
  <c r="T21" i="16"/>
  <c r="T20" i="16"/>
  <c r="T74" i="20"/>
  <c r="T73" i="20"/>
  <c r="T72" i="20"/>
  <c r="T71" i="20"/>
  <c r="T70" i="20"/>
  <c r="T69" i="20"/>
  <c r="T67" i="20"/>
  <c r="T66" i="20"/>
  <c r="T65" i="20"/>
  <c r="T64" i="20"/>
  <c r="T63" i="20"/>
  <c r="T62" i="20"/>
  <c r="T60" i="20"/>
  <c r="T59" i="20"/>
  <c r="T58" i="20"/>
  <c r="T57" i="20"/>
  <c r="T56" i="20"/>
  <c r="T55" i="20"/>
  <c r="T53" i="20"/>
  <c r="T52" i="20"/>
  <c r="T51" i="20"/>
  <c r="T50" i="20"/>
  <c r="T49" i="20"/>
  <c r="T48" i="20"/>
  <c r="T46" i="20"/>
  <c r="T45" i="20"/>
  <c r="T44" i="20"/>
  <c r="T43" i="20"/>
  <c r="T42" i="20"/>
  <c r="T41" i="20"/>
  <c r="T39" i="20"/>
  <c r="T38" i="20"/>
  <c r="T37" i="20"/>
  <c r="T36" i="20"/>
  <c r="T35" i="20"/>
  <c r="T34" i="20"/>
  <c r="T32" i="20"/>
  <c r="T31" i="20"/>
  <c r="T30" i="20"/>
  <c r="T29" i="20"/>
  <c r="T28" i="20"/>
  <c r="T27" i="20"/>
  <c r="T25" i="20"/>
  <c r="T24" i="20"/>
  <c r="T23" i="20"/>
  <c r="T22" i="20"/>
  <c r="T21" i="20"/>
  <c r="T20" i="20"/>
  <c r="T74" i="24"/>
  <c r="T73" i="24"/>
  <c r="T72" i="24"/>
  <c r="T71" i="24"/>
  <c r="T70" i="24"/>
  <c r="T69" i="24"/>
  <c r="T67" i="24"/>
  <c r="T66" i="24"/>
  <c r="T65" i="24"/>
  <c r="T64" i="24"/>
  <c r="T63" i="24"/>
  <c r="T62" i="24"/>
  <c r="T60" i="24"/>
  <c r="T59" i="24"/>
  <c r="T58" i="24"/>
  <c r="T57" i="24"/>
  <c r="T56" i="24"/>
  <c r="T55" i="24"/>
  <c r="T53" i="24"/>
  <c r="T52" i="24"/>
  <c r="T51" i="24"/>
  <c r="T50" i="24"/>
  <c r="T49" i="24"/>
  <c r="T48" i="24"/>
  <c r="T46" i="24"/>
  <c r="T45" i="24"/>
  <c r="T44" i="24"/>
  <c r="T43" i="24"/>
  <c r="T42" i="24"/>
  <c r="T41" i="24"/>
  <c r="T39" i="24"/>
  <c r="T38" i="24"/>
  <c r="T37" i="24"/>
  <c r="T36" i="24"/>
  <c r="T35" i="24"/>
  <c r="T34" i="24"/>
  <c r="T32" i="24"/>
  <c r="T31" i="24"/>
  <c r="T30" i="24"/>
  <c r="T29" i="24"/>
  <c r="T28" i="24"/>
  <c r="T27" i="24"/>
  <c r="T25" i="24"/>
  <c r="T24" i="24"/>
  <c r="T23" i="24"/>
  <c r="T22" i="24"/>
  <c r="T21" i="24"/>
  <c r="T20" i="24"/>
  <c r="T74" i="28"/>
  <c r="T73" i="28"/>
  <c r="T72" i="28"/>
  <c r="T71" i="28"/>
  <c r="T70" i="28"/>
  <c r="T69" i="28"/>
  <c r="T67" i="28"/>
  <c r="T66" i="28"/>
  <c r="T65" i="28"/>
  <c r="T64" i="28"/>
  <c r="T63" i="28"/>
  <c r="T62" i="28"/>
  <c r="T60" i="28"/>
  <c r="T59" i="28"/>
  <c r="T58" i="28"/>
  <c r="T57" i="28"/>
  <c r="T56" i="28"/>
  <c r="T55" i="28"/>
  <c r="T53" i="28"/>
  <c r="T52" i="28"/>
  <c r="T51" i="28"/>
  <c r="T50" i="28"/>
  <c r="T49" i="28"/>
  <c r="T48" i="28"/>
  <c r="T46" i="28"/>
  <c r="T45" i="28"/>
  <c r="T44" i="28"/>
  <c r="T43" i="28"/>
  <c r="T42" i="28"/>
  <c r="T41" i="28"/>
  <c r="T39" i="28"/>
  <c r="T38" i="28"/>
  <c r="T37" i="28"/>
  <c r="T36" i="28"/>
  <c r="T35" i="28"/>
  <c r="T34" i="28"/>
  <c r="T32" i="28"/>
  <c r="T31" i="28"/>
  <c r="T30" i="28"/>
  <c r="T29" i="28"/>
  <c r="T28" i="28"/>
  <c r="T27" i="28"/>
  <c r="T25" i="28"/>
  <c r="T24" i="28"/>
  <c r="T23" i="28"/>
  <c r="T22" i="28"/>
  <c r="T21" i="28"/>
  <c r="T20" i="28"/>
  <c r="T74" i="32"/>
  <c r="T73" i="32"/>
  <c r="T72" i="32"/>
  <c r="T71" i="32"/>
  <c r="T70" i="32"/>
  <c r="T69" i="32"/>
  <c r="T67" i="32"/>
  <c r="T66" i="32"/>
  <c r="T65" i="32"/>
  <c r="T64" i="32"/>
  <c r="T63" i="32"/>
  <c r="T62" i="32"/>
  <c r="T60" i="32"/>
  <c r="T59" i="32"/>
  <c r="T58" i="32"/>
  <c r="T57" i="32"/>
  <c r="T56" i="32"/>
  <c r="T55" i="32"/>
  <c r="T53" i="32"/>
  <c r="T52" i="32"/>
  <c r="T51" i="32"/>
  <c r="T50" i="32"/>
  <c r="T49" i="32"/>
  <c r="T48" i="32"/>
  <c r="T46" i="32"/>
  <c r="T45" i="32"/>
  <c r="T44" i="32"/>
  <c r="T43" i="32"/>
  <c r="T42" i="32"/>
  <c r="T41" i="32"/>
  <c r="T39" i="32"/>
  <c r="T38" i="32"/>
  <c r="T37" i="32"/>
  <c r="T36" i="32"/>
  <c r="T35" i="32"/>
  <c r="T34" i="32"/>
  <c r="T32" i="32"/>
  <c r="T31" i="32"/>
  <c r="T30" i="32"/>
  <c r="T29" i="32"/>
  <c r="T28" i="32"/>
  <c r="T27" i="32"/>
  <c r="T25" i="32"/>
  <c r="T24" i="32"/>
  <c r="T23" i="32"/>
  <c r="T22" i="32"/>
  <c r="T21" i="32"/>
  <c r="T20" i="32"/>
  <c r="T74" i="36"/>
  <c r="T73" i="36"/>
  <c r="T72" i="36"/>
  <c r="T71" i="36"/>
  <c r="T70" i="36"/>
  <c r="T69" i="36"/>
  <c r="T67" i="36"/>
  <c r="T66" i="36"/>
  <c r="T65" i="36"/>
  <c r="T64" i="36"/>
  <c r="T63" i="36"/>
  <c r="T62" i="36"/>
  <c r="T60" i="36"/>
  <c r="T59" i="36"/>
  <c r="T58" i="36"/>
  <c r="T57" i="36"/>
  <c r="T56" i="36"/>
  <c r="T55" i="36"/>
  <c r="T53" i="36"/>
  <c r="T52" i="36"/>
  <c r="T51" i="36"/>
  <c r="T50" i="36"/>
  <c r="T49" i="36"/>
  <c r="T48" i="36"/>
  <c r="T46" i="36"/>
  <c r="T45" i="36"/>
  <c r="T44" i="36"/>
  <c r="T43" i="36"/>
  <c r="T42" i="36"/>
  <c r="T41" i="36"/>
  <c r="T39" i="36"/>
  <c r="T38" i="36"/>
  <c r="T37" i="36"/>
  <c r="T36" i="36"/>
  <c r="T35" i="36"/>
  <c r="T34" i="36"/>
  <c r="T32" i="36"/>
  <c r="T31" i="36"/>
  <c r="T30" i="36"/>
  <c r="T29" i="36"/>
  <c r="T28" i="36"/>
  <c r="T27" i="36"/>
  <c r="T25" i="36"/>
  <c r="T24" i="36"/>
  <c r="T23" i="36"/>
  <c r="T22" i="36"/>
  <c r="T21" i="36"/>
  <c r="T20" i="36"/>
  <c r="T74" i="40"/>
  <c r="T73" i="40"/>
  <c r="T72" i="40"/>
  <c r="T71" i="40"/>
  <c r="T70" i="40"/>
  <c r="T69" i="40"/>
  <c r="T67" i="40"/>
  <c r="T66" i="40"/>
  <c r="T65" i="40"/>
  <c r="T64" i="40"/>
  <c r="T63" i="40"/>
  <c r="T62" i="40"/>
  <c r="T60" i="40"/>
  <c r="T59" i="40"/>
  <c r="T58" i="40"/>
  <c r="T57" i="40"/>
  <c r="T56" i="40"/>
  <c r="T55" i="40"/>
  <c r="T53" i="40"/>
  <c r="T52" i="40"/>
  <c r="T51" i="40"/>
  <c r="T50" i="40"/>
  <c r="T49" i="40"/>
  <c r="T48" i="40"/>
  <c r="T46" i="40"/>
  <c r="T45" i="40"/>
  <c r="T44" i="40"/>
  <c r="T43" i="40"/>
  <c r="T42" i="40"/>
  <c r="T41" i="40"/>
  <c r="T39" i="40"/>
  <c r="T38" i="40"/>
  <c r="T37" i="40"/>
  <c r="T36" i="40"/>
  <c r="T35" i="40"/>
  <c r="T34" i="40"/>
  <c r="T32" i="40"/>
  <c r="T31" i="40"/>
  <c r="T30" i="40"/>
  <c r="T29" i="40"/>
  <c r="T28" i="40"/>
  <c r="T27" i="40"/>
  <c r="T25" i="40"/>
  <c r="T24" i="40"/>
  <c r="T23" i="40"/>
  <c r="T22" i="40"/>
  <c r="T21" i="40"/>
  <c r="T20" i="40"/>
  <c r="T74" i="44"/>
  <c r="T73" i="44"/>
  <c r="T72" i="44"/>
  <c r="T71" i="44"/>
  <c r="T70" i="44"/>
  <c r="T69" i="44"/>
  <c r="T67" i="44"/>
  <c r="T66" i="44"/>
  <c r="T65" i="44"/>
  <c r="T64" i="44"/>
  <c r="T63" i="44"/>
  <c r="T62" i="44"/>
  <c r="T60" i="44"/>
  <c r="T59" i="44"/>
  <c r="T58" i="44"/>
  <c r="T57" i="44"/>
  <c r="T56" i="44"/>
  <c r="T55" i="44"/>
  <c r="T53" i="44"/>
  <c r="T52" i="44"/>
  <c r="T51" i="44"/>
  <c r="T50" i="44"/>
  <c r="T49" i="44"/>
  <c r="T48" i="44"/>
  <c r="T46" i="44"/>
  <c r="T45" i="44"/>
  <c r="T44" i="44"/>
  <c r="T43" i="44"/>
  <c r="T42" i="44"/>
  <c r="T41" i="44"/>
  <c r="T39" i="44"/>
  <c r="T38" i="44"/>
  <c r="T37" i="44"/>
  <c r="T36" i="44"/>
  <c r="T35" i="44"/>
  <c r="T34" i="44"/>
  <c r="T32" i="44"/>
  <c r="T31" i="44"/>
  <c r="T30" i="44"/>
  <c r="T29" i="44"/>
  <c r="T28" i="44"/>
  <c r="T27" i="44"/>
  <c r="T25" i="44"/>
  <c r="T24" i="44"/>
  <c r="T23" i="44"/>
  <c r="T22" i="44"/>
  <c r="T21" i="44"/>
  <c r="T20" i="44"/>
  <c r="T74" i="12"/>
  <c r="T73" i="12"/>
  <c r="T72" i="12"/>
  <c r="T71" i="12"/>
  <c r="T70" i="12"/>
  <c r="T69" i="12"/>
  <c r="T67" i="12"/>
  <c r="T66" i="12"/>
  <c r="T65" i="12"/>
  <c r="T64" i="12"/>
  <c r="T63" i="12"/>
  <c r="T62" i="12"/>
  <c r="T60" i="12"/>
  <c r="T59" i="12"/>
  <c r="T58" i="12"/>
  <c r="T57" i="12"/>
  <c r="T56" i="12"/>
  <c r="T55" i="12"/>
  <c r="T53" i="12"/>
  <c r="T52" i="12"/>
  <c r="T51" i="12"/>
  <c r="T50" i="12"/>
  <c r="T49" i="12"/>
  <c r="T48" i="12"/>
  <c r="T46" i="12"/>
  <c r="T45" i="12"/>
  <c r="T44" i="12"/>
  <c r="T43" i="12"/>
  <c r="T42" i="12"/>
  <c r="T41" i="12"/>
  <c r="T39" i="12"/>
  <c r="T38" i="12"/>
  <c r="T37" i="12"/>
  <c r="T36" i="12"/>
  <c r="T35" i="12"/>
  <c r="T34" i="12"/>
  <c r="T32" i="12"/>
  <c r="T31" i="12"/>
  <c r="T30" i="12"/>
  <c r="T29" i="12"/>
  <c r="T28" i="12"/>
  <c r="T27" i="12"/>
  <c r="T25" i="12"/>
  <c r="T24" i="12"/>
  <c r="T23" i="12"/>
  <c r="T22" i="12"/>
  <c r="T21" i="12"/>
  <c r="T20" i="12"/>
  <c r="T18" i="16"/>
  <c r="T17" i="16"/>
  <c r="T16" i="16"/>
  <c r="T15" i="16"/>
  <c r="T14" i="16"/>
  <c r="T18" i="20"/>
  <c r="T17" i="20"/>
  <c r="T16" i="20"/>
  <c r="T15" i="20"/>
  <c r="T14" i="20"/>
  <c r="T18" i="24"/>
  <c r="T17" i="24"/>
  <c r="T16" i="24"/>
  <c r="T15" i="24"/>
  <c r="T14" i="24"/>
  <c r="T18" i="28"/>
  <c r="T17" i="28"/>
  <c r="T16" i="28"/>
  <c r="T15" i="28"/>
  <c r="T14" i="28"/>
  <c r="T18" i="32"/>
  <c r="T17" i="32"/>
  <c r="T16" i="32"/>
  <c r="T15" i="32"/>
  <c r="T14" i="32"/>
  <c r="T18" i="36"/>
  <c r="T17" i="36"/>
  <c r="T16" i="36"/>
  <c r="T15" i="36"/>
  <c r="T14" i="36"/>
  <c r="T18" i="40"/>
  <c r="T17" i="40"/>
  <c r="T16" i="40"/>
  <c r="T15" i="40"/>
  <c r="T14" i="40"/>
  <c r="T18" i="44"/>
  <c r="T17" i="44"/>
  <c r="T16" i="44"/>
  <c r="T15" i="44"/>
  <c r="T14" i="44"/>
  <c r="T18" i="12"/>
  <c r="T17" i="12"/>
  <c r="T16" i="12"/>
  <c r="T15" i="12"/>
  <c r="T14" i="12"/>
  <c r="AU40" i="16"/>
  <c r="AS40" i="16"/>
  <c r="AR40" i="16"/>
  <c r="AP40" i="16"/>
  <c r="AO40" i="16"/>
  <c r="AN40" i="16"/>
  <c r="AM40" i="16"/>
  <c r="AL40" i="16"/>
  <c r="AK40" i="16"/>
  <c r="AU39" i="16"/>
  <c r="AS39" i="16"/>
  <c r="AR39" i="16"/>
  <c r="AO39" i="16"/>
  <c r="AN39" i="16"/>
  <c r="AL39" i="16"/>
  <c r="AK39" i="16"/>
  <c r="N39" i="16"/>
  <c r="H39" i="16"/>
  <c r="AP39" i="16" s="1"/>
  <c r="E39" i="16"/>
  <c r="AM39" i="16" s="1"/>
  <c r="AU38" i="16"/>
  <c r="AS38" i="16"/>
  <c r="AR38" i="16"/>
  <c r="AO38" i="16"/>
  <c r="AN38" i="16"/>
  <c r="AL38" i="16"/>
  <c r="AK38" i="16"/>
  <c r="N38" i="16"/>
  <c r="H38" i="16"/>
  <c r="AP38" i="16" s="1"/>
  <c r="E38" i="16"/>
  <c r="AM38" i="16" s="1"/>
  <c r="AU37" i="16"/>
  <c r="AS37" i="16"/>
  <c r="AO37" i="16"/>
  <c r="AK37" i="16"/>
  <c r="AR37" i="16"/>
  <c r="E37" i="16"/>
  <c r="AM37" i="16" s="1"/>
  <c r="AL37" i="16"/>
  <c r="AU36" i="16"/>
  <c r="AS36" i="16"/>
  <c r="AN36" i="16"/>
  <c r="AL36" i="16"/>
  <c r="AK36" i="16"/>
  <c r="H36" i="16"/>
  <c r="AO36" i="16"/>
  <c r="N36" i="16"/>
  <c r="E36" i="16"/>
  <c r="AM36" i="16" s="1"/>
  <c r="AK35" i="16"/>
  <c r="AS35" i="16"/>
  <c r="AR35" i="16"/>
  <c r="AO35" i="16"/>
  <c r="AK34" i="16"/>
  <c r="AU40" i="20"/>
  <c r="AS40" i="20"/>
  <c r="AR40" i="20"/>
  <c r="AP40" i="20"/>
  <c r="AO40" i="20"/>
  <c r="AN40" i="20"/>
  <c r="AM40" i="20"/>
  <c r="AL40" i="20"/>
  <c r="AK40" i="20"/>
  <c r="AU39" i="20"/>
  <c r="AS39" i="20"/>
  <c r="AR39" i="20"/>
  <c r="AO39" i="20"/>
  <c r="AN39" i="20"/>
  <c r="AL39" i="20"/>
  <c r="AK39" i="20"/>
  <c r="N39" i="20"/>
  <c r="H39" i="20"/>
  <c r="AP39" i="20" s="1"/>
  <c r="E39" i="20"/>
  <c r="AM39" i="20" s="1"/>
  <c r="AU38" i="20"/>
  <c r="AS38" i="20"/>
  <c r="AR38" i="20"/>
  <c r="AO38" i="20"/>
  <c r="AN38" i="20"/>
  <c r="AL38" i="20"/>
  <c r="AK38" i="20"/>
  <c r="N38" i="20"/>
  <c r="H38" i="20"/>
  <c r="AP38" i="20" s="1"/>
  <c r="E38" i="20"/>
  <c r="AM38" i="20" s="1"/>
  <c r="AS37" i="20"/>
  <c r="AR37" i="20"/>
  <c r="AK37" i="20"/>
  <c r="N37" i="20"/>
  <c r="AU37" i="20"/>
  <c r="AO37" i="20"/>
  <c r="H37" i="20"/>
  <c r="AP37" i="20" s="1"/>
  <c r="AU36" i="20"/>
  <c r="AS36" i="20"/>
  <c r="AL36" i="20"/>
  <c r="AK36" i="20"/>
  <c r="AR36" i="20"/>
  <c r="H36" i="20"/>
  <c r="AP36" i="20" s="1"/>
  <c r="AN36" i="20"/>
  <c r="E36" i="20"/>
  <c r="AM36" i="20" s="1"/>
  <c r="AK35" i="20"/>
  <c r="AL35" i="20"/>
  <c r="AK34" i="20"/>
  <c r="AU40" i="24"/>
  <c r="AS40" i="24"/>
  <c r="AR40" i="24"/>
  <c r="AP40" i="24"/>
  <c r="AO40" i="24"/>
  <c r="AN40" i="24"/>
  <c r="AM40" i="24"/>
  <c r="AL40" i="24"/>
  <c r="AK40" i="24"/>
  <c r="AU39" i="24"/>
  <c r="AS39" i="24"/>
  <c r="AR39" i="24"/>
  <c r="AO39" i="24"/>
  <c r="AN39" i="24"/>
  <c r="AL39" i="24"/>
  <c r="AK39" i="24"/>
  <c r="N39" i="24"/>
  <c r="H39" i="24"/>
  <c r="AP39" i="24" s="1"/>
  <c r="E39" i="24"/>
  <c r="AM39" i="24" s="1"/>
  <c r="AU38" i="24"/>
  <c r="AS38" i="24"/>
  <c r="AR38" i="24"/>
  <c r="AO38" i="24"/>
  <c r="AN38" i="24"/>
  <c r="AL38" i="24"/>
  <c r="AK38" i="24"/>
  <c r="N38" i="24"/>
  <c r="H38" i="24"/>
  <c r="AP38" i="24" s="1"/>
  <c r="E38" i="24"/>
  <c r="AM38" i="24" s="1"/>
  <c r="AR37" i="24"/>
  <c r="AK37" i="24"/>
  <c r="AS37" i="24"/>
  <c r="AO37" i="24"/>
  <c r="AU36" i="24"/>
  <c r="AS36" i="24"/>
  <c r="AL36" i="24"/>
  <c r="AK36" i="24"/>
  <c r="AR36" i="24"/>
  <c r="AN35" i="24"/>
  <c r="AK35" i="24"/>
  <c r="AU35" i="24"/>
  <c r="AL35" i="24"/>
  <c r="AK34" i="24"/>
  <c r="AU40" i="28"/>
  <c r="AS40" i="28"/>
  <c r="AR40" i="28"/>
  <c r="AP40" i="28"/>
  <c r="AO40" i="28"/>
  <c r="AN40" i="28"/>
  <c r="AM40" i="28"/>
  <c r="AL40" i="28"/>
  <c r="AK40" i="28"/>
  <c r="AU39" i="28"/>
  <c r="AS39" i="28"/>
  <c r="AR39" i="28"/>
  <c r="AO39" i="28"/>
  <c r="AN39" i="28"/>
  <c r="AL39" i="28"/>
  <c r="AK39" i="28"/>
  <c r="N39" i="28"/>
  <c r="H39" i="28"/>
  <c r="AP39" i="28" s="1"/>
  <c r="E39" i="28"/>
  <c r="AM39" i="28" s="1"/>
  <c r="AU38" i="28"/>
  <c r="AS38" i="28"/>
  <c r="AR38" i="28"/>
  <c r="AO38" i="28"/>
  <c r="AN38" i="28"/>
  <c r="AL38" i="28"/>
  <c r="AK38" i="28"/>
  <c r="N38" i="28"/>
  <c r="H38" i="28"/>
  <c r="AP38" i="28" s="1"/>
  <c r="E38" i="28"/>
  <c r="AM38" i="28" s="1"/>
  <c r="AO37" i="28"/>
  <c r="AK37" i="28"/>
  <c r="AR37" i="28"/>
  <c r="E37" i="28"/>
  <c r="AM37" i="28" s="1"/>
  <c r="AL37" i="28"/>
  <c r="AU36" i="28"/>
  <c r="AS36" i="28"/>
  <c r="AK36" i="28"/>
  <c r="AR36" i="28"/>
  <c r="AO36" i="28"/>
  <c r="AL36" i="28"/>
  <c r="AN35" i="28"/>
  <c r="AK35" i="28"/>
  <c r="AS35" i="28"/>
  <c r="AO35" i="28"/>
  <c r="AL35" i="28"/>
  <c r="AK34" i="28"/>
  <c r="AU40" i="32"/>
  <c r="AS40" i="32"/>
  <c r="AR40" i="32"/>
  <c r="AP40" i="32"/>
  <c r="AO40" i="32"/>
  <c r="AN40" i="32"/>
  <c r="AM40" i="32"/>
  <c r="AL40" i="32"/>
  <c r="AK40" i="32"/>
  <c r="AU39" i="32"/>
  <c r="AS39" i="32"/>
  <c r="AR39" i="32"/>
  <c r="AO39" i="32"/>
  <c r="AN39" i="32"/>
  <c r="AL39" i="32"/>
  <c r="AK39" i="32"/>
  <c r="N39" i="32"/>
  <c r="H39" i="32"/>
  <c r="AP39" i="32" s="1"/>
  <c r="E39" i="32"/>
  <c r="AM39" i="32" s="1"/>
  <c r="AU38" i="32"/>
  <c r="AS38" i="32"/>
  <c r="AR38" i="32"/>
  <c r="AO38" i="32"/>
  <c r="AN38" i="32"/>
  <c r="AL38" i="32"/>
  <c r="AK38" i="32"/>
  <c r="N38" i="32"/>
  <c r="H38" i="32"/>
  <c r="AP38" i="32" s="1"/>
  <c r="E38" i="32"/>
  <c r="AM38" i="32" s="1"/>
  <c r="AO37" i="32"/>
  <c r="AN37" i="32"/>
  <c r="AK37" i="32"/>
  <c r="N37" i="32"/>
  <c r="AS37" i="32"/>
  <c r="E37" i="32"/>
  <c r="AM37" i="32" s="1"/>
  <c r="AL37" i="32"/>
  <c r="AS36" i="32"/>
  <c r="AR36" i="32"/>
  <c r="AK36" i="32"/>
  <c r="N36" i="32"/>
  <c r="AU36" i="32"/>
  <c r="AO36" i="32"/>
  <c r="H36" i="32"/>
  <c r="AP36" i="32" s="1"/>
  <c r="AK35" i="32"/>
  <c r="AU35" i="32"/>
  <c r="AS35" i="32"/>
  <c r="AR35" i="32"/>
  <c r="AN35" i="32"/>
  <c r="AL35" i="32"/>
  <c r="AK34" i="32"/>
  <c r="AU40" i="36"/>
  <c r="AS40" i="36"/>
  <c r="AR40" i="36"/>
  <c r="AP40" i="36"/>
  <c r="AO40" i="36"/>
  <c r="AN40" i="36"/>
  <c r="AM40" i="36"/>
  <c r="AL40" i="36"/>
  <c r="AK40" i="36"/>
  <c r="AU39" i="36"/>
  <c r="AS39" i="36"/>
  <c r="AR39" i="36"/>
  <c r="AO39" i="36"/>
  <c r="AN39" i="36"/>
  <c r="AL39" i="36"/>
  <c r="AK39" i="36"/>
  <c r="N39" i="36"/>
  <c r="H39" i="36"/>
  <c r="AP39" i="36" s="1"/>
  <c r="E39" i="36"/>
  <c r="AM39" i="36" s="1"/>
  <c r="AU38" i="36"/>
  <c r="AS38" i="36"/>
  <c r="AR38" i="36"/>
  <c r="AO38" i="36"/>
  <c r="AN38" i="36"/>
  <c r="AL38" i="36"/>
  <c r="AK38" i="36"/>
  <c r="N38" i="36"/>
  <c r="H38" i="36"/>
  <c r="AP38" i="36" s="1"/>
  <c r="E38" i="36"/>
  <c r="AM38" i="36" s="1"/>
  <c r="AN37" i="36"/>
  <c r="AK37" i="36"/>
  <c r="N37" i="36"/>
  <c r="AS37" i="36"/>
  <c r="AR37" i="36"/>
  <c r="H37" i="36"/>
  <c r="AP37" i="36" s="1"/>
  <c r="AO37" i="36"/>
  <c r="E37" i="36"/>
  <c r="AM37" i="36" s="1"/>
  <c r="AL37" i="36"/>
  <c r="AS36" i="36"/>
  <c r="AR36" i="36"/>
  <c r="AK36" i="36"/>
  <c r="AO36" i="36"/>
  <c r="AK35" i="36"/>
  <c r="AU35" i="36"/>
  <c r="AS35" i="36"/>
  <c r="AR35" i="36"/>
  <c r="AL35" i="36"/>
  <c r="AK34" i="36"/>
  <c r="AU40" i="40"/>
  <c r="AS40" i="40"/>
  <c r="AR40" i="40"/>
  <c r="AP40" i="40"/>
  <c r="AO40" i="40"/>
  <c r="AN40" i="40"/>
  <c r="AM40" i="40"/>
  <c r="AL40" i="40"/>
  <c r="AK40" i="40"/>
  <c r="AU39" i="40"/>
  <c r="AS39" i="40"/>
  <c r="AR39" i="40"/>
  <c r="AO39" i="40"/>
  <c r="AN39" i="40"/>
  <c r="AL39" i="40"/>
  <c r="AK39" i="40"/>
  <c r="N39" i="40"/>
  <c r="H39" i="40"/>
  <c r="AP39" i="40" s="1"/>
  <c r="E39" i="40"/>
  <c r="AM39" i="40" s="1"/>
  <c r="AU38" i="40"/>
  <c r="AS38" i="40"/>
  <c r="AR38" i="40"/>
  <c r="AO38" i="40"/>
  <c r="AN38" i="40"/>
  <c r="AL38" i="40"/>
  <c r="AK38" i="40"/>
  <c r="N38" i="40"/>
  <c r="H38" i="40"/>
  <c r="AP38" i="40" s="1"/>
  <c r="E38" i="40"/>
  <c r="AM38" i="40" s="1"/>
  <c r="AL37" i="40"/>
  <c r="AK37" i="40"/>
  <c r="AU37" i="40"/>
  <c r="AS37" i="40"/>
  <c r="AR37" i="40"/>
  <c r="AN37" i="40"/>
  <c r="AO36" i="40"/>
  <c r="AK36" i="40"/>
  <c r="AR36" i="40"/>
  <c r="E36" i="40"/>
  <c r="AM36" i="40" s="1"/>
  <c r="AL36" i="40"/>
  <c r="AK35" i="40"/>
  <c r="AU35" i="40"/>
  <c r="AS35" i="40"/>
  <c r="AR35" i="40"/>
  <c r="AO35" i="40"/>
  <c r="AK34" i="40"/>
  <c r="AU40" i="44"/>
  <c r="AS40" i="44"/>
  <c r="AR40" i="44"/>
  <c r="AP40" i="44"/>
  <c r="AO40" i="44"/>
  <c r="AN40" i="44"/>
  <c r="AM40" i="44"/>
  <c r="AL40" i="44"/>
  <c r="AK40" i="44"/>
  <c r="AU39" i="44"/>
  <c r="AS39" i="44"/>
  <c r="AR39" i="44"/>
  <c r="AO39" i="44"/>
  <c r="AN39" i="44"/>
  <c r="AL39" i="44"/>
  <c r="AK39" i="44"/>
  <c r="N39" i="44"/>
  <c r="H39" i="44"/>
  <c r="AP39" i="44" s="1"/>
  <c r="E39" i="44"/>
  <c r="AM39" i="44" s="1"/>
  <c r="AU38" i="44"/>
  <c r="AS38" i="44"/>
  <c r="AR38" i="44"/>
  <c r="AO38" i="44"/>
  <c r="AN38" i="44"/>
  <c r="AL38" i="44"/>
  <c r="AK38" i="44"/>
  <c r="N38" i="44"/>
  <c r="H38" i="44"/>
  <c r="AP38" i="44" s="1"/>
  <c r="E38" i="44"/>
  <c r="AM38" i="44" s="1"/>
  <c r="AU37" i="44"/>
  <c r="AL37" i="44"/>
  <c r="AK37" i="44"/>
  <c r="AS37" i="44"/>
  <c r="AR37" i="44"/>
  <c r="AO37" i="44"/>
  <c r="AO36" i="44"/>
  <c r="AN36" i="44"/>
  <c r="AL36" i="44"/>
  <c r="AK36" i="44"/>
  <c r="N36" i="44"/>
  <c r="H36" i="44"/>
  <c r="AP36" i="44" s="1"/>
  <c r="E36" i="44"/>
  <c r="AM36" i="44" s="1"/>
  <c r="AK35" i="44"/>
  <c r="AS35" i="44"/>
  <c r="AR35" i="44"/>
  <c r="AO35" i="44"/>
  <c r="AK34" i="44"/>
  <c r="AU40" i="12"/>
  <c r="AS40" i="12"/>
  <c r="AR40" i="12"/>
  <c r="AP40" i="12"/>
  <c r="AO40" i="12"/>
  <c r="AN40" i="12"/>
  <c r="AM40" i="12"/>
  <c r="AL40" i="12"/>
  <c r="AK40" i="12"/>
  <c r="AU39" i="12"/>
  <c r="AS39" i="12"/>
  <c r="AR39" i="12"/>
  <c r="AO39" i="12"/>
  <c r="AN39" i="12"/>
  <c r="AL39" i="12"/>
  <c r="AK39" i="12"/>
  <c r="N39" i="12"/>
  <c r="H39" i="12"/>
  <c r="E39" i="12"/>
  <c r="AU38" i="12"/>
  <c r="AS38" i="12"/>
  <c r="AR38" i="12"/>
  <c r="AO38" i="12"/>
  <c r="AN38" i="12"/>
  <c r="AL38" i="12"/>
  <c r="AK38" i="12"/>
  <c r="N38" i="12"/>
  <c r="H38" i="12"/>
  <c r="E38" i="12"/>
  <c r="AU37" i="12"/>
  <c r="AS37" i="12"/>
  <c r="AK37" i="12"/>
  <c r="AR37" i="12"/>
  <c r="AO37" i="12"/>
  <c r="E37" i="12"/>
  <c r="AL37" i="12"/>
  <c r="AU36" i="12"/>
  <c r="AN36" i="12"/>
  <c r="AK36" i="12"/>
  <c r="AS36" i="12"/>
  <c r="H36" i="12"/>
  <c r="AO36" i="12"/>
  <c r="N36" i="12"/>
  <c r="AL36" i="12"/>
  <c r="AK35" i="12"/>
  <c r="AK34" i="12"/>
  <c r="AU124" i="16"/>
  <c r="AK124" i="16"/>
  <c r="AU123" i="16"/>
  <c r="AS123" i="16"/>
  <c r="AR123" i="16"/>
  <c r="AP123" i="16"/>
  <c r="AO123" i="16"/>
  <c r="AN123" i="16"/>
  <c r="AM123" i="16"/>
  <c r="AL123" i="16"/>
  <c r="AU122" i="16"/>
  <c r="AR122" i="16"/>
  <c r="AK122" i="16"/>
  <c r="AU121" i="16"/>
  <c r="AS121" i="16"/>
  <c r="AR121" i="16"/>
  <c r="AP121" i="16"/>
  <c r="AO121" i="16"/>
  <c r="AN121" i="16"/>
  <c r="AM121" i="16"/>
  <c r="AL121" i="16"/>
  <c r="AK121" i="16"/>
  <c r="AU120" i="16"/>
  <c r="AS120" i="16"/>
  <c r="AR120" i="16"/>
  <c r="AP120" i="16"/>
  <c r="AO120" i="16"/>
  <c r="AN120" i="16"/>
  <c r="AM120" i="16"/>
  <c r="AL120" i="16"/>
  <c r="AK120" i="16"/>
  <c r="AU119" i="16"/>
  <c r="AS119" i="16"/>
  <c r="AR119" i="16"/>
  <c r="AP119" i="16"/>
  <c r="AO119" i="16"/>
  <c r="AN119" i="16"/>
  <c r="AM119" i="16"/>
  <c r="AL119" i="16"/>
  <c r="AK119" i="16"/>
  <c r="AU118" i="16"/>
  <c r="AR118" i="16"/>
  <c r="AK118" i="16"/>
  <c r="AU117" i="16"/>
  <c r="AR117" i="16"/>
  <c r="AO117" i="16"/>
  <c r="AN117" i="16"/>
  <c r="AK117" i="16"/>
  <c r="AU116" i="16"/>
  <c r="AS116" i="16"/>
  <c r="AR116" i="16"/>
  <c r="AP116" i="16"/>
  <c r="AO116" i="16"/>
  <c r="AN116" i="16"/>
  <c r="AM116" i="16"/>
  <c r="AL116" i="16"/>
  <c r="AK116" i="16"/>
  <c r="AU115" i="16"/>
  <c r="AS115" i="16"/>
  <c r="AR115" i="16"/>
  <c r="AO115" i="16"/>
  <c r="AN115" i="16"/>
  <c r="AL115" i="16"/>
  <c r="AK115" i="16"/>
  <c r="AU114" i="16"/>
  <c r="AS114" i="16"/>
  <c r="AR114" i="16"/>
  <c r="AO114" i="16"/>
  <c r="AN114" i="16"/>
  <c r="AL114" i="16"/>
  <c r="AK114" i="16"/>
  <c r="AU113" i="16"/>
  <c r="AR113" i="16"/>
  <c r="AK113" i="16"/>
  <c r="AU112" i="16"/>
  <c r="AR112" i="16"/>
  <c r="AO112" i="16"/>
  <c r="AN112" i="16"/>
  <c r="AK112" i="16"/>
  <c r="AU111" i="16"/>
  <c r="AS111" i="16"/>
  <c r="AR111" i="16"/>
  <c r="AP111" i="16"/>
  <c r="AO111" i="16"/>
  <c r="AN111" i="16"/>
  <c r="AM111" i="16"/>
  <c r="AL111" i="16"/>
  <c r="AK111" i="16"/>
  <c r="AU110" i="16"/>
  <c r="AS110" i="16"/>
  <c r="AR110" i="16"/>
  <c r="AP110" i="16"/>
  <c r="AO110" i="16"/>
  <c r="AN110" i="16"/>
  <c r="AM110" i="16"/>
  <c r="AL110" i="16"/>
  <c r="AK110" i="16"/>
  <c r="AU109" i="16"/>
  <c r="AS109" i="16"/>
  <c r="AR109" i="16"/>
  <c r="AP109" i="16"/>
  <c r="AO109" i="16"/>
  <c r="AN109" i="16"/>
  <c r="AM109" i="16"/>
  <c r="AL109" i="16"/>
  <c r="AU108" i="16"/>
  <c r="AK108" i="16"/>
  <c r="AU107" i="16"/>
  <c r="AS107" i="16"/>
  <c r="AR107" i="16"/>
  <c r="AP107" i="16"/>
  <c r="AO107" i="16"/>
  <c r="AN107" i="16"/>
  <c r="AM107" i="16"/>
  <c r="AL107" i="16"/>
  <c r="AK107" i="16"/>
  <c r="AU106" i="16"/>
  <c r="AS106" i="16"/>
  <c r="AR106" i="16"/>
  <c r="AO106" i="16"/>
  <c r="AN106" i="16"/>
  <c r="AL106" i="16"/>
  <c r="AK106" i="16"/>
  <c r="AU105" i="16"/>
  <c r="AS105" i="16"/>
  <c r="AR105" i="16"/>
  <c r="AO105" i="16"/>
  <c r="AN105" i="16"/>
  <c r="AL105" i="16"/>
  <c r="AK105" i="16"/>
  <c r="AU104" i="16"/>
  <c r="AS104" i="16"/>
  <c r="AR104" i="16"/>
  <c r="AO104" i="16"/>
  <c r="AN104" i="16"/>
  <c r="AL104" i="16"/>
  <c r="AK104" i="16"/>
  <c r="AU103" i="16"/>
  <c r="AK103" i="16"/>
  <c r="AU102" i="16"/>
  <c r="AK102" i="16"/>
  <c r="AU101" i="16"/>
  <c r="AK101" i="16"/>
  <c r="AU100" i="16"/>
  <c r="AS100" i="16"/>
  <c r="AR100" i="16"/>
  <c r="AP100" i="16"/>
  <c r="AO100" i="16"/>
  <c r="AN100" i="16"/>
  <c r="AM100" i="16"/>
  <c r="AL100" i="16"/>
  <c r="AK100" i="16"/>
  <c r="AU99" i="16"/>
  <c r="AS99" i="16"/>
  <c r="AR99" i="16"/>
  <c r="AO99" i="16"/>
  <c r="AN99" i="16"/>
  <c r="AL99" i="16"/>
  <c r="AK99" i="16"/>
  <c r="AU98" i="16"/>
  <c r="AS98" i="16"/>
  <c r="AR98" i="16"/>
  <c r="AO98" i="16"/>
  <c r="AN98" i="16"/>
  <c r="AL98" i="16"/>
  <c r="AK98" i="16"/>
  <c r="AU97" i="16"/>
  <c r="AS97" i="16"/>
  <c r="AR97" i="16"/>
  <c r="AO97" i="16"/>
  <c r="AN97" i="16"/>
  <c r="AL97" i="16"/>
  <c r="AK97" i="16"/>
  <c r="AU96" i="16"/>
  <c r="AS96" i="16"/>
  <c r="AR96" i="16"/>
  <c r="AO96" i="16"/>
  <c r="AN96" i="16"/>
  <c r="AL96" i="16"/>
  <c r="AK96" i="16"/>
  <c r="AU95" i="16"/>
  <c r="AK95" i="16"/>
  <c r="AU94" i="16"/>
  <c r="AS94" i="16"/>
  <c r="AR94" i="16"/>
  <c r="AP94" i="16"/>
  <c r="AO94" i="16"/>
  <c r="AN94" i="16"/>
  <c r="AL94" i="16"/>
  <c r="AK94" i="16"/>
  <c r="AU93" i="16"/>
  <c r="AS93" i="16"/>
  <c r="AR93" i="16"/>
  <c r="AP93" i="16"/>
  <c r="AO93" i="16"/>
  <c r="AN93" i="16"/>
  <c r="AM93" i="16"/>
  <c r="AL93" i="16"/>
  <c r="AK93" i="16"/>
  <c r="AU92" i="16"/>
  <c r="AS92" i="16"/>
  <c r="AR92" i="16"/>
  <c r="AO92" i="16"/>
  <c r="AN92" i="16"/>
  <c r="AL92" i="16"/>
  <c r="AK92" i="16"/>
  <c r="AU91" i="16"/>
  <c r="AS91" i="16"/>
  <c r="AR91" i="16"/>
  <c r="AO91" i="16"/>
  <c r="AN91" i="16"/>
  <c r="AL91" i="16"/>
  <c r="AK91" i="16"/>
  <c r="AU90" i="16"/>
  <c r="AS90" i="16"/>
  <c r="AR90" i="16"/>
  <c r="AO90" i="16"/>
  <c r="AN90" i="16"/>
  <c r="AL90" i="16"/>
  <c r="AK90" i="16"/>
  <c r="AU89" i="16"/>
  <c r="AK89" i="16"/>
  <c r="AU88" i="16"/>
  <c r="AK88" i="16"/>
  <c r="AU87" i="16"/>
  <c r="AK87" i="16"/>
  <c r="AU86" i="16"/>
  <c r="AS86" i="16"/>
  <c r="AR86" i="16"/>
  <c r="AP86" i="16"/>
  <c r="AO86" i="16"/>
  <c r="AN86" i="16"/>
  <c r="AM86" i="16"/>
  <c r="AL86" i="16"/>
  <c r="AK86" i="16"/>
  <c r="AU85" i="16"/>
  <c r="AS85" i="16"/>
  <c r="AR85" i="16"/>
  <c r="AO85" i="16"/>
  <c r="AN85" i="16"/>
  <c r="AL85" i="16"/>
  <c r="AK85" i="16"/>
  <c r="AU84" i="16"/>
  <c r="AS84" i="16"/>
  <c r="AR84" i="16"/>
  <c r="AO84" i="16"/>
  <c r="AN84" i="16"/>
  <c r="AL84" i="16"/>
  <c r="AK84" i="16"/>
  <c r="AU83" i="16"/>
  <c r="AS83" i="16"/>
  <c r="AR83" i="16"/>
  <c r="AO83" i="16"/>
  <c r="AN83" i="16"/>
  <c r="AL83" i="16"/>
  <c r="AK83" i="16"/>
  <c r="AU82" i="16"/>
  <c r="AS82" i="16"/>
  <c r="AR82" i="16"/>
  <c r="AO82" i="16"/>
  <c r="AN82" i="16"/>
  <c r="AL82" i="16"/>
  <c r="AK82" i="16"/>
  <c r="AU81" i="16"/>
  <c r="AK81" i="16"/>
  <c r="AU80" i="16"/>
  <c r="AO80" i="16"/>
  <c r="AN80" i="16"/>
  <c r="AL80" i="16"/>
  <c r="AK80" i="16"/>
  <c r="AU79" i="16"/>
  <c r="AS79" i="16"/>
  <c r="AR79" i="16"/>
  <c r="AP79" i="16"/>
  <c r="AO79" i="16"/>
  <c r="AN79" i="16"/>
  <c r="AM79" i="16"/>
  <c r="AL79" i="16"/>
  <c r="AU78" i="16"/>
  <c r="AS78" i="16"/>
  <c r="AR78" i="16"/>
  <c r="AP78" i="16"/>
  <c r="AO78" i="16"/>
  <c r="AN78" i="16"/>
  <c r="AM78" i="16"/>
  <c r="AL78" i="16"/>
  <c r="AK78" i="16"/>
  <c r="AU77" i="16"/>
  <c r="AS77" i="16"/>
  <c r="AR77" i="16"/>
  <c r="AP77" i="16"/>
  <c r="AO77" i="16"/>
  <c r="AN77" i="16"/>
  <c r="AM77" i="16"/>
  <c r="AL77" i="16"/>
  <c r="AK76" i="16"/>
  <c r="AU75" i="16"/>
  <c r="AS75" i="16"/>
  <c r="AR75" i="16"/>
  <c r="AP75" i="16"/>
  <c r="AO75" i="16"/>
  <c r="AN75" i="16"/>
  <c r="AM75" i="16"/>
  <c r="AL75" i="16"/>
  <c r="AK75" i="16"/>
  <c r="AU74" i="16"/>
  <c r="AS74" i="16"/>
  <c r="AR74" i="16"/>
  <c r="AO74" i="16"/>
  <c r="AN74" i="16"/>
  <c r="AL74" i="16"/>
  <c r="AK74" i="16"/>
  <c r="AU73" i="16"/>
  <c r="AS73" i="16"/>
  <c r="AR73" i="16"/>
  <c r="AO73" i="16"/>
  <c r="AN73" i="16"/>
  <c r="AL73" i="16"/>
  <c r="AK73" i="16"/>
  <c r="AU72" i="16"/>
  <c r="AS72" i="16"/>
  <c r="AR72" i="16"/>
  <c r="AO72" i="16"/>
  <c r="AN72" i="16"/>
  <c r="AL72" i="16"/>
  <c r="AK72" i="16"/>
  <c r="AU71" i="16"/>
  <c r="AS71" i="16"/>
  <c r="AR71" i="16"/>
  <c r="AO71" i="16"/>
  <c r="AN71" i="16"/>
  <c r="AL71" i="16"/>
  <c r="AK71" i="16"/>
  <c r="AK70" i="16"/>
  <c r="AO69" i="16"/>
  <c r="AN69" i="16"/>
  <c r="AL69" i="16"/>
  <c r="AK69" i="16"/>
  <c r="AU68" i="16"/>
  <c r="AS68" i="16"/>
  <c r="AR68" i="16"/>
  <c r="AP68" i="16"/>
  <c r="AO68" i="16"/>
  <c r="AN68" i="16"/>
  <c r="AM68" i="16"/>
  <c r="AL68" i="16"/>
  <c r="AK68" i="16"/>
  <c r="AU67" i="16"/>
  <c r="AS67" i="16"/>
  <c r="AR67" i="16"/>
  <c r="AO67" i="16"/>
  <c r="AN67" i="16"/>
  <c r="AL67" i="16"/>
  <c r="AK67" i="16"/>
  <c r="AU66" i="16"/>
  <c r="AS66" i="16"/>
  <c r="AR66" i="16"/>
  <c r="AO66" i="16"/>
  <c r="AN66" i="16"/>
  <c r="AL66" i="16"/>
  <c r="AK66" i="16"/>
  <c r="AU65" i="16"/>
  <c r="AS65" i="16"/>
  <c r="AR65" i="16"/>
  <c r="AO65" i="16"/>
  <c r="AN65" i="16"/>
  <c r="AL65" i="16"/>
  <c r="AK65" i="16"/>
  <c r="AK64" i="16"/>
  <c r="AK63" i="16"/>
  <c r="AK62" i="16"/>
  <c r="AU61" i="16"/>
  <c r="AS61" i="16"/>
  <c r="AR61" i="16"/>
  <c r="AP61" i="16"/>
  <c r="AO61" i="16"/>
  <c r="AN61" i="16"/>
  <c r="AM61" i="16"/>
  <c r="AL61" i="16"/>
  <c r="AK61" i="16"/>
  <c r="AU60" i="16"/>
  <c r="AS60" i="16"/>
  <c r="AR60" i="16"/>
  <c r="AO60" i="16"/>
  <c r="AN60" i="16"/>
  <c r="AL60" i="16"/>
  <c r="AK60" i="16"/>
  <c r="AU59" i="16"/>
  <c r="AS59" i="16"/>
  <c r="AR59" i="16"/>
  <c r="AO59" i="16"/>
  <c r="AN59" i="16"/>
  <c r="AL59" i="16"/>
  <c r="AK59" i="16"/>
  <c r="AU58" i="16"/>
  <c r="AS58" i="16"/>
  <c r="AR58" i="16"/>
  <c r="AO58" i="16"/>
  <c r="AN58" i="16"/>
  <c r="AL58" i="16"/>
  <c r="AK58" i="16"/>
  <c r="AK57" i="16"/>
  <c r="AK56" i="16"/>
  <c r="AK55" i="16"/>
  <c r="AU54" i="16"/>
  <c r="AS54" i="16"/>
  <c r="AR54" i="16"/>
  <c r="AP54" i="16"/>
  <c r="AO54" i="16"/>
  <c r="AN54" i="16"/>
  <c r="AM54" i="16"/>
  <c r="AL54" i="16"/>
  <c r="AK54" i="16"/>
  <c r="AU53" i="16"/>
  <c r="AS53" i="16"/>
  <c r="AR53" i="16"/>
  <c r="AO53" i="16"/>
  <c r="AN53" i="16"/>
  <c r="AL53" i="16"/>
  <c r="AK53" i="16"/>
  <c r="AU52" i="16"/>
  <c r="AS52" i="16"/>
  <c r="AR52" i="16"/>
  <c r="AO52" i="16"/>
  <c r="AN52" i="16"/>
  <c r="AL52" i="16"/>
  <c r="AK52" i="16"/>
  <c r="AU51" i="16"/>
  <c r="AS51" i="16"/>
  <c r="AR51" i="16"/>
  <c r="AO51" i="16"/>
  <c r="AN51" i="16"/>
  <c r="AL51" i="16"/>
  <c r="AK51" i="16"/>
  <c r="AK50" i="16"/>
  <c r="AK49" i="16"/>
  <c r="AK48" i="16"/>
  <c r="AU47" i="16"/>
  <c r="AS47" i="16"/>
  <c r="AR47" i="16"/>
  <c r="AP47" i="16"/>
  <c r="AO47" i="16"/>
  <c r="AN47" i="16"/>
  <c r="AM47" i="16"/>
  <c r="AL47" i="16"/>
  <c r="AK47" i="16"/>
  <c r="AO46" i="16"/>
  <c r="AN46" i="16"/>
  <c r="AL46" i="16"/>
  <c r="AK46" i="16"/>
  <c r="AO45" i="16"/>
  <c r="AN45" i="16"/>
  <c r="AL45" i="16"/>
  <c r="AK45" i="16"/>
  <c r="AK44" i="16"/>
  <c r="AK43" i="16"/>
  <c r="AK42" i="16"/>
  <c r="AK41" i="16"/>
  <c r="AU33" i="16"/>
  <c r="AS33" i="16"/>
  <c r="AR33" i="16"/>
  <c r="AP33" i="16"/>
  <c r="AO33" i="16"/>
  <c r="AN33" i="16"/>
  <c r="AM33" i="16"/>
  <c r="AL33" i="16"/>
  <c r="AK33" i="16"/>
  <c r="AU32" i="16"/>
  <c r="AS32" i="16"/>
  <c r="AR32" i="16"/>
  <c r="AO32" i="16"/>
  <c r="AN32" i="16"/>
  <c r="AL32" i="16"/>
  <c r="AK32" i="16"/>
  <c r="AK31" i="16"/>
  <c r="AK30" i="16"/>
  <c r="AK29" i="16"/>
  <c r="AK28" i="16"/>
  <c r="AK27" i="16"/>
  <c r="AU26" i="16"/>
  <c r="AS26" i="16"/>
  <c r="AR26" i="16"/>
  <c r="AP26" i="16"/>
  <c r="AO26" i="16"/>
  <c r="AN26" i="16"/>
  <c r="AM26" i="16"/>
  <c r="AL26" i="16"/>
  <c r="AK26" i="16"/>
  <c r="AU25" i="16"/>
  <c r="AS25" i="16"/>
  <c r="AR25" i="16"/>
  <c r="AO25" i="16"/>
  <c r="AN25" i="16"/>
  <c r="AL25" i="16"/>
  <c r="AK25" i="16"/>
  <c r="AU24" i="16"/>
  <c r="AS24" i="16"/>
  <c r="AR24" i="16"/>
  <c r="AO24" i="16"/>
  <c r="AN24" i="16"/>
  <c r="AL24" i="16"/>
  <c r="AK24" i="16"/>
  <c r="AU23" i="16"/>
  <c r="AS23" i="16"/>
  <c r="AR23" i="16"/>
  <c r="AO23" i="16"/>
  <c r="AN23" i="16"/>
  <c r="AL23" i="16"/>
  <c r="AK23" i="16"/>
  <c r="AU22" i="16"/>
  <c r="AS22" i="16"/>
  <c r="AR22" i="16"/>
  <c r="AO22" i="16"/>
  <c r="AN22" i="16"/>
  <c r="AL22" i="16"/>
  <c r="AK22" i="16"/>
  <c r="AK21" i="16"/>
  <c r="AO20" i="16"/>
  <c r="AN20" i="16"/>
  <c r="AL20" i="16"/>
  <c r="AK20" i="16"/>
  <c r="AU19" i="16"/>
  <c r="AS19" i="16"/>
  <c r="AR19" i="16"/>
  <c r="AP19" i="16"/>
  <c r="AO19" i="16"/>
  <c r="AN19" i="16"/>
  <c r="AM19" i="16"/>
  <c r="AL19" i="16"/>
  <c r="AK19" i="16"/>
  <c r="AU18" i="16"/>
  <c r="AS18" i="16"/>
  <c r="AR18" i="16"/>
  <c r="AO18" i="16"/>
  <c r="AN18" i="16"/>
  <c r="AL18" i="16"/>
  <c r="AK18" i="16"/>
  <c r="AU17" i="16"/>
  <c r="AS17" i="16"/>
  <c r="AR17" i="16"/>
  <c r="AO17" i="16"/>
  <c r="AN17" i="16"/>
  <c r="AL17" i="16"/>
  <c r="AK17" i="16"/>
  <c r="AK16" i="16"/>
  <c r="AU124" i="20"/>
  <c r="AK124" i="20"/>
  <c r="AU123" i="20"/>
  <c r="AS123" i="20"/>
  <c r="AR123" i="20"/>
  <c r="AP123" i="20"/>
  <c r="AO123" i="20"/>
  <c r="AN123" i="20"/>
  <c r="AM123" i="20"/>
  <c r="AL123" i="20"/>
  <c r="AU122" i="20"/>
  <c r="AR122" i="20"/>
  <c r="AK122" i="20"/>
  <c r="AU121" i="20"/>
  <c r="AS121" i="20"/>
  <c r="AR121" i="20"/>
  <c r="AP121" i="20"/>
  <c r="AO121" i="20"/>
  <c r="AN121" i="20"/>
  <c r="AM121" i="20"/>
  <c r="AL121" i="20"/>
  <c r="AK121" i="20"/>
  <c r="AU120" i="20"/>
  <c r="AS120" i="20"/>
  <c r="AR120" i="20"/>
  <c r="AP120" i="20"/>
  <c r="AO120" i="20"/>
  <c r="AN120" i="20"/>
  <c r="AM120" i="20"/>
  <c r="AL120" i="20"/>
  <c r="AK120" i="20"/>
  <c r="AU119" i="20"/>
  <c r="AS119" i="20"/>
  <c r="AR119" i="20"/>
  <c r="AP119" i="20"/>
  <c r="AO119" i="20"/>
  <c r="AN119" i="20"/>
  <c r="AM119" i="20"/>
  <c r="AL119" i="20"/>
  <c r="AK119" i="20"/>
  <c r="AU118" i="20"/>
  <c r="AR118" i="20"/>
  <c r="AK118" i="20"/>
  <c r="AU117" i="20"/>
  <c r="AS117" i="20"/>
  <c r="AR117" i="20"/>
  <c r="AO117" i="20"/>
  <c r="AN117" i="20"/>
  <c r="AK117" i="20"/>
  <c r="AU116" i="20"/>
  <c r="AS116" i="20"/>
  <c r="AR116" i="20"/>
  <c r="AP116" i="20"/>
  <c r="AO116" i="20"/>
  <c r="AN116" i="20"/>
  <c r="AM116" i="20"/>
  <c r="AL116" i="20"/>
  <c r="AK116" i="20"/>
  <c r="AU115" i="20"/>
  <c r="AS115" i="20"/>
  <c r="AR115" i="20"/>
  <c r="AO115" i="20"/>
  <c r="AN115" i="20"/>
  <c r="AL115" i="20"/>
  <c r="AK115" i="20"/>
  <c r="AU114" i="20"/>
  <c r="AS114" i="20"/>
  <c r="AR114" i="20"/>
  <c r="AO114" i="20"/>
  <c r="AN114" i="20"/>
  <c r="AL114" i="20"/>
  <c r="AK114" i="20"/>
  <c r="AU113" i="20"/>
  <c r="AR113" i="20"/>
  <c r="AK113" i="20"/>
  <c r="AU112" i="20"/>
  <c r="AS112" i="20"/>
  <c r="AR112" i="20"/>
  <c r="AO112" i="20"/>
  <c r="AN112" i="20"/>
  <c r="AK112" i="20"/>
  <c r="AU111" i="20"/>
  <c r="AS111" i="20"/>
  <c r="AR111" i="20"/>
  <c r="AP111" i="20"/>
  <c r="AO111" i="20"/>
  <c r="AN111" i="20"/>
  <c r="AM111" i="20"/>
  <c r="AL111" i="20"/>
  <c r="AK111" i="20"/>
  <c r="AU110" i="20"/>
  <c r="AS110" i="20"/>
  <c r="AR110" i="20"/>
  <c r="AP110" i="20"/>
  <c r="AO110" i="20"/>
  <c r="AN110" i="20"/>
  <c r="AM110" i="20"/>
  <c r="AL110" i="20"/>
  <c r="AK110" i="20"/>
  <c r="AU109" i="20"/>
  <c r="AS109" i="20"/>
  <c r="AR109" i="20"/>
  <c r="AP109" i="20"/>
  <c r="AO109" i="20"/>
  <c r="AN109" i="20"/>
  <c r="AM109" i="20"/>
  <c r="AL109" i="20"/>
  <c r="AU108" i="20"/>
  <c r="AK108" i="20"/>
  <c r="AU107" i="20"/>
  <c r="AS107" i="20"/>
  <c r="AR107" i="20"/>
  <c r="AP107" i="20"/>
  <c r="AO107" i="20"/>
  <c r="AN107" i="20"/>
  <c r="AM107" i="20"/>
  <c r="AL107" i="20"/>
  <c r="AK107" i="20"/>
  <c r="AU106" i="20"/>
  <c r="AS106" i="20"/>
  <c r="AR106" i="20"/>
  <c r="AO106" i="20"/>
  <c r="AN106" i="20"/>
  <c r="AL106" i="20"/>
  <c r="AK106" i="20"/>
  <c r="AU105" i="20"/>
  <c r="AS105" i="20"/>
  <c r="AR105" i="20"/>
  <c r="AO105" i="20"/>
  <c r="AN105" i="20"/>
  <c r="AL105" i="20"/>
  <c r="AK105" i="20"/>
  <c r="AU104" i="20"/>
  <c r="AS104" i="20"/>
  <c r="AR104" i="20"/>
  <c r="AO104" i="20"/>
  <c r="AN104" i="20"/>
  <c r="AL104" i="20"/>
  <c r="AK104" i="20"/>
  <c r="AU103" i="20"/>
  <c r="AK103" i="20"/>
  <c r="AU102" i="20"/>
  <c r="AK102" i="20"/>
  <c r="AU101" i="20"/>
  <c r="AK101" i="20"/>
  <c r="AU100" i="20"/>
  <c r="AS100" i="20"/>
  <c r="AR100" i="20"/>
  <c r="AP100" i="20"/>
  <c r="AO100" i="20"/>
  <c r="AN100" i="20"/>
  <c r="AM100" i="20"/>
  <c r="AL100" i="20"/>
  <c r="AK100" i="20"/>
  <c r="AU99" i="20"/>
  <c r="AS99" i="20"/>
  <c r="AR99" i="20"/>
  <c r="AO99" i="20"/>
  <c r="AN99" i="20"/>
  <c r="AL99" i="20"/>
  <c r="AK99" i="20"/>
  <c r="AU98" i="20"/>
  <c r="AS98" i="20"/>
  <c r="AR98" i="20"/>
  <c r="AO98" i="20"/>
  <c r="AN98" i="20"/>
  <c r="AL98" i="20"/>
  <c r="AK98" i="20"/>
  <c r="AU97" i="20"/>
  <c r="AS97" i="20"/>
  <c r="AR97" i="20"/>
  <c r="AO97" i="20"/>
  <c r="AN97" i="20"/>
  <c r="AL97" i="20"/>
  <c r="AK97" i="20"/>
  <c r="AU96" i="20"/>
  <c r="AS96" i="20"/>
  <c r="AR96" i="20"/>
  <c r="AO96" i="20"/>
  <c r="AN96" i="20"/>
  <c r="AL96" i="20"/>
  <c r="AK96" i="20"/>
  <c r="AU95" i="20"/>
  <c r="AK95" i="20"/>
  <c r="AU94" i="20"/>
  <c r="AS94" i="20"/>
  <c r="AR94" i="20"/>
  <c r="AP94" i="20"/>
  <c r="AO94" i="20"/>
  <c r="AN94" i="20"/>
  <c r="AL94" i="20"/>
  <c r="AK94" i="20"/>
  <c r="AU93" i="20"/>
  <c r="AS93" i="20"/>
  <c r="AR93" i="20"/>
  <c r="AP93" i="20"/>
  <c r="AO93" i="20"/>
  <c r="AN93" i="20"/>
  <c r="AM93" i="20"/>
  <c r="AL93" i="20"/>
  <c r="AK93" i="20"/>
  <c r="AU92" i="20"/>
  <c r="AS92" i="20"/>
  <c r="AR92" i="20"/>
  <c r="AO92" i="20"/>
  <c r="AN92" i="20"/>
  <c r="AL92" i="20"/>
  <c r="AK92" i="20"/>
  <c r="AU91" i="20"/>
  <c r="AS91" i="20"/>
  <c r="AR91" i="20"/>
  <c r="AO91" i="20"/>
  <c r="AN91" i="20"/>
  <c r="AL91" i="20"/>
  <c r="AK91" i="20"/>
  <c r="AU90" i="20"/>
  <c r="AS90" i="20"/>
  <c r="AR90" i="20"/>
  <c r="AO90" i="20"/>
  <c r="AN90" i="20"/>
  <c r="AL90" i="20"/>
  <c r="AK90" i="20"/>
  <c r="AU89" i="20"/>
  <c r="AK89" i="20"/>
  <c r="AU88" i="20"/>
  <c r="AK88" i="20"/>
  <c r="AU87" i="20"/>
  <c r="AK87" i="20"/>
  <c r="AU86" i="20"/>
  <c r="AS86" i="20"/>
  <c r="AR86" i="20"/>
  <c r="AP86" i="20"/>
  <c r="AO86" i="20"/>
  <c r="AN86" i="20"/>
  <c r="AM86" i="20"/>
  <c r="AL86" i="20"/>
  <c r="AK86" i="20"/>
  <c r="AU85" i="20"/>
  <c r="AS85" i="20"/>
  <c r="AR85" i="20"/>
  <c r="AO85" i="20"/>
  <c r="AN85" i="20"/>
  <c r="AL85" i="20"/>
  <c r="AK85" i="20"/>
  <c r="AU84" i="20"/>
  <c r="AS84" i="20"/>
  <c r="AR84" i="20"/>
  <c r="AO84" i="20"/>
  <c r="AN84" i="20"/>
  <c r="AL84" i="20"/>
  <c r="AK84" i="20"/>
  <c r="AU83" i="20"/>
  <c r="AS83" i="20"/>
  <c r="AR83" i="20"/>
  <c r="AO83" i="20"/>
  <c r="AN83" i="20"/>
  <c r="AL83" i="20"/>
  <c r="AK83" i="20"/>
  <c r="AU82" i="20"/>
  <c r="AS82" i="20"/>
  <c r="AR82" i="20"/>
  <c r="AO82" i="20"/>
  <c r="AN82" i="20"/>
  <c r="AL82" i="20"/>
  <c r="AK82" i="20"/>
  <c r="AU81" i="20"/>
  <c r="AK81" i="20"/>
  <c r="AU80" i="20"/>
  <c r="AS80" i="20"/>
  <c r="AR80" i="20"/>
  <c r="AO80" i="20"/>
  <c r="AN80" i="20"/>
  <c r="AL80" i="20"/>
  <c r="AK80" i="20"/>
  <c r="AU79" i="20"/>
  <c r="AS79" i="20"/>
  <c r="AR79" i="20"/>
  <c r="AP79" i="20"/>
  <c r="AO79" i="20"/>
  <c r="AN79" i="20"/>
  <c r="AM79" i="20"/>
  <c r="AL79" i="20"/>
  <c r="AU78" i="20"/>
  <c r="AS78" i="20"/>
  <c r="AR78" i="20"/>
  <c r="AP78" i="20"/>
  <c r="AO78" i="20"/>
  <c r="AN78" i="20"/>
  <c r="AM78" i="20"/>
  <c r="AL78" i="20"/>
  <c r="AK78" i="20"/>
  <c r="AU77" i="20"/>
  <c r="AS77" i="20"/>
  <c r="AR77" i="20"/>
  <c r="AP77" i="20"/>
  <c r="AO77" i="20"/>
  <c r="AN77" i="20"/>
  <c r="AM77" i="20"/>
  <c r="AL77" i="20"/>
  <c r="AK76" i="20"/>
  <c r="AU75" i="20"/>
  <c r="AS75" i="20"/>
  <c r="AR75" i="20"/>
  <c r="AP75" i="20"/>
  <c r="AO75" i="20"/>
  <c r="AN75" i="20"/>
  <c r="AM75" i="20"/>
  <c r="AL75" i="20"/>
  <c r="AK75" i="20"/>
  <c r="AU74" i="20"/>
  <c r="AS74" i="20"/>
  <c r="AR74" i="20"/>
  <c r="AO74" i="20"/>
  <c r="AN74" i="20"/>
  <c r="AL74" i="20"/>
  <c r="AK74" i="20"/>
  <c r="AU73" i="20"/>
  <c r="AS73" i="20"/>
  <c r="AR73" i="20"/>
  <c r="AO73" i="20"/>
  <c r="AN73" i="20"/>
  <c r="AL73" i="20"/>
  <c r="AK73" i="20"/>
  <c r="AU72" i="20"/>
  <c r="AS72" i="20"/>
  <c r="AR72" i="20"/>
  <c r="AO72" i="20"/>
  <c r="AN72" i="20"/>
  <c r="AL72" i="20"/>
  <c r="AK72" i="20"/>
  <c r="AU71" i="20"/>
  <c r="AS71" i="20"/>
  <c r="AR71" i="20"/>
  <c r="AO71" i="20"/>
  <c r="AN71" i="20"/>
  <c r="AL71" i="20"/>
  <c r="AK71" i="20"/>
  <c r="AK70" i="20"/>
  <c r="AU69" i="20"/>
  <c r="AS69" i="20"/>
  <c r="AR69" i="20"/>
  <c r="AO69" i="20"/>
  <c r="AN69" i="20"/>
  <c r="AL69" i="20"/>
  <c r="AK69" i="20"/>
  <c r="AU68" i="20"/>
  <c r="AS68" i="20"/>
  <c r="AR68" i="20"/>
  <c r="AP68" i="20"/>
  <c r="AO68" i="20"/>
  <c r="AN68" i="20"/>
  <c r="AM68" i="20"/>
  <c r="AL68" i="20"/>
  <c r="AK68" i="20"/>
  <c r="AU67" i="20"/>
  <c r="AS67" i="20"/>
  <c r="AR67" i="20"/>
  <c r="AO67" i="20"/>
  <c r="AN67" i="20"/>
  <c r="AL67" i="20"/>
  <c r="AK67" i="20"/>
  <c r="AU66" i="20"/>
  <c r="AS66" i="20"/>
  <c r="AR66" i="20"/>
  <c r="AO66" i="20"/>
  <c r="AN66" i="20"/>
  <c r="AL66" i="20"/>
  <c r="AK66" i="20"/>
  <c r="AU65" i="20"/>
  <c r="AS65" i="20"/>
  <c r="AR65" i="20"/>
  <c r="AO65" i="20"/>
  <c r="AN65" i="20"/>
  <c r="AL65" i="20"/>
  <c r="AK65" i="20"/>
  <c r="AK64" i="20"/>
  <c r="AK63" i="20"/>
  <c r="AK62" i="20"/>
  <c r="AU61" i="20"/>
  <c r="AS61" i="20"/>
  <c r="AR61" i="20"/>
  <c r="AP61" i="20"/>
  <c r="AO61" i="20"/>
  <c r="AN61" i="20"/>
  <c r="AM61" i="20"/>
  <c r="AL61" i="20"/>
  <c r="AK61" i="20"/>
  <c r="AU60" i="20"/>
  <c r="AS60" i="20"/>
  <c r="AR60" i="20"/>
  <c r="AO60" i="20"/>
  <c r="AN60" i="20"/>
  <c r="AL60" i="20"/>
  <c r="AK60" i="20"/>
  <c r="AU59" i="20"/>
  <c r="AS59" i="20"/>
  <c r="AR59" i="20"/>
  <c r="AO59" i="20"/>
  <c r="AN59" i="20"/>
  <c r="AL59" i="20"/>
  <c r="AK59" i="20"/>
  <c r="AU58" i="20"/>
  <c r="AS58" i="20"/>
  <c r="AR58" i="20"/>
  <c r="AO58" i="20"/>
  <c r="AN58" i="20"/>
  <c r="AL58" i="20"/>
  <c r="AK58" i="20"/>
  <c r="AK57" i="20"/>
  <c r="AK56" i="20"/>
  <c r="AK55" i="20"/>
  <c r="AU54" i="20"/>
  <c r="AS54" i="20"/>
  <c r="AR54" i="20"/>
  <c r="AP54" i="20"/>
  <c r="AO54" i="20"/>
  <c r="AN54" i="20"/>
  <c r="AM54" i="20"/>
  <c r="AL54" i="20"/>
  <c r="AK54" i="20"/>
  <c r="AU53" i="20"/>
  <c r="AS53" i="20"/>
  <c r="AR53" i="20"/>
  <c r="AO53" i="20"/>
  <c r="AN53" i="20"/>
  <c r="AL53" i="20"/>
  <c r="AK53" i="20"/>
  <c r="AU52" i="20"/>
  <c r="AS52" i="20"/>
  <c r="AR52" i="20"/>
  <c r="AO52" i="20"/>
  <c r="AN52" i="20"/>
  <c r="AL52" i="20"/>
  <c r="AK52" i="20"/>
  <c r="AU51" i="20"/>
  <c r="AS51" i="20"/>
  <c r="AR51" i="20"/>
  <c r="AO51" i="20"/>
  <c r="AN51" i="20"/>
  <c r="AL51" i="20"/>
  <c r="AK51" i="20"/>
  <c r="AK50" i="20"/>
  <c r="AK49" i="20"/>
  <c r="AK48" i="20"/>
  <c r="AU47" i="20"/>
  <c r="AS47" i="20"/>
  <c r="AR47" i="20"/>
  <c r="AP47" i="20"/>
  <c r="AO47" i="20"/>
  <c r="AN47" i="20"/>
  <c r="AM47" i="20"/>
  <c r="AL47" i="20"/>
  <c r="AK47" i="20"/>
  <c r="AU46" i="20"/>
  <c r="AS46" i="20"/>
  <c r="AR46" i="20"/>
  <c r="AO46" i="20"/>
  <c r="AN46" i="20"/>
  <c r="AL46" i="20"/>
  <c r="AK46" i="20"/>
  <c r="AU45" i="20"/>
  <c r="AS45" i="20"/>
  <c r="AR45" i="20"/>
  <c r="AO45" i="20"/>
  <c r="AN45" i="20"/>
  <c r="AL45" i="20"/>
  <c r="AK45" i="20"/>
  <c r="AK44" i="20"/>
  <c r="AK43" i="20"/>
  <c r="AK42" i="20"/>
  <c r="AK41" i="20"/>
  <c r="AU33" i="20"/>
  <c r="AS33" i="20"/>
  <c r="AR33" i="20"/>
  <c r="AP33" i="20"/>
  <c r="AO33" i="20"/>
  <c r="AN33" i="20"/>
  <c r="AM33" i="20"/>
  <c r="AL33" i="20"/>
  <c r="AK33" i="20"/>
  <c r="AU32" i="20"/>
  <c r="AS32" i="20"/>
  <c r="AR32" i="20"/>
  <c r="AO32" i="20"/>
  <c r="AN32" i="20"/>
  <c r="AL32" i="20"/>
  <c r="AK32" i="20"/>
  <c r="AK31" i="20"/>
  <c r="AK30" i="20"/>
  <c r="AK29" i="20"/>
  <c r="AK28" i="20"/>
  <c r="AK27" i="20"/>
  <c r="AU26" i="20"/>
  <c r="AS26" i="20"/>
  <c r="AR26" i="20"/>
  <c r="AP26" i="20"/>
  <c r="AO26" i="20"/>
  <c r="AN26" i="20"/>
  <c r="AM26" i="20"/>
  <c r="AL26" i="20"/>
  <c r="AK26" i="20"/>
  <c r="AU25" i="20"/>
  <c r="AS25" i="20"/>
  <c r="AR25" i="20"/>
  <c r="AO25" i="20"/>
  <c r="AN25" i="20"/>
  <c r="AL25" i="20"/>
  <c r="AK25" i="20"/>
  <c r="AU24" i="20"/>
  <c r="AS24" i="20"/>
  <c r="AR24" i="20"/>
  <c r="AO24" i="20"/>
  <c r="AN24" i="20"/>
  <c r="AL24" i="20"/>
  <c r="AK24" i="20"/>
  <c r="AU23" i="20"/>
  <c r="AS23" i="20"/>
  <c r="AR23" i="20"/>
  <c r="AO23" i="20"/>
  <c r="AN23" i="20"/>
  <c r="AL23" i="20"/>
  <c r="AK23" i="20"/>
  <c r="AU22" i="20"/>
  <c r="AS22" i="20"/>
  <c r="AR22" i="20"/>
  <c r="AO22" i="20"/>
  <c r="AN22" i="20"/>
  <c r="AL22" i="20"/>
  <c r="AK22" i="20"/>
  <c r="AK21" i="20"/>
  <c r="AU20" i="20"/>
  <c r="AS20" i="20"/>
  <c r="AR20" i="20"/>
  <c r="AO20" i="20"/>
  <c r="AN20" i="20"/>
  <c r="AL20" i="20"/>
  <c r="AK20" i="20"/>
  <c r="AU19" i="20"/>
  <c r="AS19" i="20"/>
  <c r="AR19" i="20"/>
  <c r="AP19" i="20"/>
  <c r="AO19" i="20"/>
  <c r="AN19" i="20"/>
  <c r="AM19" i="20"/>
  <c r="AL19" i="20"/>
  <c r="AK19" i="20"/>
  <c r="AU18" i="20"/>
  <c r="AS18" i="20"/>
  <c r="AR18" i="20"/>
  <c r="AO18" i="20"/>
  <c r="AN18" i="20"/>
  <c r="AL18" i="20"/>
  <c r="AK18" i="20"/>
  <c r="AU17" i="20"/>
  <c r="AS17" i="20"/>
  <c r="AR17" i="20"/>
  <c r="AO17" i="20"/>
  <c r="AN17" i="20"/>
  <c r="AL17" i="20"/>
  <c r="AK17" i="20"/>
  <c r="AK16" i="20"/>
  <c r="AU124" i="24"/>
  <c r="AK124" i="24"/>
  <c r="AU123" i="24"/>
  <c r="AS123" i="24"/>
  <c r="AR123" i="24"/>
  <c r="AP123" i="24"/>
  <c r="AO123" i="24"/>
  <c r="AN123" i="24"/>
  <c r="AM123" i="24"/>
  <c r="AL123" i="24"/>
  <c r="AU122" i="24"/>
  <c r="AR122" i="24"/>
  <c r="AK122" i="24"/>
  <c r="AU121" i="24"/>
  <c r="AS121" i="24"/>
  <c r="AR121" i="24"/>
  <c r="AP121" i="24"/>
  <c r="AO121" i="24"/>
  <c r="AN121" i="24"/>
  <c r="AM121" i="24"/>
  <c r="AL121" i="24"/>
  <c r="AK121" i="24"/>
  <c r="AU120" i="24"/>
  <c r="AS120" i="24"/>
  <c r="AR120" i="24"/>
  <c r="AP120" i="24"/>
  <c r="AO120" i="24"/>
  <c r="AN120" i="24"/>
  <c r="AM120" i="24"/>
  <c r="AL120" i="24"/>
  <c r="AK120" i="24"/>
  <c r="AU119" i="24"/>
  <c r="AS119" i="24"/>
  <c r="AR119" i="24"/>
  <c r="AP119" i="24"/>
  <c r="AO119" i="24"/>
  <c r="AN119" i="24"/>
  <c r="AM119" i="24"/>
  <c r="AL119" i="24"/>
  <c r="AK119" i="24"/>
  <c r="AU118" i="24"/>
  <c r="AR118" i="24"/>
  <c r="AK118" i="24"/>
  <c r="AU117" i="24"/>
  <c r="AS117" i="24"/>
  <c r="AR117" i="24"/>
  <c r="AO117" i="24"/>
  <c r="AN117" i="24"/>
  <c r="AK117" i="24"/>
  <c r="AU116" i="24"/>
  <c r="AS116" i="24"/>
  <c r="AR116" i="24"/>
  <c r="AP116" i="24"/>
  <c r="AO116" i="24"/>
  <c r="AN116" i="24"/>
  <c r="AM116" i="24"/>
  <c r="AL116" i="24"/>
  <c r="AK116" i="24"/>
  <c r="AU115" i="24"/>
  <c r="AS115" i="24"/>
  <c r="AR115" i="24"/>
  <c r="AO115" i="24"/>
  <c r="AN115" i="24"/>
  <c r="AL115" i="24"/>
  <c r="AK115" i="24"/>
  <c r="AU114" i="24"/>
  <c r="AS114" i="24"/>
  <c r="AR114" i="24"/>
  <c r="AO114" i="24"/>
  <c r="AN114" i="24"/>
  <c r="AL114" i="24"/>
  <c r="AK114" i="24"/>
  <c r="AU113" i="24"/>
  <c r="AR113" i="24"/>
  <c r="AK113" i="24"/>
  <c r="AU112" i="24"/>
  <c r="AS112" i="24"/>
  <c r="AR112" i="24"/>
  <c r="AO112" i="24"/>
  <c r="AN112" i="24"/>
  <c r="AK112" i="24"/>
  <c r="AU111" i="24"/>
  <c r="AS111" i="24"/>
  <c r="AR111" i="24"/>
  <c r="AP111" i="24"/>
  <c r="AO111" i="24"/>
  <c r="AN111" i="24"/>
  <c r="AM111" i="24"/>
  <c r="AL111" i="24"/>
  <c r="AK111" i="24"/>
  <c r="AU110" i="24"/>
  <c r="AS110" i="24"/>
  <c r="AR110" i="24"/>
  <c r="AP110" i="24"/>
  <c r="AO110" i="24"/>
  <c r="AN110" i="24"/>
  <c r="AM110" i="24"/>
  <c r="AL110" i="24"/>
  <c r="AK110" i="24"/>
  <c r="AU109" i="24"/>
  <c r="AS109" i="24"/>
  <c r="AR109" i="24"/>
  <c r="AP109" i="24"/>
  <c r="AO109" i="24"/>
  <c r="AN109" i="24"/>
  <c r="AM109" i="24"/>
  <c r="AL109" i="24"/>
  <c r="AU108" i="24"/>
  <c r="AK108" i="24"/>
  <c r="AU107" i="24"/>
  <c r="AS107" i="24"/>
  <c r="AR107" i="24"/>
  <c r="AP107" i="24"/>
  <c r="AO107" i="24"/>
  <c r="AN107" i="24"/>
  <c r="AM107" i="24"/>
  <c r="AL107" i="24"/>
  <c r="AK107" i="24"/>
  <c r="AU106" i="24"/>
  <c r="AS106" i="24"/>
  <c r="AR106" i="24"/>
  <c r="AO106" i="24"/>
  <c r="AN106" i="24"/>
  <c r="AL106" i="24"/>
  <c r="AK106" i="24"/>
  <c r="AU105" i="24"/>
  <c r="AS105" i="24"/>
  <c r="AR105" i="24"/>
  <c r="AO105" i="24"/>
  <c r="AN105" i="24"/>
  <c r="AL105" i="24"/>
  <c r="AK105" i="24"/>
  <c r="AU104" i="24"/>
  <c r="AS104" i="24"/>
  <c r="AR104" i="24"/>
  <c r="AO104" i="24"/>
  <c r="AN104" i="24"/>
  <c r="AL104" i="24"/>
  <c r="AK104" i="24"/>
  <c r="AU103" i="24"/>
  <c r="AK103" i="24"/>
  <c r="AU102" i="24"/>
  <c r="AK102" i="24"/>
  <c r="AU101" i="24"/>
  <c r="AK101" i="24"/>
  <c r="AU100" i="24"/>
  <c r="AS100" i="24"/>
  <c r="AR100" i="24"/>
  <c r="AP100" i="24"/>
  <c r="AO100" i="24"/>
  <c r="AN100" i="24"/>
  <c r="AM100" i="24"/>
  <c r="AL100" i="24"/>
  <c r="AK100" i="24"/>
  <c r="AU99" i="24"/>
  <c r="AS99" i="24"/>
  <c r="AR99" i="24"/>
  <c r="AO99" i="24"/>
  <c r="AN99" i="24"/>
  <c r="AL99" i="24"/>
  <c r="AK99" i="24"/>
  <c r="AU98" i="24"/>
  <c r="AS98" i="24"/>
  <c r="AR98" i="24"/>
  <c r="AO98" i="24"/>
  <c r="AN98" i="24"/>
  <c r="AL98" i="24"/>
  <c r="AK98" i="24"/>
  <c r="AU97" i="24"/>
  <c r="AS97" i="24"/>
  <c r="AR97" i="24"/>
  <c r="AO97" i="24"/>
  <c r="AN97" i="24"/>
  <c r="AL97" i="24"/>
  <c r="AK97" i="24"/>
  <c r="AU96" i="24"/>
  <c r="AS96" i="24"/>
  <c r="AR96" i="24"/>
  <c r="AO96" i="24"/>
  <c r="AN96" i="24"/>
  <c r="AL96" i="24"/>
  <c r="AK96" i="24"/>
  <c r="AU95" i="24"/>
  <c r="AK95" i="24"/>
  <c r="AU94" i="24"/>
  <c r="AS94" i="24"/>
  <c r="AR94" i="24"/>
  <c r="AP94" i="24"/>
  <c r="AO94" i="24"/>
  <c r="AN94" i="24"/>
  <c r="AL94" i="24"/>
  <c r="AK94" i="24"/>
  <c r="AU93" i="24"/>
  <c r="AS93" i="24"/>
  <c r="AR93" i="24"/>
  <c r="AP93" i="24"/>
  <c r="AO93" i="24"/>
  <c r="AN93" i="24"/>
  <c r="AM93" i="24"/>
  <c r="AL93" i="24"/>
  <c r="AK93" i="24"/>
  <c r="AU92" i="24"/>
  <c r="AS92" i="24"/>
  <c r="AR92" i="24"/>
  <c r="AO92" i="24"/>
  <c r="AN92" i="24"/>
  <c r="AL92" i="24"/>
  <c r="AK92" i="24"/>
  <c r="AU91" i="24"/>
  <c r="AS91" i="24"/>
  <c r="AR91" i="24"/>
  <c r="AO91" i="24"/>
  <c r="AN91" i="24"/>
  <c r="AL91" i="24"/>
  <c r="AK91" i="24"/>
  <c r="AU90" i="24"/>
  <c r="AS90" i="24"/>
  <c r="AR90" i="24"/>
  <c r="AO90" i="24"/>
  <c r="AN90" i="24"/>
  <c r="AL90" i="24"/>
  <c r="AK90" i="24"/>
  <c r="AU89" i="24"/>
  <c r="AK89" i="24"/>
  <c r="AU88" i="24"/>
  <c r="AK88" i="24"/>
  <c r="AU87" i="24"/>
  <c r="AK87" i="24"/>
  <c r="AU86" i="24"/>
  <c r="AS86" i="24"/>
  <c r="AR86" i="24"/>
  <c r="AP86" i="24"/>
  <c r="AO86" i="24"/>
  <c r="AN86" i="24"/>
  <c r="AM86" i="24"/>
  <c r="AL86" i="24"/>
  <c r="AK86" i="24"/>
  <c r="AU85" i="24"/>
  <c r="AS85" i="24"/>
  <c r="AR85" i="24"/>
  <c r="AO85" i="24"/>
  <c r="AN85" i="24"/>
  <c r="AL85" i="24"/>
  <c r="AK85" i="24"/>
  <c r="AU84" i="24"/>
  <c r="AS84" i="24"/>
  <c r="AR84" i="24"/>
  <c r="AO84" i="24"/>
  <c r="AN84" i="24"/>
  <c r="AL84" i="24"/>
  <c r="AK84" i="24"/>
  <c r="AU83" i="24"/>
  <c r="AS83" i="24"/>
  <c r="AR83" i="24"/>
  <c r="AO83" i="24"/>
  <c r="AN83" i="24"/>
  <c r="AL83" i="24"/>
  <c r="AK83" i="24"/>
  <c r="AU82" i="24"/>
  <c r="AS82" i="24"/>
  <c r="AR82" i="24"/>
  <c r="AO82" i="24"/>
  <c r="AN82" i="24"/>
  <c r="AL82" i="24"/>
  <c r="AK82" i="24"/>
  <c r="AU81" i="24"/>
  <c r="AK81" i="24"/>
  <c r="AU80" i="24"/>
  <c r="AS80" i="24"/>
  <c r="AR80" i="24"/>
  <c r="AO80" i="24"/>
  <c r="AN80" i="24"/>
  <c r="AL80" i="24"/>
  <c r="AK80" i="24"/>
  <c r="AU79" i="24"/>
  <c r="AS79" i="24"/>
  <c r="AR79" i="24"/>
  <c r="AP79" i="24"/>
  <c r="AO79" i="24"/>
  <c r="AN79" i="24"/>
  <c r="AM79" i="24"/>
  <c r="AL79" i="24"/>
  <c r="AU78" i="24"/>
  <c r="AS78" i="24"/>
  <c r="AR78" i="24"/>
  <c r="AP78" i="24"/>
  <c r="AO78" i="24"/>
  <c r="AN78" i="24"/>
  <c r="AM78" i="24"/>
  <c r="AL78" i="24"/>
  <c r="AK78" i="24"/>
  <c r="AU77" i="24"/>
  <c r="AS77" i="24"/>
  <c r="AR77" i="24"/>
  <c r="AP77" i="24"/>
  <c r="AO77" i="24"/>
  <c r="AN77" i="24"/>
  <c r="AM77" i="24"/>
  <c r="AL77" i="24"/>
  <c r="AK76" i="24"/>
  <c r="AU75" i="24"/>
  <c r="AS75" i="24"/>
  <c r="AR75" i="24"/>
  <c r="AP75" i="24"/>
  <c r="AO75" i="24"/>
  <c r="AN75" i="24"/>
  <c r="AM75" i="24"/>
  <c r="AL75" i="24"/>
  <c r="AK75" i="24"/>
  <c r="AU74" i="24"/>
  <c r="AS74" i="24"/>
  <c r="AR74" i="24"/>
  <c r="AO74" i="24"/>
  <c r="AN74" i="24"/>
  <c r="AL74" i="24"/>
  <c r="AK74" i="24"/>
  <c r="AU73" i="24"/>
  <c r="AS73" i="24"/>
  <c r="AR73" i="24"/>
  <c r="AO73" i="24"/>
  <c r="AN73" i="24"/>
  <c r="AL73" i="24"/>
  <c r="AK73" i="24"/>
  <c r="AU72" i="24"/>
  <c r="AS72" i="24"/>
  <c r="AR72" i="24"/>
  <c r="AO72" i="24"/>
  <c r="AN72" i="24"/>
  <c r="AL72" i="24"/>
  <c r="AK72" i="24"/>
  <c r="AU71" i="24"/>
  <c r="AS71" i="24"/>
  <c r="AR71" i="24"/>
  <c r="AO71" i="24"/>
  <c r="AN71" i="24"/>
  <c r="AL71" i="24"/>
  <c r="AK71" i="24"/>
  <c r="AK70" i="24"/>
  <c r="AU69" i="24"/>
  <c r="AS69" i="24"/>
  <c r="AR69" i="24"/>
  <c r="AO69" i="24"/>
  <c r="AN69" i="24"/>
  <c r="AL69" i="24"/>
  <c r="AK69" i="24"/>
  <c r="AU68" i="24"/>
  <c r="AS68" i="24"/>
  <c r="AR68" i="24"/>
  <c r="AP68" i="24"/>
  <c r="AO68" i="24"/>
  <c r="AN68" i="24"/>
  <c r="AM68" i="24"/>
  <c r="AL68" i="24"/>
  <c r="AK68" i="24"/>
  <c r="AU67" i="24"/>
  <c r="AS67" i="24"/>
  <c r="AR67" i="24"/>
  <c r="AO67" i="24"/>
  <c r="AN67" i="24"/>
  <c r="AL67" i="24"/>
  <c r="AK67" i="24"/>
  <c r="AU66" i="24"/>
  <c r="AS66" i="24"/>
  <c r="AR66" i="24"/>
  <c r="AO66" i="24"/>
  <c r="AN66" i="24"/>
  <c r="AL66" i="24"/>
  <c r="AK66" i="24"/>
  <c r="AU65" i="24"/>
  <c r="AS65" i="24"/>
  <c r="AR65" i="24"/>
  <c r="AO65" i="24"/>
  <c r="AN65" i="24"/>
  <c r="AL65" i="24"/>
  <c r="AK65" i="24"/>
  <c r="AK64" i="24"/>
  <c r="AK63" i="24"/>
  <c r="AK62" i="24"/>
  <c r="AU61" i="24"/>
  <c r="AS61" i="24"/>
  <c r="AR61" i="24"/>
  <c r="AP61" i="24"/>
  <c r="AO61" i="24"/>
  <c r="AN61" i="24"/>
  <c r="AM61" i="24"/>
  <c r="AL61" i="24"/>
  <c r="AK61" i="24"/>
  <c r="AU60" i="24"/>
  <c r="AS60" i="24"/>
  <c r="AR60" i="24"/>
  <c r="AO60" i="24"/>
  <c r="AN60" i="24"/>
  <c r="AL60" i="24"/>
  <c r="AK60" i="24"/>
  <c r="AU59" i="24"/>
  <c r="AS59" i="24"/>
  <c r="AR59" i="24"/>
  <c r="AO59" i="24"/>
  <c r="AN59" i="24"/>
  <c r="AL59" i="24"/>
  <c r="AK59" i="24"/>
  <c r="AU58" i="24"/>
  <c r="AS58" i="24"/>
  <c r="AR58" i="24"/>
  <c r="AO58" i="24"/>
  <c r="AN58" i="24"/>
  <c r="AL58" i="24"/>
  <c r="AK58" i="24"/>
  <c r="AK57" i="24"/>
  <c r="AK56" i="24"/>
  <c r="AK55" i="24"/>
  <c r="AU54" i="24"/>
  <c r="AS54" i="24"/>
  <c r="AR54" i="24"/>
  <c r="AP54" i="24"/>
  <c r="AO54" i="24"/>
  <c r="AN54" i="24"/>
  <c r="AM54" i="24"/>
  <c r="AL54" i="24"/>
  <c r="AK54" i="24"/>
  <c r="AU53" i="24"/>
  <c r="AS53" i="24"/>
  <c r="AR53" i="24"/>
  <c r="AO53" i="24"/>
  <c r="AN53" i="24"/>
  <c r="AL53" i="24"/>
  <c r="AK53" i="24"/>
  <c r="AU52" i="24"/>
  <c r="AS52" i="24"/>
  <c r="AR52" i="24"/>
  <c r="AO52" i="24"/>
  <c r="AN52" i="24"/>
  <c r="AL52" i="24"/>
  <c r="AK52" i="24"/>
  <c r="AU51" i="24"/>
  <c r="AS51" i="24"/>
  <c r="AR51" i="24"/>
  <c r="AO51" i="24"/>
  <c r="AN51" i="24"/>
  <c r="AL51" i="24"/>
  <c r="AK51" i="24"/>
  <c r="AK50" i="24"/>
  <c r="AK49" i="24"/>
  <c r="AK48" i="24"/>
  <c r="AU47" i="24"/>
  <c r="AS47" i="24"/>
  <c r="AR47" i="24"/>
  <c r="AP47" i="24"/>
  <c r="AO47" i="24"/>
  <c r="AN47" i="24"/>
  <c r="AM47" i="24"/>
  <c r="AL47" i="24"/>
  <c r="AK47" i="24"/>
  <c r="AU46" i="24"/>
  <c r="AS46" i="24"/>
  <c r="AR46" i="24"/>
  <c r="AO46" i="24"/>
  <c r="AN46" i="24"/>
  <c r="AL46" i="24"/>
  <c r="AK46" i="24"/>
  <c r="AU45" i="24"/>
  <c r="AS45" i="24"/>
  <c r="AR45" i="24"/>
  <c r="AO45" i="24"/>
  <c r="AN45" i="24"/>
  <c r="AL45" i="24"/>
  <c r="AK45" i="24"/>
  <c r="AK44" i="24"/>
  <c r="AK43" i="24"/>
  <c r="AK42" i="24"/>
  <c r="AK41" i="24"/>
  <c r="AU33" i="24"/>
  <c r="AS33" i="24"/>
  <c r="AR33" i="24"/>
  <c r="AP33" i="24"/>
  <c r="AO33" i="24"/>
  <c r="AN33" i="24"/>
  <c r="AM33" i="24"/>
  <c r="AL33" i="24"/>
  <c r="AK33" i="24"/>
  <c r="AU32" i="24"/>
  <c r="AS32" i="24"/>
  <c r="AR32" i="24"/>
  <c r="AO32" i="24"/>
  <c r="AN32" i="24"/>
  <c r="AL32" i="24"/>
  <c r="AK32" i="24"/>
  <c r="AK31" i="24"/>
  <c r="AK30" i="24"/>
  <c r="AK29" i="24"/>
  <c r="AK28" i="24"/>
  <c r="AK27" i="24"/>
  <c r="AU26" i="24"/>
  <c r="AS26" i="24"/>
  <c r="AR26" i="24"/>
  <c r="AP26" i="24"/>
  <c r="AO26" i="24"/>
  <c r="AN26" i="24"/>
  <c r="AM26" i="24"/>
  <c r="AL26" i="24"/>
  <c r="AK26" i="24"/>
  <c r="AU25" i="24"/>
  <c r="AS25" i="24"/>
  <c r="AR25" i="24"/>
  <c r="AO25" i="24"/>
  <c r="AN25" i="24"/>
  <c r="AL25" i="24"/>
  <c r="AK25" i="24"/>
  <c r="AU24" i="24"/>
  <c r="AS24" i="24"/>
  <c r="AR24" i="24"/>
  <c r="AO24" i="24"/>
  <c r="AN24" i="24"/>
  <c r="AL24" i="24"/>
  <c r="AK24" i="24"/>
  <c r="AU23" i="24"/>
  <c r="AS23" i="24"/>
  <c r="AR23" i="24"/>
  <c r="AO23" i="24"/>
  <c r="AN23" i="24"/>
  <c r="AL23" i="24"/>
  <c r="AK23" i="24"/>
  <c r="AU22" i="24"/>
  <c r="AS22" i="24"/>
  <c r="AR22" i="24"/>
  <c r="AO22" i="24"/>
  <c r="AN22" i="24"/>
  <c r="AL22" i="24"/>
  <c r="AK22" i="24"/>
  <c r="AK21" i="24"/>
  <c r="AU20" i="24"/>
  <c r="AS20" i="24"/>
  <c r="AR20" i="24"/>
  <c r="AO20" i="24"/>
  <c r="AN20" i="24"/>
  <c r="AL20" i="24"/>
  <c r="AK20" i="24"/>
  <c r="AU19" i="24"/>
  <c r="AS19" i="24"/>
  <c r="AR19" i="24"/>
  <c r="AP19" i="24"/>
  <c r="AO19" i="24"/>
  <c r="AN19" i="24"/>
  <c r="AM19" i="24"/>
  <c r="AL19" i="24"/>
  <c r="AK19" i="24"/>
  <c r="AU18" i="24"/>
  <c r="AS18" i="24"/>
  <c r="AR18" i="24"/>
  <c r="AO18" i="24"/>
  <c r="AN18" i="24"/>
  <c r="AL18" i="24"/>
  <c r="AK18" i="24"/>
  <c r="AU17" i="24"/>
  <c r="AS17" i="24"/>
  <c r="AR17" i="24"/>
  <c r="AO17" i="24"/>
  <c r="AN17" i="24"/>
  <c r="AL17" i="24"/>
  <c r="AK17" i="24"/>
  <c r="AK16" i="24"/>
  <c r="AU124" i="28"/>
  <c r="AK124" i="28"/>
  <c r="AU123" i="28"/>
  <c r="AS123" i="28"/>
  <c r="AR123" i="28"/>
  <c r="AP123" i="28"/>
  <c r="AO123" i="28"/>
  <c r="AN123" i="28"/>
  <c r="AM123" i="28"/>
  <c r="AL123" i="28"/>
  <c r="AU122" i="28"/>
  <c r="AR122" i="28"/>
  <c r="AK122" i="28"/>
  <c r="AU121" i="28"/>
  <c r="AS121" i="28"/>
  <c r="AR121" i="28"/>
  <c r="AP121" i="28"/>
  <c r="AO121" i="28"/>
  <c r="AN121" i="28"/>
  <c r="AM121" i="28"/>
  <c r="AL121" i="28"/>
  <c r="AK121" i="28"/>
  <c r="AU120" i="28"/>
  <c r="AS120" i="28"/>
  <c r="AR120" i="28"/>
  <c r="AP120" i="28"/>
  <c r="AO120" i="28"/>
  <c r="AN120" i="28"/>
  <c r="AM120" i="28"/>
  <c r="AL120" i="28"/>
  <c r="AK120" i="28"/>
  <c r="AU119" i="28"/>
  <c r="AS119" i="28"/>
  <c r="AR119" i="28"/>
  <c r="AP119" i="28"/>
  <c r="AO119" i="28"/>
  <c r="AN119" i="28"/>
  <c r="AM119" i="28"/>
  <c r="AL119" i="28"/>
  <c r="AK119" i="28"/>
  <c r="AU118" i="28"/>
  <c r="AR118" i="28"/>
  <c r="AK118" i="28"/>
  <c r="AU117" i="28"/>
  <c r="AR117" i="28"/>
  <c r="AO117" i="28"/>
  <c r="AN117" i="28"/>
  <c r="AK117" i="28"/>
  <c r="AU116" i="28"/>
  <c r="AS116" i="28"/>
  <c r="AR116" i="28"/>
  <c r="AP116" i="28"/>
  <c r="AO116" i="28"/>
  <c r="AN116" i="28"/>
  <c r="AM116" i="28"/>
  <c r="AL116" i="28"/>
  <c r="AK116" i="28"/>
  <c r="AU115" i="28"/>
  <c r="AS115" i="28"/>
  <c r="AR115" i="28"/>
  <c r="AO115" i="28"/>
  <c r="AN115" i="28"/>
  <c r="AL115" i="28"/>
  <c r="AK115" i="28"/>
  <c r="AU114" i="28"/>
  <c r="AS114" i="28"/>
  <c r="AR114" i="28"/>
  <c r="AO114" i="28"/>
  <c r="AN114" i="28"/>
  <c r="AL114" i="28"/>
  <c r="AK114" i="28"/>
  <c r="AU113" i="28"/>
  <c r="AR113" i="28"/>
  <c r="AK113" i="28"/>
  <c r="AU112" i="28"/>
  <c r="AR112" i="28"/>
  <c r="AO112" i="28"/>
  <c r="AN112" i="28"/>
  <c r="AK112" i="28"/>
  <c r="AU111" i="28"/>
  <c r="AS111" i="28"/>
  <c r="AR111" i="28"/>
  <c r="AP111" i="28"/>
  <c r="AO111" i="28"/>
  <c r="AN111" i="28"/>
  <c r="AM111" i="28"/>
  <c r="AL111" i="28"/>
  <c r="AK111" i="28"/>
  <c r="AU110" i="28"/>
  <c r="AS110" i="28"/>
  <c r="AR110" i="28"/>
  <c r="AP110" i="28"/>
  <c r="AO110" i="28"/>
  <c r="AN110" i="28"/>
  <c r="AM110" i="28"/>
  <c r="AL110" i="28"/>
  <c r="AK110" i="28"/>
  <c r="AU109" i="28"/>
  <c r="AS109" i="28"/>
  <c r="AR109" i="28"/>
  <c r="AP109" i="28"/>
  <c r="AO109" i="28"/>
  <c r="AN109" i="28"/>
  <c r="AM109" i="28"/>
  <c r="AL109" i="28"/>
  <c r="AU108" i="28"/>
  <c r="AK108" i="28"/>
  <c r="AU107" i="28"/>
  <c r="AS107" i="28"/>
  <c r="AR107" i="28"/>
  <c r="AP107" i="28"/>
  <c r="AO107" i="28"/>
  <c r="AN107" i="28"/>
  <c r="AM107" i="28"/>
  <c r="AL107" i="28"/>
  <c r="AK107" i="28"/>
  <c r="AU106" i="28"/>
  <c r="AS106" i="28"/>
  <c r="AR106" i="28"/>
  <c r="AO106" i="28"/>
  <c r="AN106" i="28"/>
  <c r="AL106" i="28"/>
  <c r="AK106" i="28"/>
  <c r="AU105" i="28"/>
  <c r="AS105" i="28"/>
  <c r="AR105" i="28"/>
  <c r="AO105" i="28"/>
  <c r="AN105" i="28"/>
  <c r="AL105" i="28"/>
  <c r="AK105" i="28"/>
  <c r="AU104" i="28"/>
  <c r="AS104" i="28"/>
  <c r="AR104" i="28"/>
  <c r="AO104" i="28"/>
  <c r="AN104" i="28"/>
  <c r="AL104" i="28"/>
  <c r="AK104" i="28"/>
  <c r="AU103" i="28"/>
  <c r="AK103" i="28"/>
  <c r="AU102" i="28"/>
  <c r="AK102" i="28"/>
  <c r="AU101" i="28"/>
  <c r="AK101" i="28"/>
  <c r="AU100" i="28"/>
  <c r="AS100" i="28"/>
  <c r="AR100" i="28"/>
  <c r="AP100" i="28"/>
  <c r="AO100" i="28"/>
  <c r="AN100" i="28"/>
  <c r="AM100" i="28"/>
  <c r="AL100" i="28"/>
  <c r="AK100" i="28"/>
  <c r="AU99" i="28"/>
  <c r="AS99" i="28"/>
  <c r="AR99" i="28"/>
  <c r="AO99" i="28"/>
  <c r="AN99" i="28"/>
  <c r="AL99" i="28"/>
  <c r="AK99" i="28"/>
  <c r="AU98" i="28"/>
  <c r="AS98" i="28"/>
  <c r="AR98" i="28"/>
  <c r="AO98" i="28"/>
  <c r="AN98" i="28"/>
  <c r="AL98" i="28"/>
  <c r="AK98" i="28"/>
  <c r="AU97" i="28"/>
  <c r="AS97" i="28"/>
  <c r="AR97" i="28"/>
  <c r="AO97" i="28"/>
  <c r="AN97" i="28"/>
  <c r="AL97" i="28"/>
  <c r="AK97" i="28"/>
  <c r="AU96" i="28"/>
  <c r="AS96" i="28"/>
  <c r="AR96" i="28"/>
  <c r="AO96" i="28"/>
  <c r="AN96" i="28"/>
  <c r="AL96" i="28"/>
  <c r="AK96" i="28"/>
  <c r="AU95" i="28"/>
  <c r="AK95" i="28"/>
  <c r="AU94" i="28"/>
  <c r="AS94" i="28"/>
  <c r="AR94" i="28"/>
  <c r="AP94" i="28"/>
  <c r="AO94" i="28"/>
  <c r="AN94" i="28"/>
  <c r="AL94" i="28"/>
  <c r="AK94" i="28"/>
  <c r="AU93" i="28"/>
  <c r="AS93" i="28"/>
  <c r="AR93" i="28"/>
  <c r="AP93" i="28"/>
  <c r="AO93" i="28"/>
  <c r="AN93" i="28"/>
  <c r="AM93" i="28"/>
  <c r="AL93" i="28"/>
  <c r="AK93" i="28"/>
  <c r="AU92" i="28"/>
  <c r="AS92" i="28"/>
  <c r="AR92" i="28"/>
  <c r="AO92" i="28"/>
  <c r="AN92" i="28"/>
  <c r="AL92" i="28"/>
  <c r="AK92" i="28"/>
  <c r="AU91" i="28"/>
  <c r="AS91" i="28"/>
  <c r="AR91" i="28"/>
  <c r="AO91" i="28"/>
  <c r="AN91" i="28"/>
  <c r="AL91" i="28"/>
  <c r="AK91" i="28"/>
  <c r="AU90" i="28"/>
  <c r="AS90" i="28"/>
  <c r="AR90" i="28"/>
  <c r="AO90" i="28"/>
  <c r="AN90" i="28"/>
  <c r="AL90" i="28"/>
  <c r="AK90" i="28"/>
  <c r="AU89" i="28"/>
  <c r="AK89" i="28"/>
  <c r="AU88" i="28"/>
  <c r="AK88" i="28"/>
  <c r="AU87" i="28"/>
  <c r="AK87" i="28"/>
  <c r="AU86" i="28"/>
  <c r="AS86" i="28"/>
  <c r="AR86" i="28"/>
  <c r="AP86" i="28"/>
  <c r="AO86" i="28"/>
  <c r="AN86" i="28"/>
  <c r="AM86" i="28"/>
  <c r="AL86" i="28"/>
  <c r="AK86" i="28"/>
  <c r="AU85" i="28"/>
  <c r="AS85" i="28"/>
  <c r="AR85" i="28"/>
  <c r="AO85" i="28"/>
  <c r="AN85" i="28"/>
  <c r="AL85" i="28"/>
  <c r="AK85" i="28"/>
  <c r="AU84" i="28"/>
  <c r="AS84" i="28"/>
  <c r="AR84" i="28"/>
  <c r="AO84" i="28"/>
  <c r="AN84" i="28"/>
  <c r="AL84" i="28"/>
  <c r="AK84" i="28"/>
  <c r="AU83" i="28"/>
  <c r="AS83" i="28"/>
  <c r="AR83" i="28"/>
  <c r="AO83" i="28"/>
  <c r="AN83" i="28"/>
  <c r="AL83" i="28"/>
  <c r="AK83" i="28"/>
  <c r="AU82" i="28"/>
  <c r="AS82" i="28"/>
  <c r="AR82" i="28"/>
  <c r="AO82" i="28"/>
  <c r="AN82" i="28"/>
  <c r="AL82" i="28"/>
  <c r="AK82" i="28"/>
  <c r="AU81" i="28"/>
  <c r="AK81" i="28"/>
  <c r="AU80" i="28"/>
  <c r="AO80" i="28"/>
  <c r="AN80" i="28"/>
  <c r="AL80" i="28"/>
  <c r="AK80" i="28"/>
  <c r="AU79" i="28"/>
  <c r="AS79" i="28"/>
  <c r="AR79" i="28"/>
  <c r="AP79" i="28"/>
  <c r="AO79" i="28"/>
  <c r="AN79" i="28"/>
  <c r="AM79" i="28"/>
  <c r="AL79" i="28"/>
  <c r="AU78" i="28"/>
  <c r="AS78" i="28"/>
  <c r="AR78" i="28"/>
  <c r="AP78" i="28"/>
  <c r="AO78" i="28"/>
  <c r="AN78" i="28"/>
  <c r="AM78" i="28"/>
  <c r="AL78" i="28"/>
  <c r="AK78" i="28"/>
  <c r="AU77" i="28"/>
  <c r="AS77" i="28"/>
  <c r="AR77" i="28"/>
  <c r="AP77" i="28"/>
  <c r="AO77" i="28"/>
  <c r="AN77" i="28"/>
  <c r="AM77" i="28"/>
  <c r="AL77" i="28"/>
  <c r="AK76" i="28"/>
  <c r="AU75" i="28"/>
  <c r="AS75" i="28"/>
  <c r="AR75" i="28"/>
  <c r="AP75" i="28"/>
  <c r="AO75" i="28"/>
  <c r="AN75" i="28"/>
  <c r="AM75" i="28"/>
  <c r="AL75" i="28"/>
  <c r="AK75" i="28"/>
  <c r="AU74" i="28"/>
  <c r="AS74" i="28"/>
  <c r="AR74" i="28"/>
  <c r="AO74" i="28"/>
  <c r="AN74" i="28"/>
  <c r="AL74" i="28"/>
  <c r="AK74" i="28"/>
  <c r="AU73" i="28"/>
  <c r="AS73" i="28"/>
  <c r="AR73" i="28"/>
  <c r="AO73" i="28"/>
  <c r="AN73" i="28"/>
  <c r="AL73" i="28"/>
  <c r="AK73" i="28"/>
  <c r="AU72" i="28"/>
  <c r="AS72" i="28"/>
  <c r="AR72" i="28"/>
  <c r="AO72" i="28"/>
  <c r="AN72" i="28"/>
  <c r="AL72" i="28"/>
  <c r="AK72" i="28"/>
  <c r="AU71" i="28"/>
  <c r="AS71" i="28"/>
  <c r="AR71" i="28"/>
  <c r="AO71" i="28"/>
  <c r="AN71" i="28"/>
  <c r="AL71" i="28"/>
  <c r="AK71" i="28"/>
  <c r="AK70" i="28"/>
  <c r="AO69" i="28"/>
  <c r="AN69" i="28"/>
  <c r="AL69" i="28"/>
  <c r="AK69" i="28"/>
  <c r="AU68" i="28"/>
  <c r="AS68" i="28"/>
  <c r="AR68" i="28"/>
  <c r="AP68" i="28"/>
  <c r="AO68" i="28"/>
  <c r="AN68" i="28"/>
  <c r="AM68" i="28"/>
  <c r="AL68" i="28"/>
  <c r="AK68" i="28"/>
  <c r="AU67" i="28"/>
  <c r="AS67" i="28"/>
  <c r="AR67" i="28"/>
  <c r="AO67" i="28"/>
  <c r="AN67" i="28"/>
  <c r="AL67" i="28"/>
  <c r="AK67" i="28"/>
  <c r="AU66" i="28"/>
  <c r="AS66" i="28"/>
  <c r="AR66" i="28"/>
  <c r="AO66" i="28"/>
  <c r="AN66" i="28"/>
  <c r="AL66" i="28"/>
  <c r="AK66" i="28"/>
  <c r="AU65" i="28"/>
  <c r="AS65" i="28"/>
  <c r="AR65" i="28"/>
  <c r="AO65" i="28"/>
  <c r="AN65" i="28"/>
  <c r="AL65" i="28"/>
  <c r="AK65" i="28"/>
  <c r="AK64" i="28"/>
  <c r="AK63" i="28"/>
  <c r="AK62" i="28"/>
  <c r="AU61" i="28"/>
  <c r="AS61" i="28"/>
  <c r="AR61" i="28"/>
  <c r="AP61" i="28"/>
  <c r="AO61" i="28"/>
  <c r="AN61" i="28"/>
  <c r="AM61" i="28"/>
  <c r="AL61" i="28"/>
  <c r="AK61" i="28"/>
  <c r="AU60" i="28"/>
  <c r="AS60" i="28"/>
  <c r="AR60" i="28"/>
  <c r="AO60" i="28"/>
  <c r="AN60" i="28"/>
  <c r="AL60" i="28"/>
  <c r="AK60" i="28"/>
  <c r="AU59" i="28"/>
  <c r="AS59" i="28"/>
  <c r="AR59" i="28"/>
  <c r="AO59" i="28"/>
  <c r="AN59" i="28"/>
  <c r="AL59" i="28"/>
  <c r="AK59" i="28"/>
  <c r="AU58" i="28"/>
  <c r="AS58" i="28"/>
  <c r="AR58" i="28"/>
  <c r="AO58" i="28"/>
  <c r="AN58" i="28"/>
  <c r="AL58" i="28"/>
  <c r="AK58" i="28"/>
  <c r="AK57" i="28"/>
  <c r="AK56" i="28"/>
  <c r="AK55" i="28"/>
  <c r="AU54" i="28"/>
  <c r="AS54" i="28"/>
  <c r="AR54" i="28"/>
  <c r="AP54" i="28"/>
  <c r="AO54" i="28"/>
  <c r="AN54" i="28"/>
  <c r="AM54" i="28"/>
  <c r="AL54" i="28"/>
  <c r="AK54" i="28"/>
  <c r="AU53" i="28"/>
  <c r="AS53" i="28"/>
  <c r="AR53" i="28"/>
  <c r="AO53" i="28"/>
  <c r="AN53" i="28"/>
  <c r="AL53" i="28"/>
  <c r="AK53" i="28"/>
  <c r="AU52" i="28"/>
  <c r="AS52" i="28"/>
  <c r="AR52" i="28"/>
  <c r="AO52" i="28"/>
  <c r="AN52" i="28"/>
  <c r="AL52" i="28"/>
  <c r="AK52" i="28"/>
  <c r="AU51" i="28"/>
  <c r="AS51" i="28"/>
  <c r="AR51" i="28"/>
  <c r="AO51" i="28"/>
  <c r="AN51" i="28"/>
  <c r="AL51" i="28"/>
  <c r="AK51" i="28"/>
  <c r="AK50" i="28"/>
  <c r="AK49" i="28"/>
  <c r="AK48" i="28"/>
  <c r="AU47" i="28"/>
  <c r="AS47" i="28"/>
  <c r="AR47" i="28"/>
  <c r="AP47" i="28"/>
  <c r="AO47" i="28"/>
  <c r="AN47" i="28"/>
  <c r="AM47" i="28"/>
  <c r="AL47" i="28"/>
  <c r="AK47" i="28"/>
  <c r="AO46" i="28"/>
  <c r="AN46" i="28"/>
  <c r="AL46" i="28"/>
  <c r="AK46" i="28"/>
  <c r="AO45" i="28"/>
  <c r="AN45" i="28"/>
  <c r="AL45" i="28"/>
  <c r="AK45" i="28"/>
  <c r="AK44" i="28"/>
  <c r="AK43" i="28"/>
  <c r="AK42" i="28"/>
  <c r="AK41" i="28"/>
  <c r="AU33" i="28"/>
  <c r="AS33" i="28"/>
  <c r="AR33" i="28"/>
  <c r="AP33" i="28"/>
  <c r="AO33" i="28"/>
  <c r="AN33" i="28"/>
  <c r="AM33" i="28"/>
  <c r="AL33" i="28"/>
  <c r="AK33" i="28"/>
  <c r="AU32" i="28"/>
  <c r="AS32" i="28"/>
  <c r="AR32" i="28"/>
  <c r="AO32" i="28"/>
  <c r="AN32" i="28"/>
  <c r="AL32" i="28"/>
  <c r="AK32" i="28"/>
  <c r="AK31" i="28"/>
  <c r="AK30" i="28"/>
  <c r="AK29" i="28"/>
  <c r="AK28" i="28"/>
  <c r="AK27" i="28"/>
  <c r="AU26" i="28"/>
  <c r="AS26" i="28"/>
  <c r="AR26" i="28"/>
  <c r="AP26" i="28"/>
  <c r="AO26" i="28"/>
  <c r="AN26" i="28"/>
  <c r="AM26" i="28"/>
  <c r="AL26" i="28"/>
  <c r="AK26" i="28"/>
  <c r="AU25" i="28"/>
  <c r="AS25" i="28"/>
  <c r="AR25" i="28"/>
  <c r="AO25" i="28"/>
  <c r="AN25" i="28"/>
  <c r="AL25" i="28"/>
  <c r="AK25" i="28"/>
  <c r="AU24" i="28"/>
  <c r="AS24" i="28"/>
  <c r="AR24" i="28"/>
  <c r="AO24" i="28"/>
  <c r="AN24" i="28"/>
  <c r="AL24" i="28"/>
  <c r="AK24" i="28"/>
  <c r="AU23" i="28"/>
  <c r="AS23" i="28"/>
  <c r="AR23" i="28"/>
  <c r="AO23" i="28"/>
  <c r="AN23" i="28"/>
  <c r="AL23" i="28"/>
  <c r="AK23" i="28"/>
  <c r="AU22" i="28"/>
  <c r="AS22" i="28"/>
  <c r="AR22" i="28"/>
  <c r="AO22" i="28"/>
  <c r="AN22" i="28"/>
  <c r="AL22" i="28"/>
  <c r="AK22" i="28"/>
  <c r="AK21" i="28"/>
  <c r="AO20" i="28"/>
  <c r="AN20" i="28"/>
  <c r="AL20" i="28"/>
  <c r="AK20" i="28"/>
  <c r="AU19" i="28"/>
  <c r="AS19" i="28"/>
  <c r="AR19" i="28"/>
  <c r="AP19" i="28"/>
  <c r="AO19" i="28"/>
  <c r="AN19" i="28"/>
  <c r="AM19" i="28"/>
  <c r="AL19" i="28"/>
  <c r="AK19" i="28"/>
  <c r="AU18" i="28"/>
  <c r="AS18" i="28"/>
  <c r="AR18" i="28"/>
  <c r="AO18" i="28"/>
  <c r="AN18" i="28"/>
  <c r="AL18" i="28"/>
  <c r="AK18" i="28"/>
  <c r="AU17" i="28"/>
  <c r="AS17" i="28"/>
  <c r="AR17" i="28"/>
  <c r="AO17" i="28"/>
  <c r="AN17" i="28"/>
  <c r="AL17" i="28"/>
  <c r="AK17" i="28"/>
  <c r="AK16" i="28"/>
  <c r="AU124" i="32"/>
  <c r="AK124" i="32"/>
  <c r="AU123" i="32"/>
  <c r="AS123" i="32"/>
  <c r="AR123" i="32"/>
  <c r="AP123" i="32"/>
  <c r="AO123" i="32"/>
  <c r="AN123" i="32"/>
  <c r="AM123" i="32"/>
  <c r="AL123" i="32"/>
  <c r="AU122" i="32"/>
  <c r="AR122" i="32"/>
  <c r="AK122" i="32"/>
  <c r="AU121" i="32"/>
  <c r="AS121" i="32"/>
  <c r="AR121" i="32"/>
  <c r="AP121" i="32"/>
  <c r="AO121" i="32"/>
  <c r="AN121" i="32"/>
  <c r="AM121" i="32"/>
  <c r="AL121" i="32"/>
  <c r="AK121" i="32"/>
  <c r="AU120" i="32"/>
  <c r="AS120" i="32"/>
  <c r="AR120" i="32"/>
  <c r="AP120" i="32"/>
  <c r="AO120" i="32"/>
  <c r="AN120" i="32"/>
  <c r="AM120" i="32"/>
  <c r="AL120" i="32"/>
  <c r="AK120" i="32"/>
  <c r="AU119" i="32"/>
  <c r="AS119" i="32"/>
  <c r="AR119" i="32"/>
  <c r="AP119" i="32"/>
  <c r="AO119" i="32"/>
  <c r="AN119" i="32"/>
  <c r="AM119" i="32"/>
  <c r="AL119" i="32"/>
  <c r="AK119" i="32"/>
  <c r="AU118" i="32"/>
  <c r="AR118" i="32"/>
  <c r="AK118" i="32"/>
  <c r="AU117" i="32"/>
  <c r="AS117" i="32"/>
  <c r="AR117" i="32"/>
  <c r="AO117" i="32"/>
  <c r="AN117" i="32"/>
  <c r="AK117" i="32"/>
  <c r="AU116" i="32"/>
  <c r="AS116" i="32"/>
  <c r="AR116" i="32"/>
  <c r="AP116" i="32"/>
  <c r="AO116" i="32"/>
  <c r="AN116" i="32"/>
  <c r="AM116" i="32"/>
  <c r="AL116" i="32"/>
  <c r="AK116" i="32"/>
  <c r="AU115" i="32"/>
  <c r="AS115" i="32"/>
  <c r="AR115" i="32"/>
  <c r="AO115" i="32"/>
  <c r="AN115" i="32"/>
  <c r="AL115" i="32"/>
  <c r="AK115" i="32"/>
  <c r="AU114" i="32"/>
  <c r="AS114" i="32"/>
  <c r="AR114" i="32"/>
  <c r="AO114" i="32"/>
  <c r="AN114" i="32"/>
  <c r="AL114" i="32"/>
  <c r="AK114" i="32"/>
  <c r="AU113" i="32"/>
  <c r="AR113" i="32"/>
  <c r="AK113" i="32"/>
  <c r="AU112" i="32"/>
  <c r="AS112" i="32"/>
  <c r="AR112" i="32"/>
  <c r="AO112" i="32"/>
  <c r="AN112" i="32"/>
  <c r="AK112" i="32"/>
  <c r="AU111" i="32"/>
  <c r="AS111" i="32"/>
  <c r="AR111" i="32"/>
  <c r="AP111" i="32"/>
  <c r="AO111" i="32"/>
  <c r="AN111" i="32"/>
  <c r="AM111" i="32"/>
  <c r="AL111" i="32"/>
  <c r="AK111" i="32"/>
  <c r="AU110" i="32"/>
  <c r="AS110" i="32"/>
  <c r="AR110" i="32"/>
  <c r="AP110" i="32"/>
  <c r="AO110" i="32"/>
  <c r="AN110" i="32"/>
  <c r="AM110" i="32"/>
  <c r="AL110" i="32"/>
  <c r="AK110" i="32"/>
  <c r="AU109" i="32"/>
  <c r="AS109" i="32"/>
  <c r="AR109" i="32"/>
  <c r="AP109" i="32"/>
  <c r="AO109" i="32"/>
  <c r="AN109" i="32"/>
  <c r="AM109" i="32"/>
  <c r="AL109" i="32"/>
  <c r="AU108" i="32"/>
  <c r="AK108" i="32"/>
  <c r="AU107" i="32"/>
  <c r="AS107" i="32"/>
  <c r="AR107" i="32"/>
  <c r="AP107" i="32"/>
  <c r="AO107" i="32"/>
  <c r="AN107" i="32"/>
  <c r="AM107" i="32"/>
  <c r="AL107" i="32"/>
  <c r="AK107" i="32"/>
  <c r="AU106" i="32"/>
  <c r="AS106" i="32"/>
  <c r="AR106" i="32"/>
  <c r="AO106" i="32"/>
  <c r="AN106" i="32"/>
  <c r="AL106" i="32"/>
  <c r="AK106" i="32"/>
  <c r="AU105" i="32"/>
  <c r="AS105" i="32"/>
  <c r="AR105" i="32"/>
  <c r="AO105" i="32"/>
  <c r="AN105" i="32"/>
  <c r="AL105" i="32"/>
  <c r="AK105" i="32"/>
  <c r="AU104" i="32"/>
  <c r="AS104" i="32"/>
  <c r="AR104" i="32"/>
  <c r="AO104" i="32"/>
  <c r="AN104" i="32"/>
  <c r="AL104" i="32"/>
  <c r="AK104" i="32"/>
  <c r="AU103" i="32"/>
  <c r="AK103" i="32"/>
  <c r="AU102" i="32"/>
  <c r="AK102" i="32"/>
  <c r="AU101" i="32"/>
  <c r="AK101" i="32"/>
  <c r="AU100" i="32"/>
  <c r="AS100" i="32"/>
  <c r="AR100" i="32"/>
  <c r="AP100" i="32"/>
  <c r="AO100" i="32"/>
  <c r="AN100" i="32"/>
  <c r="AM100" i="32"/>
  <c r="AL100" i="32"/>
  <c r="AK100" i="32"/>
  <c r="AU99" i="32"/>
  <c r="AS99" i="32"/>
  <c r="AR99" i="32"/>
  <c r="AO99" i="32"/>
  <c r="AN99" i="32"/>
  <c r="AL99" i="32"/>
  <c r="AK99" i="32"/>
  <c r="AU98" i="32"/>
  <c r="AS98" i="32"/>
  <c r="AR98" i="32"/>
  <c r="AO98" i="32"/>
  <c r="AN98" i="32"/>
  <c r="AL98" i="32"/>
  <c r="AK98" i="32"/>
  <c r="AU97" i="32"/>
  <c r="AS97" i="32"/>
  <c r="AR97" i="32"/>
  <c r="AO97" i="32"/>
  <c r="AN97" i="32"/>
  <c r="AL97" i="32"/>
  <c r="AK97" i="32"/>
  <c r="AU96" i="32"/>
  <c r="AS96" i="32"/>
  <c r="AR96" i="32"/>
  <c r="AO96" i="32"/>
  <c r="AN96" i="32"/>
  <c r="AL96" i="32"/>
  <c r="AK96" i="32"/>
  <c r="AU95" i="32"/>
  <c r="AK95" i="32"/>
  <c r="AU94" i="32"/>
  <c r="AS94" i="32"/>
  <c r="AR94" i="32"/>
  <c r="AP94" i="32"/>
  <c r="AO94" i="32"/>
  <c r="AN94" i="32"/>
  <c r="AL94" i="32"/>
  <c r="AK94" i="32"/>
  <c r="AU93" i="32"/>
  <c r="AS93" i="32"/>
  <c r="AR93" i="32"/>
  <c r="AP93" i="32"/>
  <c r="AO93" i="32"/>
  <c r="AN93" i="32"/>
  <c r="AM93" i="32"/>
  <c r="AL93" i="32"/>
  <c r="AK93" i="32"/>
  <c r="AU92" i="32"/>
  <c r="AS92" i="32"/>
  <c r="AR92" i="32"/>
  <c r="AO92" i="32"/>
  <c r="AN92" i="32"/>
  <c r="AL92" i="32"/>
  <c r="AK92" i="32"/>
  <c r="AU91" i="32"/>
  <c r="AS91" i="32"/>
  <c r="AR91" i="32"/>
  <c r="AO91" i="32"/>
  <c r="AN91" i="32"/>
  <c r="AL91" i="32"/>
  <c r="AK91" i="32"/>
  <c r="AU90" i="32"/>
  <c r="AS90" i="32"/>
  <c r="AR90" i="32"/>
  <c r="AO90" i="32"/>
  <c r="AN90" i="32"/>
  <c r="AL90" i="32"/>
  <c r="AK90" i="32"/>
  <c r="AU89" i="32"/>
  <c r="AK89" i="32"/>
  <c r="AU88" i="32"/>
  <c r="AK88" i="32"/>
  <c r="AU87" i="32"/>
  <c r="AK87" i="32"/>
  <c r="AU86" i="32"/>
  <c r="AS86" i="32"/>
  <c r="AR86" i="32"/>
  <c r="AP86" i="32"/>
  <c r="AO86" i="32"/>
  <c r="AN86" i="32"/>
  <c r="AM86" i="32"/>
  <c r="AL86" i="32"/>
  <c r="AK86" i="32"/>
  <c r="AU85" i="32"/>
  <c r="AS85" i="32"/>
  <c r="AR85" i="32"/>
  <c r="AO85" i="32"/>
  <c r="AN85" i="32"/>
  <c r="AL85" i="32"/>
  <c r="AK85" i="32"/>
  <c r="AU84" i="32"/>
  <c r="AS84" i="32"/>
  <c r="AR84" i="32"/>
  <c r="AO84" i="32"/>
  <c r="AN84" i="32"/>
  <c r="AL84" i="32"/>
  <c r="AK84" i="32"/>
  <c r="AU83" i="32"/>
  <c r="AS83" i="32"/>
  <c r="AR83" i="32"/>
  <c r="AO83" i="32"/>
  <c r="AN83" i="32"/>
  <c r="AL83" i="32"/>
  <c r="AK83" i="32"/>
  <c r="AU82" i="32"/>
  <c r="AS82" i="32"/>
  <c r="AR82" i="32"/>
  <c r="AO82" i="32"/>
  <c r="AN82" i="32"/>
  <c r="AL82" i="32"/>
  <c r="AK82" i="32"/>
  <c r="AU81" i="32"/>
  <c r="AK81" i="32"/>
  <c r="AU80" i="32"/>
  <c r="AS80" i="32"/>
  <c r="AR80" i="32"/>
  <c r="AO80" i="32"/>
  <c r="AN80" i="32"/>
  <c r="AL80" i="32"/>
  <c r="AK80" i="32"/>
  <c r="AU79" i="32"/>
  <c r="AS79" i="32"/>
  <c r="AR79" i="32"/>
  <c r="AP79" i="32"/>
  <c r="AO79" i="32"/>
  <c r="AN79" i="32"/>
  <c r="AM79" i="32"/>
  <c r="AL79" i="32"/>
  <c r="AU78" i="32"/>
  <c r="AS78" i="32"/>
  <c r="AR78" i="32"/>
  <c r="AP78" i="32"/>
  <c r="AO78" i="32"/>
  <c r="AN78" i="32"/>
  <c r="AM78" i="32"/>
  <c r="AL78" i="32"/>
  <c r="AK78" i="32"/>
  <c r="AU77" i="32"/>
  <c r="AS77" i="32"/>
  <c r="AR77" i="32"/>
  <c r="AP77" i="32"/>
  <c r="AO77" i="32"/>
  <c r="AN77" i="32"/>
  <c r="AM77" i="32"/>
  <c r="AL77" i="32"/>
  <c r="AK76" i="32"/>
  <c r="AU75" i="32"/>
  <c r="AS75" i="32"/>
  <c r="AR75" i="32"/>
  <c r="AP75" i="32"/>
  <c r="AO75" i="32"/>
  <c r="AN75" i="32"/>
  <c r="AM75" i="32"/>
  <c r="AL75" i="32"/>
  <c r="AK75" i="32"/>
  <c r="AU74" i="32"/>
  <c r="AS74" i="32"/>
  <c r="AR74" i="32"/>
  <c r="AO74" i="32"/>
  <c r="AN74" i="32"/>
  <c r="AL74" i="32"/>
  <c r="AK74" i="32"/>
  <c r="AU73" i="32"/>
  <c r="AS73" i="32"/>
  <c r="AR73" i="32"/>
  <c r="AO73" i="32"/>
  <c r="AN73" i="32"/>
  <c r="AL73" i="32"/>
  <c r="AK73" i="32"/>
  <c r="AU72" i="32"/>
  <c r="AS72" i="32"/>
  <c r="AR72" i="32"/>
  <c r="AO72" i="32"/>
  <c r="AN72" i="32"/>
  <c r="AL72" i="32"/>
  <c r="AK72" i="32"/>
  <c r="AU71" i="32"/>
  <c r="AS71" i="32"/>
  <c r="AR71" i="32"/>
  <c r="AO71" i="32"/>
  <c r="AN71" i="32"/>
  <c r="AL71" i="32"/>
  <c r="AK71" i="32"/>
  <c r="AK70" i="32"/>
  <c r="AU69" i="32"/>
  <c r="AS69" i="32"/>
  <c r="AR69" i="32"/>
  <c r="AO69" i="32"/>
  <c r="AN69" i="32"/>
  <c r="AL69" i="32"/>
  <c r="AK69" i="32"/>
  <c r="AU68" i="32"/>
  <c r="AS68" i="32"/>
  <c r="AR68" i="32"/>
  <c r="AP68" i="32"/>
  <c r="AO68" i="32"/>
  <c r="AN68" i="32"/>
  <c r="AM68" i="32"/>
  <c r="AL68" i="32"/>
  <c r="AK68" i="32"/>
  <c r="AU67" i="32"/>
  <c r="AS67" i="32"/>
  <c r="AR67" i="32"/>
  <c r="AO67" i="32"/>
  <c r="AN67" i="32"/>
  <c r="AL67" i="32"/>
  <c r="AK67" i="32"/>
  <c r="AU66" i="32"/>
  <c r="AS66" i="32"/>
  <c r="AR66" i="32"/>
  <c r="AO66" i="32"/>
  <c r="AN66" i="32"/>
  <c r="AL66" i="32"/>
  <c r="AK66" i="32"/>
  <c r="AU65" i="32"/>
  <c r="AS65" i="32"/>
  <c r="AR65" i="32"/>
  <c r="AO65" i="32"/>
  <c r="AN65" i="32"/>
  <c r="AL65" i="32"/>
  <c r="AK65" i="32"/>
  <c r="AK64" i="32"/>
  <c r="AK63" i="32"/>
  <c r="AK62" i="32"/>
  <c r="AU61" i="32"/>
  <c r="AS61" i="32"/>
  <c r="AR61" i="32"/>
  <c r="AP61" i="32"/>
  <c r="AO61" i="32"/>
  <c r="AN61" i="32"/>
  <c r="AM61" i="32"/>
  <c r="AL61" i="32"/>
  <c r="AK61" i="32"/>
  <c r="AU60" i="32"/>
  <c r="AS60" i="32"/>
  <c r="AR60" i="32"/>
  <c r="AO60" i="32"/>
  <c r="AN60" i="32"/>
  <c r="AL60" i="32"/>
  <c r="AK60" i="32"/>
  <c r="AU59" i="32"/>
  <c r="AS59" i="32"/>
  <c r="AR59" i="32"/>
  <c r="AO59" i="32"/>
  <c r="AN59" i="32"/>
  <c r="AL59" i="32"/>
  <c r="AK59" i="32"/>
  <c r="AU58" i="32"/>
  <c r="AS58" i="32"/>
  <c r="AR58" i="32"/>
  <c r="AO58" i="32"/>
  <c r="AN58" i="32"/>
  <c r="AL58" i="32"/>
  <c r="AK58" i="32"/>
  <c r="AK57" i="32"/>
  <c r="AK56" i="32"/>
  <c r="AK55" i="32"/>
  <c r="AU54" i="32"/>
  <c r="AS54" i="32"/>
  <c r="AR54" i="32"/>
  <c r="AP54" i="32"/>
  <c r="AO54" i="32"/>
  <c r="AN54" i="32"/>
  <c r="AM54" i="32"/>
  <c r="AL54" i="32"/>
  <c r="AK54" i="32"/>
  <c r="AU53" i="32"/>
  <c r="AS53" i="32"/>
  <c r="AR53" i="32"/>
  <c r="AO53" i="32"/>
  <c r="AN53" i="32"/>
  <c r="AL53" i="32"/>
  <c r="AK53" i="32"/>
  <c r="AU52" i="32"/>
  <c r="AS52" i="32"/>
  <c r="AR52" i="32"/>
  <c r="AO52" i="32"/>
  <c r="AN52" i="32"/>
  <c r="AL52" i="32"/>
  <c r="AK52" i="32"/>
  <c r="AU51" i="32"/>
  <c r="AS51" i="32"/>
  <c r="AR51" i="32"/>
  <c r="AO51" i="32"/>
  <c r="AN51" i="32"/>
  <c r="AL51" i="32"/>
  <c r="AK51" i="32"/>
  <c r="AK50" i="32"/>
  <c r="AK49" i="32"/>
  <c r="AK48" i="32"/>
  <c r="AU47" i="32"/>
  <c r="AS47" i="32"/>
  <c r="AR47" i="32"/>
  <c r="AP47" i="32"/>
  <c r="AO47" i="32"/>
  <c r="AN47" i="32"/>
  <c r="AM47" i="32"/>
  <c r="AL47" i="32"/>
  <c r="AK47" i="32"/>
  <c r="AU46" i="32"/>
  <c r="AS46" i="32"/>
  <c r="AR46" i="32"/>
  <c r="AO46" i="32"/>
  <c r="AN46" i="32"/>
  <c r="AL46" i="32"/>
  <c r="AK46" i="32"/>
  <c r="AU45" i="32"/>
  <c r="AS45" i="32"/>
  <c r="AR45" i="32"/>
  <c r="AO45" i="32"/>
  <c r="AN45" i="32"/>
  <c r="AL45" i="32"/>
  <c r="AK45" i="32"/>
  <c r="AK44" i="32"/>
  <c r="AK43" i="32"/>
  <c r="AK42" i="32"/>
  <c r="AK41" i="32"/>
  <c r="AU33" i="32"/>
  <c r="AS33" i="32"/>
  <c r="AR33" i="32"/>
  <c r="AP33" i="32"/>
  <c r="AO33" i="32"/>
  <c r="AN33" i="32"/>
  <c r="AM33" i="32"/>
  <c r="AL33" i="32"/>
  <c r="AK33" i="32"/>
  <c r="AU32" i="32"/>
  <c r="AS32" i="32"/>
  <c r="AR32" i="32"/>
  <c r="AO32" i="32"/>
  <c r="AN32" i="32"/>
  <c r="AL32" i="32"/>
  <c r="AK32" i="32"/>
  <c r="AK31" i="32"/>
  <c r="AK30" i="32"/>
  <c r="AK29" i="32"/>
  <c r="AK28" i="32"/>
  <c r="AK27" i="32"/>
  <c r="AU26" i="32"/>
  <c r="AS26" i="32"/>
  <c r="AR26" i="32"/>
  <c r="AP26" i="32"/>
  <c r="AO26" i="32"/>
  <c r="AN26" i="32"/>
  <c r="AM26" i="32"/>
  <c r="AL26" i="32"/>
  <c r="AK26" i="32"/>
  <c r="AU25" i="32"/>
  <c r="AS25" i="32"/>
  <c r="AR25" i="32"/>
  <c r="AO25" i="32"/>
  <c r="AN25" i="32"/>
  <c r="AL25" i="32"/>
  <c r="AK25" i="32"/>
  <c r="AU24" i="32"/>
  <c r="AS24" i="32"/>
  <c r="AR24" i="32"/>
  <c r="AO24" i="32"/>
  <c r="AN24" i="32"/>
  <c r="AL24" i="32"/>
  <c r="AK24" i="32"/>
  <c r="AU23" i="32"/>
  <c r="AS23" i="32"/>
  <c r="AR23" i="32"/>
  <c r="AO23" i="32"/>
  <c r="AN23" i="32"/>
  <c r="AL23" i="32"/>
  <c r="AK23" i="32"/>
  <c r="AU22" i="32"/>
  <c r="AS22" i="32"/>
  <c r="AR22" i="32"/>
  <c r="AO22" i="32"/>
  <c r="AN22" i="32"/>
  <c r="AL22" i="32"/>
  <c r="AK22" i="32"/>
  <c r="AK21" i="32"/>
  <c r="AU20" i="32"/>
  <c r="AS20" i="32"/>
  <c r="AR20" i="32"/>
  <c r="AO20" i="32"/>
  <c r="AN20" i="32"/>
  <c r="AL20" i="32"/>
  <c r="AK20" i="32"/>
  <c r="AU19" i="32"/>
  <c r="AS19" i="32"/>
  <c r="AR19" i="32"/>
  <c r="AP19" i="32"/>
  <c r="AO19" i="32"/>
  <c r="AN19" i="32"/>
  <c r="AM19" i="32"/>
  <c r="AL19" i="32"/>
  <c r="AK19" i="32"/>
  <c r="AU18" i="32"/>
  <c r="AS18" i="32"/>
  <c r="AR18" i="32"/>
  <c r="AO18" i="32"/>
  <c r="AN18" i="32"/>
  <c r="AL18" i="32"/>
  <c r="AK18" i="32"/>
  <c r="AU17" i="32"/>
  <c r="AS17" i="32"/>
  <c r="AR17" i="32"/>
  <c r="AO17" i="32"/>
  <c r="AN17" i="32"/>
  <c r="AL17" i="32"/>
  <c r="AK17" i="32"/>
  <c r="AK16" i="32"/>
  <c r="AU124" i="36"/>
  <c r="AK124" i="36"/>
  <c r="AU123" i="36"/>
  <c r="AS123" i="36"/>
  <c r="AR123" i="36"/>
  <c r="AP123" i="36"/>
  <c r="AO123" i="36"/>
  <c r="AN123" i="36"/>
  <c r="AM123" i="36"/>
  <c r="AL123" i="36"/>
  <c r="AU122" i="36"/>
  <c r="AR122" i="36"/>
  <c r="AK122" i="36"/>
  <c r="AU121" i="36"/>
  <c r="AS121" i="36"/>
  <c r="AR121" i="36"/>
  <c r="AP121" i="36"/>
  <c r="AO121" i="36"/>
  <c r="AN121" i="36"/>
  <c r="AM121" i="36"/>
  <c r="AL121" i="36"/>
  <c r="AK121" i="36"/>
  <c r="AU120" i="36"/>
  <c r="AS120" i="36"/>
  <c r="AR120" i="36"/>
  <c r="AP120" i="36"/>
  <c r="AO120" i="36"/>
  <c r="AN120" i="36"/>
  <c r="AM120" i="36"/>
  <c r="AL120" i="36"/>
  <c r="AK120" i="36"/>
  <c r="AU119" i="36"/>
  <c r="AS119" i="36"/>
  <c r="AR119" i="36"/>
  <c r="AP119" i="36"/>
  <c r="AO119" i="36"/>
  <c r="AN119" i="36"/>
  <c r="AM119" i="36"/>
  <c r="AL119" i="36"/>
  <c r="AK119" i="36"/>
  <c r="AU118" i="36"/>
  <c r="AR118" i="36"/>
  <c r="AK118" i="36"/>
  <c r="AU117" i="36"/>
  <c r="AR117" i="36"/>
  <c r="AO117" i="36"/>
  <c r="AN117" i="36"/>
  <c r="AK117" i="36"/>
  <c r="AU116" i="36"/>
  <c r="AS116" i="36"/>
  <c r="AR116" i="36"/>
  <c r="AP116" i="36"/>
  <c r="AO116" i="36"/>
  <c r="AN116" i="36"/>
  <c r="AM116" i="36"/>
  <c r="AL116" i="36"/>
  <c r="AK116" i="36"/>
  <c r="AU115" i="36"/>
  <c r="AS115" i="36"/>
  <c r="AR115" i="36"/>
  <c r="AO115" i="36"/>
  <c r="AN115" i="36"/>
  <c r="AL115" i="36"/>
  <c r="AK115" i="36"/>
  <c r="AU114" i="36"/>
  <c r="AS114" i="36"/>
  <c r="AR114" i="36"/>
  <c r="AO114" i="36"/>
  <c r="AN114" i="36"/>
  <c r="AL114" i="36"/>
  <c r="AK114" i="36"/>
  <c r="AU113" i="36"/>
  <c r="AR113" i="36"/>
  <c r="AK113" i="36"/>
  <c r="AU112" i="36"/>
  <c r="AR112" i="36"/>
  <c r="AO112" i="36"/>
  <c r="AN112" i="36"/>
  <c r="AK112" i="36"/>
  <c r="AU111" i="36"/>
  <c r="AS111" i="36"/>
  <c r="AR111" i="36"/>
  <c r="AP111" i="36"/>
  <c r="AO111" i="36"/>
  <c r="AN111" i="36"/>
  <c r="AM111" i="36"/>
  <c r="AL111" i="36"/>
  <c r="AK111" i="36"/>
  <c r="AU110" i="36"/>
  <c r="AS110" i="36"/>
  <c r="AR110" i="36"/>
  <c r="AP110" i="36"/>
  <c r="AO110" i="36"/>
  <c r="AN110" i="36"/>
  <c r="AM110" i="36"/>
  <c r="AL110" i="36"/>
  <c r="AK110" i="36"/>
  <c r="AU109" i="36"/>
  <c r="AS109" i="36"/>
  <c r="AR109" i="36"/>
  <c r="AP109" i="36"/>
  <c r="AO109" i="36"/>
  <c r="AN109" i="36"/>
  <c r="AM109" i="36"/>
  <c r="AL109" i="36"/>
  <c r="AU108" i="36"/>
  <c r="AK108" i="36"/>
  <c r="AU107" i="36"/>
  <c r="AS107" i="36"/>
  <c r="AR107" i="36"/>
  <c r="AP107" i="36"/>
  <c r="AO107" i="36"/>
  <c r="AN107" i="36"/>
  <c r="AM107" i="36"/>
  <c r="AL107" i="36"/>
  <c r="AK107" i="36"/>
  <c r="AU106" i="36"/>
  <c r="AS106" i="36"/>
  <c r="AR106" i="36"/>
  <c r="AO106" i="36"/>
  <c r="AN106" i="36"/>
  <c r="AL106" i="36"/>
  <c r="AK106" i="36"/>
  <c r="AU105" i="36"/>
  <c r="AS105" i="36"/>
  <c r="AR105" i="36"/>
  <c r="AO105" i="36"/>
  <c r="AN105" i="36"/>
  <c r="AL105" i="36"/>
  <c r="AK105" i="36"/>
  <c r="AU104" i="36"/>
  <c r="AS104" i="36"/>
  <c r="AR104" i="36"/>
  <c r="AO104" i="36"/>
  <c r="AN104" i="36"/>
  <c r="AL104" i="36"/>
  <c r="AK104" i="36"/>
  <c r="AU103" i="36"/>
  <c r="AK103" i="36"/>
  <c r="AU102" i="36"/>
  <c r="AK102" i="36"/>
  <c r="AU101" i="36"/>
  <c r="AK101" i="36"/>
  <c r="AU100" i="36"/>
  <c r="AS100" i="36"/>
  <c r="AR100" i="36"/>
  <c r="AP100" i="36"/>
  <c r="AO100" i="36"/>
  <c r="AN100" i="36"/>
  <c r="AM100" i="36"/>
  <c r="AL100" i="36"/>
  <c r="AK100" i="36"/>
  <c r="AU99" i="36"/>
  <c r="AS99" i="36"/>
  <c r="AR99" i="36"/>
  <c r="AO99" i="36"/>
  <c r="AN99" i="36"/>
  <c r="AL99" i="36"/>
  <c r="AK99" i="36"/>
  <c r="AU98" i="36"/>
  <c r="AS98" i="36"/>
  <c r="AR98" i="36"/>
  <c r="AO98" i="36"/>
  <c r="AN98" i="36"/>
  <c r="AL98" i="36"/>
  <c r="AK98" i="36"/>
  <c r="AU97" i="36"/>
  <c r="AS97" i="36"/>
  <c r="AR97" i="36"/>
  <c r="AO97" i="36"/>
  <c r="AN97" i="36"/>
  <c r="AL97" i="36"/>
  <c r="AK97" i="36"/>
  <c r="AU96" i="36"/>
  <c r="AS96" i="36"/>
  <c r="AR96" i="36"/>
  <c r="AO96" i="36"/>
  <c r="AN96" i="36"/>
  <c r="AL96" i="36"/>
  <c r="AK96" i="36"/>
  <c r="AU95" i="36"/>
  <c r="AK95" i="36"/>
  <c r="AU94" i="36"/>
  <c r="AS94" i="36"/>
  <c r="AR94" i="36"/>
  <c r="AP94" i="36"/>
  <c r="AO94" i="36"/>
  <c r="AN94" i="36"/>
  <c r="AL94" i="36"/>
  <c r="AK94" i="36"/>
  <c r="AU93" i="36"/>
  <c r="AS93" i="36"/>
  <c r="AR93" i="36"/>
  <c r="AP93" i="36"/>
  <c r="AO93" i="36"/>
  <c r="AN93" i="36"/>
  <c r="AM93" i="36"/>
  <c r="AL93" i="36"/>
  <c r="AK93" i="36"/>
  <c r="AU92" i="36"/>
  <c r="AS92" i="36"/>
  <c r="AR92" i="36"/>
  <c r="AO92" i="36"/>
  <c r="AN92" i="36"/>
  <c r="AL92" i="36"/>
  <c r="AK92" i="36"/>
  <c r="AU91" i="36"/>
  <c r="AS91" i="36"/>
  <c r="AR91" i="36"/>
  <c r="AO91" i="36"/>
  <c r="AN91" i="36"/>
  <c r="AL91" i="36"/>
  <c r="AK91" i="36"/>
  <c r="AU90" i="36"/>
  <c r="AS90" i="36"/>
  <c r="AR90" i="36"/>
  <c r="AO90" i="36"/>
  <c r="AN90" i="36"/>
  <c r="AL90" i="36"/>
  <c r="AK90" i="36"/>
  <c r="AU89" i="36"/>
  <c r="AK89" i="36"/>
  <c r="AU88" i="36"/>
  <c r="AK88" i="36"/>
  <c r="AU87" i="36"/>
  <c r="AK87" i="36"/>
  <c r="AU86" i="36"/>
  <c r="AS86" i="36"/>
  <c r="AR86" i="36"/>
  <c r="AP86" i="36"/>
  <c r="AO86" i="36"/>
  <c r="AN86" i="36"/>
  <c r="AM86" i="36"/>
  <c r="AL86" i="36"/>
  <c r="AK86" i="36"/>
  <c r="AU85" i="36"/>
  <c r="AS85" i="36"/>
  <c r="AR85" i="36"/>
  <c r="AO85" i="36"/>
  <c r="AN85" i="36"/>
  <c r="AL85" i="36"/>
  <c r="AK85" i="36"/>
  <c r="AU84" i="36"/>
  <c r="AS84" i="36"/>
  <c r="AR84" i="36"/>
  <c r="AO84" i="36"/>
  <c r="AN84" i="36"/>
  <c r="AL84" i="36"/>
  <c r="AK84" i="36"/>
  <c r="AU83" i="36"/>
  <c r="AS83" i="36"/>
  <c r="AR83" i="36"/>
  <c r="AO83" i="36"/>
  <c r="AN83" i="36"/>
  <c r="AL83" i="36"/>
  <c r="AK83" i="36"/>
  <c r="AU82" i="36"/>
  <c r="AS82" i="36"/>
  <c r="AR82" i="36"/>
  <c r="AO82" i="36"/>
  <c r="AN82" i="36"/>
  <c r="AL82" i="36"/>
  <c r="AK82" i="36"/>
  <c r="AU81" i="36"/>
  <c r="AK81" i="36"/>
  <c r="AU80" i="36"/>
  <c r="AO80" i="36"/>
  <c r="AN80" i="36"/>
  <c r="AL80" i="36"/>
  <c r="AK80" i="36"/>
  <c r="AU79" i="36"/>
  <c r="AS79" i="36"/>
  <c r="AR79" i="36"/>
  <c r="AP79" i="36"/>
  <c r="AO79" i="36"/>
  <c r="AN79" i="36"/>
  <c r="AM79" i="36"/>
  <c r="AL79" i="36"/>
  <c r="AU78" i="36"/>
  <c r="AS78" i="36"/>
  <c r="AR78" i="36"/>
  <c r="AP78" i="36"/>
  <c r="AO78" i="36"/>
  <c r="AN78" i="36"/>
  <c r="AM78" i="36"/>
  <c r="AL78" i="36"/>
  <c r="AK78" i="36"/>
  <c r="AU77" i="36"/>
  <c r="AS77" i="36"/>
  <c r="AR77" i="36"/>
  <c r="AP77" i="36"/>
  <c r="AO77" i="36"/>
  <c r="AN77" i="36"/>
  <c r="AM77" i="36"/>
  <c r="AL77" i="36"/>
  <c r="AK76" i="36"/>
  <c r="AU75" i="36"/>
  <c r="AS75" i="36"/>
  <c r="AR75" i="36"/>
  <c r="AP75" i="36"/>
  <c r="AO75" i="36"/>
  <c r="AN75" i="36"/>
  <c r="AM75" i="36"/>
  <c r="AL75" i="36"/>
  <c r="AK75" i="36"/>
  <c r="AU74" i="36"/>
  <c r="AS74" i="36"/>
  <c r="AR74" i="36"/>
  <c r="AO74" i="36"/>
  <c r="AN74" i="36"/>
  <c r="AL74" i="36"/>
  <c r="AK74" i="36"/>
  <c r="AU73" i="36"/>
  <c r="AS73" i="36"/>
  <c r="AR73" i="36"/>
  <c r="AO73" i="36"/>
  <c r="AN73" i="36"/>
  <c r="AL73" i="36"/>
  <c r="AK73" i="36"/>
  <c r="AU72" i="36"/>
  <c r="AS72" i="36"/>
  <c r="AR72" i="36"/>
  <c r="AO72" i="36"/>
  <c r="AN72" i="36"/>
  <c r="AL72" i="36"/>
  <c r="AK72" i="36"/>
  <c r="AU71" i="36"/>
  <c r="AS71" i="36"/>
  <c r="AR71" i="36"/>
  <c r="AO71" i="36"/>
  <c r="AN71" i="36"/>
  <c r="AL71" i="36"/>
  <c r="AK71" i="36"/>
  <c r="AK70" i="36"/>
  <c r="AO69" i="36"/>
  <c r="AN69" i="36"/>
  <c r="AL69" i="36"/>
  <c r="AK69" i="36"/>
  <c r="AU68" i="36"/>
  <c r="AS68" i="36"/>
  <c r="AR68" i="36"/>
  <c r="AP68" i="36"/>
  <c r="AO68" i="36"/>
  <c r="AN68" i="36"/>
  <c r="AM68" i="36"/>
  <c r="AL68" i="36"/>
  <c r="AK68" i="36"/>
  <c r="AU67" i="36"/>
  <c r="AS67" i="36"/>
  <c r="AR67" i="36"/>
  <c r="AO67" i="36"/>
  <c r="AN67" i="36"/>
  <c r="AL67" i="36"/>
  <c r="AK67" i="36"/>
  <c r="AU66" i="36"/>
  <c r="AS66" i="36"/>
  <c r="AR66" i="36"/>
  <c r="AO66" i="36"/>
  <c r="AN66" i="36"/>
  <c r="AL66" i="36"/>
  <c r="AK66" i="36"/>
  <c r="AU65" i="36"/>
  <c r="AS65" i="36"/>
  <c r="AR65" i="36"/>
  <c r="AO65" i="36"/>
  <c r="AN65" i="36"/>
  <c r="AL65" i="36"/>
  <c r="AK65" i="36"/>
  <c r="AK64" i="36"/>
  <c r="AK63" i="36"/>
  <c r="AK62" i="36"/>
  <c r="AU61" i="36"/>
  <c r="AS61" i="36"/>
  <c r="AR61" i="36"/>
  <c r="AP61" i="36"/>
  <c r="AO61" i="36"/>
  <c r="AN61" i="36"/>
  <c r="AM61" i="36"/>
  <c r="AL61" i="36"/>
  <c r="AK61" i="36"/>
  <c r="AU60" i="36"/>
  <c r="AS60" i="36"/>
  <c r="AR60" i="36"/>
  <c r="AO60" i="36"/>
  <c r="AN60" i="36"/>
  <c r="AL60" i="36"/>
  <c r="AK60" i="36"/>
  <c r="AU59" i="36"/>
  <c r="AS59" i="36"/>
  <c r="AR59" i="36"/>
  <c r="AO59" i="36"/>
  <c r="AN59" i="36"/>
  <c r="AL59" i="36"/>
  <c r="AK59" i="36"/>
  <c r="AU58" i="36"/>
  <c r="AS58" i="36"/>
  <c r="AR58" i="36"/>
  <c r="AO58" i="36"/>
  <c r="AN58" i="36"/>
  <c r="AL58" i="36"/>
  <c r="AK58" i="36"/>
  <c r="AK57" i="36"/>
  <c r="AK56" i="36"/>
  <c r="AK55" i="36"/>
  <c r="AU54" i="36"/>
  <c r="AS54" i="36"/>
  <c r="AR54" i="36"/>
  <c r="AP54" i="36"/>
  <c r="AO54" i="36"/>
  <c r="AN54" i="36"/>
  <c r="AM54" i="36"/>
  <c r="AL54" i="36"/>
  <c r="AK54" i="36"/>
  <c r="AU53" i="36"/>
  <c r="AS53" i="36"/>
  <c r="AR53" i="36"/>
  <c r="AO53" i="36"/>
  <c r="AN53" i="36"/>
  <c r="AL53" i="36"/>
  <c r="AK53" i="36"/>
  <c r="AU52" i="36"/>
  <c r="AS52" i="36"/>
  <c r="AR52" i="36"/>
  <c r="AO52" i="36"/>
  <c r="AN52" i="36"/>
  <c r="AL52" i="36"/>
  <c r="AK52" i="36"/>
  <c r="AU51" i="36"/>
  <c r="AS51" i="36"/>
  <c r="AR51" i="36"/>
  <c r="AO51" i="36"/>
  <c r="AN51" i="36"/>
  <c r="AL51" i="36"/>
  <c r="AK51" i="36"/>
  <c r="AK50" i="36"/>
  <c r="AK49" i="36"/>
  <c r="AK48" i="36"/>
  <c r="AU47" i="36"/>
  <c r="AS47" i="36"/>
  <c r="AR47" i="36"/>
  <c r="AP47" i="36"/>
  <c r="AO47" i="36"/>
  <c r="AN47" i="36"/>
  <c r="AM47" i="36"/>
  <c r="AL47" i="36"/>
  <c r="AK47" i="36"/>
  <c r="AU46" i="36"/>
  <c r="AS46" i="36"/>
  <c r="AR46" i="36"/>
  <c r="AO46" i="36"/>
  <c r="AN46" i="36"/>
  <c r="AL46" i="36"/>
  <c r="AK46" i="36"/>
  <c r="AO45" i="36"/>
  <c r="AN45" i="36"/>
  <c r="AL45" i="36"/>
  <c r="AK45" i="36"/>
  <c r="AK44" i="36"/>
  <c r="AK43" i="36"/>
  <c r="AK42" i="36"/>
  <c r="AK41" i="36"/>
  <c r="AU33" i="36"/>
  <c r="AS33" i="36"/>
  <c r="AR33" i="36"/>
  <c r="AP33" i="36"/>
  <c r="AO33" i="36"/>
  <c r="AN33" i="36"/>
  <c r="AM33" i="36"/>
  <c r="AL33" i="36"/>
  <c r="AK33" i="36"/>
  <c r="AU32" i="36"/>
  <c r="AS32" i="36"/>
  <c r="AR32" i="36"/>
  <c r="AO32" i="36"/>
  <c r="AN32" i="36"/>
  <c r="AL32" i="36"/>
  <c r="AK32" i="36"/>
  <c r="AK31" i="36"/>
  <c r="AK30" i="36"/>
  <c r="AK29" i="36"/>
  <c r="AK28" i="36"/>
  <c r="AK27" i="36"/>
  <c r="AU26" i="36"/>
  <c r="AS26" i="36"/>
  <c r="AR26" i="36"/>
  <c r="AP26" i="36"/>
  <c r="AO26" i="36"/>
  <c r="AN26" i="36"/>
  <c r="AM26" i="36"/>
  <c r="AL26" i="36"/>
  <c r="AK26" i="36"/>
  <c r="AU25" i="36"/>
  <c r="AS25" i="36"/>
  <c r="AR25" i="36"/>
  <c r="AO25" i="36"/>
  <c r="AN25" i="36"/>
  <c r="AL25" i="36"/>
  <c r="AK25" i="36"/>
  <c r="AU24" i="36"/>
  <c r="AS24" i="36"/>
  <c r="AR24" i="36"/>
  <c r="AO24" i="36"/>
  <c r="AN24" i="36"/>
  <c r="AL24" i="36"/>
  <c r="AK24" i="36"/>
  <c r="AU23" i="36"/>
  <c r="AS23" i="36"/>
  <c r="AR23" i="36"/>
  <c r="AO23" i="36"/>
  <c r="AN23" i="36"/>
  <c r="AL23" i="36"/>
  <c r="AK23" i="36"/>
  <c r="AU22" i="36"/>
  <c r="AS22" i="36"/>
  <c r="AR22" i="36"/>
  <c r="AO22" i="36"/>
  <c r="AN22" i="36"/>
  <c r="AL22" i="36"/>
  <c r="AK22" i="36"/>
  <c r="AK21" i="36"/>
  <c r="AO20" i="36"/>
  <c r="AN20" i="36"/>
  <c r="AL20" i="36"/>
  <c r="AK20" i="36"/>
  <c r="AU19" i="36"/>
  <c r="AS19" i="36"/>
  <c r="AR19" i="36"/>
  <c r="AP19" i="36"/>
  <c r="AO19" i="36"/>
  <c r="AN19" i="36"/>
  <c r="AM19" i="36"/>
  <c r="AL19" i="36"/>
  <c r="AK19" i="36"/>
  <c r="AU18" i="36"/>
  <c r="AS18" i="36"/>
  <c r="AR18" i="36"/>
  <c r="AO18" i="36"/>
  <c r="AN18" i="36"/>
  <c r="AL18" i="36"/>
  <c r="AK18" i="36"/>
  <c r="AU17" i="36"/>
  <c r="AS17" i="36"/>
  <c r="AR17" i="36"/>
  <c r="AO17" i="36"/>
  <c r="AN17" i="36"/>
  <c r="AL17" i="36"/>
  <c r="AK17" i="36"/>
  <c r="AK16" i="36"/>
  <c r="AU124" i="40"/>
  <c r="AK124" i="40"/>
  <c r="AU123" i="40"/>
  <c r="AS123" i="40"/>
  <c r="AR123" i="40"/>
  <c r="AP123" i="40"/>
  <c r="AO123" i="40"/>
  <c r="AN123" i="40"/>
  <c r="AM123" i="40"/>
  <c r="AL123" i="40"/>
  <c r="AU122" i="40"/>
  <c r="AR122" i="40"/>
  <c r="AK122" i="40"/>
  <c r="AU121" i="40"/>
  <c r="AS121" i="40"/>
  <c r="AR121" i="40"/>
  <c r="AP121" i="40"/>
  <c r="AO121" i="40"/>
  <c r="AN121" i="40"/>
  <c r="AM121" i="40"/>
  <c r="AL121" i="40"/>
  <c r="AK121" i="40"/>
  <c r="AU120" i="40"/>
  <c r="AS120" i="40"/>
  <c r="AR120" i="40"/>
  <c r="AP120" i="40"/>
  <c r="AO120" i="40"/>
  <c r="AN120" i="40"/>
  <c r="AM120" i="40"/>
  <c r="AL120" i="40"/>
  <c r="AK120" i="40"/>
  <c r="AU119" i="40"/>
  <c r="AS119" i="40"/>
  <c r="AR119" i="40"/>
  <c r="AP119" i="40"/>
  <c r="AO119" i="40"/>
  <c r="AN119" i="40"/>
  <c r="AM119" i="40"/>
  <c r="AL119" i="40"/>
  <c r="AK119" i="40"/>
  <c r="AU118" i="40"/>
  <c r="AR118" i="40"/>
  <c r="AK118" i="40"/>
  <c r="AU117" i="40"/>
  <c r="AR117" i="40"/>
  <c r="AO117" i="40"/>
  <c r="AN117" i="40"/>
  <c r="AK117" i="40"/>
  <c r="AU116" i="40"/>
  <c r="AS116" i="40"/>
  <c r="AR116" i="40"/>
  <c r="AP116" i="40"/>
  <c r="AO116" i="40"/>
  <c r="AN116" i="40"/>
  <c r="AM116" i="40"/>
  <c r="AL116" i="40"/>
  <c r="AK116" i="40"/>
  <c r="AU115" i="40"/>
  <c r="AS115" i="40"/>
  <c r="AR115" i="40"/>
  <c r="AO115" i="40"/>
  <c r="AN115" i="40"/>
  <c r="AL115" i="40"/>
  <c r="AK115" i="40"/>
  <c r="AU114" i="40"/>
  <c r="AS114" i="40"/>
  <c r="AR114" i="40"/>
  <c r="AO114" i="40"/>
  <c r="AN114" i="40"/>
  <c r="AL114" i="40"/>
  <c r="AK114" i="40"/>
  <c r="AU113" i="40"/>
  <c r="AR113" i="40"/>
  <c r="AK113" i="40"/>
  <c r="AU112" i="40"/>
  <c r="AR112" i="40"/>
  <c r="AO112" i="40"/>
  <c r="AN112" i="40"/>
  <c r="AK112" i="40"/>
  <c r="AU111" i="40"/>
  <c r="AS111" i="40"/>
  <c r="AR111" i="40"/>
  <c r="AP111" i="40"/>
  <c r="AO111" i="40"/>
  <c r="AN111" i="40"/>
  <c r="AM111" i="40"/>
  <c r="AL111" i="40"/>
  <c r="AK111" i="40"/>
  <c r="AU110" i="40"/>
  <c r="AS110" i="40"/>
  <c r="AR110" i="40"/>
  <c r="AP110" i="40"/>
  <c r="AO110" i="40"/>
  <c r="AN110" i="40"/>
  <c r="AM110" i="40"/>
  <c r="AL110" i="40"/>
  <c r="AK110" i="40"/>
  <c r="AU109" i="40"/>
  <c r="AS109" i="40"/>
  <c r="AR109" i="40"/>
  <c r="AP109" i="40"/>
  <c r="AO109" i="40"/>
  <c r="AN109" i="40"/>
  <c r="AM109" i="40"/>
  <c r="AL109" i="40"/>
  <c r="AU108" i="40"/>
  <c r="AK108" i="40"/>
  <c r="AU107" i="40"/>
  <c r="AS107" i="40"/>
  <c r="AR107" i="40"/>
  <c r="AP107" i="40"/>
  <c r="AO107" i="40"/>
  <c r="AN107" i="40"/>
  <c r="AM107" i="40"/>
  <c r="AL107" i="40"/>
  <c r="AK107" i="40"/>
  <c r="AU106" i="40"/>
  <c r="AS106" i="40"/>
  <c r="AR106" i="40"/>
  <c r="AO106" i="40"/>
  <c r="AN106" i="40"/>
  <c r="AL106" i="40"/>
  <c r="AK106" i="40"/>
  <c r="AU105" i="40"/>
  <c r="AS105" i="40"/>
  <c r="AR105" i="40"/>
  <c r="AO105" i="40"/>
  <c r="AN105" i="40"/>
  <c r="AL105" i="40"/>
  <c r="AK105" i="40"/>
  <c r="AU104" i="40"/>
  <c r="AS104" i="40"/>
  <c r="AR104" i="40"/>
  <c r="AO104" i="40"/>
  <c r="AN104" i="40"/>
  <c r="AL104" i="40"/>
  <c r="AK104" i="40"/>
  <c r="AU103" i="40"/>
  <c r="AK103" i="40"/>
  <c r="AU102" i="40"/>
  <c r="AK102" i="40"/>
  <c r="AU101" i="40"/>
  <c r="AK101" i="40"/>
  <c r="AU100" i="40"/>
  <c r="AS100" i="40"/>
  <c r="AR100" i="40"/>
  <c r="AP100" i="40"/>
  <c r="AO100" i="40"/>
  <c r="AN100" i="40"/>
  <c r="AM100" i="40"/>
  <c r="AL100" i="40"/>
  <c r="AK100" i="40"/>
  <c r="AU99" i="40"/>
  <c r="AS99" i="40"/>
  <c r="AR99" i="40"/>
  <c r="AO99" i="40"/>
  <c r="AN99" i="40"/>
  <c r="AL99" i="40"/>
  <c r="AK99" i="40"/>
  <c r="AU98" i="40"/>
  <c r="AS98" i="40"/>
  <c r="AR98" i="40"/>
  <c r="AO98" i="40"/>
  <c r="AN98" i="40"/>
  <c r="AL98" i="40"/>
  <c r="AK98" i="40"/>
  <c r="AU97" i="40"/>
  <c r="AS97" i="40"/>
  <c r="AR97" i="40"/>
  <c r="AO97" i="40"/>
  <c r="AN97" i="40"/>
  <c r="AL97" i="40"/>
  <c r="AK97" i="40"/>
  <c r="AU96" i="40"/>
  <c r="AS96" i="40"/>
  <c r="AR96" i="40"/>
  <c r="AO96" i="40"/>
  <c r="AN96" i="40"/>
  <c r="AL96" i="40"/>
  <c r="AK96" i="40"/>
  <c r="AU95" i="40"/>
  <c r="AK95" i="40"/>
  <c r="AU94" i="40"/>
  <c r="AS94" i="40"/>
  <c r="AR94" i="40"/>
  <c r="AP94" i="40"/>
  <c r="AO94" i="40"/>
  <c r="AN94" i="40"/>
  <c r="AL94" i="40"/>
  <c r="AK94" i="40"/>
  <c r="AU93" i="40"/>
  <c r="AS93" i="40"/>
  <c r="AR93" i="40"/>
  <c r="AP93" i="40"/>
  <c r="AO93" i="40"/>
  <c r="AN93" i="40"/>
  <c r="AM93" i="40"/>
  <c r="AL93" i="40"/>
  <c r="AK93" i="40"/>
  <c r="AU92" i="40"/>
  <c r="AS92" i="40"/>
  <c r="AR92" i="40"/>
  <c r="AO92" i="40"/>
  <c r="AN92" i="40"/>
  <c r="AL92" i="40"/>
  <c r="AK92" i="40"/>
  <c r="AU91" i="40"/>
  <c r="AS91" i="40"/>
  <c r="AR91" i="40"/>
  <c r="AO91" i="40"/>
  <c r="AN91" i="40"/>
  <c r="AL91" i="40"/>
  <c r="AK91" i="40"/>
  <c r="AU90" i="40"/>
  <c r="AS90" i="40"/>
  <c r="AR90" i="40"/>
  <c r="AO90" i="40"/>
  <c r="AN90" i="40"/>
  <c r="AL90" i="40"/>
  <c r="AK90" i="40"/>
  <c r="AU89" i="40"/>
  <c r="AK89" i="40"/>
  <c r="AU88" i="40"/>
  <c r="AK88" i="40"/>
  <c r="AU87" i="40"/>
  <c r="AK87" i="40"/>
  <c r="AU86" i="40"/>
  <c r="AS86" i="40"/>
  <c r="AR86" i="40"/>
  <c r="AP86" i="40"/>
  <c r="AO86" i="40"/>
  <c r="AN86" i="40"/>
  <c r="AM86" i="40"/>
  <c r="AL86" i="40"/>
  <c r="AK86" i="40"/>
  <c r="AU85" i="40"/>
  <c r="AS85" i="40"/>
  <c r="AR85" i="40"/>
  <c r="AO85" i="40"/>
  <c r="AN85" i="40"/>
  <c r="AL85" i="40"/>
  <c r="AK85" i="40"/>
  <c r="AU84" i="40"/>
  <c r="AS84" i="40"/>
  <c r="AR84" i="40"/>
  <c r="AO84" i="40"/>
  <c r="AN84" i="40"/>
  <c r="AL84" i="40"/>
  <c r="AK84" i="40"/>
  <c r="AU83" i="40"/>
  <c r="AS83" i="40"/>
  <c r="AR83" i="40"/>
  <c r="AO83" i="40"/>
  <c r="AN83" i="40"/>
  <c r="AL83" i="40"/>
  <c r="AK83" i="40"/>
  <c r="AU82" i="40"/>
  <c r="AS82" i="40"/>
  <c r="AR82" i="40"/>
  <c r="AO82" i="40"/>
  <c r="AN82" i="40"/>
  <c r="AL82" i="40"/>
  <c r="AK82" i="40"/>
  <c r="AU81" i="40"/>
  <c r="AK81" i="40"/>
  <c r="AU80" i="40"/>
  <c r="AO80" i="40"/>
  <c r="AN80" i="40"/>
  <c r="AL80" i="40"/>
  <c r="AK80" i="40"/>
  <c r="AU79" i="40"/>
  <c r="AS79" i="40"/>
  <c r="AR79" i="40"/>
  <c r="AP79" i="40"/>
  <c r="AO79" i="40"/>
  <c r="AN79" i="40"/>
  <c r="AM79" i="40"/>
  <c r="AL79" i="40"/>
  <c r="AU78" i="40"/>
  <c r="AS78" i="40"/>
  <c r="AR78" i="40"/>
  <c r="AP78" i="40"/>
  <c r="AO78" i="40"/>
  <c r="AN78" i="40"/>
  <c r="AM78" i="40"/>
  <c r="AL78" i="40"/>
  <c r="AK78" i="40"/>
  <c r="AU77" i="40"/>
  <c r="AS77" i="40"/>
  <c r="AR77" i="40"/>
  <c r="AP77" i="40"/>
  <c r="AO77" i="40"/>
  <c r="AN77" i="40"/>
  <c r="AM77" i="40"/>
  <c r="AL77" i="40"/>
  <c r="AK76" i="40"/>
  <c r="AU75" i="40"/>
  <c r="AS75" i="40"/>
  <c r="AR75" i="40"/>
  <c r="AP75" i="40"/>
  <c r="AO75" i="40"/>
  <c r="AN75" i="40"/>
  <c r="AM75" i="40"/>
  <c r="AL75" i="40"/>
  <c r="AK75" i="40"/>
  <c r="AU74" i="40"/>
  <c r="AS74" i="40"/>
  <c r="AR74" i="40"/>
  <c r="AO74" i="40"/>
  <c r="AN74" i="40"/>
  <c r="AL74" i="40"/>
  <c r="AK74" i="40"/>
  <c r="AU73" i="40"/>
  <c r="AS73" i="40"/>
  <c r="AR73" i="40"/>
  <c r="AO73" i="40"/>
  <c r="AN73" i="40"/>
  <c r="AL73" i="40"/>
  <c r="AK73" i="40"/>
  <c r="AU72" i="40"/>
  <c r="AS72" i="40"/>
  <c r="AR72" i="40"/>
  <c r="AO72" i="40"/>
  <c r="AN72" i="40"/>
  <c r="AL72" i="40"/>
  <c r="AK72" i="40"/>
  <c r="AU71" i="40"/>
  <c r="AS71" i="40"/>
  <c r="AR71" i="40"/>
  <c r="AO71" i="40"/>
  <c r="AN71" i="40"/>
  <c r="AL71" i="40"/>
  <c r="AK71" i="40"/>
  <c r="AK70" i="40"/>
  <c r="AO69" i="40"/>
  <c r="AN69" i="40"/>
  <c r="AL69" i="40"/>
  <c r="AK69" i="40"/>
  <c r="AU68" i="40"/>
  <c r="AS68" i="40"/>
  <c r="AR68" i="40"/>
  <c r="AP68" i="40"/>
  <c r="AO68" i="40"/>
  <c r="AN68" i="40"/>
  <c r="AM68" i="40"/>
  <c r="AL68" i="40"/>
  <c r="AK68" i="40"/>
  <c r="AU67" i="40"/>
  <c r="AS67" i="40"/>
  <c r="AR67" i="40"/>
  <c r="AO67" i="40"/>
  <c r="AN67" i="40"/>
  <c r="AL67" i="40"/>
  <c r="AK67" i="40"/>
  <c r="AU66" i="40"/>
  <c r="AS66" i="40"/>
  <c r="AR66" i="40"/>
  <c r="AO66" i="40"/>
  <c r="AN66" i="40"/>
  <c r="AL66" i="40"/>
  <c r="AK66" i="40"/>
  <c r="AU65" i="40"/>
  <c r="AS65" i="40"/>
  <c r="AR65" i="40"/>
  <c r="AO65" i="40"/>
  <c r="AN65" i="40"/>
  <c r="AL65" i="40"/>
  <c r="AK65" i="40"/>
  <c r="AK64" i="40"/>
  <c r="AK63" i="40"/>
  <c r="AK62" i="40"/>
  <c r="AU61" i="40"/>
  <c r="AS61" i="40"/>
  <c r="AR61" i="40"/>
  <c r="AP61" i="40"/>
  <c r="AO61" i="40"/>
  <c r="AN61" i="40"/>
  <c r="AM61" i="40"/>
  <c r="AL61" i="40"/>
  <c r="AK61" i="40"/>
  <c r="AU60" i="40"/>
  <c r="AS60" i="40"/>
  <c r="AR60" i="40"/>
  <c r="AO60" i="40"/>
  <c r="AN60" i="40"/>
  <c r="AL60" i="40"/>
  <c r="AK60" i="40"/>
  <c r="AU59" i="40"/>
  <c r="AS59" i="40"/>
  <c r="AR59" i="40"/>
  <c r="AO59" i="40"/>
  <c r="AN59" i="40"/>
  <c r="AL59" i="40"/>
  <c r="AK59" i="40"/>
  <c r="AU58" i="40"/>
  <c r="AS58" i="40"/>
  <c r="AR58" i="40"/>
  <c r="AO58" i="40"/>
  <c r="AN58" i="40"/>
  <c r="AL58" i="40"/>
  <c r="AK58" i="40"/>
  <c r="AK57" i="40"/>
  <c r="AK56" i="40"/>
  <c r="AK55" i="40"/>
  <c r="AU54" i="40"/>
  <c r="AS54" i="40"/>
  <c r="AR54" i="40"/>
  <c r="AP54" i="40"/>
  <c r="AO54" i="40"/>
  <c r="AN54" i="40"/>
  <c r="AM54" i="40"/>
  <c r="AL54" i="40"/>
  <c r="AK54" i="40"/>
  <c r="AU53" i="40"/>
  <c r="AS53" i="40"/>
  <c r="AR53" i="40"/>
  <c r="AO53" i="40"/>
  <c r="AN53" i="40"/>
  <c r="AL53" i="40"/>
  <c r="AK53" i="40"/>
  <c r="AU52" i="40"/>
  <c r="AS52" i="40"/>
  <c r="AR52" i="40"/>
  <c r="AO52" i="40"/>
  <c r="AN52" i="40"/>
  <c r="AL52" i="40"/>
  <c r="AK52" i="40"/>
  <c r="AU51" i="40"/>
  <c r="AS51" i="40"/>
  <c r="AR51" i="40"/>
  <c r="AO51" i="40"/>
  <c r="AN51" i="40"/>
  <c r="AL51" i="40"/>
  <c r="AK51" i="40"/>
  <c r="AK50" i="40"/>
  <c r="AK49" i="40"/>
  <c r="AK48" i="40"/>
  <c r="AU47" i="40"/>
  <c r="AS47" i="40"/>
  <c r="AR47" i="40"/>
  <c r="AP47" i="40"/>
  <c r="AO47" i="40"/>
  <c r="AN47" i="40"/>
  <c r="AM47" i="40"/>
  <c r="AL47" i="40"/>
  <c r="AK47" i="40"/>
  <c r="AO46" i="40"/>
  <c r="AN46" i="40"/>
  <c r="AL46" i="40"/>
  <c r="AK46" i="40"/>
  <c r="AO45" i="40"/>
  <c r="AN45" i="40"/>
  <c r="AL45" i="40"/>
  <c r="AK45" i="40"/>
  <c r="AK44" i="40"/>
  <c r="AK43" i="40"/>
  <c r="AK42" i="40"/>
  <c r="AK41" i="40"/>
  <c r="AU33" i="40"/>
  <c r="AS33" i="40"/>
  <c r="AR33" i="40"/>
  <c r="AP33" i="40"/>
  <c r="AO33" i="40"/>
  <c r="AN33" i="40"/>
  <c r="AM33" i="40"/>
  <c r="AL33" i="40"/>
  <c r="AK33" i="40"/>
  <c r="AU32" i="40"/>
  <c r="AS32" i="40"/>
  <c r="AR32" i="40"/>
  <c r="AO32" i="40"/>
  <c r="AN32" i="40"/>
  <c r="AL32" i="40"/>
  <c r="AK32" i="40"/>
  <c r="AK31" i="40"/>
  <c r="AK30" i="40"/>
  <c r="AK29" i="40"/>
  <c r="AK28" i="40"/>
  <c r="AK27" i="40"/>
  <c r="AU26" i="40"/>
  <c r="AS26" i="40"/>
  <c r="AR26" i="40"/>
  <c r="AP26" i="40"/>
  <c r="AO26" i="40"/>
  <c r="AN26" i="40"/>
  <c r="AM26" i="40"/>
  <c r="AL26" i="40"/>
  <c r="AK26" i="40"/>
  <c r="AU25" i="40"/>
  <c r="AS25" i="40"/>
  <c r="AR25" i="40"/>
  <c r="AO25" i="40"/>
  <c r="AN25" i="40"/>
  <c r="AL25" i="40"/>
  <c r="AK25" i="40"/>
  <c r="AU24" i="40"/>
  <c r="AS24" i="40"/>
  <c r="AR24" i="40"/>
  <c r="AO24" i="40"/>
  <c r="AN24" i="40"/>
  <c r="AL24" i="40"/>
  <c r="AK24" i="40"/>
  <c r="AU23" i="40"/>
  <c r="AS23" i="40"/>
  <c r="AR23" i="40"/>
  <c r="AO23" i="40"/>
  <c r="AN23" i="40"/>
  <c r="AL23" i="40"/>
  <c r="AK23" i="40"/>
  <c r="AU22" i="40"/>
  <c r="AS22" i="40"/>
  <c r="AR22" i="40"/>
  <c r="AO22" i="40"/>
  <c r="AN22" i="40"/>
  <c r="AL22" i="40"/>
  <c r="AK22" i="40"/>
  <c r="AK21" i="40"/>
  <c r="AO20" i="40"/>
  <c r="AN20" i="40"/>
  <c r="AL20" i="40"/>
  <c r="AK20" i="40"/>
  <c r="AU19" i="40"/>
  <c r="AS19" i="40"/>
  <c r="AR19" i="40"/>
  <c r="AP19" i="40"/>
  <c r="AO19" i="40"/>
  <c r="AN19" i="40"/>
  <c r="AM19" i="40"/>
  <c r="AL19" i="40"/>
  <c r="AK19" i="40"/>
  <c r="AU18" i="40"/>
  <c r="AS18" i="40"/>
  <c r="AR18" i="40"/>
  <c r="AO18" i="40"/>
  <c r="AN18" i="40"/>
  <c r="AL18" i="40"/>
  <c r="AK18" i="40"/>
  <c r="AU17" i="40"/>
  <c r="AS17" i="40"/>
  <c r="AR17" i="40"/>
  <c r="AO17" i="40"/>
  <c r="AN17" i="40"/>
  <c r="AL17" i="40"/>
  <c r="AK17" i="40"/>
  <c r="AK16" i="40"/>
  <c r="AU124" i="44"/>
  <c r="AK124" i="44"/>
  <c r="AU123" i="44"/>
  <c r="AS123" i="44"/>
  <c r="AR123" i="44"/>
  <c r="AP123" i="44"/>
  <c r="AO123" i="44"/>
  <c r="AN123" i="44"/>
  <c r="AM123" i="44"/>
  <c r="AL123" i="44"/>
  <c r="AU122" i="44"/>
  <c r="AR122" i="44"/>
  <c r="AK122" i="44"/>
  <c r="AU121" i="44"/>
  <c r="AS121" i="44"/>
  <c r="AR121" i="44"/>
  <c r="AP121" i="44"/>
  <c r="AO121" i="44"/>
  <c r="AN121" i="44"/>
  <c r="AM121" i="44"/>
  <c r="AL121" i="44"/>
  <c r="AK121" i="44"/>
  <c r="AU120" i="44"/>
  <c r="AS120" i="44"/>
  <c r="AR120" i="44"/>
  <c r="AP120" i="44"/>
  <c r="AO120" i="44"/>
  <c r="AN120" i="44"/>
  <c r="AM120" i="44"/>
  <c r="AL120" i="44"/>
  <c r="AK120" i="44"/>
  <c r="AU119" i="44"/>
  <c r="AS119" i="44"/>
  <c r="AR119" i="44"/>
  <c r="AP119" i="44"/>
  <c r="AO119" i="44"/>
  <c r="AN119" i="44"/>
  <c r="AM119" i="44"/>
  <c r="AL119" i="44"/>
  <c r="AK119" i="44"/>
  <c r="AU118" i="44"/>
  <c r="AR118" i="44"/>
  <c r="AK118" i="44"/>
  <c r="AU117" i="44"/>
  <c r="AR117" i="44"/>
  <c r="AO117" i="44"/>
  <c r="AN117" i="44"/>
  <c r="AK117" i="44"/>
  <c r="AU116" i="44"/>
  <c r="AS116" i="44"/>
  <c r="AR116" i="44"/>
  <c r="AP116" i="44"/>
  <c r="AO116" i="44"/>
  <c r="AN116" i="44"/>
  <c r="AM116" i="44"/>
  <c r="AL116" i="44"/>
  <c r="AK116" i="44"/>
  <c r="AU115" i="44"/>
  <c r="AS115" i="44"/>
  <c r="AR115" i="44"/>
  <c r="AO115" i="44"/>
  <c r="AN115" i="44"/>
  <c r="AL115" i="44"/>
  <c r="AK115" i="44"/>
  <c r="AU114" i="44"/>
  <c r="AS114" i="44"/>
  <c r="AR114" i="44"/>
  <c r="AO114" i="44"/>
  <c r="AN114" i="44"/>
  <c r="AL114" i="44"/>
  <c r="AK114" i="44"/>
  <c r="AU113" i="44"/>
  <c r="AR113" i="44"/>
  <c r="AK113" i="44"/>
  <c r="AU112" i="44"/>
  <c r="AR112" i="44"/>
  <c r="AO112" i="44"/>
  <c r="AN112" i="44"/>
  <c r="AK112" i="44"/>
  <c r="AU111" i="44"/>
  <c r="AS111" i="44"/>
  <c r="AR111" i="44"/>
  <c r="AP111" i="44"/>
  <c r="AO111" i="44"/>
  <c r="AN111" i="44"/>
  <c r="AM111" i="44"/>
  <c r="AL111" i="44"/>
  <c r="AK111" i="44"/>
  <c r="AU110" i="44"/>
  <c r="AS110" i="44"/>
  <c r="AR110" i="44"/>
  <c r="AP110" i="44"/>
  <c r="AO110" i="44"/>
  <c r="AN110" i="44"/>
  <c r="AM110" i="44"/>
  <c r="AL110" i="44"/>
  <c r="AK110" i="44"/>
  <c r="AU109" i="44"/>
  <c r="AS109" i="44"/>
  <c r="AR109" i="44"/>
  <c r="AP109" i="44"/>
  <c r="AO109" i="44"/>
  <c r="AN109" i="44"/>
  <c r="AM109" i="44"/>
  <c r="AL109" i="44"/>
  <c r="AU108" i="44"/>
  <c r="AK108" i="44"/>
  <c r="AU107" i="44"/>
  <c r="AS107" i="44"/>
  <c r="AR107" i="44"/>
  <c r="AP107" i="44"/>
  <c r="AO107" i="44"/>
  <c r="AN107" i="44"/>
  <c r="AM107" i="44"/>
  <c r="AL107" i="44"/>
  <c r="AK107" i="44"/>
  <c r="AU106" i="44"/>
  <c r="AS106" i="44"/>
  <c r="AR106" i="44"/>
  <c r="AO106" i="44"/>
  <c r="AN106" i="44"/>
  <c r="AL106" i="44"/>
  <c r="AK106" i="44"/>
  <c r="AU105" i="44"/>
  <c r="AS105" i="44"/>
  <c r="AR105" i="44"/>
  <c r="AO105" i="44"/>
  <c r="AN105" i="44"/>
  <c r="AL105" i="44"/>
  <c r="AK105" i="44"/>
  <c r="AU104" i="44"/>
  <c r="AS104" i="44"/>
  <c r="AR104" i="44"/>
  <c r="AO104" i="44"/>
  <c r="AN104" i="44"/>
  <c r="AL104" i="44"/>
  <c r="AK104" i="44"/>
  <c r="AU103" i="44"/>
  <c r="AK103" i="44"/>
  <c r="AU102" i="44"/>
  <c r="AK102" i="44"/>
  <c r="AU101" i="44"/>
  <c r="AK101" i="44"/>
  <c r="AU100" i="44"/>
  <c r="AS100" i="44"/>
  <c r="AR100" i="44"/>
  <c r="AP100" i="44"/>
  <c r="AO100" i="44"/>
  <c r="AN100" i="44"/>
  <c r="AM100" i="44"/>
  <c r="AL100" i="44"/>
  <c r="AK100" i="44"/>
  <c r="AU99" i="44"/>
  <c r="AS99" i="44"/>
  <c r="AR99" i="44"/>
  <c r="AO99" i="44"/>
  <c r="AN99" i="44"/>
  <c r="AL99" i="44"/>
  <c r="AK99" i="44"/>
  <c r="AU98" i="44"/>
  <c r="AS98" i="44"/>
  <c r="AR98" i="44"/>
  <c r="AO98" i="44"/>
  <c r="AN98" i="44"/>
  <c r="AL98" i="44"/>
  <c r="AK98" i="44"/>
  <c r="AU97" i="44"/>
  <c r="AS97" i="44"/>
  <c r="AR97" i="44"/>
  <c r="AO97" i="44"/>
  <c r="AN97" i="44"/>
  <c r="AL97" i="44"/>
  <c r="AK97" i="44"/>
  <c r="AU96" i="44"/>
  <c r="AS96" i="44"/>
  <c r="AR96" i="44"/>
  <c r="AO96" i="44"/>
  <c r="AN96" i="44"/>
  <c r="AL96" i="44"/>
  <c r="AK96" i="44"/>
  <c r="AU95" i="44"/>
  <c r="AK95" i="44"/>
  <c r="AU94" i="44"/>
  <c r="AS94" i="44"/>
  <c r="AR94" i="44"/>
  <c r="AP94" i="44"/>
  <c r="AO94" i="44"/>
  <c r="AN94" i="44"/>
  <c r="AL94" i="44"/>
  <c r="AK94" i="44"/>
  <c r="AU93" i="44"/>
  <c r="AS93" i="44"/>
  <c r="AR93" i="44"/>
  <c r="AP93" i="44"/>
  <c r="AO93" i="44"/>
  <c r="AN93" i="44"/>
  <c r="AM93" i="44"/>
  <c r="AL93" i="44"/>
  <c r="AK93" i="44"/>
  <c r="AU92" i="44"/>
  <c r="AS92" i="44"/>
  <c r="AR92" i="44"/>
  <c r="AO92" i="44"/>
  <c r="AN92" i="44"/>
  <c r="AL92" i="44"/>
  <c r="AK92" i="44"/>
  <c r="AU91" i="44"/>
  <c r="AS91" i="44"/>
  <c r="AR91" i="44"/>
  <c r="AO91" i="44"/>
  <c r="AN91" i="44"/>
  <c r="AL91" i="44"/>
  <c r="AK91" i="44"/>
  <c r="AU90" i="44"/>
  <c r="AS90" i="44"/>
  <c r="AR90" i="44"/>
  <c r="AO90" i="44"/>
  <c r="AN90" i="44"/>
  <c r="AL90" i="44"/>
  <c r="AK90" i="44"/>
  <c r="AU89" i="44"/>
  <c r="AK89" i="44"/>
  <c r="AU88" i="44"/>
  <c r="AK88" i="44"/>
  <c r="AU87" i="44"/>
  <c r="AK87" i="44"/>
  <c r="AU86" i="44"/>
  <c r="AS86" i="44"/>
  <c r="AR86" i="44"/>
  <c r="AP86" i="44"/>
  <c r="AO86" i="44"/>
  <c r="AN86" i="44"/>
  <c r="AM86" i="44"/>
  <c r="AL86" i="44"/>
  <c r="AK86" i="44"/>
  <c r="AU85" i="44"/>
  <c r="AS85" i="44"/>
  <c r="AR85" i="44"/>
  <c r="AO85" i="44"/>
  <c r="AN85" i="44"/>
  <c r="AL85" i="44"/>
  <c r="AK85" i="44"/>
  <c r="AU84" i="44"/>
  <c r="AS84" i="44"/>
  <c r="AR84" i="44"/>
  <c r="AO84" i="44"/>
  <c r="AN84" i="44"/>
  <c r="AL84" i="44"/>
  <c r="AK84" i="44"/>
  <c r="AU83" i="44"/>
  <c r="AS83" i="44"/>
  <c r="AR83" i="44"/>
  <c r="AO83" i="44"/>
  <c r="AN83" i="44"/>
  <c r="AL83" i="44"/>
  <c r="AK83" i="44"/>
  <c r="AU82" i="44"/>
  <c r="AS82" i="44"/>
  <c r="AR82" i="44"/>
  <c r="AO82" i="44"/>
  <c r="AN82" i="44"/>
  <c r="AL82" i="44"/>
  <c r="AK82" i="44"/>
  <c r="AU81" i="44"/>
  <c r="AK81" i="44"/>
  <c r="AU80" i="44"/>
  <c r="AR80" i="44"/>
  <c r="AO80" i="44"/>
  <c r="AN80" i="44"/>
  <c r="AL80" i="44"/>
  <c r="AK80" i="44"/>
  <c r="AU79" i="44"/>
  <c r="AS79" i="44"/>
  <c r="AR79" i="44"/>
  <c r="AP79" i="44"/>
  <c r="AO79" i="44"/>
  <c r="AN79" i="44"/>
  <c r="AM79" i="44"/>
  <c r="AL79" i="44"/>
  <c r="AU78" i="44"/>
  <c r="AS78" i="44"/>
  <c r="AR78" i="44"/>
  <c r="AP78" i="44"/>
  <c r="AO78" i="44"/>
  <c r="AN78" i="44"/>
  <c r="AM78" i="44"/>
  <c r="AL78" i="44"/>
  <c r="AK78" i="44"/>
  <c r="AU77" i="44"/>
  <c r="AS77" i="44"/>
  <c r="AR77" i="44"/>
  <c r="AP77" i="44"/>
  <c r="AO77" i="44"/>
  <c r="AN77" i="44"/>
  <c r="AM77" i="44"/>
  <c r="AL77" i="44"/>
  <c r="AK76" i="44"/>
  <c r="AU75" i="44"/>
  <c r="AS75" i="44"/>
  <c r="AR75" i="44"/>
  <c r="AP75" i="44"/>
  <c r="AO75" i="44"/>
  <c r="AN75" i="44"/>
  <c r="AM75" i="44"/>
  <c r="AL75" i="44"/>
  <c r="AK75" i="44"/>
  <c r="AU74" i="44"/>
  <c r="AS74" i="44"/>
  <c r="AR74" i="44"/>
  <c r="AO74" i="44"/>
  <c r="AN74" i="44"/>
  <c r="AL74" i="44"/>
  <c r="AK74" i="44"/>
  <c r="AU73" i="44"/>
  <c r="AS73" i="44"/>
  <c r="AR73" i="44"/>
  <c r="AO73" i="44"/>
  <c r="AN73" i="44"/>
  <c r="AL73" i="44"/>
  <c r="AK73" i="44"/>
  <c r="AU72" i="44"/>
  <c r="AS72" i="44"/>
  <c r="AR72" i="44"/>
  <c r="AO72" i="44"/>
  <c r="AN72" i="44"/>
  <c r="AL72" i="44"/>
  <c r="AK72" i="44"/>
  <c r="AU71" i="44"/>
  <c r="AS71" i="44"/>
  <c r="AR71" i="44"/>
  <c r="AO71" i="44"/>
  <c r="AN71" i="44"/>
  <c r="AL71" i="44"/>
  <c r="AK71" i="44"/>
  <c r="AK70" i="44"/>
  <c r="AR69" i="44"/>
  <c r="AO69" i="44"/>
  <c r="AN69" i="44"/>
  <c r="AL69" i="44"/>
  <c r="AK69" i="44"/>
  <c r="AU68" i="44"/>
  <c r="AS68" i="44"/>
  <c r="AR68" i="44"/>
  <c r="AP68" i="44"/>
  <c r="AO68" i="44"/>
  <c r="AN68" i="44"/>
  <c r="AM68" i="44"/>
  <c r="AL68" i="44"/>
  <c r="AK68" i="44"/>
  <c r="AU67" i="44"/>
  <c r="AS67" i="44"/>
  <c r="AR67" i="44"/>
  <c r="AO67" i="44"/>
  <c r="AN67" i="44"/>
  <c r="AL67" i="44"/>
  <c r="AK67" i="44"/>
  <c r="AU66" i="44"/>
  <c r="AS66" i="44"/>
  <c r="AR66" i="44"/>
  <c r="AO66" i="44"/>
  <c r="AN66" i="44"/>
  <c r="AL66" i="44"/>
  <c r="AK66" i="44"/>
  <c r="AU65" i="44"/>
  <c r="AS65" i="44"/>
  <c r="AR65" i="44"/>
  <c r="AO65" i="44"/>
  <c r="AN65" i="44"/>
  <c r="AL65" i="44"/>
  <c r="AK65" i="44"/>
  <c r="AK64" i="44"/>
  <c r="AK63" i="44"/>
  <c r="AK62" i="44"/>
  <c r="AU61" i="44"/>
  <c r="AS61" i="44"/>
  <c r="AR61" i="44"/>
  <c r="AP61" i="44"/>
  <c r="AO61" i="44"/>
  <c r="AN61" i="44"/>
  <c r="AM61" i="44"/>
  <c r="AL61" i="44"/>
  <c r="AK61" i="44"/>
  <c r="AU60" i="44"/>
  <c r="AS60" i="44"/>
  <c r="AR60" i="44"/>
  <c r="AO60" i="44"/>
  <c r="AN60" i="44"/>
  <c r="AL60" i="44"/>
  <c r="AK60" i="44"/>
  <c r="AU59" i="44"/>
  <c r="AS59" i="44"/>
  <c r="AR59" i="44"/>
  <c r="AO59" i="44"/>
  <c r="AN59" i="44"/>
  <c r="AL59" i="44"/>
  <c r="AK59" i="44"/>
  <c r="AU58" i="44"/>
  <c r="AS58" i="44"/>
  <c r="AR58" i="44"/>
  <c r="AO58" i="44"/>
  <c r="AN58" i="44"/>
  <c r="AL58" i="44"/>
  <c r="AK58" i="44"/>
  <c r="AK57" i="44"/>
  <c r="AK56" i="44"/>
  <c r="AK55" i="44"/>
  <c r="AU54" i="44"/>
  <c r="AS54" i="44"/>
  <c r="AR54" i="44"/>
  <c r="AP54" i="44"/>
  <c r="AO54" i="44"/>
  <c r="AN54" i="44"/>
  <c r="AM54" i="44"/>
  <c r="AL54" i="44"/>
  <c r="AK54" i="44"/>
  <c r="AU53" i="44"/>
  <c r="AS53" i="44"/>
  <c r="AR53" i="44"/>
  <c r="AO53" i="44"/>
  <c r="AN53" i="44"/>
  <c r="AL53" i="44"/>
  <c r="AK53" i="44"/>
  <c r="AU52" i="44"/>
  <c r="AS52" i="44"/>
  <c r="AR52" i="44"/>
  <c r="AO52" i="44"/>
  <c r="AN52" i="44"/>
  <c r="AL52" i="44"/>
  <c r="AK52" i="44"/>
  <c r="AU51" i="44"/>
  <c r="AS51" i="44"/>
  <c r="AR51" i="44"/>
  <c r="AO51" i="44"/>
  <c r="AN51" i="44"/>
  <c r="AL51" i="44"/>
  <c r="AK51" i="44"/>
  <c r="AK50" i="44"/>
  <c r="AK49" i="44"/>
  <c r="AK48" i="44"/>
  <c r="AU47" i="44"/>
  <c r="AS47" i="44"/>
  <c r="AR47" i="44"/>
  <c r="AP47" i="44"/>
  <c r="AO47" i="44"/>
  <c r="AN47" i="44"/>
  <c r="AM47" i="44"/>
  <c r="AL47" i="44"/>
  <c r="AK47" i="44"/>
  <c r="AU46" i="44"/>
  <c r="AS46" i="44"/>
  <c r="AR46" i="44"/>
  <c r="AO46" i="44"/>
  <c r="AN46" i="44"/>
  <c r="AL46" i="44"/>
  <c r="AK46" i="44"/>
  <c r="AR45" i="44"/>
  <c r="AO45" i="44"/>
  <c r="AN45" i="44"/>
  <c r="AL45" i="44"/>
  <c r="AK45" i="44"/>
  <c r="AK44" i="44"/>
  <c r="AK43" i="44"/>
  <c r="AK42" i="44"/>
  <c r="AK41" i="44"/>
  <c r="AU33" i="44"/>
  <c r="AS33" i="44"/>
  <c r="AR33" i="44"/>
  <c r="AP33" i="44"/>
  <c r="AO33" i="44"/>
  <c r="AN33" i="44"/>
  <c r="AM33" i="44"/>
  <c r="AL33" i="44"/>
  <c r="AK33" i="44"/>
  <c r="AU32" i="44"/>
  <c r="AS32" i="44"/>
  <c r="AR32" i="44"/>
  <c r="AO32" i="44"/>
  <c r="AN32" i="44"/>
  <c r="AL32" i="44"/>
  <c r="AK32" i="44"/>
  <c r="AK31" i="44"/>
  <c r="AK30" i="44"/>
  <c r="AK29" i="44"/>
  <c r="AK28" i="44"/>
  <c r="AK27" i="44"/>
  <c r="AU26" i="44"/>
  <c r="AS26" i="44"/>
  <c r="AR26" i="44"/>
  <c r="AP26" i="44"/>
  <c r="AO26" i="44"/>
  <c r="AN26" i="44"/>
  <c r="AM26" i="44"/>
  <c r="AL26" i="44"/>
  <c r="AK26" i="44"/>
  <c r="AU25" i="44"/>
  <c r="AS25" i="44"/>
  <c r="AR25" i="44"/>
  <c r="AO25" i="44"/>
  <c r="AN25" i="44"/>
  <c r="AL25" i="44"/>
  <c r="AK25" i="44"/>
  <c r="AU24" i="44"/>
  <c r="AS24" i="44"/>
  <c r="AR24" i="44"/>
  <c r="AO24" i="44"/>
  <c r="AN24" i="44"/>
  <c r="AL24" i="44"/>
  <c r="AK24" i="44"/>
  <c r="AU23" i="44"/>
  <c r="AS23" i="44"/>
  <c r="AR23" i="44"/>
  <c r="AO23" i="44"/>
  <c r="AN23" i="44"/>
  <c r="AL23" i="44"/>
  <c r="AK23" i="44"/>
  <c r="AU22" i="44"/>
  <c r="AS22" i="44"/>
  <c r="AR22" i="44"/>
  <c r="AO22" i="44"/>
  <c r="AN22" i="44"/>
  <c r="AL22" i="44"/>
  <c r="AK22" i="44"/>
  <c r="AK21" i="44"/>
  <c r="AR20" i="44"/>
  <c r="AO20" i="44"/>
  <c r="AN20" i="44"/>
  <c r="AL20" i="44"/>
  <c r="AK20" i="44"/>
  <c r="AU19" i="44"/>
  <c r="AS19" i="44"/>
  <c r="AR19" i="44"/>
  <c r="AP19" i="44"/>
  <c r="AO19" i="44"/>
  <c r="AN19" i="44"/>
  <c r="AM19" i="44"/>
  <c r="AL19" i="44"/>
  <c r="AK19" i="44"/>
  <c r="AU18" i="44"/>
  <c r="AS18" i="44"/>
  <c r="AR18" i="44"/>
  <c r="AO18" i="44"/>
  <c r="AN18" i="44"/>
  <c r="AL18" i="44"/>
  <c r="AK18" i="44"/>
  <c r="AU17" i="44"/>
  <c r="AS17" i="44"/>
  <c r="AR17" i="44"/>
  <c r="AO17" i="44"/>
  <c r="AN17" i="44"/>
  <c r="AL17" i="44"/>
  <c r="AK17" i="44"/>
  <c r="AK16" i="44"/>
  <c r="AU124" i="12"/>
  <c r="AK124" i="12"/>
  <c r="AU123" i="12"/>
  <c r="AS123" i="12"/>
  <c r="AR123" i="12"/>
  <c r="AP123" i="12"/>
  <c r="AO123" i="12"/>
  <c r="AN123" i="12"/>
  <c r="AM123" i="12"/>
  <c r="AL123" i="12"/>
  <c r="AU122" i="12"/>
  <c r="AR122" i="12"/>
  <c r="AK122" i="12"/>
  <c r="AU121" i="12"/>
  <c r="AS121" i="12"/>
  <c r="AR121" i="12"/>
  <c r="AP121" i="12"/>
  <c r="AO121" i="12"/>
  <c r="AN121" i="12"/>
  <c r="AM121" i="12"/>
  <c r="AL121" i="12"/>
  <c r="AK121" i="12"/>
  <c r="AU120" i="12"/>
  <c r="AS120" i="12"/>
  <c r="AR120" i="12"/>
  <c r="AP120" i="12"/>
  <c r="AO120" i="12"/>
  <c r="AN120" i="12"/>
  <c r="AM120" i="12"/>
  <c r="AL120" i="12"/>
  <c r="AK120" i="12"/>
  <c r="AU119" i="12"/>
  <c r="AS119" i="12"/>
  <c r="AR119" i="12"/>
  <c r="AP119" i="12"/>
  <c r="AO119" i="12"/>
  <c r="AN119" i="12"/>
  <c r="AM119" i="12"/>
  <c r="AL119" i="12"/>
  <c r="AK119" i="12"/>
  <c r="AU118" i="12"/>
  <c r="AR118" i="12"/>
  <c r="AK118" i="12"/>
  <c r="AU117" i="12"/>
  <c r="AS117" i="12"/>
  <c r="AR117" i="12"/>
  <c r="AO117" i="12"/>
  <c r="AN117" i="12"/>
  <c r="AK117" i="12"/>
  <c r="AU116" i="12"/>
  <c r="AS116" i="12"/>
  <c r="AR116" i="12"/>
  <c r="AP116" i="12"/>
  <c r="AO116" i="12"/>
  <c r="AN116" i="12"/>
  <c r="AM116" i="12"/>
  <c r="AL116" i="12"/>
  <c r="AK116" i="12"/>
  <c r="AU115" i="12"/>
  <c r="AS115" i="12"/>
  <c r="AR115" i="12"/>
  <c r="AO115" i="12"/>
  <c r="AN115" i="12"/>
  <c r="AL115" i="12"/>
  <c r="AK115" i="12"/>
  <c r="AU114" i="12"/>
  <c r="AS114" i="12"/>
  <c r="AR114" i="12"/>
  <c r="AO114" i="12"/>
  <c r="AN114" i="12"/>
  <c r="AL114" i="12"/>
  <c r="AK114" i="12"/>
  <c r="AU113" i="12"/>
  <c r="AR113" i="12"/>
  <c r="AK113" i="12"/>
  <c r="AU112" i="12"/>
  <c r="AS112" i="12"/>
  <c r="AR112" i="12"/>
  <c r="AO112" i="12"/>
  <c r="AN112" i="12"/>
  <c r="AK112" i="12"/>
  <c r="AU111" i="12"/>
  <c r="AS111" i="12"/>
  <c r="AR111" i="12"/>
  <c r="AP111" i="12"/>
  <c r="AO111" i="12"/>
  <c r="AN111" i="12"/>
  <c r="AM111" i="12"/>
  <c r="AL111" i="12"/>
  <c r="AK111" i="12"/>
  <c r="AU110" i="12"/>
  <c r="AS110" i="12"/>
  <c r="AR110" i="12"/>
  <c r="AP110" i="12"/>
  <c r="AO110" i="12"/>
  <c r="AN110" i="12"/>
  <c r="AM110" i="12"/>
  <c r="AL110" i="12"/>
  <c r="AK110" i="12"/>
  <c r="AU109" i="12"/>
  <c r="AS109" i="12"/>
  <c r="AR109" i="12"/>
  <c r="AP109" i="12"/>
  <c r="AO109" i="12"/>
  <c r="AN109" i="12"/>
  <c r="AM109" i="12"/>
  <c r="AL109" i="12"/>
  <c r="AU108" i="12"/>
  <c r="AK108" i="12"/>
  <c r="AU107" i="12"/>
  <c r="AS107" i="12"/>
  <c r="AR107" i="12"/>
  <c r="AP107" i="12"/>
  <c r="AO107" i="12"/>
  <c r="AN107" i="12"/>
  <c r="AM107" i="12"/>
  <c r="AL107" i="12"/>
  <c r="AK107" i="12"/>
  <c r="AU106" i="12"/>
  <c r="AS106" i="12"/>
  <c r="AR106" i="12"/>
  <c r="AO106" i="12"/>
  <c r="AN106" i="12"/>
  <c r="AL106" i="12"/>
  <c r="AK106" i="12"/>
  <c r="AU105" i="12"/>
  <c r="AS105" i="12"/>
  <c r="AR105" i="12"/>
  <c r="AO105" i="12"/>
  <c r="AN105" i="12"/>
  <c r="AL105" i="12"/>
  <c r="AK105" i="12"/>
  <c r="AU104" i="12"/>
  <c r="AS104" i="12"/>
  <c r="AR104" i="12"/>
  <c r="AO104" i="12"/>
  <c r="AN104" i="12"/>
  <c r="AL104" i="12"/>
  <c r="AK104" i="12"/>
  <c r="AU103" i="12"/>
  <c r="AK103" i="12"/>
  <c r="AU102" i="12"/>
  <c r="AK102" i="12"/>
  <c r="AU101" i="12"/>
  <c r="AK101" i="12"/>
  <c r="AU100" i="12"/>
  <c r="AS100" i="12"/>
  <c r="AR100" i="12"/>
  <c r="AP100" i="12"/>
  <c r="AO100" i="12"/>
  <c r="AN100" i="12"/>
  <c r="AM100" i="12"/>
  <c r="AL100" i="12"/>
  <c r="AK100" i="12"/>
  <c r="AU99" i="12"/>
  <c r="AS99" i="12"/>
  <c r="AR99" i="12"/>
  <c r="AO99" i="12"/>
  <c r="AN99" i="12"/>
  <c r="AL99" i="12"/>
  <c r="AK99" i="12"/>
  <c r="AU98" i="12"/>
  <c r="AS98" i="12"/>
  <c r="AR98" i="12"/>
  <c r="AO98" i="12"/>
  <c r="AN98" i="12"/>
  <c r="AL98" i="12"/>
  <c r="AK98" i="12"/>
  <c r="AU97" i="12"/>
  <c r="AS97" i="12"/>
  <c r="AR97" i="12"/>
  <c r="AO97" i="12"/>
  <c r="AN97" i="12"/>
  <c r="AL97" i="12"/>
  <c r="AK97" i="12"/>
  <c r="AU96" i="12"/>
  <c r="AS96" i="12"/>
  <c r="AR96" i="12"/>
  <c r="AO96" i="12"/>
  <c r="AN96" i="12"/>
  <c r="AL96" i="12"/>
  <c r="AK96" i="12"/>
  <c r="AU95" i="12"/>
  <c r="AK95" i="12"/>
  <c r="AU94" i="12"/>
  <c r="AS94" i="12"/>
  <c r="AR94" i="12"/>
  <c r="AP94" i="12"/>
  <c r="AO94" i="12"/>
  <c r="AN94" i="12"/>
  <c r="AL94" i="12"/>
  <c r="AK94" i="12"/>
  <c r="AU93" i="12"/>
  <c r="AS93" i="12"/>
  <c r="AR93" i="12"/>
  <c r="AP93" i="12"/>
  <c r="AO93" i="12"/>
  <c r="AN93" i="12"/>
  <c r="AM93" i="12"/>
  <c r="AL93" i="12"/>
  <c r="AK93" i="12"/>
  <c r="AU92" i="12"/>
  <c r="AS92" i="12"/>
  <c r="AR92" i="12"/>
  <c r="AO92" i="12"/>
  <c r="AN92" i="12"/>
  <c r="AL92" i="12"/>
  <c r="AK92" i="12"/>
  <c r="AU91" i="12"/>
  <c r="AS91" i="12"/>
  <c r="AR91" i="12"/>
  <c r="AO91" i="12"/>
  <c r="AN91" i="12"/>
  <c r="AL91" i="12"/>
  <c r="AK91" i="12"/>
  <c r="AU90" i="12"/>
  <c r="AS90" i="12"/>
  <c r="AR90" i="12"/>
  <c r="AO90" i="12"/>
  <c r="AN90" i="12"/>
  <c r="AL90" i="12"/>
  <c r="AK90" i="12"/>
  <c r="AU89" i="12"/>
  <c r="AK89" i="12"/>
  <c r="AU88" i="12"/>
  <c r="AK88" i="12"/>
  <c r="AU87" i="12"/>
  <c r="AK87" i="12"/>
  <c r="AU86" i="12"/>
  <c r="AS86" i="12"/>
  <c r="AR86" i="12"/>
  <c r="AP86" i="12"/>
  <c r="AO86" i="12"/>
  <c r="AN86" i="12"/>
  <c r="AM86" i="12"/>
  <c r="AL86" i="12"/>
  <c r="AK86" i="12"/>
  <c r="AU85" i="12"/>
  <c r="AS85" i="12"/>
  <c r="AR85" i="12"/>
  <c r="AO85" i="12"/>
  <c r="AN85" i="12"/>
  <c r="AL85" i="12"/>
  <c r="AK85" i="12"/>
  <c r="AU84" i="12"/>
  <c r="AS84" i="12"/>
  <c r="AR84" i="12"/>
  <c r="AO84" i="12"/>
  <c r="AN84" i="12"/>
  <c r="AL84" i="12"/>
  <c r="AK84" i="12"/>
  <c r="AU83" i="12"/>
  <c r="AS83" i="12"/>
  <c r="AR83" i="12"/>
  <c r="AO83" i="12"/>
  <c r="AN83" i="12"/>
  <c r="AL83" i="12"/>
  <c r="AK83" i="12"/>
  <c r="AU82" i="12"/>
  <c r="AS82" i="12"/>
  <c r="AR82" i="12"/>
  <c r="AO82" i="12"/>
  <c r="AN82" i="12"/>
  <c r="AL82" i="12"/>
  <c r="AK82" i="12"/>
  <c r="AU81" i="12"/>
  <c r="AK81" i="12"/>
  <c r="AU80" i="12"/>
  <c r="AS80" i="12"/>
  <c r="AR80" i="12"/>
  <c r="AO80" i="12"/>
  <c r="AN80" i="12"/>
  <c r="AL80" i="12"/>
  <c r="AK80" i="12"/>
  <c r="AU79" i="12"/>
  <c r="AS79" i="12"/>
  <c r="AR79" i="12"/>
  <c r="AP79" i="12"/>
  <c r="AO79" i="12"/>
  <c r="AN79" i="12"/>
  <c r="AM79" i="12"/>
  <c r="AL79" i="12"/>
  <c r="AU78" i="12"/>
  <c r="AS78" i="12"/>
  <c r="AR78" i="12"/>
  <c r="AP78" i="12"/>
  <c r="AO78" i="12"/>
  <c r="AN78" i="12"/>
  <c r="AM78" i="12"/>
  <c r="AL78" i="12"/>
  <c r="AK78" i="12"/>
  <c r="AU77" i="12"/>
  <c r="AS77" i="12"/>
  <c r="AR77" i="12"/>
  <c r="AP77" i="12"/>
  <c r="AO77" i="12"/>
  <c r="AN77" i="12"/>
  <c r="AM77" i="12"/>
  <c r="AL77" i="12"/>
  <c r="AK76" i="12"/>
  <c r="AU75" i="12"/>
  <c r="AS75" i="12"/>
  <c r="AR75" i="12"/>
  <c r="AP75" i="12"/>
  <c r="AO75" i="12"/>
  <c r="AN75" i="12"/>
  <c r="AM75" i="12"/>
  <c r="AL75" i="12"/>
  <c r="AK75" i="12"/>
  <c r="AU74" i="12"/>
  <c r="AS74" i="12"/>
  <c r="AR74" i="12"/>
  <c r="AO74" i="12"/>
  <c r="AN74" i="12"/>
  <c r="AL74" i="12"/>
  <c r="AK74" i="12"/>
  <c r="AU73" i="12"/>
  <c r="AS73" i="12"/>
  <c r="AR73" i="12"/>
  <c r="AO73" i="12"/>
  <c r="AN73" i="12"/>
  <c r="AL73" i="12"/>
  <c r="AK73" i="12"/>
  <c r="AU72" i="12"/>
  <c r="AS72" i="12"/>
  <c r="AR72" i="12"/>
  <c r="AO72" i="12"/>
  <c r="AN72" i="12"/>
  <c r="AL72" i="12"/>
  <c r="AK72" i="12"/>
  <c r="AU71" i="12"/>
  <c r="AS71" i="12"/>
  <c r="AR71" i="12"/>
  <c r="AO71" i="12"/>
  <c r="AN71" i="12"/>
  <c r="AL71" i="12"/>
  <c r="AK71" i="12"/>
  <c r="AK70" i="12"/>
  <c r="AU69" i="12"/>
  <c r="AS69" i="12"/>
  <c r="AR69" i="12"/>
  <c r="AO69" i="12"/>
  <c r="AN69" i="12"/>
  <c r="AL69" i="12"/>
  <c r="AK69" i="12"/>
  <c r="AU68" i="12"/>
  <c r="AS68" i="12"/>
  <c r="AR68" i="12"/>
  <c r="AP68" i="12"/>
  <c r="AO68" i="12"/>
  <c r="AN68" i="12"/>
  <c r="AM68" i="12"/>
  <c r="AL68" i="12"/>
  <c r="AK68" i="12"/>
  <c r="AU67" i="12"/>
  <c r="AS67" i="12"/>
  <c r="AR67" i="12"/>
  <c r="AO67" i="12"/>
  <c r="AN67" i="12"/>
  <c r="AL67" i="12"/>
  <c r="AK67" i="12"/>
  <c r="AU66" i="12"/>
  <c r="AS66" i="12"/>
  <c r="AR66" i="12"/>
  <c r="AO66" i="12"/>
  <c r="AN66" i="12"/>
  <c r="AL66" i="12"/>
  <c r="AK66" i="12"/>
  <c r="AU65" i="12"/>
  <c r="AS65" i="12"/>
  <c r="AR65" i="12"/>
  <c r="AO65" i="12"/>
  <c r="AN65" i="12"/>
  <c r="AL65" i="12"/>
  <c r="AK65" i="12"/>
  <c r="AK64" i="12"/>
  <c r="AK63" i="12"/>
  <c r="AK62" i="12"/>
  <c r="AU61" i="12"/>
  <c r="AS61" i="12"/>
  <c r="AR61" i="12"/>
  <c r="AP61" i="12"/>
  <c r="AO61" i="12"/>
  <c r="AN61" i="12"/>
  <c r="AM61" i="12"/>
  <c r="AL61" i="12"/>
  <c r="AK61" i="12"/>
  <c r="AU60" i="12"/>
  <c r="AS60" i="12"/>
  <c r="AR60" i="12"/>
  <c r="AO60" i="12"/>
  <c r="AN60" i="12"/>
  <c r="AL60" i="12"/>
  <c r="AK60" i="12"/>
  <c r="AU59" i="12"/>
  <c r="AS59" i="12"/>
  <c r="AR59" i="12"/>
  <c r="AO59" i="12"/>
  <c r="AN59" i="12"/>
  <c r="AL59" i="12"/>
  <c r="AK59" i="12"/>
  <c r="AU58" i="12"/>
  <c r="AS58" i="12"/>
  <c r="AR58" i="12"/>
  <c r="AO58" i="12"/>
  <c r="AN58" i="12"/>
  <c r="AL58" i="12"/>
  <c r="AK58" i="12"/>
  <c r="AK57" i="12"/>
  <c r="AK56" i="12"/>
  <c r="AK55" i="12"/>
  <c r="AU54" i="12"/>
  <c r="AS54" i="12"/>
  <c r="AR54" i="12"/>
  <c r="AP54" i="12"/>
  <c r="AO54" i="12"/>
  <c r="AN54" i="12"/>
  <c r="AM54" i="12"/>
  <c r="AL54" i="12"/>
  <c r="AK54" i="12"/>
  <c r="AU53" i="12"/>
  <c r="AS53" i="12"/>
  <c r="AR53" i="12"/>
  <c r="AO53" i="12"/>
  <c r="AN53" i="12"/>
  <c r="AL53" i="12"/>
  <c r="AK53" i="12"/>
  <c r="AU52" i="12"/>
  <c r="AS52" i="12"/>
  <c r="AR52" i="12"/>
  <c r="AO52" i="12"/>
  <c r="AN52" i="12"/>
  <c r="AL52" i="12"/>
  <c r="AK52" i="12"/>
  <c r="AU51" i="12"/>
  <c r="AS51" i="12"/>
  <c r="AR51" i="12"/>
  <c r="AO51" i="12"/>
  <c r="AN51" i="12"/>
  <c r="AL51" i="12"/>
  <c r="AK51" i="12"/>
  <c r="AK50" i="12"/>
  <c r="AK49" i="12"/>
  <c r="AK48" i="12"/>
  <c r="AU47" i="12"/>
  <c r="AS47" i="12"/>
  <c r="AR47" i="12"/>
  <c r="AP47" i="12"/>
  <c r="AO47" i="12"/>
  <c r="AN47" i="12"/>
  <c r="AM47" i="12"/>
  <c r="AL47" i="12"/>
  <c r="AK47" i="12"/>
  <c r="AU46" i="12"/>
  <c r="AS46" i="12"/>
  <c r="AR46" i="12"/>
  <c r="AO46" i="12"/>
  <c r="AN46" i="12"/>
  <c r="AL46" i="12"/>
  <c r="AK46" i="12"/>
  <c r="AU45" i="12"/>
  <c r="AS45" i="12"/>
  <c r="AR45" i="12"/>
  <c r="AO45" i="12"/>
  <c r="AN45" i="12"/>
  <c r="AL45" i="12"/>
  <c r="AK45" i="12"/>
  <c r="AK44" i="12"/>
  <c r="AK43" i="12"/>
  <c r="AK42" i="12"/>
  <c r="AK41" i="12"/>
  <c r="AU33" i="12"/>
  <c r="AS33" i="12"/>
  <c r="AR33" i="12"/>
  <c r="AP33" i="12"/>
  <c r="AO33" i="12"/>
  <c r="AN33" i="12"/>
  <c r="AM33" i="12"/>
  <c r="AL33" i="12"/>
  <c r="AK33" i="12"/>
  <c r="AU32" i="12"/>
  <c r="AS32" i="12"/>
  <c r="AR32" i="12"/>
  <c r="AO32" i="12"/>
  <c r="AN32" i="12"/>
  <c r="AL32" i="12"/>
  <c r="AK32" i="12"/>
  <c r="AK31" i="12"/>
  <c r="AK30" i="12"/>
  <c r="AK29" i="12"/>
  <c r="AK28" i="12"/>
  <c r="AK27" i="12"/>
  <c r="AU26" i="12"/>
  <c r="AS26" i="12"/>
  <c r="AR26" i="12"/>
  <c r="AP26" i="12"/>
  <c r="AO26" i="12"/>
  <c r="AN26" i="12"/>
  <c r="AM26" i="12"/>
  <c r="AL26" i="12"/>
  <c r="AK26" i="12"/>
  <c r="AU25" i="12"/>
  <c r="AS25" i="12"/>
  <c r="AR25" i="12"/>
  <c r="AO25" i="12"/>
  <c r="AN25" i="12"/>
  <c r="AL25" i="12"/>
  <c r="AK25" i="12"/>
  <c r="AU24" i="12"/>
  <c r="AS24" i="12"/>
  <c r="AR24" i="12"/>
  <c r="AO24" i="12"/>
  <c r="AN24" i="12"/>
  <c r="AL24" i="12"/>
  <c r="AK24" i="12"/>
  <c r="AU23" i="12"/>
  <c r="AS23" i="12"/>
  <c r="AR23" i="12"/>
  <c r="AO23" i="12"/>
  <c r="AN23" i="12"/>
  <c r="AL23" i="12"/>
  <c r="AK23" i="12"/>
  <c r="AU22" i="12"/>
  <c r="AS22" i="12"/>
  <c r="AR22" i="12"/>
  <c r="AO22" i="12"/>
  <c r="AN22" i="12"/>
  <c r="AL22" i="12"/>
  <c r="AK22" i="12"/>
  <c r="AK21" i="12"/>
  <c r="AU20" i="12"/>
  <c r="AS20" i="12"/>
  <c r="AR20" i="12"/>
  <c r="AO20" i="12"/>
  <c r="AN20" i="12"/>
  <c r="AL20" i="12"/>
  <c r="AK20" i="12"/>
  <c r="AU19" i="12"/>
  <c r="AS19" i="12"/>
  <c r="AR19" i="12"/>
  <c r="AP19" i="12"/>
  <c r="AO19" i="12"/>
  <c r="AN19" i="12"/>
  <c r="AM19" i="12"/>
  <c r="AL19" i="12"/>
  <c r="AK19" i="12"/>
  <c r="AU18" i="12"/>
  <c r="AS18" i="12"/>
  <c r="AR18" i="12"/>
  <c r="AO18" i="12"/>
  <c r="AN18" i="12"/>
  <c r="AL18" i="12"/>
  <c r="AK18" i="12"/>
  <c r="AU17" i="12"/>
  <c r="AS17" i="12"/>
  <c r="AR17" i="12"/>
  <c r="AO17" i="12"/>
  <c r="AN17" i="12"/>
  <c r="AL17" i="12"/>
  <c r="AK17" i="12"/>
  <c r="AK16" i="12"/>
  <c r="H114" i="16"/>
  <c r="AP114" i="16" s="1"/>
  <c r="H115" i="16"/>
  <c r="AP115" i="16" s="1"/>
  <c r="H114" i="20"/>
  <c r="AP114" i="20" s="1"/>
  <c r="H115" i="20"/>
  <c r="AP115" i="20" s="1"/>
  <c r="H114" i="24"/>
  <c r="AP114" i="24" s="1"/>
  <c r="H115" i="24"/>
  <c r="AP115" i="24" s="1"/>
  <c r="H114" i="28"/>
  <c r="AP114" i="28" s="1"/>
  <c r="H115" i="28"/>
  <c r="AP115" i="28" s="1"/>
  <c r="H114" i="32"/>
  <c r="AP114" i="32" s="1"/>
  <c r="H115" i="32"/>
  <c r="AP115" i="32" s="1"/>
  <c r="H114" i="36"/>
  <c r="AP114" i="36" s="1"/>
  <c r="H115" i="36"/>
  <c r="AP115" i="36" s="1"/>
  <c r="H114" i="40"/>
  <c r="AP114" i="40" s="1"/>
  <c r="H115" i="40"/>
  <c r="AP115" i="40" s="1"/>
  <c r="H114" i="44"/>
  <c r="AP114" i="44" s="1"/>
  <c r="H115" i="44"/>
  <c r="AP115" i="44" s="1"/>
  <c r="H114" i="12"/>
  <c r="H115" i="12"/>
  <c r="E114" i="16"/>
  <c r="AM114" i="16" s="1"/>
  <c r="E115" i="16"/>
  <c r="AM115" i="16" s="1"/>
  <c r="E114" i="20"/>
  <c r="AM114" i="20" s="1"/>
  <c r="E115" i="20"/>
  <c r="AM115" i="20" s="1"/>
  <c r="E114" i="24"/>
  <c r="AM114" i="24" s="1"/>
  <c r="E115" i="24"/>
  <c r="AM115" i="24" s="1"/>
  <c r="E114" i="28"/>
  <c r="AM114" i="28" s="1"/>
  <c r="E115" i="28"/>
  <c r="AM115" i="28" s="1"/>
  <c r="E114" i="32"/>
  <c r="AM114" i="32" s="1"/>
  <c r="E115" i="32"/>
  <c r="AM115" i="32" s="1"/>
  <c r="E114" i="36"/>
  <c r="AM114" i="36" s="1"/>
  <c r="E115" i="36"/>
  <c r="AM115" i="36" s="1"/>
  <c r="E114" i="40"/>
  <c r="AM114" i="40" s="1"/>
  <c r="E115" i="40"/>
  <c r="AM115" i="40" s="1"/>
  <c r="E114" i="44"/>
  <c r="AM114" i="44" s="1"/>
  <c r="E115" i="44"/>
  <c r="AM115" i="44" s="1"/>
  <c r="E114" i="12"/>
  <c r="E115" i="12"/>
  <c r="H106" i="16"/>
  <c r="AP106" i="16" s="1"/>
  <c r="E106" i="16"/>
  <c r="AM106" i="16" s="1"/>
  <c r="H105" i="16"/>
  <c r="AP105" i="16" s="1"/>
  <c r="E105" i="16"/>
  <c r="AM105" i="16" s="1"/>
  <c r="H104" i="16"/>
  <c r="AP104" i="16" s="1"/>
  <c r="E104" i="16"/>
  <c r="AM104" i="16" s="1"/>
  <c r="H106" i="20"/>
  <c r="AP106" i="20" s="1"/>
  <c r="E106" i="20"/>
  <c r="AM106" i="20" s="1"/>
  <c r="H105" i="20"/>
  <c r="AP105" i="20" s="1"/>
  <c r="E105" i="20"/>
  <c r="AM105" i="20" s="1"/>
  <c r="H104" i="20"/>
  <c r="AP104" i="20" s="1"/>
  <c r="E104" i="20"/>
  <c r="AM104" i="20" s="1"/>
  <c r="H106" i="24"/>
  <c r="AP106" i="24" s="1"/>
  <c r="E106" i="24"/>
  <c r="AM106" i="24" s="1"/>
  <c r="H105" i="24"/>
  <c r="AP105" i="24" s="1"/>
  <c r="E105" i="24"/>
  <c r="AM105" i="24" s="1"/>
  <c r="H104" i="24"/>
  <c r="AP104" i="24" s="1"/>
  <c r="E104" i="24"/>
  <c r="AM104" i="24" s="1"/>
  <c r="H106" i="28"/>
  <c r="AP106" i="28" s="1"/>
  <c r="E106" i="28"/>
  <c r="AM106" i="28" s="1"/>
  <c r="H105" i="28"/>
  <c r="AP105" i="28" s="1"/>
  <c r="E105" i="28"/>
  <c r="AM105" i="28" s="1"/>
  <c r="H104" i="28"/>
  <c r="AP104" i="28" s="1"/>
  <c r="E104" i="28"/>
  <c r="AM104" i="28" s="1"/>
  <c r="H106" i="32"/>
  <c r="AP106" i="32" s="1"/>
  <c r="E106" i="32"/>
  <c r="AM106" i="32" s="1"/>
  <c r="H105" i="32"/>
  <c r="AP105" i="32" s="1"/>
  <c r="E105" i="32"/>
  <c r="AM105" i="32" s="1"/>
  <c r="H104" i="32"/>
  <c r="AP104" i="32" s="1"/>
  <c r="E104" i="32"/>
  <c r="AM104" i="32" s="1"/>
  <c r="H106" i="36"/>
  <c r="AP106" i="36" s="1"/>
  <c r="E106" i="36"/>
  <c r="AM106" i="36" s="1"/>
  <c r="H105" i="36"/>
  <c r="AP105" i="36" s="1"/>
  <c r="E105" i="36"/>
  <c r="AM105" i="36" s="1"/>
  <c r="H104" i="36"/>
  <c r="AP104" i="36" s="1"/>
  <c r="E104" i="36"/>
  <c r="AM104" i="36" s="1"/>
  <c r="H106" i="40"/>
  <c r="AP106" i="40" s="1"/>
  <c r="E106" i="40"/>
  <c r="AM106" i="40" s="1"/>
  <c r="H105" i="40"/>
  <c r="AP105" i="40" s="1"/>
  <c r="E105" i="40"/>
  <c r="AM105" i="40" s="1"/>
  <c r="H104" i="40"/>
  <c r="AP104" i="40" s="1"/>
  <c r="E104" i="40"/>
  <c r="AM104" i="40" s="1"/>
  <c r="H106" i="44"/>
  <c r="AP106" i="44" s="1"/>
  <c r="E106" i="44"/>
  <c r="AM106" i="44" s="1"/>
  <c r="H105" i="44"/>
  <c r="AP105" i="44" s="1"/>
  <c r="E105" i="44"/>
  <c r="AM105" i="44" s="1"/>
  <c r="H104" i="44"/>
  <c r="AP104" i="44" s="1"/>
  <c r="E104" i="44"/>
  <c r="AM104" i="44" s="1"/>
  <c r="H106" i="12"/>
  <c r="E106" i="12"/>
  <c r="H105" i="12"/>
  <c r="E105" i="12"/>
  <c r="H104" i="12"/>
  <c r="E104" i="12"/>
  <c r="H99" i="16"/>
  <c r="AP99" i="16" s="1"/>
  <c r="E99" i="16"/>
  <c r="AM99" i="16" s="1"/>
  <c r="H98" i="16"/>
  <c r="AP98" i="16" s="1"/>
  <c r="E98" i="16"/>
  <c r="AM98" i="16" s="1"/>
  <c r="H97" i="16"/>
  <c r="AP97" i="16" s="1"/>
  <c r="E97" i="16"/>
  <c r="AM97" i="16" s="1"/>
  <c r="H96" i="16"/>
  <c r="AP96" i="16" s="1"/>
  <c r="E96" i="16"/>
  <c r="AM96" i="16" s="1"/>
  <c r="H99" i="20"/>
  <c r="AP99" i="20" s="1"/>
  <c r="E99" i="20"/>
  <c r="AM99" i="20" s="1"/>
  <c r="H98" i="20"/>
  <c r="AP98" i="20" s="1"/>
  <c r="E98" i="20"/>
  <c r="AM98" i="20" s="1"/>
  <c r="H97" i="20"/>
  <c r="AP97" i="20" s="1"/>
  <c r="E97" i="20"/>
  <c r="AM97" i="20" s="1"/>
  <c r="H96" i="20"/>
  <c r="AP96" i="20" s="1"/>
  <c r="E96" i="20"/>
  <c r="AM96" i="20" s="1"/>
  <c r="H99" i="24"/>
  <c r="AP99" i="24" s="1"/>
  <c r="E99" i="24"/>
  <c r="AM99" i="24" s="1"/>
  <c r="H98" i="24"/>
  <c r="AP98" i="24" s="1"/>
  <c r="E98" i="24"/>
  <c r="AM98" i="24" s="1"/>
  <c r="H97" i="24"/>
  <c r="AP97" i="24" s="1"/>
  <c r="E97" i="24"/>
  <c r="AM97" i="24" s="1"/>
  <c r="H96" i="24"/>
  <c r="AP96" i="24" s="1"/>
  <c r="E96" i="24"/>
  <c r="AM96" i="24" s="1"/>
  <c r="H99" i="28"/>
  <c r="AP99" i="28" s="1"/>
  <c r="E99" i="28"/>
  <c r="AM99" i="28" s="1"/>
  <c r="H98" i="28"/>
  <c r="AP98" i="28" s="1"/>
  <c r="E98" i="28"/>
  <c r="AM98" i="28" s="1"/>
  <c r="H97" i="28"/>
  <c r="AP97" i="28" s="1"/>
  <c r="E97" i="28"/>
  <c r="AM97" i="28" s="1"/>
  <c r="H96" i="28"/>
  <c r="AP96" i="28" s="1"/>
  <c r="E96" i="28"/>
  <c r="AM96" i="28" s="1"/>
  <c r="H99" i="32"/>
  <c r="AP99" i="32" s="1"/>
  <c r="E99" i="32"/>
  <c r="AM99" i="32" s="1"/>
  <c r="H98" i="32"/>
  <c r="AP98" i="32" s="1"/>
  <c r="E98" i="32"/>
  <c r="AM98" i="32" s="1"/>
  <c r="H97" i="32"/>
  <c r="AP97" i="32" s="1"/>
  <c r="E97" i="32"/>
  <c r="AM97" i="32" s="1"/>
  <c r="H96" i="32"/>
  <c r="AP96" i="32" s="1"/>
  <c r="E96" i="32"/>
  <c r="AM96" i="32" s="1"/>
  <c r="H99" i="36"/>
  <c r="AP99" i="36" s="1"/>
  <c r="E99" i="36"/>
  <c r="AM99" i="36" s="1"/>
  <c r="H98" i="36"/>
  <c r="AP98" i="36" s="1"/>
  <c r="E98" i="36"/>
  <c r="AM98" i="36" s="1"/>
  <c r="H97" i="36"/>
  <c r="AP97" i="36" s="1"/>
  <c r="E97" i="36"/>
  <c r="AM97" i="36" s="1"/>
  <c r="H96" i="36"/>
  <c r="AP96" i="36" s="1"/>
  <c r="E96" i="36"/>
  <c r="AM96" i="36" s="1"/>
  <c r="H99" i="40"/>
  <c r="AP99" i="40" s="1"/>
  <c r="E99" i="40"/>
  <c r="AM99" i="40" s="1"/>
  <c r="H98" i="40"/>
  <c r="AP98" i="40" s="1"/>
  <c r="E98" i="40"/>
  <c r="AM98" i="40" s="1"/>
  <c r="H97" i="40"/>
  <c r="AP97" i="40" s="1"/>
  <c r="E97" i="40"/>
  <c r="AM97" i="40" s="1"/>
  <c r="H96" i="40"/>
  <c r="AP96" i="40" s="1"/>
  <c r="E96" i="40"/>
  <c r="AM96" i="40" s="1"/>
  <c r="H99" i="44"/>
  <c r="AP99" i="44" s="1"/>
  <c r="E99" i="44"/>
  <c r="AM99" i="44" s="1"/>
  <c r="H98" i="44"/>
  <c r="AP98" i="44" s="1"/>
  <c r="E98" i="44"/>
  <c r="AM98" i="44" s="1"/>
  <c r="H97" i="44"/>
  <c r="AP97" i="44" s="1"/>
  <c r="E97" i="44"/>
  <c r="AM97" i="44" s="1"/>
  <c r="H96" i="44"/>
  <c r="AP96" i="44" s="1"/>
  <c r="E96" i="44"/>
  <c r="AM96" i="44" s="1"/>
  <c r="H99" i="12"/>
  <c r="E99" i="12"/>
  <c r="H98" i="12"/>
  <c r="E98" i="12"/>
  <c r="H97" i="12"/>
  <c r="E97" i="12"/>
  <c r="H96" i="12"/>
  <c r="E96" i="12"/>
  <c r="H90" i="16"/>
  <c r="AP90" i="16" s="1"/>
  <c r="H91" i="16"/>
  <c r="AP91" i="16" s="1"/>
  <c r="H92" i="16"/>
  <c r="AP92" i="16" s="1"/>
  <c r="H90" i="20"/>
  <c r="AP90" i="20" s="1"/>
  <c r="H91" i="20"/>
  <c r="AP91" i="20" s="1"/>
  <c r="H92" i="20"/>
  <c r="AP92" i="20" s="1"/>
  <c r="H90" i="24"/>
  <c r="AP90" i="24" s="1"/>
  <c r="H91" i="24"/>
  <c r="AP91" i="24" s="1"/>
  <c r="H92" i="24"/>
  <c r="AP92" i="24" s="1"/>
  <c r="H90" i="28"/>
  <c r="AP90" i="28" s="1"/>
  <c r="H91" i="28"/>
  <c r="AP91" i="28" s="1"/>
  <c r="H92" i="28"/>
  <c r="AP92" i="28" s="1"/>
  <c r="H90" i="32"/>
  <c r="AP90" i="32" s="1"/>
  <c r="H91" i="32"/>
  <c r="AP91" i="32" s="1"/>
  <c r="H92" i="32"/>
  <c r="AP92" i="32" s="1"/>
  <c r="H90" i="36"/>
  <c r="AP90" i="36" s="1"/>
  <c r="H91" i="36"/>
  <c r="AP91" i="36" s="1"/>
  <c r="H92" i="36"/>
  <c r="AP92" i="36" s="1"/>
  <c r="H90" i="40"/>
  <c r="AP90" i="40" s="1"/>
  <c r="H91" i="40"/>
  <c r="AP91" i="40" s="1"/>
  <c r="H92" i="40"/>
  <c r="AP92" i="40" s="1"/>
  <c r="H90" i="44"/>
  <c r="AP90" i="44" s="1"/>
  <c r="H91" i="44"/>
  <c r="AP91" i="44" s="1"/>
  <c r="H92" i="44"/>
  <c r="AP92" i="44" s="1"/>
  <c r="H90" i="12"/>
  <c r="H91" i="12"/>
  <c r="H92" i="12"/>
  <c r="E90" i="16"/>
  <c r="AM90" i="16" s="1"/>
  <c r="E91" i="16"/>
  <c r="AM91" i="16" s="1"/>
  <c r="E92" i="16"/>
  <c r="AM92" i="16" s="1"/>
  <c r="E94" i="16"/>
  <c r="AM94" i="16" s="1"/>
  <c r="E90" i="20"/>
  <c r="AM90" i="20" s="1"/>
  <c r="E91" i="20"/>
  <c r="AM91" i="20" s="1"/>
  <c r="E92" i="20"/>
  <c r="AM92" i="20" s="1"/>
  <c r="E94" i="20"/>
  <c r="AM94" i="20" s="1"/>
  <c r="E90" i="24"/>
  <c r="AM90" i="24" s="1"/>
  <c r="E91" i="24"/>
  <c r="AM91" i="24" s="1"/>
  <c r="E92" i="24"/>
  <c r="AM92" i="24" s="1"/>
  <c r="E94" i="24"/>
  <c r="AM94" i="24" s="1"/>
  <c r="E90" i="28"/>
  <c r="AM90" i="28" s="1"/>
  <c r="E91" i="28"/>
  <c r="AM91" i="28" s="1"/>
  <c r="E92" i="28"/>
  <c r="AM92" i="28" s="1"/>
  <c r="E94" i="28"/>
  <c r="AM94" i="28" s="1"/>
  <c r="E90" i="32"/>
  <c r="AM90" i="32" s="1"/>
  <c r="E91" i="32"/>
  <c r="AM91" i="32" s="1"/>
  <c r="E92" i="32"/>
  <c r="AM92" i="32" s="1"/>
  <c r="E94" i="32"/>
  <c r="AM94" i="32" s="1"/>
  <c r="E90" i="36"/>
  <c r="AM90" i="36" s="1"/>
  <c r="E91" i="36"/>
  <c r="AM91" i="36" s="1"/>
  <c r="E92" i="36"/>
  <c r="AM92" i="36" s="1"/>
  <c r="E94" i="36"/>
  <c r="AM94" i="36" s="1"/>
  <c r="E90" i="40"/>
  <c r="AM90" i="40" s="1"/>
  <c r="E91" i="40"/>
  <c r="AM91" i="40" s="1"/>
  <c r="E92" i="40"/>
  <c r="AM92" i="40" s="1"/>
  <c r="E94" i="40"/>
  <c r="AM94" i="40" s="1"/>
  <c r="E90" i="44"/>
  <c r="AM90" i="44" s="1"/>
  <c r="E91" i="44"/>
  <c r="AM91" i="44" s="1"/>
  <c r="E92" i="44"/>
  <c r="AM92" i="44" s="1"/>
  <c r="E94" i="44"/>
  <c r="AM94" i="44" s="1"/>
  <c r="E90" i="12"/>
  <c r="E91" i="12"/>
  <c r="E92" i="12"/>
  <c r="E94" i="12"/>
  <c r="H82" i="16"/>
  <c r="AP82" i="16" s="1"/>
  <c r="H83" i="16"/>
  <c r="AP83" i="16" s="1"/>
  <c r="H84" i="16"/>
  <c r="AP84" i="16" s="1"/>
  <c r="H85" i="16"/>
  <c r="AP85" i="16" s="1"/>
  <c r="H82" i="20"/>
  <c r="AP82" i="20" s="1"/>
  <c r="H83" i="20"/>
  <c r="AP83" i="20" s="1"/>
  <c r="H84" i="20"/>
  <c r="AP84" i="20" s="1"/>
  <c r="H85" i="20"/>
  <c r="AP85" i="20" s="1"/>
  <c r="H82" i="24"/>
  <c r="AP82" i="24" s="1"/>
  <c r="H83" i="24"/>
  <c r="AP83" i="24" s="1"/>
  <c r="H84" i="24"/>
  <c r="AP84" i="24" s="1"/>
  <c r="H85" i="24"/>
  <c r="AP85" i="24" s="1"/>
  <c r="H82" i="28"/>
  <c r="AP82" i="28" s="1"/>
  <c r="H83" i="28"/>
  <c r="AP83" i="28" s="1"/>
  <c r="H84" i="28"/>
  <c r="AP84" i="28" s="1"/>
  <c r="H85" i="28"/>
  <c r="AP85" i="28" s="1"/>
  <c r="H82" i="32"/>
  <c r="AP82" i="32" s="1"/>
  <c r="H83" i="32"/>
  <c r="AP83" i="32" s="1"/>
  <c r="H84" i="32"/>
  <c r="AP84" i="32" s="1"/>
  <c r="H85" i="32"/>
  <c r="AP85" i="32" s="1"/>
  <c r="H82" i="36"/>
  <c r="AP82" i="36" s="1"/>
  <c r="H83" i="36"/>
  <c r="AP83" i="36" s="1"/>
  <c r="H84" i="36"/>
  <c r="AP84" i="36" s="1"/>
  <c r="H85" i="36"/>
  <c r="AP85" i="36" s="1"/>
  <c r="H82" i="40"/>
  <c r="AP82" i="40" s="1"/>
  <c r="H83" i="40"/>
  <c r="AP83" i="40" s="1"/>
  <c r="H84" i="40"/>
  <c r="AP84" i="40" s="1"/>
  <c r="H85" i="40"/>
  <c r="AP85" i="40" s="1"/>
  <c r="H82" i="44"/>
  <c r="AP82" i="44" s="1"/>
  <c r="H83" i="44"/>
  <c r="AP83" i="44" s="1"/>
  <c r="H84" i="44"/>
  <c r="AP84" i="44" s="1"/>
  <c r="H85" i="44"/>
  <c r="AP85" i="44" s="1"/>
  <c r="H82" i="12"/>
  <c r="H83" i="12"/>
  <c r="H84" i="12"/>
  <c r="H85" i="12"/>
  <c r="E82" i="16"/>
  <c r="AM82" i="16" s="1"/>
  <c r="E83" i="16"/>
  <c r="AM83" i="16" s="1"/>
  <c r="E84" i="16"/>
  <c r="AM84" i="16" s="1"/>
  <c r="E85" i="16"/>
  <c r="AM85" i="16" s="1"/>
  <c r="E82" i="20"/>
  <c r="AM82" i="20" s="1"/>
  <c r="E83" i="20"/>
  <c r="AM83" i="20" s="1"/>
  <c r="E84" i="20"/>
  <c r="AM84" i="20" s="1"/>
  <c r="E85" i="20"/>
  <c r="AM85" i="20" s="1"/>
  <c r="E82" i="24"/>
  <c r="AM82" i="24" s="1"/>
  <c r="E83" i="24"/>
  <c r="AM83" i="24" s="1"/>
  <c r="E84" i="24"/>
  <c r="AM84" i="24" s="1"/>
  <c r="E85" i="24"/>
  <c r="AM85" i="24" s="1"/>
  <c r="E82" i="28"/>
  <c r="AM82" i="28" s="1"/>
  <c r="E83" i="28"/>
  <c r="AM83" i="28" s="1"/>
  <c r="E84" i="28"/>
  <c r="AM84" i="28" s="1"/>
  <c r="E85" i="28"/>
  <c r="AM85" i="28" s="1"/>
  <c r="E82" i="32"/>
  <c r="AM82" i="32" s="1"/>
  <c r="E83" i="32"/>
  <c r="AM83" i="32" s="1"/>
  <c r="E84" i="32"/>
  <c r="AM84" i="32" s="1"/>
  <c r="E85" i="32"/>
  <c r="AM85" i="32" s="1"/>
  <c r="E82" i="36"/>
  <c r="AM82" i="36" s="1"/>
  <c r="E83" i="36"/>
  <c r="AM83" i="36" s="1"/>
  <c r="E84" i="36"/>
  <c r="AM84" i="36" s="1"/>
  <c r="E85" i="36"/>
  <c r="AM85" i="36" s="1"/>
  <c r="E82" i="40"/>
  <c r="AM82" i="40" s="1"/>
  <c r="E83" i="40"/>
  <c r="AM83" i="40" s="1"/>
  <c r="E84" i="40"/>
  <c r="AM84" i="40" s="1"/>
  <c r="E85" i="40"/>
  <c r="AM85" i="40" s="1"/>
  <c r="E82" i="44"/>
  <c r="AM82" i="44" s="1"/>
  <c r="E83" i="44"/>
  <c r="AM83" i="44" s="1"/>
  <c r="E84" i="44"/>
  <c r="AM84" i="44" s="1"/>
  <c r="E85" i="44"/>
  <c r="AM85" i="44" s="1"/>
  <c r="E82" i="12"/>
  <c r="E83" i="12"/>
  <c r="E84" i="12"/>
  <c r="E85" i="12"/>
  <c r="N74" i="16"/>
  <c r="N73" i="16"/>
  <c r="N72" i="16"/>
  <c r="N71" i="16"/>
  <c r="N74" i="20"/>
  <c r="N73" i="20"/>
  <c r="N72" i="20"/>
  <c r="N71" i="20"/>
  <c r="N74" i="24"/>
  <c r="N73" i="24"/>
  <c r="N72" i="24"/>
  <c r="N71" i="24"/>
  <c r="N74" i="28"/>
  <c r="N73" i="28"/>
  <c r="N72" i="28"/>
  <c r="N71" i="28"/>
  <c r="N74" i="32"/>
  <c r="N73" i="32"/>
  <c r="N72" i="32"/>
  <c r="N71" i="32"/>
  <c r="N74" i="36"/>
  <c r="N73" i="36"/>
  <c r="N72" i="36"/>
  <c r="N71" i="36"/>
  <c r="N74" i="40"/>
  <c r="N73" i="40"/>
  <c r="N72" i="40"/>
  <c r="N71" i="40"/>
  <c r="N74" i="44"/>
  <c r="N73" i="44"/>
  <c r="N72" i="44"/>
  <c r="N71" i="44"/>
  <c r="N74" i="12"/>
  <c r="N73" i="12"/>
  <c r="N72" i="12"/>
  <c r="N71" i="12"/>
  <c r="H71" i="16"/>
  <c r="AP71" i="16" s="1"/>
  <c r="H72" i="16"/>
  <c r="AP72" i="16" s="1"/>
  <c r="H73" i="16"/>
  <c r="AP73" i="16" s="1"/>
  <c r="H74" i="16"/>
  <c r="AP74" i="16" s="1"/>
  <c r="H71" i="20"/>
  <c r="AP71" i="20" s="1"/>
  <c r="H72" i="20"/>
  <c r="AP72" i="20" s="1"/>
  <c r="H73" i="20"/>
  <c r="AP73" i="20" s="1"/>
  <c r="H74" i="20"/>
  <c r="AP74" i="20" s="1"/>
  <c r="H71" i="24"/>
  <c r="AP71" i="24" s="1"/>
  <c r="H72" i="24"/>
  <c r="AP72" i="24" s="1"/>
  <c r="H73" i="24"/>
  <c r="AP73" i="24" s="1"/>
  <c r="H74" i="24"/>
  <c r="AP74" i="24" s="1"/>
  <c r="H71" i="28"/>
  <c r="AP71" i="28" s="1"/>
  <c r="H72" i="28"/>
  <c r="AP72" i="28" s="1"/>
  <c r="H73" i="28"/>
  <c r="AP73" i="28" s="1"/>
  <c r="H74" i="28"/>
  <c r="AP74" i="28" s="1"/>
  <c r="H71" i="32"/>
  <c r="AP71" i="32" s="1"/>
  <c r="H72" i="32"/>
  <c r="AP72" i="32" s="1"/>
  <c r="H73" i="32"/>
  <c r="AP73" i="32" s="1"/>
  <c r="H74" i="32"/>
  <c r="AP74" i="32" s="1"/>
  <c r="H71" i="36"/>
  <c r="AP71" i="36" s="1"/>
  <c r="H72" i="36"/>
  <c r="AP72" i="36" s="1"/>
  <c r="H73" i="36"/>
  <c r="AP73" i="36" s="1"/>
  <c r="H74" i="36"/>
  <c r="AP74" i="36" s="1"/>
  <c r="H71" i="40"/>
  <c r="AP71" i="40" s="1"/>
  <c r="H72" i="40"/>
  <c r="AP72" i="40" s="1"/>
  <c r="H73" i="40"/>
  <c r="AP73" i="40" s="1"/>
  <c r="H74" i="40"/>
  <c r="AP74" i="40" s="1"/>
  <c r="H71" i="44"/>
  <c r="AP71" i="44" s="1"/>
  <c r="H72" i="44"/>
  <c r="AP72" i="44" s="1"/>
  <c r="H73" i="44"/>
  <c r="AP73" i="44" s="1"/>
  <c r="H74" i="44"/>
  <c r="AP74" i="44" s="1"/>
  <c r="H71" i="12"/>
  <c r="H72" i="12"/>
  <c r="H73" i="12"/>
  <c r="H74" i="12"/>
  <c r="E71" i="16"/>
  <c r="AM71" i="16" s="1"/>
  <c r="E72" i="16"/>
  <c r="AM72" i="16" s="1"/>
  <c r="E73" i="16"/>
  <c r="AM73" i="16" s="1"/>
  <c r="E74" i="16"/>
  <c r="AM74" i="16" s="1"/>
  <c r="E71" i="20"/>
  <c r="AM71" i="20" s="1"/>
  <c r="E72" i="20"/>
  <c r="AM72" i="20" s="1"/>
  <c r="E73" i="20"/>
  <c r="AM73" i="20" s="1"/>
  <c r="E74" i="20"/>
  <c r="AM74" i="20" s="1"/>
  <c r="E71" i="24"/>
  <c r="AM71" i="24" s="1"/>
  <c r="E72" i="24"/>
  <c r="AM72" i="24" s="1"/>
  <c r="E73" i="24"/>
  <c r="AM73" i="24" s="1"/>
  <c r="E74" i="24"/>
  <c r="AM74" i="24" s="1"/>
  <c r="E71" i="28"/>
  <c r="AM71" i="28" s="1"/>
  <c r="E72" i="28"/>
  <c r="AM72" i="28" s="1"/>
  <c r="E73" i="28"/>
  <c r="AM73" i="28" s="1"/>
  <c r="E74" i="28"/>
  <c r="AM74" i="28" s="1"/>
  <c r="E71" i="32"/>
  <c r="AM71" i="32" s="1"/>
  <c r="E72" i="32"/>
  <c r="AM72" i="32" s="1"/>
  <c r="E73" i="32"/>
  <c r="AM73" i="32" s="1"/>
  <c r="E74" i="32"/>
  <c r="AM74" i="32" s="1"/>
  <c r="E71" i="36"/>
  <c r="AM71" i="36" s="1"/>
  <c r="E72" i="36"/>
  <c r="AM72" i="36" s="1"/>
  <c r="E73" i="36"/>
  <c r="AM73" i="36" s="1"/>
  <c r="E74" i="36"/>
  <c r="AM74" i="36" s="1"/>
  <c r="E71" i="40"/>
  <c r="AM71" i="40" s="1"/>
  <c r="E72" i="40"/>
  <c r="AM72" i="40" s="1"/>
  <c r="E73" i="40"/>
  <c r="AM73" i="40" s="1"/>
  <c r="E74" i="40"/>
  <c r="AM74" i="40" s="1"/>
  <c r="E71" i="44"/>
  <c r="AM71" i="44" s="1"/>
  <c r="E72" i="44"/>
  <c r="AM72" i="44" s="1"/>
  <c r="E73" i="44"/>
  <c r="AM73" i="44" s="1"/>
  <c r="E74" i="44"/>
  <c r="AM74" i="44" s="1"/>
  <c r="E71" i="12"/>
  <c r="E72" i="12"/>
  <c r="E73" i="12"/>
  <c r="E74" i="12"/>
  <c r="N67" i="16"/>
  <c r="H67" i="16"/>
  <c r="AP67" i="16" s="1"/>
  <c r="E67" i="16"/>
  <c r="AM67" i="16" s="1"/>
  <c r="N66" i="16"/>
  <c r="H66" i="16"/>
  <c r="AP66" i="16" s="1"/>
  <c r="E66" i="16"/>
  <c r="AM66" i="16" s="1"/>
  <c r="N65" i="16"/>
  <c r="H65" i="16"/>
  <c r="AP65" i="16" s="1"/>
  <c r="E65" i="16"/>
  <c r="AM65" i="16" s="1"/>
  <c r="N67" i="20"/>
  <c r="H67" i="20"/>
  <c r="AP67" i="20" s="1"/>
  <c r="E67" i="20"/>
  <c r="AM67" i="20" s="1"/>
  <c r="N66" i="20"/>
  <c r="H66" i="20"/>
  <c r="AP66" i="20" s="1"/>
  <c r="E66" i="20"/>
  <c r="AM66" i="20" s="1"/>
  <c r="N65" i="20"/>
  <c r="H65" i="20"/>
  <c r="AP65" i="20" s="1"/>
  <c r="E65" i="20"/>
  <c r="AM65" i="20" s="1"/>
  <c r="N67" i="24"/>
  <c r="H67" i="24"/>
  <c r="AP67" i="24" s="1"/>
  <c r="E67" i="24"/>
  <c r="AM67" i="24" s="1"/>
  <c r="N66" i="24"/>
  <c r="H66" i="24"/>
  <c r="AP66" i="24" s="1"/>
  <c r="E66" i="24"/>
  <c r="AM66" i="24" s="1"/>
  <c r="N65" i="24"/>
  <c r="H65" i="24"/>
  <c r="AP65" i="24" s="1"/>
  <c r="E65" i="24"/>
  <c r="AM65" i="24" s="1"/>
  <c r="N67" i="28"/>
  <c r="H67" i="28"/>
  <c r="AP67" i="28" s="1"/>
  <c r="E67" i="28"/>
  <c r="AM67" i="28" s="1"/>
  <c r="N66" i="28"/>
  <c r="H66" i="28"/>
  <c r="AP66" i="28" s="1"/>
  <c r="E66" i="28"/>
  <c r="AM66" i="28" s="1"/>
  <c r="N65" i="28"/>
  <c r="H65" i="28"/>
  <c r="AP65" i="28" s="1"/>
  <c r="E65" i="28"/>
  <c r="AM65" i="28" s="1"/>
  <c r="N67" i="32"/>
  <c r="H67" i="32"/>
  <c r="AP67" i="32" s="1"/>
  <c r="E67" i="32"/>
  <c r="AM67" i="32" s="1"/>
  <c r="N66" i="32"/>
  <c r="H66" i="32"/>
  <c r="AP66" i="32" s="1"/>
  <c r="E66" i="32"/>
  <c r="AM66" i="32" s="1"/>
  <c r="N65" i="32"/>
  <c r="H65" i="32"/>
  <c r="AP65" i="32" s="1"/>
  <c r="E65" i="32"/>
  <c r="AM65" i="32" s="1"/>
  <c r="N67" i="36"/>
  <c r="H67" i="36"/>
  <c r="AP67" i="36" s="1"/>
  <c r="E67" i="36"/>
  <c r="AM67" i="36" s="1"/>
  <c r="N66" i="36"/>
  <c r="H66" i="36"/>
  <c r="AP66" i="36" s="1"/>
  <c r="E66" i="36"/>
  <c r="AM66" i="36" s="1"/>
  <c r="N65" i="36"/>
  <c r="H65" i="36"/>
  <c r="AP65" i="36" s="1"/>
  <c r="E65" i="36"/>
  <c r="AM65" i="36" s="1"/>
  <c r="N67" i="40"/>
  <c r="H67" i="40"/>
  <c r="AP67" i="40" s="1"/>
  <c r="E67" i="40"/>
  <c r="AM67" i="40" s="1"/>
  <c r="N66" i="40"/>
  <c r="H66" i="40"/>
  <c r="AP66" i="40" s="1"/>
  <c r="E66" i="40"/>
  <c r="AM66" i="40" s="1"/>
  <c r="N65" i="40"/>
  <c r="H65" i="40"/>
  <c r="AP65" i="40" s="1"/>
  <c r="E65" i="40"/>
  <c r="AM65" i="40" s="1"/>
  <c r="N67" i="44"/>
  <c r="H67" i="44"/>
  <c r="AP67" i="44" s="1"/>
  <c r="E67" i="44"/>
  <c r="AM67" i="44" s="1"/>
  <c r="N66" i="44"/>
  <c r="H66" i="44"/>
  <c r="AP66" i="44" s="1"/>
  <c r="E66" i="44"/>
  <c r="AM66" i="44" s="1"/>
  <c r="N65" i="44"/>
  <c r="H65" i="44"/>
  <c r="AP65" i="44" s="1"/>
  <c r="E65" i="44"/>
  <c r="AM65" i="44" s="1"/>
  <c r="N67" i="12"/>
  <c r="H67" i="12"/>
  <c r="E67" i="12"/>
  <c r="N66" i="12"/>
  <c r="H66" i="12"/>
  <c r="E66" i="12"/>
  <c r="N65" i="12"/>
  <c r="H65" i="12"/>
  <c r="E65" i="12"/>
  <c r="N58" i="16"/>
  <c r="N59" i="16"/>
  <c r="N60" i="16"/>
  <c r="N58" i="20"/>
  <c r="N59" i="20"/>
  <c r="N60" i="20"/>
  <c r="N58" i="24"/>
  <c r="N59" i="24"/>
  <c r="N60" i="24"/>
  <c r="N58" i="28"/>
  <c r="N59" i="28"/>
  <c r="N60" i="28"/>
  <c r="N58" i="32"/>
  <c r="N59" i="32"/>
  <c r="N60" i="32"/>
  <c r="N58" i="36"/>
  <c r="N59" i="36"/>
  <c r="N60" i="36"/>
  <c r="N58" i="40"/>
  <c r="N59" i="40"/>
  <c r="N60" i="40"/>
  <c r="N58" i="44"/>
  <c r="N59" i="44"/>
  <c r="N60" i="44"/>
  <c r="N58" i="12"/>
  <c r="N59" i="12"/>
  <c r="N60" i="12"/>
  <c r="H58" i="16"/>
  <c r="AP58" i="16" s="1"/>
  <c r="H59" i="16"/>
  <c r="AP59" i="16" s="1"/>
  <c r="H60" i="16"/>
  <c r="AP60" i="16" s="1"/>
  <c r="H58" i="20"/>
  <c r="AP58" i="20" s="1"/>
  <c r="H59" i="20"/>
  <c r="AP59" i="20" s="1"/>
  <c r="H60" i="20"/>
  <c r="AP60" i="20" s="1"/>
  <c r="H58" i="24"/>
  <c r="AP58" i="24" s="1"/>
  <c r="H59" i="24"/>
  <c r="AP59" i="24" s="1"/>
  <c r="H60" i="24"/>
  <c r="AP60" i="24" s="1"/>
  <c r="H58" i="28"/>
  <c r="AP58" i="28" s="1"/>
  <c r="H59" i="28"/>
  <c r="AP59" i="28" s="1"/>
  <c r="H60" i="28"/>
  <c r="AP60" i="28" s="1"/>
  <c r="H58" i="32"/>
  <c r="AP58" i="32" s="1"/>
  <c r="H59" i="32"/>
  <c r="AP59" i="32" s="1"/>
  <c r="H60" i="32"/>
  <c r="AP60" i="32" s="1"/>
  <c r="H58" i="36"/>
  <c r="AP58" i="36" s="1"/>
  <c r="H59" i="36"/>
  <c r="AP59" i="36" s="1"/>
  <c r="H60" i="36"/>
  <c r="AP60" i="36" s="1"/>
  <c r="H58" i="40"/>
  <c r="AP58" i="40" s="1"/>
  <c r="H59" i="40"/>
  <c r="AP59" i="40" s="1"/>
  <c r="H60" i="40"/>
  <c r="AP60" i="40" s="1"/>
  <c r="H58" i="44"/>
  <c r="AP58" i="44" s="1"/>
  <c r="H59" i="44"/>
  <c r="AP59" i="44" s="1"/>
  <c r="H60" i="44"/>
  <c r="AP60" i="44" s="1"/>
  <c r="H58" i="12"/>
  <c r="H59" i="12"/>
  <c r="H60" i="12"/>
  <c r="E58" i="16"/>
  <c r="AM58" i="16" s="1"/>
  <c r="E59" i="16"/>
  <c r="AM59" i="16" s="1"/>
  <c r="E60" i="16"/>
  <c r="AM60" i="16" s="1"/>
  <c r="E58" i="20"/>
  <c r="AM58" i="20" s="1"/>
  <c r="E59" i="20"/>
  <c r="AM59" i="20" s="1"/>
  <c r="E60" i="20"/>
  <c r="AM60" i="20" s="1"/>
  <c r="E58" i="24"/>
  <c r="AM58" i="24" s="1"/>
  <c r="E59" i="24"/>
  <c r="AM59" i="24" s="1"/>
  <c r="E60" i="24"/>
  <c r="AM60" i="24" s="1"/>
  <c r="E58" i="28"/>
  <c r="AM58" i="28" s="1"/>
  <c r="E59" i="28"/>
  <c r="AM59" i="28" s="1"/>
  <c r="E60" i="28"/>
  <c r="AM60" i="28" s="1"/>
  <c r="E58" i="32"/>
  <c r="AM58" i="32" s="1"/>
  <c r="E59" i="32"/>
  <c r="AM59" i="32" s="1"/>
  <c r="E60" i="32"/>
  <c r="AM60" i="32" s="1"/>
  <c r="E58" i="36"/>
  <c r="AM58" i="36" s="1"/>
  <c r="E59" i="36"/>
  <c r="AM59" i="36" s="1"/>
  <c r="E60" i="36"/>
  <c r="AM60" i="36" s="1"/>
  <c r="E58" i="40"/>
  <c r="AM58" i="40" s="1"/>
  <c r="E59" i="40"/>
  <c r="AM59" i="40" s="1"/>
  <c r="E60" i="40"/>
  <c r="AM60" i="40" s="1"/>
  <c r="E58" i="44"/>
  <c r="AM58" i="44" s="1"/>
  <c r="E59" i="44"/>
  <c r="AM59" i="44" s="1"/>
  <c r="E60" i="44"/>
  <c r="AM60" i="44" s="1"/>
  <c r="E58" i="12"/>
  <c r="E59" i="12"/>
  <c r="E60" i="12"/>
  <c r="E51" i="16"/>
  <c r="AM51" i="16" s="1"/>
  <c r="H51" i="16"/>
  <c r="AP51" i="16" s="1"/>
  <c r="N51" i="16"/>
  <c r="E52" i="16"/>
  <c r="AM52" i="16" s="1"/>
  <c r="H52" i="16"/>
  <c r="AP52" i="16" s="1"/>
  <c r="N52" i="16"/>
  <c r="N53" i="16"/>
  <c r="E51" i="20"/>
  <c r="AM51" i="20" s="1"/>
  <c r="H51" i="20"/>
  <c r="AP51" i="20" s="1"/>
  <c r="N51" i="20"/>
  <c r="E52" i="20"/>
  <c r="AM52" i="20" s="1"/>
  <c r="H52" i="20"/>
  <c r="AP52" i="20" s="1"/>
  <c r="N52" i="20"/>
  <c r="H53" i="20"/>
  <c r="AP53" i="20" s="1"/>
  <c r="N53" i="20"/>
  <c r="E51" i="24"/>
  <c r="AM51" i="24" s="1"/>
  <c r="H51" i="24"/>
  <c r="AP51" i="24" s="1"/>
  <c r="E52" i="24"/>
  <c r="AM52" i="24" s="1"/>
  <c r="H52" i="24"/>
  <c r="AP52" i="24" s="1"/>
  <c r="N52" i="24"/>
  <c r="E53" i="24"/>
  <c r="AM53" i="24" s="1"/>
  <c r="H53" i="24"/>
  <c r="AP53" i="24" s="1"/>
  <c r="N53" i="24"/>
  <c r="E51" i="28"/>
  <c r="AM51" i="28" s="1"/>
  <c r="H51" i="28"/>
  <c r="AP51" i="28" s="1"/>
  <c r="N51" i="28"/>
  <c r="N52" i="28"/>
  <c r="E53" i="28"/>
  <c r="AM53" i="28" s="1"/>
  <c r="H53" i="28"/>
  <c r="AP53" i="28" s="1"/>
  <c r="N53" i="28"/>
  <c r="E51" i="32"/>
  <c r="AM51" i="32" s="1"/>
  <c r="H51" i="32"/>
  <c r="AP51" i="32" s="1"/>
  <c r="N51" i="32"/>
  <c r="H52" i="32"/>
  <c r="AP52" i="32" s="1"/>
  <c r="N52" i="32"/>
  <c r="E53" i="32"/>
  <c r="AM53" i="32" s="1"/>
  <c r="H53" i="32"/>
  <c r="AP53" i="32" s="1"/>
  <c r="N53" i="32"/>
  <c r="E51" i="36"/>
  <c r="AM51" i="36" s="1"/>
  <c r="H51" i="36"/>
  <c r="AP51" i="36" s="1"/>
  <c r="N51" i="36"/>
  <c r="E52" i="36"/>
  <c r="AM52" i="36" s="1"/>
  <c r="H52" i="36"/>
  <c r="AP52" i="36" s="1"/>
  <c r="N52" i="36"/>
  <c r="E53" i="36"/>
  <c r="AM53" i="36" s="1"/>
  <c r="N53" i="36"/>
  <c r="N51" i="40"/>
  <c r="E52" i="40"/>
  <c r="AM52" i="40" s="1"/>
  <c r="H52" i="40"/>
  <c r="AP52" i="40" s="1"/>
  <c r="N52" i="40"/>
  <c r="E53" i="40"/>
  <c r="AM53" i="40" s="1"/>
  <c r="H53" i="40"/>
  <c r="AP53" i="40" s="1"/>
  <c r="N53" i="40"/>
  <c r="H51" i="44"/>
  <c r="AP51" i="44" s="1"/>
  <c r="N51" i="44"/>
  <c r="E52" i="44"/>
  <c r="AM52" i="44" s="1"/>
  <c r="H52" i="44"/>
  <c r="AP52" i="44" s="1"/>
  <c r="E53" i="44"/>
  <c r="AM53" i="44" s="1"/>
  <c r="N53" i="44"/>
  <c r="E51" i="12"/>
  <c r="H51" i="12"/>
  <c r="N51" i="12"/>
  <c r="E52" i="12"/>
  <c r="H52" i="12"/>
  <c r="N52" i="12"/>
  <c r="E53" i="12"/>
  <c r="N53" i="12"/>
  <c r="AP46" i="16"/>
  <c r="AP46" i="20"/>
  <c r="AP46" i="24"/>
  <c r="AP46" i="28"/>
  <c r="AP46" i="32"/>
  <c r="AP46" i="36"/>
  <c r="AP46" i="40"/>
  <c r="AP46" i="44"/>
  <c r="AP46" i="12"/>
  <c r="AM46" i="16"/>
  <c r="AM46" i="20"/>
  <c r="AM46" i="24"/>
  <c r="AM46" i="28"/>
  <c r="AM46" i="32"/>
  <c r="AM46" i="36"/>
  <c r="AM46" i="40"/>
  <c r="AM46" i="44"/>
  <c r="AM46" i="12"/>
  <c r="AM45" i="16"/>
  <c r="AP45" i="16"/>
  <c r="AM45" i="20"/>
  <c r="AP45" i="20"/>
  <c r="AM45" i="24"/>
  <c r="AP45" i="24"/>
  <c r="AM45" i="28"/>
  <c r="AP45" i="28"/>
  <c r="AM45" i="32"/>
  <c r="AP45" i="32"/>
  <c r="AM45" i="40"/>
  <c r="AP45" i="40"/>
  <c r="AM45" i="44"/>
  <c r="AP45" i="44"/>
  <c r="AM45" i="12"/>
  <c r="AP45" i="12"/>
  <c r="H32" i="16"/>
  <c r="AP32" i="16" s="1"/>
  <c r="H32" i="20"/>
  <c r="AP32" i="20" s="1"/>
  <c r="H32" i="24"/>
  <c r="AP32" i="24" s="1"/>
  <c r="H32" i="28"/>
  <c r="AP32" i="28" s="1"/>
  <c r="H32" i="32"/>
  <c r="AP32" i="32" s="1"/>
  <c r="H32" i="36"/>
  <c r="AP32" i="36" s="1"/>
  <c r="H32" i="40"/>
  <c r="AP32" i="40" s="1"/>
  <c r="H32" i="44"/>
  <c r="AP32" i="44" s="1"/>
  <c r="H32" i="12"/>
  <c r="E32" i="16"/>
  <c r="AM32" i="16" s="1"/>
  <c r="E32" i="20"/>
  <c r="AM32" i="20" s="1"/>
  <c r="E32" i="24"/>
  <c r="AM32" i="24" s="1"/>
  <c r="E32" i="28"/>
  <c r="AM32" i="28" s="1"/>
  <c r="E32" i="32"/>
  <c r="AM32" i="32" s="1"/>
  <c r="E32" i="36"/>
  <c r="AM32" i="36" s="1"/>
  <c r="E32" i="40"/>
  <c r="AM32" i="40" s="1"/>
  <c r="E32" i="44"/>
  <c r="AM32" i="44" s="1"/>
  <c r="E32" i="12"/>
  <c r="H22" i="16"/>
  <c r="AP22" i="16" s="1"/>
  <c r="H23" i="16"/>
  <c r="AP23" i="16" s="1"/>
  <c r="H24" i="16"/>
  <c r="AP24" i="16" s="1"/>
  <c r="H25" i="16"/>
  <c r="AP25" i="16" s="1"/>
  <c r="H22" i="20"/>
  <c r="AP22" i="20" s="1"/>
  <c r="H23" i="20"/>
  <c r="AP23" i="20" s="1"/>
  <c r="H24" i="20"/>
  <c r="AP24" i="20" s="1"/>
  <c r="H25" i="20"/>
  <c r="AP25" i="20" s="1"/>
  <c r="H22" i="24"/>
  <c r="AP22" i="24" s="1"/>
  <c r="H23" i="24"/>
  <c r="AP23" i="24" s="1"/>
  <c r="H24" i="24"/>
  <c r="AP24" i="24" s="1"/>
  <c r="H25" i="24"/>
  <c r="AP25" i="24" s="1"/>
  <c r="H22" i="28"/>
  <c r="AP22" i="28" s="1"/>
  <c r="H23" i="28"/>
  <c r="AP23" i="28" s="1"/>
  <c r="H24" i="28"/>
  <c r="AP24" i="28" s="1"/>
  <c r="H25" i="28"/>
  <c r="AP25" i="28" s="1"/>
  <c r="H22" i="32"/>
  <c r="AP22" i="32" s="1"/>
  <c r="H23" i="32"/>
  <c r="AP23" i="32" s="1"/>
  <c r="H24" i="32"/>
  <c r="AP24" i="32" s="1"/>
  <c r="H25" i="32"/>
  <c r="AP25" i="32" s="1"/>
  <c r="H22" i="36"/>
  <c r="AP22" i="36" s="1"/>
  <c r="H23" i="36"/>
  <c r="AP23" i="36" s="1"/>
  <c r="H24" i="36"/>
  <c r="AP24" i="36" s="1"/>
  <c r="H25" i="36"/>
  <c r="AP25" i="36" s="1"/>
  <c r="H22" i="40"/>
  <c r="AP22" i="40" s="1"/>
  <c r="H23" i="40"/>
  <c r="AP23" i="40" s="1"/>
  <c r="H24" i="40"/>
  <c r="AP24" i="40" s="1"/>
  <c r="H25" i="40"/>
  <c r="AP25" i="40" s="1"/>
  <c r="H22" i="44"/>
  <c r="AP22" i="44" s="1"/>
  <c r="H23" i="44"/>
  <c r="AP23" i="44" s="1"/>
  <c r="H24" i="44"/>
  <c r="AP24" i="44" s="1"/>
  <c r="H25" i="44"/>
  <c r="AP25" i="44" s="1"/>
  <c r="H22" i="12"/>
  <c r="H23" i="12"/>
  <c r="H24" i="12"/>
  <c r="H25" i="12"/>
  <c r="N22" i="16"/>
  <c r="N23" i="16"/>
  <c r="N24" i="16"/>
  <c r="N25" i="16"/>
  <c r="N22" i="20"/>
  <c r="N23" i="20"/>
  <c r="N24" i="20"/>
  <c r="N25" i="20"/>
  <c r="N22" i="24"/>
  <c r="N23" i="24"/>
  <c r="N24" i="24"/>
  <c r="N25" i="24"/>
  <c r="N22" i="28"/>
  <c r="N23" i="28"/>
  <c r="N24" i="28"/>
  <c r="N25" i="28"/>
  <c r="N22" i="32"/>
  <c r="N23" i="32"/>
  <c r="N24" i="32"/>
  <c r="N25" i="32"/>
  <c r="N22" i="36"/>
  <c r="N23" i="36"/>
  <c r="N24" i="36"/>
  <c r="N25" i="36"/>
  <c r="N22" i="40"/>
  <c r="N23" i="40"/>
  <c r="N24" i="40"/>
  <c r="N25" i="40"/>
  <c r="N22" i="44"/>
  <c r="N23" i="44"/>
  <c r="N24" i="44"/>
  <c r="N25" i="44"/>
  <c r="N22" i="12"/>
  <c r="N23" i="12"/>
  <c r="N24" i="12"/>
  <c r="N25" i="12"/>
  <c r="E22" i="16"/>
  <c r="AM22" i="16" s="1"/>
  <c r="E23" i="16"/>
  <c r="AM23" i="16" s="1"/>
  <c r="E24" i="16"/>
  <c r="AM24" i="16" s="1"/>
  <c r="E25" i="16"/>
  <c r="AM25" i="16" s="1"/>
  <c r="E22" i="20"/>
  <c r="AM22" i="20" s="1"/>
  <c r="E23" i="20"/>
  <c r="AM23" i="20" s="1"/>
  <c r="E24" i="20"/>
  <c r="AM24" i="20" s="1"/>
  <c r="E25" i="20"/>
  <c r="AM25" i="20" s="1"/>
  <c r="E22" i="24"/>
  <c r="AM22" i="24" s="1"/>
  <c r="E23" i="24"/>
  <c r="AM23" i="24" s="1"/>
  <c r="E24" i="24"/>
  <c r="AM24" i="24" s="1"/>
  <c r="E25" i="24"/>
  <c r="AM25" i="24" s="1"/>
  <c r="E22" i="28"/>
  <c r="AM22" i="28" s="1"/>
  <c r="E23" i="28"/>
  <c r="AM23" i="28" s="1"/>
  <c r="E24" i="28"/>
  <c r="AM24" i="28" s="1"/>
  <c r="E25" i="28"/>
  <c r="AM25" i="28" s="1"/>
  <c r="E22" i="32"/>
  <c r="AM22" i="32" s="1"/>
  <c r="E23" i="32"/>
  <c r="AM23" i="32" s="1"/>
  <c r="E24" i="32"/>
  <c r="AM24" i="32" s="1"/>
  <c r="E25" i="32"/>
  <c r="AM25" i="32" s="1"/>
  <c r="E22" i="36"/>
  <c r="AM22" i="36" s="1"/>
  <c r="E23" i="36"/>
  <c r="AM23" i="36" s="1"/>
  <c r="E24" i="36"/>
  <c r="AM24" i="36" s="1"/>
  <c r="E25" i="36"/>
  <c r="AM25" i="36" s="1"/>
  <c r="E22" i="40"/>
  <c r="AM22" i="40" s="1"/>
  <c r="E23" i="40"/>
  <c r="AM23" i="40" s="1"/>
  <c r="E24" i="40"/>
  <c r="AM24" i="40" s="1"/>
  <c r="E25" i="40"/>
  <c r="AM25" i="40" s="1"/>
  <c r="E22" i="44"/>
  <c r="AM22" i="44" s="1"/>
  <c r="E23" i="44"/>
  <c r="AM23" i="44" s="1"/>
  <c r="E24" i="44"/>
  <c r="AM24" i="44" s="1"/>
  <c r="E25" i="44"/>
  <c r="AM25" i="44" s="1"/>
  <c r="E22" i="12"/>
  <c r="E23" i="12"/>
  <c r="E24" i="12"/>
  <c r="E25" i="12"/>
  <c r="N18" i="16"/>
  <c r="H18" i="16"/>
  <c r="AP18" i="16" s="1"/>
  <c r="E18" i="16"/>
  <c r="AM18" i="16" s="1"/>
  <c r="N17" i="16"/>
  <c r="H17" i="16"/>
  <c r="AP17" i="16" s="1"/>
  <c r="E17" i="16"/>
  <c r="AM17" i="16" s="1"/>
  <c r="N18" i="20"/>
  <c r="H18" i="20"/>
  <c r="AP18" i="20" s="1"/>
  <c r="E18" i="20"/>
  <c r="AM18" i="20" s="1"/>
  <c r="N17" i="20"/>
  <c r="H17" i="20"/>
  <c r="AP17" i="20" s="1"/>
  <c r="E17" i="20"/>
  <c r="AM17" i="20" s="1"/>
  <c r="N18" i="24"/>
  <c r="H18" i="24"/>
  <c r="AP18" i="24" s="1"/>
  <c r="E18" i="24"/>
  <c r="AM18" i="24" s="1"/>
  <c r="N17" i="24"/>
  <c r="H17" i="24"/>
  <c r="AP17" i="24" s="1"/>
  <c r="E17" i="24"/>
  <c r="AM17" i="24" s="1"/>
  <c r="N18" i="28"/>
  <c r="H18" i="28"/>
  <c r="AP18" i="28" s="1"/>
  <c r="E18" i="28"/>
  <c r="AM18" i="28" s="1"/>
  <c r="N17" i="28"/>
  <c r="H17" i="28"/>
  <c r="AP17" i="28" s="1"/>
  <c r="E17" i="28"/>
  <c r="AM17" i="28" s="1"/>
  <c r="N18" i="32"/>
  <c r="H18" i="32"/>
  <c r="AP18" i="32" s="1"/>
  <c r="E18" i="32"/>
  <c r="AM18" i="32" s="1"/>
  <c r="N17" i="32"/>
  <c r="H17" i="32"/>
  <c r="AP17" i="32" s="1"/>
  <c r="E17" i="32"/>
  <c r="AM17" i="32" s="1"/>
  <c r="N18" i="36"/>
  <c r="H18" i="36"/>
  <c r="AP18" i="36" s="1"/>
  <c r="E18" i="36"/>
  <c r="AM18" i="36" s="1"/>
  <c r="N17" i="36"/>
  <c r="H17" i="36"/>
  <c r="AP17" i="36" s="1"/>
  <c r="E17" i="36"/>
  <c r="AM17" i="36" s="1"/>
  <c r="N18" i="40"/>
  <c r="H18" i="40"/>
  <c r="AP18" i="40" s="1"/>
  <c r="E18" i="40"/>
  <c r="AM18" i="40" s="1"/>
  <c r="N17" i="40"/>
  <c r="H17" i="40"/>
  <c r="AP17" i="40" s="1"/>
  <c r="E17" i="40"/>
  <c r="AM17" i="40" s="1"/>
  <c r="N18" i="44"/>
  <c r="H18" i="44"/>
  <c r="AP18" i="44" s="1"/>
  <c r="E18" i="44"/>
  <c r="AM18" i="44" s="1"/>
  <c r="N17" i="44"/>
  <c r="H17" i="44"/>
  <c r="AP17" i="44" s="1"/>
  <c r="E17" i="44"/>
  <c r="AM17" i="44" s="1"/>
  <c r="N18" i="12"/>
  <c r="H18" i="12"/>
  <c r="E18" i="12"/>
  <c r="N17" i="12"/>
  <c r="H17" i="12"/>
  <c r="E17" i="12"/>
  <c r="AM22" i="12" l="1"/>
  <c r="E22" i="2"/>
  <c r="AM22" i="2" s="1"/>
  <c r="AP72" i="12"/>
  <c r="H72" i="2"/>
  <c r="AP72" i="2" s="1"/>
  <c r="AM32" i="12"/>
  <c r="E32" i="2"/>
  <c r="AM32" i="2" s="1"/>
  <c r="AM52" i="12"/>
  <c r="AM59" i="12"/>
  <c r="E59" i="2"/>
  <c r="AM59" i="2" s="1"/>
  <c r="AM65" i="12"/>
  <c r="E65" i="2"/>
  <c r="AM65" i="2" s="1"/>
  <c r="AP71" i="12"/>
  <c r="H71" i="2"/>
  <c r="AP71" i="2" s="1"/>
  <c r="AM82" i="12"/>
  <c r="E82" i="2"/>
  <c r="AM82" i="2" s="1"/>
  <c r="AM90" i="12"/>
  <c r="E90" i="2"/>
  <c r="AM90" i="2" s="1"/>
  <c r="AM98" i="12"/>
  <c r="E98" i="2"/>
  <c r="AM98" i="2" s="1"/>
  <c r="AM106" i="12"/>
  <c r="E106" i="2"/>
  <c r="AM106" i="2" s="1"/>
  <c r="AM18" i="12"/>
  <c r="E18" i="2"/>
  <c r="AM18" i="2" s="1"/>
  <c r="AP32" i="12"/>
  <c r="H32" i="2"/>
  <c r="AP32" i="2" s="1"/>
  <c r="AM58" i="12"/>
  <c r="E58" i="2"/>
  <c r="AM58" i="2" s="1"/>
  <c r="AP65" i="12"/>
  <c r="H65" i="2"/>
  <c r="AP65" i="2" s="1"/>
  <c r="AM74" i="12"/>
  <c r="E74" i="2"/>
  <c r="AM74" i="2" s="1"/>
  <c r="AP85" i="12"/>
  <c r="H85" i="2"/>
  <c r="AP85" i="2" s="1"/>
  <c r="AP92" i="12"/>
  <c r="H92" i="2"/>
  <c r="AP92" i="2" s="1"/>
  <c r="AP98" i="12"/>
  <c r="H98" i="2"/>
  <c r="AP98" i="2" s="1"/>
  <c r="AP106" i="12"/>
  <c r="H106" i="2"/>
  <c r="AP106" i="2" s="1"/>
  <c r="AP52" i="12"/>
  <c r="AP67" i="12"/>
  <c r="H67" i="2"/>
  <c r="AP67" i="2" s="1"/>
  <c r="AM91" i="12"/>
  <c r="E91" i="2"/>
  <c r="AM91" i="2" s="1"/>
  <c r="AP18" i="12"/>
  <c r="H18" i="2"/>
  <c r="AP18" i="2" s="1"/>
  <c r="AP51" i="12"/>
  <c r="AP60" i="12"/>
  <c r="H60" i="2"/>
  <c r="AP60" i="2" s="1"/>
  <c r="AM73" i="12"/>
  <c r="E73" i="2"/>
  <c r="AM73" i="2" s="1"/>
  <c r="AP84" i="12"/>
  <c r="H84" i="2"/>
  <c r="AP84" i="2" s="1"/>
  <c r="AP91" i="12"/>
  <c r="H91" i="2"/>
  <c r="AP91" i="2" s="1"/>
  <c r="AM99" i="12"/>
  <c r="E99" i="2"/>
  <c r="AM99" i="2" s="1"/>
  <c r="AM115" i="12"/>
  <c r="E115" i="2"/>
  <c r="AM115" i="2" s="1"/>
  <c r="AM38" i="12"/>
  <c r="E38" i="2"/>
  <c r="AM38" i="2" s="1"/>
  <c r="AM60" i="12"/>
  <c r="E60" i="2"/>
  <c r="AM60" i="2" s="1"/>
  <c r="AM51" i="12"/>
  <c r="AP59" i="12"/>
  <c r="H59" i="2"/>
  <c r="AP59" i="2" s="1"/>
  <c r="AM66" i="12"/>
  <c r="E66" i="2"/>
  <c r="AM66" i="2" s="1"/>
  <c r="AM72" i="12"/>
  <c r="E72" i="2"/>
  <c r="AM72" i="2" s="1"/>
  <c r="AP83" i="12"/>
  <c r="H83" i="2"/>
  <c r="AP83" i="2" s="1"/>
  <c r="AP90" i="12"/>
  <c r="H90" i="2"/>
  <c r="AP90" i="2" s="1"/>
  <c r="AP99" i="12"/>
  <c r="H99" i="2"/>
  <c r="AP99" i="2" s="1"/>
  <c r="AM114" i="12"/>
  <c r="E114" i="2"/>
  <c r="AM114" i="2" s="1"/>
  <c r="AP38" i="12"/>
  <c r="H38" i="2"/>
  <c r="AP38" i="2" s="1"/>
  <c r="AP17" i="12"/>
  <c r="H17" i="2"/>
  <c r="AP17" i="2" s="1"/>
  <c r="AM25" i="12"/>
  <c r="E25" i="2"/>
  <c r="AM25" i="2" s="1"/>
  <c r="AP25" i="12"/>
  <c r="H25" i="2"/>
  <c r="AP25" i="2" s="1"/>
  <c r="AP58" i="12"/>
  <c r="H58" i="2"/>
  <c r="AP58" i="2" s="1"/>
  <c r="AP66" i="12"/>
  <c r="H66" i="2"/>
  <c r="AP66" i="2" s="1"/>
  <c r="AM71" i="12"/>
  <c r="E71" i="2"/>
  <c r="AM71" i="2" s="1"/>
  <c r="AP82" i="12"/>
  <c r="H82" i="2"/>
  <c r="AP82" i="2" s="1"/>
  <c r="AM96" i="12"/>
  <c r="E96" i="2"/>
  <c r="AM96" i="2" s="1"/>
  <c r="AM104" i="12"/>
  <c r="E104" i="2"/>
  <c r="AM104" i="2" s="1"/>
  <c r="AP115" i="12"/>
  <c r="H115" i="2"/>
  <c r="AP115" i="2" s="1"/>
  <c r="AM37" i="12"/>
  <c r="AM39" i="12"/>
  <c r="E39" i="2"/>
  <c r="AM39" i="2" s="1"/>
  <c r="AP22" i="12"/>
  <c r="H22" i="2"/>
  <c r="AP22" i="2" s="1"/>
  <c r="AM24" i="12"/>
  <c r="E24" i="2"/>
  <c r="AM24" i="2" s="1"/>
  <c r="AP24" i="12"/>
  <c r="H24" i="2"/>
  <c r="AP24" i="2" s="1"/>
  <c r="AM53" i="12"/>
  <c r="AP74" i="12"/>
  <c r="H74" i="2"/>
  <c r="AP74" i="2" s="1"/>
  <c r="AM85" i="12"/>
  <c r="E85" i="2"/>
  <c r="AM85" i="2" s="1"/>
  <c r="AM94" i="12"/>
  <c r="E94" i="2"/>
  <c r="AM94" i="2" s="1"/>
  <c r="AP96" i="12"/>
  <c r="H96" i="2"/>
  <c r="AP96" i="2" s="1"/>
  <c r="AP104" i="12"/>
  <c r="H104" i="2"/>
  <c r="AP104" i="2" s="1"/>
  <c r="AP114" i="12"/>
  <c r="H114" i="2"/>
  <c r="AP114" i="2" s="1"/>
  <c r="AP39" i="12"/>
  <c r="H39" i="2"/>
  <c r="AP39" i="2" s="1"/>
  <c r="AM17" i="12"/>
  <c r="E17" i="2"/>
  <c r="AM17" i="2" s="1"/>
  <c r="AM23" i="12"/>
  <c r="E23" i="2"/>
  <c r="AM23" i="2" s="1"/>
  <c r="AP23" i="12"/>
  <c r="H23" i="2"/>
  <c r="AP23" i="2" s="1"/>
  <c r="AM67" i="12"/>
  <c r="E67" i="2"/>
  <c r="AM67" i="2" s="1"/>
  <c r="AP73" i="12"/>
  <c r="H73" i="2"/>
  <c r="AP73" i="2" s="1"/>
  <c r="AM84" i="12"/>
  <c r="E84" i="2"/>
  <c r="AM84" i="2" s="1"/>
  <c r="AM92" i="12"/>
  <c r="E92" i="2"/>
  <c r="AM92" i="2" s="1"/>
  <c r="AM97" i="12"/>
  <c r="E97" i="2"/>
  <c r="AM97" i="2" s="1"/>
  <c r="AM105" i="12"/>
  <c r="E105" i="2"/>
  <c r="AM105" i="2" s="1"/>
  <c r="AP36" i="12"/>
  <c r="AM83" i="12"/>
  <c r="E83" i="2"/>
  <c r="AM83" i="2" s="1"/>
  <c r="AP97" i="12"/>
  <c r="H97" i="2"/>
  <c r="AP97" i="2" s="1"/>
  <c r="AP105" i="12"/>
  <c r="H105" i="2"/>
  <c r="AP105" i="2" s="1"/>
  <c r="AP45" i="36"/>
  <c r="AP45" i="2"/>
  <c r="AM45" i="36"/>
  <c r="AM45" i="2"/>
  <c r="AP35" i="20"/>
  <c r="AN34" i="2"/>
  <c r="AS34" i="16"/>
  <c r="AO35" i="12"/>
  <c r="AO34" i="12" s="1"/>
  <c r="AR35" i="12"/>
  <c r="AS35" i="12"/>
  <c r="AS34" i="12" s="1"/>
  <c r="AO35" i="20"/>
  <c r="AL35" i="40"/>
  <c r="AL34" i="40" s="1"/>
  <c r="AO35" i="24"/>
  <c r="AO34" i="28"/>
  <c r="AS34" i="36"/>
  <c r="AO34" i="16"/>
  <c r="AN36" i="28"/>
  <c r="H36" i="28"/>
  <c r="AP36" i="28" s="1"/>
  <c r="N36" i="28"/>
  <c r="E36" i="28"/>
  <c r="AM36" i="28" s="1"/>
  <c r="AL37" i="24"/>
  <c r="AL34" i="24" s="1"/>
  <c r="AU36" i="36"/>
  <c r="N36" i="36"/>
  <c r="AU35" i="12"/>
  <c r="AU34" i="12" s="1"/>
  <c r="N37" i="12"/>
  <c r="N37" i="44"/>
  <c r="AR35" i="28"/>
  <c r="AR34" i="28" s="1"/>
  <c r="AS35" i="24"/>
  <c r="AS34" i="24" s="1"/>
  <c r="AO36" i="24"/>
  <c r="AO36" i="20"/>
  <c r="AM35" i="16"/>
  <c r="AM34" i="16" s="1"/>
  <c r="AR36" i="16"/>
  <c r="AR34" i="16" s="1"/>
  <c r="N37" i="16"/>
  <c r="AR36" i="12"/>
  <c r="E37" i="24"/>
  <c r="AM37" i="24" s="1"/>
  <c r="AL35" i="12"/>
  <c r="AL34" i="12" s="1"/>
  <c r="AR36" i="44"/>
  <c r="AR34" i="44" s="1"/>
  <c r="AS36" i="40"/>
  <c r="AS34" i="40" s="1"/>
  <c r="AO37" i="40"/>
  <c r="AO34" i="40" s="1"/>
  <c r="AN35" i="36"/>
  <c r="AL37" i="20"/>
  <c r="AL34" i="20" s="1"/>
  <c r="AN37" i="12"/>
  <c r="H37" i="12"/>
  <c r="AL35" i="44"/>
  <c r="AL34" i="44" s="1"/>
  <c r="AS36" i="44"/>
  <c r="AS34" i="44" s="1"/>
  <c r="AN37" i="44"/>
  <c r="H37" i="44"/>
  <c r="AP37" i="44" s="1"/>
  <c r="E37" i="44"/>
  <c r="AM37" i="44" s="1"/>
  <c r="AM35" i="40"/>
  <c r="AU36" i="40"/>
  <c r="AU34" i="40" s="1"/>
  <c r="N36" i="40"/>
  <c r="H37" i="40"/>
  <c r="AP37" i="40" s="1"/>
  <c r="AO35" i="36"/>
  <c r="AO34" i="36" s="1"/>
  <c r="AL36" i="36"/>
  <c r="AL34" i="36" s="1"/>
  <c r="AO35" i="32"/>
  <c r="AO34" i="32" s="1"/>
  <c r="AL34" i="28"/>
  <c r="AP34" i="20"/>
  <c r="E37" i="20"/>
  <c r="E37" i="2" s="1"/>
  <c r="AM37" i="2" s="1"/>
  <c r="AN37" i="16"/>
  <c r="H37" i="16"/>
  <c r="AP37" i="16" s="1"/>
  <c r="AN35" i="40"/>
  <c r="AR34" i="36"/>
  <c r="E36" i="36"/>
  <c r="AM36" i="36" s="1"/>
  <c r="AP35" i="32"/>
  <c r="AR37" i="32"/>
  <c r="AR34" i="32" s="1"/>
  <c r="AM35" i="28"/>
  <c r="AU35" i="16"/>
  <c r="AU34" i="16" s="1"/>
  <c r="AL36" i="32"/>
  <c r="AL34" i="32" s="1"/>
  <c r="AS37" i="28"/>
  <c r="AS34" i="28" s="1"/>
  <c r="AU37" i="24"/>
  <c r="AU34" i="24" s="1"/>
  <c r="AO34" i="44"/>
  <c r="AR34" i="40"/>
  <c r="AS34" i="32"/>
  <c r="E36" i="32"/>
  <c r="AM36" i="32" s="1"/>
  <c r="AU37" i="28"/>
  <c r="N37" i="28"/>
  <c r="AR35" i="24"/>
  <c r="AR34" i="24" s="1"/>
  <c r="AN36" i="24"/>
  <c r="H36" i="24"/>
  <c r="AP36" i="24" s="1"/>
  <c r="E36" i="24"/>
  <c r="N36" i="24"/>
  <c r="N37" i="24"/>
  <c r="AL35" i="16"/>
  <c r="AL34" i="16" s="1"/>
  <c r="AP36" i="16"/>
  <c r="E36" i="12"/>
  <c r="AN35" i="44"/>
  <c r="AU36" i="44"/>
  <c r="N37" i="40"/>
  <c r="H36" i="36"/>
  <c r="AP36" i="36" s="1"/>
  <c r="AN36" i="32"/>
  <c r="AN34" i="32" s="1"/>
  <c r="AU37" i="32"/>
  <c r="AU34" i="32" s="1"/>
  <c r="H37" i="24"/>
  <c r="AP37" i="24" s="1"/>
  <c r="N36" i="20"/>
  <c r="AN37" i="20"/>
  <c r="AN35" i="12"/>
  <c r="H36" i="40"/>
  <c r="AP36" i="40" s="1"/>
  <c r="E37" i="40"/>
  <c r="AM37" i="40" s="1"/>
  <c r="AN36" i="36"/>
  <c r="AU37" i="36"/>
  <c r="AU34" i="36" s="1"/>
  <c r="AU35" i="28"/>
  <c r="H37" i="28"/>
  <c r="AP37" i="28" s="1"/>
  <c r="AN37" i="24"/>
  <c r="AN35" i="16"/>
  <c r="AN36" i="40"/>
  <c r="H37" i="32"/>
  <c r="AP37" i="32" s="1"/>
  <c r="AN37" i="28"/>
  <c r="AN35" i="20"/>
  <c r="AU35" i="44"/>
  <c r="AP35" i="24"/>
  <c r="H53" i="12"/>
  <c r="N52" i="44"/>
  <c r="E51" i="44"/>
  <c r="AM51" i="44" s="1"/>
  <c r="H51" i="40"/>
  <c r="AP51" i="40" s="1"/>
  <c r="E52" i="32"/>
  <c r="AM52" i="32" s="1"/>
  <c r="H52" i="28"/>
  <c r="AP52" i="28" s="1"/>
  <c r="N51" i="24"/>
  <c r="E53" i="20"/>
  <c r="AM53" i="20" s="1"/>
  <c r="H53" i="16"/>
  <c r="AP53" i="16" s="1"/>
  <c r="H53" i="36"/>
  <c r="AP53" i="36" s="1"/>
  <c r="H53" i="44"/>
  <c r="AP53" i="44" s="1"/>
  <c r="E51" i="40"/>
  <c r="AM51" i="40" s="1"/>
  <c r="E52" i="28"/>
  <c r="AM52" i="28" s="1"/>
  <c r="E53" i="16"/>
  <c r="AM53" i="16" s="1"/>
  <c r="E52" i="2" l="1"/>
  <c r="AM52" i="2" s="1"/>
  <c r="H36" i="2"/>
  <c r="AP36" i="2" s="1"/>
  <c r="E53" i="2"/>
  <c r="AM53" i="2" s="1"/>
  <c r="E51" i="2"/>
  <c r="AM51" i="2" s="1"/>
  <c r="AP37" i="12"/>
  <c r="H37" i="2"/>
  <c r="AP37" i="2" s="1"/>
  <c r="H51" i="2"/>
  <c r="AP51" i="2" s="1"/>
  <c r="H52" i="2"/>
  <c r="AP52" i="2" s="1"/>
  <c r="AP53" i="12"/>
  <c r="H53" i="2"/>
  <c r="AP53" i="2" s="1"/>
  <c r="AM36" i="12"/>
  <c r="E36" i="2"/>
  <c r="AM36" i="2" s="1"/>
  <c r="AP35" i="44"/>
  <c r="AP35" i="16"/>
  <c r="AP34" i="16" s="1"/>
  <c r="AP35" i="28"/>
  <c r="AP34" i="28" s="1"/>
  <c r="AM35" i="20"/>
  <c r="AM35" i="24"/>
  <c r="AM35" i="12"/>
  <c r="AM34" i="12" s="1"/>
  <c r="AO34" i="24"/>
  <c r="AP34" i="44"/>
  <c r="AO34" i="20"/>
  <c r="AR34" i="12"/>
  <c r="AO35" i="2"/>
  <c r="AO34" i="2" s="1"/>
  <c r="AL35" i="2"/>
  <c r="AL34" i="2" s="1"/>
  <c r="AN34" i="28"/>
  <c r="AU34" i="28"/>
  <c r="AN34" i="44"/>
  <c r="AU34" i="44"/>
  <c r="AN34" i="20"/>
  <c r="AP34" i="32"/>
  <c r="AM34" i="28"/>
  <c r="AN34" i="16"/>
  <c r="AN34" i="24"/>
  <c r="AN34" i="40"/>
  <c r="AN34" i="12"/>
  <c r="AP34" i="24"/>
  <c r="AM35" i="32"/>
  <c r="AM34" i="32" s="1"/>
  <c r="AM37" i="20"/>
  <c r="AM35" i="36"/>
  <c r="AM34" i="36" s="1"/>
  <c r="AM35" i="44"/>
  <c r="AM34" i="44" s="1"/>
  <c r="AP35" i="12"/>
  <c r="AP34" i="12" s="1"/>
  <c r="AP35" i="36"/>
  <c r="AP34" i="36" s="1"/>
  <c r="AM36" i="24"/>
  <c r="AP35" i="40"/>
  <c r="AP34" i="40" s="1"/>
  <c r="AM34" i="40"/>
  <c r="AN34" i="36"/>
  <c r="AM34" i="24" l="1"/>
  <c r="AM34" i="20"/>
  <c r="AP35" i="2"/>
  <c r="AP34" i="2" s="1"/>
  <c r="AM35" i="2"/>
  <c r="AM34" i="2" s="1"/>
  <c r="J26" i="3" l="1"/>
  <c r="J25" i="3"/>
  <c r="J23" i="3"/>
  <c r="AO118" i="44" l="1"/>
  <c r="AO113" i="44"/>
  <c r="AO103" i="44"/>
  <c r="AO102" i="44"/>
  <c r="AO95" i="44"/>
  <c r="AO89" i="44"/>
  <c r="AO88" i="44"/>
  <c r="AO81" i="44"/>
  <c r="AO70" i="44"/>
  <c r="AO64" i="44"/>
  <c r="AO63" i="44"/>
  <c r="AO57" i="44"/>
  <c r="AO56" i="44"/>
  <c r="AO50" i="44"/>
  <c r="AO49" i="44"/>
  <c r="AO44" i="44"/>
  <c r="AO43" i="44"/>
  <c r="AO42" i="44"/>
  <c r="AO31" i="44"/>
  <c r="AO30" i="44"/>
  <c r="AO29" i="44"/>
  <c r="AO28" i="44"/>
  <c r="AO21" i="44"/>
  <c r="AO16" i="44"/>
  <c r="AN118" i="44"/>
  <c r="AN113" i="44"/>
  <c r="AN103" i="44"/>
  <c r="AN102" i="44"/>
  <c r="AN95" i="44"/>
  <c r="AN89" i="44"/>
  <c r="AN88" i="44"/>
  <c r="AN81" i="44"/>
  <c r="AN70" i="44"/>
  <c r="AN64" i="44"/>
  <c r="AN63" i="44"/>
  <c r="AN57" i="44"/>
  <c r="AN56" i="44"/>
  <c r="AN50" i="44"/>
  <c r="AN49" i="44"/>
  <c r="AN44" i="44"/>
  <c r="AN43" i="44"/>
  <c r="AN42" i="44"/>
  <c r="AN31" i="44"/>
  <c r="AN30" i="44"/>
  <c r="AN29" i="44"/>
  <c r="AN28" i="44"/>
  <c r="AN21" i="44"/>
  <c r="AN16" i="44"/>
  <c r="AL118" i="44"/>
  <c r="AL113" i="44"/>
  <c r="AL103" i="44"/>
  <c r="AL102" i="44"/>
  <c r="AL95" i="44"/>
  <c r="AL89" i="44"/>
  <c r="AL88" i="44"/>
  <c r="AL81" i="44"/>
  <c r="AL70" i="44"/>
  <c r="AL64" i="44"/>
  <c r="AL63" i="44"/>
  <c r="AL57" i="44"/>
  <c r="AL56" i="44"/>
  <c r="AL50" i="44"/>
  <c r="AL49" i="44"/>
  <c r="AL44" i="44"/>
  <c r="AL43" i="44"/>
  <c r="AL42" i="44"/>
  <c r="AL31" i="44"/>
  <c r="AL30" i="44"/>
  <c r="AL29" i="44"/>
  <c r="AL28" i="44"/>
  <c r="AL21" i="44"/>
  <c r="AL16" i="44"/>
  <c r="AL48" i="44" l="1"/>
  <c r="AO118" i="40"/>
  <c r="AO113" i="40"/>
  <c r="AO103" i="40"/>
  <c r="AO102" i="40"/>
  <c r="AO95" i="40"/>
  <c r="AO89" i="40"/>
  <c r="AO88" i="40"/>
  <c r="AO81" i="40"/>
  <c r="AO70" i="40"/>
  <c r="AO64" i="40"/>
  <c r="AO63" i="40"/>
  <c r="AO57" i="40"/>
  <c r="AO56" i="40"/>
  <c r="AO50" i="40"/>
  <c r="AO49" i="40"/>
  <c r="AO44" i="40"/>
  <c r="AO43" i="40"/>
  <c r="AO42" i="40"/>
  <c r="AO31" i="40"/>
  <c r="AO30" i="40"/>
  <c r="AO29" i="40"/>
  <c r="AO28" i="40"/>
  <c r="AO21" i="40"/>
  <c r="AO16" i="40"/>
  <c r="AN118" i="40"/>
  <c r="AN113" i="40"/>
  <c r="AN103" i="40"/>
  <c r="AN102" i="40"/>
  <c r="AN95" i="40"/>
  <c r="AN89" i="40"/>
  <c r="AN88" i="40"/>
  <c r="AN81" i="40"/>
  <c r="AN70" i="40"/>
  <c r="AN64" i="40"/>
  <c r="AN63" i="40"/>
  <c r="AN57" i="40"/>
  <c r="AN56" i="40"/>
  <c r="AN50" i="40"/>
  <c r="AN49" i="40"/>
  <c r="AN44" i="40"/>
  <c r="AN43" i="40"/>
  <c r="AN42" i="40"/>
  <c r="AN31" i="40"/>
  <c r="AN30" i="40"/>
  <c r="AN29" i="40"/>
  <c r="AN28" i="40"/>
  <c r="AN21" i="40"/>
  <c r="AN16" i="40"/>
  <c r="AL118" i="40"/>
  <c r="AL113" i="40"/>
  <c r="AL103" i="40"/>
  <c r="AL102" i="40"/>
  <c r="AL95" i="40"/>
  <c r="AL89" i="40"/>
  <c r="AL88" i="40"/>
  <c r="AL81" i="40"/>
  <c r="AL70" i="40"/>
  <c r="AL64" i="40"/>
  <c r="AL63" i="40"/>
  <c r="AL57" i="40"/>
  <c r="AL56" i="40"/>
  <c r="AL50" i="40"/>
  <c r="AL49" i="40"/>
  <c r="AL44" i="40"/>
  <c r="AL43" i="40"/>
  <c r="AL42" i="40"/>
  <c r="AL31" i="40"/>
  <c r="AL30" i="40"/>
  <c r="AL29" i="40"/>
  <c r="AL28" i="40"/>
  <c r="AL21" i="40"/>
  <c r="AL16" i="40"/>
  <c r="AL48" i="40" l="1"/>
  <c r="AS118" i="24"/>
  <c r="AO118" i="24"/>
  <c r="AO113" i="24"/>
  <c r="AO103" i="24"/>
  <c r="AO102" i="24"/>
  <c r="AO95" i="24"/>
  <c r="AO89" i="24"/>
  <c r="AO88" i="24"/>
  <c r="AO81" i="24"/>
  <c r="AO70" i="24"/>
  <c r="AO64" i="24"/>
  <c r="AO63" i="24"/>
  <c r="AO57" i="24"/>
  <c r="AO56" i="24"/>
  <c r="AO50" i="24"/>
  <c r="AO49" i="24"/>
  <c r="AO44" i="24"/>
  <c r="AO43" i="24"/>
  <c r="AO42" i="24"/>
  <c r="AO31" i="24"/>
  <c r="AO30" i="24"/>
  <c r="AO29" i="24"/>
  <c r="AO28" i="24"/>
  <c r="AO21" i="24"/>
  <c r="AO16" i="24"/>
  <c r="AN118" i="24"/>
  <c r="AN113" i="24"/>
  <c r="AN103" i="24"/>
  <c r="AN102" i="24"/>
  <c r="AN95" i="24"/>
  <c r="AN89" i="24"/>
  <c r="AN88" i="24"/>
  <c r="AN81" i="24"/>
  <c r="AN70" i="24"/>
  <c r="AN64" i="24"/>
  <c r="AN63" i="24"/>
  <c r="AN57" i="24"/>
  <c r="AN56" i="24"/>
  <c r="AN50" i="24"/>
  <c r="AN49" i="24"/>
  <c r="AN44" i="24"/>
  <c r="AN43" i="24"/>
  <c r="AN42" i="24"/>
  <c r="AN31" i="24"/>
  <c r="AN30" i="24"/>
  <c r="AN29" i="24"/>
  <c r="AN28" i="24"/>
  <c r="AN21" i="24"/>
  <c r="AN16" i="24"/>
  <c r="AL118" i="24"/>
  <c r="AL113" i="24"/>
  <c r="AL103" i="24"/>
  <c r="AL102" i="24"/>
  <c r="AL95" i="24"/>
  <c r="AL89" i="24"/>
  <c r="AL88" i="24"/>
  <c r="AL81" i="24"/>
  <c r="AL70" i="24"/>
  <c r="AL64" i="24"/>
  <c r="AL63" i="24"/>
  <c r="AL57" i="24"/>
  <c r="AL56" i="24"/>
  <c r="AL50" i="24"/>
  <c r="AL44" i="24"/>
  <c r="AL43" i="24"/>
  <c r="AL42" i="24"/>
  <c r="AL31" i="24"/>
  <c r="AL30" i="24"/>
  <c r="AL29" i="24"/>
  <c r="AL28" i="24"/>
  <c r="AL21" i="24"/>
  <c r="AL16" i="24"/>
  <c r="AL48" i="24" l="1"/>
  <c r="AL49" i="24"/>
  <c r="AS57" i="24"/>
  <c r="AR57" i="24"/>
  <c r="AU56" i="24"/>
  <c r="AS56" i="24"/>
  <c r="AR56" i="24"/>
  <c r="AR103" i="24"/>
  <c r="AR102" i="24"/>
  <c r="AR70" i="24"/>
  <c r="AR64" i="24"/>
  <c r="AR95" i="24"/>
  <c r="AU63" i="24"/>
  <c r="AR63" i="24"/>
  <c r="AU50" i="24"/>
  <c r="AR50" i="24"/>
  <c r="AU49" i="24"/>
  <c r="AR49" i="24"/>
  <c r="AS89" i="24"/>
  <c r="AR89" i="24"/>
  <c r="AU44" i="24"/>
  <c r="AR44" i="24"/>
  <c r="AR88" i="24"/>
  <c r="AR43" i="24"/>
  <c r="AU42" i="24"/>
  <c r="AR42" i="24"/>
  <c r="AU31" i="24"/>
  <c r="AS31" i="24"/>
  <c r="AR31" i="24"/>
  <c r="AU30" i="24"/>
  <c r="AR30" i="24"/>
  <c r="AU29" i="24"/>
  <c r="AS29" i="24"/>
  <c r="AR29" i="24"/>
  <c r="AU28" i="24"/>
  <c r="AR28" i="24"/>
  <c r="AR81" i="24"/>
  <c r="AU21" i="24"/>
  <c r="AR21" i="24"/>
  <c r="AU16" i="24"/>
  <c r="AR16" i="24"/>
  <c r="AS16" i="24" l="1"/>
  <c r="AS43" i="24"/>
  <c r="AS21" i="24"/>
  <c r="AS42" i="24"/>
  <c r="AS88" i="24"/>
  <c r="AS102" i="24"/>
  <c r="AS30" i="24"/>
  <c r="AU70" i="24"/>
  <c r="AS49" i="24"/>
  <c r="AU64" i="24"/>
  <c r="AS64" i="24"/>
  <c r="AS113" i="24"/>
  <c r="AS103" i="24"/>
  <c r="AS70" i="24" l="1"/>
  <c r="AS44" i="24"/>
  <c r="AS50" i="24"/>
  <c r="AU43" i="24"/>
  <c r="AS81" i="24"/>
  <c r="AU57" i="24"/>
  <c r="AS63" i="24"/>
  <c r="AS28" i="24"/>
  <c r="AS95" i="24" l="1"/>
  <c r="AO118" i="20" l="1"/>
  <c r="AO113" i="20"/>
  <c r="AO103" i="20"/>
  <c r="AO102" i="20"/>
  <c r="AO95" i="20"/>
  <c r="AO89" i="20"/>
  <c r="AO88" i="20"/>
  <c r="AO81" i="20"/>
  <c r="AO70" i="20"/>
  <c r="AO64" i="20"/>
  <c r="AO63" i="20"/>
  <c r="AO57" i="20"/>
  <c r="AO56" i="20"/>
  <c r="AO50" i="20"/>
  <c r="AO49" i="20"/>
  <c r="AO44" i="20"/>
  <c r="AO43" i="20"/>
  <c r="AO42" i="20"/>
  <c r="AO31" i="20"/>
  <c r="AO30" i="20"/>
  <c r="AO29" i="20"/>
  <c r="AO28" i="20"/>
  <c r="AO21" i="20"/>
  <c r="AO16" i="20"/>
  <c r="AN118" i="20"/>
  <c r="AN113" i="20"/>
  <c r="AN103" i="20"/>
  <c r="AN102" i="20"/>
  <c r="AN95" i="20"/>
  <c r="AN89" i="20"/>
  <c r="AN88" i="20"/>
  <c r="AN81" i="20"/>
  <c r="AN70" i="20"/>
  <c r="AN64" i="20"/>
  <c r="AN63" i="20"/>
  <c r="AN57" i="20"/>
  <c r="AN56" i="20"/>
  <c r="AN50" i="20"/>
  <c r="AN49" i="20"/>
  <c r="AN44" i="20"/>
  <c r="AN43" i="20"/>
  <c r="AN42" i="20"/>
  <c r="AN31" i="20"/>
  <c r="AN30" i="20"/>
  <c r="AN29" i="20"/>
  <c r="AN28" i="20"/>
  <c r="AN21" i="20"/>
  <c r="AN16" i="20"/>
  <c r="AL118" i="20"/>
  <c r="AL113" i="20"/>
  <c r="AL103" i="20"/>
  <c r="AL102" i="20"/>
  <c r="AL95" i="20"/>
  <c r="AL89" i="20"/>
  <c r="AL88" i="20"/>
  <c r="AL81" i="20"/>
  <c r="AL70" i="20"/>
  <c r="AL64" i="20"/>
  <c r="AL63" i="20"/>
  <c r="AL57" i="20"/>
  <c r="AL56" i="20"/>
  <c r="AL50" i="20"/>
  <c r="AL49" i="20"/>
  <c r="AL44" i="20"/>
  <c r="AL43" i="20"/>
  <c r="AL42" i="20"/>
  <c r="AL31" i="20"/>
  <c r="AL30" i="20"/>
  <c r="AL29" i="20"/>
  <c r="AL28" i="20"/>
  <c r="AL21" i="20"/>
  <c r="AL16" i="20"/>
  <c r="AL48" i="20" l="1"/>
  <c r="AO118" i="16" l="1"/>
  <c r="AO113" i="16"/>
  <c r="AO103" i="16"/>
  <c r="AO102" i="16"/>
  <c r="AO95" i="16"/>
  <c r="AO89" i="16"/>
  <c r="AO88" i="16"/>
  <c r="AO81" i="16"/>
  <c r="AO70" i="16"/>
  <c r="AO64" i="16"/>
  <c r="AO63" i="16"/>
  <c r="AO57" i="16"/>
  <c r="AO56" i="16"/>
  <c r="AO50" i="16"/>
  <c r="AO49" i="16"/>
  <c r="AO44" i="16"/>
  <c r="AO43" i="16"/>
  <c r="AO42" i="16"/>
  <c r="AO31" i="16"/>
  <c r="AO30" i="16"/>
  <c r="AO29" i="16"/>
  <c r="AO28" i="16"/>
  <c r="AO21" i="16"/>
  <c r="AO16" i="16"/>
  <c r="AN118" i="16"/>
  <c r="AN113" i="16"/>
  <c r="AN103" i="16"/>
  <c r="AN102" i="16"/>
  <c r="AN95" i="16"/>
  <c r="AN89" i="16"/>
  <c r="AN88" i="16"/>
  <c r="AN81" i="16"/>
  <c r="AN70" i="16"/>
  <c r="AN64" i="16"/>
  <c r="AN63" i="16"/>
  <c r="AN57" i="16"/>
  <c r="AN56" i="16"/>
  <c r="AN50" i="16"/>
  <c r="AN49" i="16"/>
  <c r="AN44" i="16"/>
  <c r="AN43" i="16"/>
  <c r="AN42" i="16"/>
  <c r="AN31" i="16"/>
  <c r="AN30" i="16"/>
  <c r="AN29" i="16"/>
  <c r="AN28" i="16"/>
  <c r="AN21" i="16"/>
  <c r="AN16" i="16"/>
  <c r="AL118" i="16"/>
  <c r="AL113" i="16"/>
  <c r="AL103" i="16"/>
  <c r="AL102" i="16"/>
  <c r="AL95" i="16"/>
  <c r="AL89" i="16"/>
  <c r="AL88" i="16"/>
  <c r="AL81" i="16"/>
  <c r="AL70" i="16"/>
  <c r="AL64" i="16"/>
  <c r="AL63" i="16"/>
  <c r="AL57" i="16"/>
  <c r="AL56" i="16"/>
  <c r="AL50" i="16"/>
  <c r="AL49" i="16"/>
  <c r="AL44" i="16"/>
  <c r="AL43" i="16"/>
  <c r="AL42" i="16"/>
  <c r="AL31" i="16"/>
  <c r="AL30" i="16"/>
  <c r="AL29" i="16"/>
  <c r="AL28" i="16"/>
  <c r="AL21" i="16"/>
  <c r="AL16" i="16"/>
  <c r="AL48" i="16" l="1"/>
  <c r="AR64" i="16"/>
  <c r="AR95" i="16"/>
  <c r="AU64" i="16" l="1"/>
  <c r="AS64" i="16"/>
  <c r="AS95" i="16" l="1"/>
  <c r="AL95" i="12" l="1"/>
  <c r="AN49" i="12"/>
  <c r="AL30" i="12"/>
  <c r="AL57" i="12"/>
  <c r="AL102" i="12"/>
  <c r="AN28" i="12"/>
  <c r="AN50" i="12"/>
  <c r="AN89" i="12"/>
  <c r="AO16" i="12"/>
  <c r="AO44" i="12"/>
  <c r="AO81" i="12"/>
  <c r="AS118" i="12"/>
  <c r="AL29" i="12"/>
  <c r="AN88" i="12"/>
  <c r="AL31" i="12"/>
  <c r="AL63" i="12"/>
  <c r="AL103" i="12"/>
  <c r="AN29" i="12"/>
  <c r="AN56" i="12"/>
  <c r="AN95" i="12"/>
  <c r="AO21" i="12"/>
  <c r="AO49" i="12"/>
  <c r="AO88" i="12"/>
  <c r="AN21" i="12"/>
  <c r="AL42" i="12"/>
  <c r="AL64" i="12"/>
  <c r="AL113" i="12"/>
  <c r="AN30" i="12"/>
  <c r="AN57" i="12"/>
  <c r="AN102" i="12"/>
  <c r="AO28" i="12"/>
  <c r="AO50" i="12"/>
  <c r="AO89" i="12"/>
  <c r="AL43" i="12"/>
  <c r="AL70" i="12"/>
  <c r="AL118" i="12"/>
  <c r="AN31" i="12"/>
  <c r="AN63" i="12"/>
  <c r="AN103" i="12"/>
  <c r="AO29" i="12"/>
  <c r="AO56" i="12"/>
  <c r="AO95" i="12"/>
  <c r="AL56" i="12"/>
  <c r="AL16" i="12"/>
  <c r="AL44" i="12"/>
  <c r="AL81" i="12"/>
  <c r="AN42" i="12"/>
  <c r="AN64" i="12"/>
  <c r="AN113" i="12"/>
  <c r="AO30" i="12"/>
  <c r="AO57" i="12"/>
  <c r="AO102" i="12"/>
  <c r="AN43" i="12"/>
  <c r="AN70" i="12"/>
  <c r="AN118" i="12"/>
  <c r="AO31" i="12"/>
  <c r="AO63" i="12"/>
  <c r="AO103" i="12"/>
  <c r="AL21" i="12"/>
  <c r="AL49" i="12"/>
  <c r="AL88" i="12"/>
  <c r="AL28" i="12"/>
  <c r="AL50" i="12"/>
  <c r="AL89" i="12"/>
  <c r="AN16" i="12"/>
  <c r="AN44" i="12"/>
  <c r="AN81" i="12"/>
  <c r="AO42" i="12"/>
  <c r="AO64" i="12"/>
  <c r="AO113" i="12"/>
  <c r="AO43" i="12"/>
  <c r="AO70" i="12"/>
  <c r="AO118" i="12"/>
  <c r="AL48" i="12"/>
  <c r="AM29" i="12"/>
  <c r="AO118" i="28"/>
  <c r="AO113" i="28"/>
  <c r="AO103" i="28"/>
  <c r="AO102" i="28"/>
  <c r="AO95" i="28"/>
  <c r="AO89" i="28"/>
  <c r="AO88" i="28"/>
  <c r="AO81" i="28"/>
  <c r="AO70" i="28"/>
  <c r="AO64" i="28"/>
  <c r="AO63" i="28"/>
  <c r="AO57" i="28"/>
  <c r="AO56" i="28"/>
  <c r="AO50" i="28"/>
  <c r="AO49" i="28"/>
  <c r="AO44" i="28"/>
  <c r="AO43" i="28"/>
  <c r="AO42" i="28"/>
  <c r="AO31" i="28"/>
  <c r="AO30" i="28"/>
  <c r="AO29" i="28"/>
  <c r="AO28" i="28"/>
  <c r="AO21" i="28"/>
  <c r="AO16" i="28"/>
  <c r="AN118" i="28"/>
  <c r="AN113" i="28"/>
  <c r="AN103" i="28"/>
  <c r="AN102" i="28"/>
  <c r="AN95" i="28"/>
  <c r="AN89" i="28"/>
  <c r="AN88" i="28"/>
  <c r="AN81" i="28"/>
  <c r="AN70" i="28"/>
  <c r="AN64" i="28"/>
  <c r="AN63" i="28"/>
  <c r="AN57" i="28"/>
  <c r="AN56" i="28"/>
  <c r="AN50" i="28"/>
  <c r="AN49" i="28"/>
  <c r="AN44" i="28"/>
  <c r="AN43" i="28"/>
  <c r="AN42" i="28"/>
  <c r="AN31" i="28"/>
  <c r="AN30" i="28"/>
  <c r="AN29" i="28"/>
  <c r="AN28" i="28"/>
  <c r="AN21" i="28"/>
  <c r="AN16" i="28"/>
  <c r="AL118" i="28"/>
  <c r="AL113" i="28"/>
  <c r="AL103" i="28"/>
  <c r="AL102" i="28"/>
  <c r="AL95" i="28"/>
  <c r="AL89" i="28"/>
  <c r="AL88" i="28"/>
  <c r="AL81" i="28"/>
  <c r="AL70" i="28"/>
  <c r="AL64" i="28"/>
  <c r="AL63" i="28"/>
  <c r="AL57" i="28"/>
  <c r="AL56" i="28"/>
  <c r="AL50" i="28"/>
  <c r="AL44" i="28"/>
  <c r="AL43" i="28"/>
  <c r="AL42" i="28"/>
  <c r="AL31" i="28"/>
  <c r="AL30" i="28"/>
  <c r="AL29" i="28"/>
  <c r="AL28" i="28"/>
  <c r="AL21" i="28"/>
  <c r="AL16" i="28"/>
  <c r="AL48" i="28" l="1"/>
  <c r="AL49" i="28"/>
  <c r="AO118" i="36"/>
  <c r="AO113" i="36"/>
  <c r="AO103" i="36"/>
  <c r="AO102" i="36"/>
  <c r="AO95" i="36"/>
  <c r="AO89" i="36"/>
  <c r="AO88" i="36"/>
  <c r="AO81" i="36"/>
  <c r="AO70" i="36"/>
  <c r="AO64" i="36"/>
  <c r="AO63" i="36"/>
  <c r="AO57" i="36"/>
  <c r="AO56" i="36"/>
  <c r="AO50" i="36"/>
  <c r="AO49" i="36"/>
  <c r="AO44" i="36"/>
  <c r="AO43" i="36"/>
  <c r="AO42" i="36"/>
  <c r="AO31" i="36"/>
  <c r="AO30" i="36"/>
  <c r="AO29" i="36"/>
  <c r="AO28" i="36"/>
  <c r="AO21" i="36"/>
  <c r="AO16" i="36"/>
  <c r="AN118" i="36"/>
  <c r="AN113" i="36"/>
  <c r="AN103" i="36"/>
  <c r="AN102" i="36"/>
  <c r="AN95" i="36"/>
  <c r="AN89" i="36"/>
  <c r="AN88" i="36"/>
  <c r="AN81" i="36"/>
  <c r="AN70" i="36"/>
  <c r="AN64" i="36"/>
  <c r="AN63" i="36"/>
  <c r="AN57" i="36"/>
  <c r="AN56" i="36"/>
  <c r="AN50" i="36"/>
  <c r="AN49" i="36"/>
  <c r="AN44" i="36"/>
  <c r="AN43" i="36"/>
  <c r="AN42" i="36"/>
  <c r="AN31" i="36"/>
  <c r="AN30" i="36"/>
  <c r="AN29" i="36"/>
  <c r="AN28" i="36"/>
  <c r="AN21" i="36"/>
  <c r="AN16" i="36"/>
  <c r="AL118" i="36"/>
  <c r="AL113" i="36"/>
  <c r="AL103" i="36"/>
  <c r="AL102" i="36"/>
  <c r="AL95" i="36"/>
  <c r="AL89" i="36"/>
  <c r="AL88" i="36"/>
  <c r="AL81" i="36"/>
  <c r="AL70" i="36"/>
  <c r="AL64" i="36"/>
  <c r="AL63" i="36"/>
  <c r="AL57" i="36"/>
  <c r="AL56" i="36"/>
  <c r="AL50" i="36"/>
  <c r="AL44" i="36"/>
  <c r="AL43" i="36"/>
  <c r="AL42" i="36"/>
  <c r="AL31" i="36"/>
  <c r="AL30" i="36"/>
  <c r="AL29" i="36"/>
  <c r="AL28" i="36"/>
  <c r="AL21" i="36"/>
  <c r="AL16" i="36"/>
  <c r="AL49" i="36" l="1"/>
  <c r="AR64" i="36"/>
  <c r="AR95" i="36"/>
  <c r="AL48" i="36" l="1"/>
  <c r="AU64" i="36"/>
  <c r="AS64" i="36"/>
  <c r="AS95" i="36" l="1"/>
  <c r="AS118" i="32" l="1"/>
  <c r="AO15" i="2"/>
  <c r="AL15" i="2"/>
  <c r="AN28" i="32" l="1"/>
  <c r="AL31" i="32"/>
  <c r="AL31" i="2"/>
  <c r="AL63" i="32"/>
  <c r="AL103" i="32"/>
  <c r="AL103" i="2"/>
  <c r="AN29" i="32"/>
  <c r="AN56" i="32"/>
  <c r="AN95" i="32"/>
  <c r="AO21" i="32"/>
  <c r="AO49" i="32"/>
  <c r="AO88" i="32"/>
  <c r="AL57" i="32"/>
  <c r="AL57" i="2"/>
  <c r="AO44" i="32"/>
  <c r="AO44" i="2"/>
  <c r="AL42" i="32"/>
  <c r="AL64" i="32"/>
  <c r="AL113" i="32"/>
  <c r="AN30" i="32"/>
  <c r="AN57" i="32"/>
  <c r="AN102" i="32"/>
  <c r="AO28" i="32"/>
  <c r="AO50" i="32"/>
  <c r="AO50" i="2"/>
  <c r="AO89" i="32"/>
  <c r="AO89" i="2"/>
  <c r="AO81" i="32"/>
  <c r="AL43" i="32"/>
  <c r="AL43" i="2"/>
  <c r="AL70" i="32"/>
  <c r="AL118" i="32"/>
  <c r="AN31" i="32"/>
  <c r="AN63" i="32"/>
  <c r="AN103" i="32"/>
  <c r="AO29" i="32"/>
  <c r="AO29" i="2"/>
  <c r="AO56" i="32"/>
  <c r="AO95" i="32"/>
  <c r="AO95" i="2"/>
  <c r="AL16" i="32"/>
  <c r="AL16" i="2"/>
  <c r="AL44" i="32"/>
  <c r="AL44" i="2"/>
  <c r="AL81" i="32"/>
  <c r="AN42" i="32"/>
  <c r="AN64" i="32"/>
  <c r="AN113" i="32"/>
  <c r="AO30" i="32"/>
  <c r="AO30" i="2"/>
  <c r="AO57" i="32"/>
  <c r="AO57" i="2"/>
  <c r="AO102" i="32"/>
  <c r="AL30" i="32"/>
  <c r="AL30" i="2"/>
  <c r="AN89" i="32"/>
  <c r="AL49" i="2"/>
  <c r="AL88" i="32"/>
  <c r="AN15" i="2"/>
  <c r="AN43" i="32"/>
  <c r="AN70" i="32"/>
  <c r="AN69" i="2"/>
  <c r="AN118" i="32"/>
  <c r="AN117" i="2"/>
  <c r="AO31" i="32"/>
  <c r="AO31" i="2"/>
  <c r="AO63" i="32"/>
  <c r="AO103" i="32"/>
  <c r="AO103" i="2"/>
  <c r="AN50" i="32"/>
  <c r="AL21" i="32"/>
  <c r="AL28" i="32"/>
  <c r="AL50" i="32"/>
  <c r="AL50" i="2"/>
  <c r="AL89" i="32"/>
  <c r="AL89" i="2"/>
  <c r="AN16" i="32"/>
  <c r="AN44" i="32"/>
  <c r="AN81" i="32"/>
  <c r="AO42" i="32"/>
  <c r="AO64" i="32"/>
  <c r="AO113" i="32"/>
  <c r="AL102" i="32"/>
  <c r="AO16" i="32"/>
  <c r="AO16" i="2"/>
  <c r="AL29" i="32"/>
  <c r="AL29" i="2"/>
  <c r="AL56" i="32"/>
  <c r="AL95" i="32"/>
  <c r="AL95" i="2"/>
  <c r="AN21" i="32"/>
  <c r="AN20" i="2"/>
  <c r="AN49" i="32"/>
  <c r="AN88" i="32"/>
  <c r="AO43" i="32"/>
  <c r="AO43" i="2"/>
  <c r="AO70" i="32"/>
  <c r="AO118" i="32"/>
  <c r="AL49" i="32"/>
  <c r="AR30" i="32"/>
  <c r="AU30" i="32"/>
  <c r="AS88" i="32"/>
  <c r="AU50" i="32"/>
  <c r="AR63" i="32"/>
  <c r="AS102" i="32"/>
  <c r="AU21" i="32"/>
  <c r="AS29" i="32"/>
  <c r="AS31" i="32"/>
  <c r="AU42" i="32"/>
  <c r="AS57" i="32"/>
  <c r="AR16" i="32"/>
  <c r="AU16" i="32"/>
  <c r="AR43" i="32"/>
  <c r="AS89" i="32"/>
  <c r="AR102" i="32"/>
  <c r="AS21" i="32"/>
  <c r="AR28" i="32"/>
  <c r="AR42" i="32"/>
  <c r="AR44" i="32"/>
  <c r="AU63" i="32"/>
  <c r="AU28" i="32"/>
  <c r="AR31" i="32"/>
  <c r="AS42" i="32"/>
  <c r="AR88" i="32"/>
  <c r="AU49" i="32"/>
  <c r="AR95" i="32"/>
  <c r="AR64" i="32"/>
  <c r="AS56" i="32"/>
  <c r="AU56" i="32"/>
  <c r="AS16" i="32"/>
  <c r="AR29" i="32"/>
  <c r="AS43" i="32"/>
  <c r="AU44" i="32"/>
  <c r="AR49" i="32"/>
  <c r="AR50" i="32"/>
  <c r="AR70" i="32"/>
  <c r="AR21" i="32"/>
  <c r="AR89" i="32"/>
  <c r="AR103" i="32"/>
  <c r="AR56" i="32"/>
  <c r="AR57" i="32"/>
  <c r="AR81" i="32"/>
  <c r="AU29" i="32"/>
  <c r="AU31" i="32"/>
  <c r="AL48" i="32" l="1"/>
  <c r="AL48" i="2"/>
  <c r="AO64" i="2"/>
  <c r="AO62" i="2"/>
  <c r="AL64" i="2"/>
  <c r="AL62" i="2"/>
  <c r="AO41" i="2"/>
  <c r="AN41" i="2"/>
  <c r="AL41" i="2"/>
  <c r="AL70" i="2"/>
  <c r="AL69" i="2"/>
  <c r="AO21" i="2"/>
  <c r="AO20" i="2"/>
  <c r="AN80" i="2"/>
  <c r="AL80" i="2"/>
  <c r="AO112" i="2"/>
  <c r="AO80" i="2"/>
  <c r="AO118" i="2"/>
  <c r="AO117" i="2"/>
  <c r="AL21" i="2"/>
  <c r="AL20" i="2"/>
  <c r="AN122" i="2"/>
  <c r="AN112" i="2"/>
  <c r="AL118" i="2"/>
  <c r="AO70" i="2"/>
  <c r="AO69" i="2"/>
  <c r="AO102" i="2"/>
  <c r="AL102" i="2"/>
  <c r="AN81" i="2"/>
  <c r="AN70" i="2"/>
  <c r="AN42" i="2"/>
  <c r="AN63" i="2"/>
  <c r="AN62" i="2"/>
  <c r="AO28" i="2"/>
  <c r="AL113" i="2"/>
  <c r="AN95" i="2"/>
  <c r="AL63" i="2"/>
  <c r="AN64" i="2"/>
  <c r="AN88" i="2"/>
  <c r="AL56" i="2"/>
  <c r="AO113" i="2"/>
  <c r="AN44" i="2"/>
  <c r="AL28" i="2"/>
  <c r="AO63" i="2"/>
  <c r="AN43" i="2"/>
  <c r="AL88" i="2"/>
  <c r="AN103" i="2"/>
  <c r="AN30" i="2"/>
  <c r="AN89" i="2"/>
  <c r="AL81" i="2"/>
  <c r="AO56" i="2"/>
  <c r="AN31" i="2"/>
  <c r="AO81" i="2"/>
  <c r="AN102" i="2"/>
  <c r="AO88" i="2"/>
  <c r="AN56" i="2"/>
  <c r="AN49" i="2"/>
  <c r="AN16" i="2"/>
  <c r="AN113" i="2"/>
  <c r="AN57" i="2"/>
  <c r="AL42" i="2"/>
  <c r="AO49" i="2"/>
  <c r="AN29" i="2"/>
  <c r="AN28" i="2"/>
  <c r="AN21" i="2"/>
  <c r="AO42" i="2"/>
  <c r="AN50" i="2"/>
  <c r="AN118" i="2"/>
  <c r="AS64" i="32"/>
  <c r="AS63" i="32"/>
  <c r="AS28" i="32"/>
  <c r="AU64" i="32"/>
  <c r="AS50" i="32"/>
  <c r="AS81" i="32"/>
  <c r="AS103" i="32"/>
  <c r="AS49" i="32"/>
  <c r="AU70" i="32"/>
  <c r="AU43" i="32"/>
  <c r="AS30" i="32"/>
  <c r="AS70" i="32"/>
  <c r="AS113" i="32"/>
  <c r="AU57" i="32"/>
  <c r="AS44" i="32"/>
  <c r="AM118" i="2" l="1"/>
  <c r="AM117" i="2"/>
  <c r="AP118" i="2"/>
  <c r="AP117" i="2"/>
  <c r="AO122" i="2"/>
  <c r="AS95" i="32" l="1"/>
  <c r="I12" i="23" l="1"/>
  <c r="I17" i="23" s="1"/>
  <c r="I12" i="31"/>
  <c r="I41" i="23" l="1"/>
  <c r="I44" i="23"/>
  <c r="I48" i="23"/>
  <c r="I44" i="31"/>
  <c r="I17" i="31"/>
  <c r="I41" i="31"/>
  <c r="I48" i="31"/>
  <c r="V5" i="9" l="1"/>
  <c r="I13" i="3" l="1"/>
  <c r="H13" i="3"/>
  <c r="F13" i="3"/>
  <c r="D13" i="3"/>
  <c r="BE1" i="7"/>
  <c r="B71" i="39" l="1"/>
  <c r="C68" i="43"/>
  <c r="C68" i="39"/>
  <c r="C68" i="35"/>
  <c r="C68" i="31"/>
  <c r="C68" i="27"/>
  <c r="C68" i="23"/>
  <c r="C68" i="19"/>
  <c r="C68" i="15"/>
  <c r="C68" i="11"/>
  <c r="S9" i="9" l="1"/>
  <c r="AO122" i="44"/>
  <c r="AN122" i="44"/>
  <c r="AP103" i="44"/>
  <c r="AM103" i="44"/>
  <c r="AP102" i="44"/>
  <c r="AM102" i="44"/>
  <c r="AO101" i="44"/>
  <c r="AN101" i="44"/>
  <c r="AL101" i="44"/>
  <c r="H95" i="44"/>
  <c r="AP95" i="44" s="1"/>
  <c r="E95" i="44"/>
  <c r="AM95" i="44" s="1"/>
  <c r="AP89" i="44"/>
  <c r="AM89" i="44"/>
  <c r="AP88" i="44"/>
  <c r="AM88" i="44"/>
  <c r="AP63" i="44"/>
  <c r="AM63" i="44"/>
  <c r="AO62" i="44"/>
  <c r="AN62" i="44"/>
  <c r="AL62" i="44"/>
  <c r="AP57" i="44"/>
  <c r="AM57" i="44"/>
  <c r="AP56" i="44"/>
  <c r="AM56" i="44"/>
  <c r="AO55" i="44"/>
  <c r="AN55" i="44"/>
  <c r="AL55" i="44"/>
  <c r="AP50" i="44"/>
  <c r="AM50" i="44"/>
  <c r="AP49" i="44"/>
  <c r="AM49" i="44"/>
  <c r="AO48" i="44"/>
  <c r="AN48" i="44"/>
  <c r="AP44" i="44"/>
  <c r="AM44" i="44"/>
  <c r="AP43" i="44"/>
  <c r="AM43" i="44"/>
  <c r="AO41" i="44"/>
  <c r="AN41" i="44"/>
  <c r="AL41" i="44"/>
  <c r="N32" i="44"/>
  <c r="AP31" i="44"/>
  <c r="AM31" i="44"/>
  <c r="AP30" i="44"/>
  <c r="AM30" i="44"/>
  <c r="AP29" i="44"/>
  <c r="AM29" i="44"/>
  <c r="AP28" i="44"/>
  <c r="AM28" i="44"/>
  <c r="AO27" i="44"/>
  <c r="AN27" i="44"/>
  <c r="AL27" i="44"/>
  <c r="AP16" i="44"/>
  <c r="AM16" i="44"/>
  <c r="AO15" i="44"/>
  <c r="AN15" i="44"/>
  <c r="AL15" i="44"/>
  <c r="AK15" i="44"/>
  <c r="AP15" i="44"/>
  <c r="AM15" i="44"/>
  <c r="AO14" i="44"/>
  <c r="AN14" i="44"/>
  <c r="AL14" i="44"/>
  <c r="AK14" i="44"/>
  <c r="AP14" i="44"/>
  <c r="AM14" i="44"/>
  <c r="AK13" i="44"/>
  <c r="T13" i="44"/>
  <c r="AV8" i="44"/>
  <c r="AU8" i="44"/>
  <c r="AS8" i="44"/>
  <c r="AR8" i="44"/>
  <c r="AP8" i="44"/>
  <c r="AO8" i="44"/>
  <c r="AN8" i="44"/>
  <c r="AU7" i="44"/>
  <c r="AR7" i="44"/>
  <c r="AL7" i="44"/>
  <c r="T4" i="44"/>
  <c r="AK4" i="44"/>
  <c r="AS64" i="43"/>
  <c r="T64" i="43"/>
  <c r="AS63" i="43"/>
  <c r="T63" i="43"/>
  <c r="AS62" i="43"/>
  <c r="T62" i="43"/>
  <c r="AS61" i="43"/>
  <c r="T61" i="43"/>
  <c r="AS60" i="43"/>
  <c r="T60" i="43"/>
  <c r="AS59" i="43"/>
  <c r="T59" i="43"/>
  <c r="AS58" i="43"/>
  <c r="T58" i="43"/>
  <c r="AS57" i="43"/>
  <c r="T57" i="43"/>
  <c r="AO56" i="43"/>
  <c r="T56" i="43"/>
  <c r="G56" i="43"/>
  <c r="AS55" i="43"/>
  <c r="T55" i="43"/>
  <c r="AS54" i="43"/>
  <c r="T54" i="43"/>
  <c r="AS53" i="43"/>
  <c r="T53" i="43"/>
  <c r="AS52" i="43"/>
  <c r="T52" i="43"/>
  <c r="AS51" i="43"/>
  <c r="T51" i="43"/>
  <c r="AS50" i="43"/>
  <c r="T50" i="43"/>
  <c r="AS49" i="43"/>
  <c r="T49" i="43"/>
  <c r="AO48" i="43"/>
  <c r="T48" i="43"/>
  <c r="G48" i="43"/>
  <c r="AS47" i="43"/>
  <c r="T47" i="43"/>
  <c r="AS46" i="43"/>
  <c r="T46" i="43"/>
  <c r="AS45" i="43"/>
  <c r="T45" i="43"/>
  <c r="AO44" i="43"/>
  <c r="T44" i="43"/>
  <c r="G44" i="43"/>
  <c r="AS39" i="43"/>
  <c r="AR39" i="43"/>
  <c r="AQ39" i="43"/>
  <c r="AP39" i="43"/>
  <c r="AL39" i="43"/>
  <c r="AL38" i="43"/>
  <c r="AK38" i="43"/>
  <c r="AS38" i="43"/>
  <c r="AR38" i="43"/>
  <c r="AQ38" i="43"/>
  <c r="M38" i="43"/>
  <c r="T38" i="43"/>
  <c r="AR37" i="43"/>
  <c r="AS37" i="43"/>
  <c r="AQ37" i="43"/>
  <c r="AP37" i="43"/>
  <c r="AL37" i="43"/>
  <c r="T37" i="43"/>
  <c r="AP36" i="43"/>
  <c r="AS36" i="43"/>
  <c r="AR36" i="43"/>
  <c r="AQ36" i="43"/>
  <c r="T36" i="43"/>
  <c r="AQ35" i="43"/>
  <c r="AP35" i="43"/>
  <c r="AK35" i="43"/>
  <c r="AS35" i="43"/>
  <c r="AR35" i="43"/>
  <c r="AL35" i="43"/>
  <c r="T35" i="43"/>
  <c r="AK34" i="43"/>
  <c r="AS34" i="43"/>
  <c r="T34" i="43"/>
  <c r="AS33" i="43"/>
  <c r="A33" i="43"/>
  <c r="AS32" i="43"/>
  <c r="T32" i="43"/>
  <c r="A32" i="43"/>
  <c r="AS31" i="43"/>
  <c r="AK31" i="43"/>
  <c r="A31" i="43"/>
  <c r="AS30" i="43"/>
  <c r="A30" i="43"/>
  <c r="AS29" i="43"/>
  <c r="AS28" i="43"/>
  <c r="AS27" i="43"/>
  <c r="AK27" i="43"/>
  <c r="T27" i="43"/>
  <c r="A27" i="43"/>
  <c r="AS26" i="43"/>
  <c r="AK26" i="43"/>
  <c r="A26" i="43"/>
  <c r="AS25" i="43"/>
  <c r="AK25" i="43"/>
  <c r="T25" i="43"/>
  <c r="A25" i="43"/>
  <c r="AS24" i="43"/>
  <c r="A24" i="43"/>
  <c r="AS23" i="43"/>
  <c r="AK23" i="43"/>
  <c r="A23" i="43"/>
  <c r="AS22" i="43"/>
  <c r="A22" i="43"/>
  <c r="AS21" i="43"/>
  <c r="AS20" i="43"/>
  <c r="AO17" i="43"/>
  <c r="G17" i="43"/>
  <c r="AS15" i="43"/>
  <c r="T15" i="43"/>
  <c r="AS14" i="43"/>
  <c r="T14" i="43"/>
  <c r="AS13" i="43"/>
  <c r="AR13" i="43"/>
  <c r="AQ13" i="43"/>
  <c r="AP13" i="43"/>
  <c r="AN13" i="43"/>
  <c r="AL13" i="43"/>
  <c r="T13" i="43"/>
  <c r="M13" i="43"/>
  <c r="AU13" i="43" s="1"/>
  <c r="E13" i="43"/>
  <c r="T12" i="43"/>
  <c r="AK4" i="43"/>
  <c r="T4" i="43"/>
  <c r="AO122" i="40"/>
  <c r="AN122" i="40"/>
  <c r="AP103" i="40"/>
  <c r="AM103" i="40"/>
  <c r="AP102" i="40"/>
  <c r="AM102" i="40"/>
  <c r="AO101" i="40"/>
  <c r="AN101" i="40"/>
  <c r="AL101" i="40"/>
  <c r="H95" i="40"/>
  <c r="AP95" i="40" s="1"/>
  <c r="E95" i="40"/>
  <c r="AM95" i="40" s="1"/>
  <c r="AP89" i="40"/>
  <c r="AM89" i="40"/>
  <c r="AP88" i="40"/>
  <c r="AM88" i="40"/>
  <c r="AP63" i="40"/>
  <c r="AM63" i="40"/>
  <c r="AO62" i="40"/>
  <c r="AN62" i="40"/>
  <c r="AL62" i="40"/>
  <c r="AP57" i="40"/>
  <c r="AM57" i="40"/>
  <c r="AP56" i="40"/>
  <c r="AM56" i="40"/>
  <c r="AO55" i="40"/>
  <c r="AN55" i="40"/>
  <c r="AL55" i="40"/>
  <c r="AP50" i="40"/>
  <c r="AM50" i="40"/>
  <c r="AP49" i="40"/>
  <c r="AM49" i="40"/>
  <c r="AO48" i="40"/>
  <c r="AN48" i="40"/>
  <c r="AP44" i="40"/>
  <c r="AM44" i="40"/>
  <c r="AP43" i="40"/>
  <c r="AM43" i="40"/>
  <c r="AO41" i="40"/>
  <c r="AN41" i="40"/>
  <c r="AL41" i="40"/>
  <c r="N32" i="40"/>
  <c r="AP31" i="40"/>
  <c r="AM31" i="40"/>
  <c r="AP30" i="40"/>
  <c r="AM30" i="40"/>
  <c r="AP29" i="40"/>
  <c r="AM29" i="40"/>
  <c r="AP28" i="40"/>
  <c r="AM28" i="40"/>
  <c r="AO27" i="40"/>
  <c r="AN27" i="40"/>
  <c r="AL27" i="40"/>
  <c r="AP16" i="40"/>
  <c r="AM16" i="40"/>
  <c r="AO15" i="40"/>
  <c r="AN15" i="40"/>
  <c r="AL15" i="40"/>
  <c r="AK15" i="40"/>
  <c r="AP15" i="40"/>
  <c r="AM15" i="40"/>
  <c r="AO14" i="40"/>
  <c r="AN14" i="40"/>
  <c r="AL14" i="40"/>
  <c r="AK14" i="40"/>
  <c r="AP14" i="40"/>
  <c r="AM14" i="40"/>
  <c r="AK13" i="40"/>
  <c r="T13" i="40"/>
  <c r="AV8" i="40"/>
  <c r="AU8" i="40"/>
  <c r="AS8" i="40"/>
  <c r="AR8" i="40"/>
  <c r="AP8" i="40"/>
  <c r="AO8" i="40"/>
  <c r="AN8" i="40"/>
  <c r="AU7" i="40"/>
  <c r="AR7" i="40"/>
  <c r="AL7" i="40"/>
  <c r="T64" i="39"/>
  <c r="T63" i="39"/>
  <c r="T62" i="39"/>
  <c r="T61" i="39"/>
  <c r="T60" i="39"/>
  <c r="T59" i="39"/>
  <c r="T58" i="39"/>
  <c r="T57" i="39"/>
  <c r="AO56" i="39"/>
  <c r="T56" i="39"/>
  <c r="G56" i="39"/>
  <c r="T55" i="39"/>
  <c r="T54" i="39"/>
  <c r="T53" i="39"/>
  <c r="T52" i="39"/>
  <c r="T51" i="39"/>
  <c r="T50" i="39"/>
  <c r="T49" i="39"/>
  <c r="AO48" i="39"/>
  <c r="T48" i="39"/>
  <c r="G48" i="39"/>
  <c r="T47" i="39"/>
  <c r="T46" i="39"/>
  <c r="T45" i="39"/>
  <c r="AO44" i="39"/>
  <c r="T44" i="39"/>
  <c r="G44" i="39"/>
  <c r="AP39" i="39"/>
  <c r="AK39" i="39"/>
  <c r="M39" i="39"/>
  <c r="AS39" i="39"/>
  <c r="AR39" i="39"/>
  <c r="AQ39" i="39"/>
  <c r="AL39" i="39"/>
  <c r="T39" i="39"/>
  <c r="AS38" i="39"/>
  <c r="AR38" i="39"/>
  <c r="AQ38" i="39"/>
  <c r="AL38" i="39"/>
  <c r="AS37" i="39"/>
  <c r="M37" i="39"/>
  <c r="AR37" i="39"/>
  <c r="AQ37" i="39"/>
  <c r="AP37" i="39"/>
  <c r="AL37" i="39"/>
  <c r="AS36" i="39"/>
  <c r="AR36" i="39"/>
  <c r="AQ36" i="39"/>
  <c r="T36" i="39"/>
  <c r="AQ35" i="39"/>
  <c r="AP35" i="39"/>
  <c r="AS35" i="39"/>
  <c r="AR35" i="39"/>
  <c r="AL35" i="39"/>
  <c r="AK35" i="39"/>
  <c r="T34" i="39"/>
  <c r="AK33" i="39"/>
  <c r="T33" i="39"/>
  <c r="A33" i="39"/>
  <c r="T32" i="39"/>
  <c r="A31" i="39"/>
  <c r="T29" i="39"/>
  <c r="AK27" i="39"/>
  <c r="T27" i="39"/>
  <c r="A27" i="39"/>
  <c r="T26" i="39"/>
  <c r="A26" i="39"/>
  <c r="AK25" i="39"/>
  <c r="T25" i="39"/>
  <c r="A25" i="39"/>
  <c r="T24" i="39"/>
  <c r="A23" i="39"/>
  <c r="AK22" i="39"/>
  <c r="A22" i="39"/>
  <c r="AO17" i="39"/>
  <c r="G17" i="39"/>
  <c r="T15" i="39"/>
  <c r="T14" i="39"/>
  <c r="AS13" i="39"/>
  <c r="AR13" i="39"/>
  <c r="AQ13" i="39"/>
  <c r="AP13" i="39"/>
  <c r="AN13" i="39"/>
  <c r="AL13" i="39"/>
  <c r="T13" i="39"/>
  <c r="M13" i="39"/>
  <c r="E13" i="39"/>
  <c r="T12" i="39"/>
  <c r="T4" i="39"/>
  <c r="AO122" i="36"/>
  <c r="AN122" i="36"/>
  <c r="H95" i="36"/>
  <c r="AP95" i="36" s="1"/>
  <c r="E95" i="36"/>
  <c r="AM95" i="36" s="1"/>
  <c r="AO62" i="36"/>
  <c r="AN62" i="36"/>
  <c r="AL62" i="36"/>
  <c r="AO41" i="36"/>
  <c r="AN41" i="36"/>
  <c r="AL41" i="36"/>
  <c r="N32" i="36"/>
  <c r="AO15" i="36"/>
  <c r="AN15" i="36"/>
  <c r="AL15" i="36"/>
  <c r="AK15" i="36"/>
  <c r="AO14" i="36"/>
  <c r="AN14" i="36"/>
  <c r="AL14" i="36"/>
  <c r="AK14" i="36"/>
  <c r="AK13" i="36"/>
  <c r="T13" i="36"/>
  <c r="AV8" i="36"/>
  <c r="AU8" i="36"/>
  <c r="AS8" i="36"/>
  <c r="AR8" i="36"/>
  <c r="AP8" i="36"/>
  <c r="AO8" i="36"/>
  <c r="AN8" i="36"/>
  <c r="AU7" i="36"/>
  <c r="AR7" i="36"/>
  <c r="AL7" i="36"/>
  <c r="AK4" i="36"/>
  <c r="T4" i="36"/>
  <c r="AS64" i="35"/>
  <c r="AR64" i="35"/>
  <c r="T64" i="35"/>
  <c r="AS63" i="35"/>
  <c r="AR63" i="35"/>
  <c r="T63" i="35"/>
  <c r="AS62" i="35"/>
  <c r="AR62" i="35"/>
  <c r="T62" i="35"/>
  <c r="AS61" i="35"/>
  <c r="AR61" i="35"/>
  <c r="T61" i="35"/>
  <c r="AS60" i="35"/>
  <c r="AR60" i="35"/>
  <c r="T60" i="35"/>
  <c r="AS59" i="35"/>
  <c r="AR59" i="35"/>
  <c r="T59" i="35"/>
  <c r="AS58" i="35"/>
  <c r="T58" i="35"/>
  <c r="AS57" i="35"/>
  <c r="AR57" i="35"/>
  <c r="T57" i="35"/>
  <c r="AO56" i="35"/>
  <c r="T56" i="35"/>
  <c r="G56" i="35"/>
  <c r="AS55" i="35"/>
  <c r="AR55" i="35"/>
  <c r="T55" i="35"/>
  <c r="AS54" i="35"/>
  <c r="AR54" i="35"/>
  <c r="T54" i="35"/>
  <c r="AS53" i="35"/>
  <c r="AR53" i="35"/>
  <c r="T53" i="35"/>
  <c r="AS52" i="35"/>
  <c r="AR52" i="35"/>
  <c r="T52" i="35"/>
  <c r="AS51" i="35"/>
  <c r="AR51" i="35"/>
  <c r="T51" i="35"/>
  <c r="AS50" i="35"/>
  <c r="AR50" i="35"/>
  <c r="T50" i="35"/>
  <c r="AS49" i="35"/>
  <c r="AR49" i="35"/>
  <c r="T49" i="35"/>
  <c r="AO48" i="35"/>
  <c r="T48" i="35"/>
  <c r="G48" i="35"/>
  <c r="AS47" i="35"/>
  <c r="AR47" i="35"/>
  <c r="T47" i="35"/>
  <c r="AS46" i="35"/>
  <c r="AR46" i="35"/>
  <c r="T46" i="35"/>
  <c r="AS45" i="35"/>
  <c r="AR45" i="35"/>
  <c r="T45" i="35"/>
  <c r="AO44" i="35"/>
  <c r="T44" i="35"/>
  <c r="G44" i="35"/>
  <c r="T39" i="35"/>
  <c r="M39" i="35"/>
  <c r="AS39" i="35"/>
  <c r="AR39" i="35"/>
  <c r="AQ39" i="35"/>
  <c r="AP39" i="35"/>
  <c r="AK39" i="35"/>
  <c r="A39" i="35"/>
  <c r="AS38" i="35"/>
  <c r="AQ38" i="35"/>
  <c r="AR38" i="35"/>
  <c r="AK38" i="35"/>
  <c r="T37" i="35"/>
  <c r="AS37" i="35"/>
  <c r="AR37" i="35"/>
  <c r="AQ37" i="35"/>
  <c r="AP37" i="35"/>
  <c r="AK37" i="35"/>
  <c r="A37" i="35"/>
  <c r="AQ36" i="35"/>
  <c r="AS36" i="35"/>
  <c r="AR36" i="35"/>
  <c r="T36" i="35"/>
  <c r="AS35" i="35"/>
  <c r="AL35" i="35"/>
  <c r="AR35" i="35"/>
  <c r="AQ35" i="35"/>
  <c r="AP35" i="35"/>
  <c r="AK35" i="35"/>
  <c r="AS34" i="35"/>
  <c r="AR34" i="35"/>
  <c r="AK34" i="35"/>
  <c r="AS33" i="35"/>
  <c r="AR33" i="35"/>
  <c r="A33" i="35"/>
  <c r="AS32" i="35"/>
  <c r="AR32" i="35"/>
  <c r="T32" i="35"/>
  <c r="AS31" i="35"/>
  <c r="AR31" i="35"/>
  <c r="AS30" i="35"/>
  <c r="AR30" i="35"/>
  <c r="T30" i="35"/>
  <c r="AS29" i="35"/>
  <c r="AR29" i="35"/>
  <c r="T29" i="35"/>
  <c r="AK29" i="35"/>
  <c r="AS28" i="35"/>
  <c r="AR28" i="35"/>
  <c r="A28" i="35"/>
  <c r="AS27" i="35"/>
  <c r="AR27" i="35"/>
  <c r="A27" i="35"/>
  <c r="AS26" i="35"/>
  <c r="AR26" i="35"/>
  <c r="T26" i="35"/>
  <c r="AS25" i="35"/>
  <c r="AR25" i="35"/>
  <c r="A25" i="35"/>
  <c r="AS24" i="35"/>
  <c r="AR24" i="35"/>
  <c r="AK24" i="35"/>
  <c r="T24" i="35"/>
  <c r="A24" i="35"/>
  <c r="AS23" i="35"/>
  <c r="AR23" i="35"/>
  <c r="AS22" i="35"/>
  <c r="AR22" i="35"/>
  <c r="AK22" i="35"/>
  <c r="T22" i="35"/>
  <c r="A22" i="35"/>
  <c r="AS21" i="35"/>
  <c r="AR21" i="35"/>
  <c r="AK21" i="35"/>
  <c r="AS20" i="35"/>
  <c r="AR20" i="35"/>
  <c r="T20" i="35"/>
  <c r="AO17" i="35"/>
  <c r="G17" i="35"/>
  <c r="AS15" i="35"/>
  <c r="AR15" i="35"/>
  <c r="T15" i="35"/>
  <c r="AS14" i="35"/>
  <c r="AR14" i="35"/>
  <c r="T14" i="35"/>
  <c r="AS13" i="35"/>
  <c r="AR13" i="35"/>
  <c r="AQ13" i="35"/>
  <c r="AP13" i="35"/>
  <c r="AN13" i="35"/>
  <c r="AL13" i="35"/>
  <c r="T13" i="35"/>
  <c r="M13" i="35"/>
  <c r="N13" i="35" s="1"/>
  <c r="E13" i="35"/>
  <c r="AM13" i="35" s="1"/>
  <c r="T12" i="35"/>
  <c r="AK4" i="35"/>
  <c r="T4" i="35"/>
  <c r="AS122" i="32"/>
  <c r="AO122" i="32"/>
  <c r="AN122" i="32"/>
  <c r="AP103" i="32"/>
  <c r="AM103" i="32"/>
  <c r="AP102" i="32"/>
  <c r="AM102" i="32"/>
  <c r="AS101" i="32"/>
  <c r="AR101" i="32"/>
  <c r="AO101" i="32"/>
  <c r="AN101" i="32"/>
  <c r="AL101" i="32"/>
  <c r="H95" i="32"/>
  <c r="AP95" i="32" s="1"/>
  <c r="E95" i="32"/>
  <c r="AM95" i="32" s="1"/>
  <c r="AP89" i="32"/>
  <c r="AM89" i="32"/>
  <c r="AP88" i="32"/>
  <c r="AM88" i="32"/>
  <c r="AP63" i="32"/>
  <c r="AM63" i="32"/>
  <c r="AU62" i="32"/>
  <c r="AS62" i="32"/>
  <c r="AR62" i="32"/>
  <c r="AO62" i="32"/>
  <c r="AN62" i="32"/>
  <c r="AL62" i="32"/>
  <c r="AP57" i="32"/>
  <c r="AM57" i="32"/>
  <c r="AP56" i="32"/>
  <c r="AM56" i="32"/>
  <c r="AU55" i="32"/>
  <c r="AS55" i="32"/>
  <c r="AR55" i="32"/>
  <c r="AO55" i="32"/>
  <c r="AN55" i="32"/>
  <c r="AL55" i="32"/>
  <c r="AP50" i="32"/>
  <c r="AM50" i="32"/>
  <c r="AP49" i="32"/>
  <c r="AM49" i="32"/>
  <c r="AU48" i="32"/>
  <c r="AS48" i="32"/>
  <c r="AR48" i="32"/>
  <c r="AO48" i="32"/>
  <c r="AN48" i="32"/>
  <c r="AP44" i="32"/>
  <c r="AM44" i="32"/>
  <c r="AP43" i="32"/>
  <c r="AM43" i="32"/>
  <c r="AU41" i="32"/>
  <c r="AS41" i="32"/>
  <c r="AR41" i="32"/>
  <c r="AO41" i="32"/>
  <c r="AN41" i="32"/>
  <c r="AL41" i="32"/>
  <c r="N32" i="32"/>
  <c r="AP31" i="32"/>
  <c r="AM31" i="32"/>
  <c r="AP30" i="32"/>
  <c r="AM30" i="32"/>
  <c r="AP29" i="32"/>
  <c r="AM29" i="32"/>
  <c r="AP28" i="32"/>
  <c r="AM28" i="32"/>
  <c r="AU27" i="32"/>
  <c r="AS27" i="32"/>
  <c r="AR27" i="32"/>
  <c r="AO27" i="32"/>
  <c r="AN27" i="32"/>
  <c r="AL27" i="32"/>
  <c r="AP16" i="32"/>
  <c r="AM16" i="32"/>
  <c r="AU15" i="32"/>
  <c r="AS15" i="32"/>
  <c r="AR15" i="32"/>
  <c r="AO15" i="32"/>
  <c r="AN15" i="32"/>
  <c r="AL15" i="32"/>
  <c r="AK15" i="32"/>
  <c r="AP15" i="32"/>
  <c r="AM15" i="32"/>
  <c r="AU14" i="32"/>
  <c r="AS14" i="32"/>
  <c r="AR14" i="32"/>
  <c r="AO14" i="32"/>
  <c r="AN14" i="32"/>
  <c r="AL14" i="32"/>
  <c r="AK14" i="32"/>
  <c r="AP14" i="32"/>
  <c r="AM14" i="32"/>
  <c r="AK13" i="32"/>
  <c r="T13" i="32"/>
  <c r="AV8" i="32"/>
  <c r="AU8" i="32"/>
  <c r="AS8" i="32"/>
  <c r="AR8" i="32"/>
  <c r="AP8" i="32"/>
  <c r="AO8" i="32"/>
  <c r="AN8" i="32"/>
  <c r="AU7" i="32"/>
  <c r="AR7" i="32"/>
  <c r="AL7" i="32"/>
  <c r="AS64" i="31"/>
  <c r="AR64" i="31"/>
  <c r="AQ64" i="31"/>
  <c r="AP64" i="31"/>
  <c r="AN64" i="31"/>
  <c r="AL64" i="31"/>
  <c r="T64" i="31"/>
  <c r="M64" i="31"/>
  <c r="AU64" i="31" s="1"/>
  <c r="E64" i="31"/>
  <c r="AM64" i="31" s="1"/>
  <c r="AS63" i="31"/>
  <c r="AR63" i="31"/>
  <c r="AQ63" i="31"/>
  <c r="AP63" i="31"/>
  <c r="AN63" i="31"/>
  <c r="AL63" i="31"/>
  <c r="T63" i="31"/>
  <c r="M63" i="31"/>
  <c r="AU63" i="31" s="1"/>
  <c r="E63" i="31"/>
  <c r="AM63" i="31" s="1"/>
  <c r="AS62" i="31"/>
  <c r="AR62" i="31"/>
  <c r="AQ62" i="31"/>
  <c r="AP62" i="31"/>
  <c r="AN62" i="31"/>
  <c r="AL62" i="31"/>
  <c r="T62" i="31"/>
  <c r="M62" i="31"/>
  <c r="AU62" i="31" s="1"/>
  <c r="E62" i="31"/>
  <c r="AM62" i="31" s="1"/>
  <c r="AS61" i="31"/>
  <c r="AR61" i="31"/>
  <c r="AQ61" i="31"/>
  <c r="AP61" i="31"/>
  <c r="AN61" i="31"/>
  <c r="AL61" i="31"/>
  <c r="T61" i="31"/>
  <c r="M61" i="31"/>
  <c r="AU61" i="31" s="1"/>
  <c r="E61" i="31"/>
  <c r="AM61" i="31" s="1"/>
  <c r="AS60" i="31"/>
  <c r="AR60" i="31"/>
  <c r="AQ60" i="31"/>
  <c r="AP60" i="31"/>
  <c r="AN60" i="31"/>
  <c r="AL60" i="31"/>
  <c r="T60" i="31"/>
  <c r="M60" i="31"/>
  <c r="AU60" i="31" s="1"/>
  <c r="E60" i="31"/>
  <c r="AM60" i="31" s="1"/>
  <c r="AS59" i="31"/>
  <c r="AR59" i="31"/>
  <c r="AQ59" i="31"/>
  <c r="AP59" i="31"/>
  <c r="AN59" i="31"/>
  <c r="AL59" i="31"/>
  <c r="T59" i="31"/>
  <c r="M59" i="31"/>
  <c r="AU59" i="31" s="1"/>
  <c r="E59" i="31"/>
  <c r="AM59" i="31" s="1"/>
  <c r="AS58" i="31"/>
  <c r="T58" i="31"/>
  <c r="AS57" i="31"/>
  <c r="AR57" i="31"/>
  <c r="AQ57" i="31"/>
  <c r="AP57" i="31"/>
  <c r="AN57" i="31"/>
  <c r="AL57" i="31"/>
  <c r="T57" i="31"/>
  <c r="M57" i="31"/>
  <c r="AU57" i="31" s="1"/>
  <c r="E57" i="31"/>
  <c r="AM57" i="31" s="1"/>
  <c r="AO56" i="31"/>
  <c r="T56" i="31"/>
  <c r="G56" i="31"/>
  <c r="AS55" i="31"/>
  <c r="AR55" i="31"/>
  <c r="AQ55" i="31"/>
  <c r="AP55" i="31"/>
  <c r="AN55" i="31"/>
  <c r="AL55" i="31"/>
  <c r="T55" i="31"/>
  <c r="M55" i="31"/>
  <c r="AU55" i="31" s="1"/>
  <c r="E55" i="31"/>
  <c r="AM55" i="31" s="1"/>
  <c r="AS54" i="31"/>
  <c r="AR54" i="31"/>
  <c r="AQ54" i="31"/>
  <c r="AP54" i="31"/>
  <c r="AN54" i="31"/>
  <c r="AL54" i="31"/>
  <c r="T54" i="31"/>
  <c r="M54" i="31"/>
  <c r="AU54" i="31" s="1"/>
  <c r="E54" i="31"/>
  <c r="AM54" i="31" s="1"/>
  <c r="AS53" i="31"/>
  <c r="AR53" i="31"/>
  <c r="AQ53" i="31"/>
  <c r="AP53" i="31"/>
  <c r="AN53" i="31"/>
  <c r="AL53" i="31"/>
  <c r="T53" i="31"/>
  <c r="M53" i="31"/>
  <c r="AU53" i="31" s="1"/>
  <c r="E53" i="31"/>
  <c r="AM53" i="31" s="1"/>
  <c r="AS52" i="31"/>
  <c r="AR52" i="31"/>
  <c r="AQ52" i="31"/>
  <c r="AP52" i="31"/>
  <c r="AN52" i="31"/>
  <c r="AL52" i="31"/>
  <c r="T52" i="31"/>
  <c r="M52" i="31"/>
  <c r="AU52" i="31" s="1"/>
  <c r="E52" i="31"/>
  <c r="AM52" i="31" s="1"/>
  <c r="AS51" i="31"/>
  <c r="AR51" i="31"/>
  <c r="AQ51" i="31"/>
  <c r="AP51" i="31"/>
  <c r="AN51" i="31"/>
  <c r="AL51" i="31"/>
  <c r="T51" i="31"/>
  <c r="M51" i="31"/>
  <c r="AU51" i="31" s="1"/>
  <c r="E51" i="31"/>
  <c r="AM51" i="31" s="1"/>
  <c r="AS50" i="31"/>
  <c r="AR50" i="31"/>
  <c r="AQ50" i="31"/>
  <c r="AP50" i="31"/>
  <c r="AN50" i="31"/>
  <c r="AL50" i="31"/>
  <c r="T50" i="31"/>
  <c r="M50" i="31"/>
  <c r="AU50" i="31" s="1"/>
  <c r="E50" i="31"/>
  <c r="AS49" i="31"/>
  <c r="AR49" i="31"/>
  <c r="AQ49" i="31"/>
  <c r="AP49" i="31"/>
  <c r="AN49" i="31"/>
  <c r="AL49" i="31"/>
  <c r="T49" i="31"/>
  <c r="M49" i="31"/>
  <c r="AU49" i="31" s="1"/>
  <c r="E49" i="31"/>
  <c r="AM49" i="31" s="1"/>
  <c r="AO48" i="31"/>
  <c r="T48" i="31"/>
  <c r="H48" i="31"/>
  <c r="G48" i="31"/>
  <c r="F48" i="31"/>
  <c r="D48" i="31"/>
  <c r="AS47" i="31"/>
  <c r="AR47" i="31"/>
  <c r="AQ47" i="31"/>
  <c r="AP47" i="31"/>
  <c r="AN47" i="31"/>
  <c r="AL47" i="31"/>
  <c r="T47" i="31"/>
  <c r="M47" i="31"/>
  <c r="AU47" i="31" s="1"/>
  <c r="E47" i="31"/>
  <c r="AM47" i="31" s="1"/>
  <c r="AS46" i="31"/>
  <c r="AR46" i="31"/>
  <c r="AQ46" i="31"/>
  <c r="AP46" i="31"/>
  <c r="AN46" i="31"/>
  <c r="AL46" i="31"/>
  <c r="T46" i="31"/>
  <c r="M46" i="31"/>
  <c r="AU46" i="31" s="1"/>
  <c r="E46" i="31"/>
  <c r="AS45" i="31"/>
  <c r="AR45" i="31"/>
  <c r="AQ45" i="31"/>
  <c r="AP45" i="31"/>
  <c r="AN45" i="31"/>
  <c r="AL45" i="31"/>
  <c r="T45" i="31"/>
  <c r="M45" i="31"/>
  <c r="AU45" i="31" s="1"/>
  <c r="E45" i="31"/>
  <c r="AM45" i="31" s="1"/>
  <c r="AO44" i="31"/>
  <c r="T44" i="31"/>
  <c r="H44" i="31"/>
  <c r="G44" i="31"/>
  <c r="F44" i="31"/>
  <c r="D44" i="31"/>
  <c r="F41" i="31"/>
  <c r="AP39" i="31"/>
  <c r="AN39" i="31"/>
  <c r="AS39" i="31"/>
  <c r="AR39" i="31"/>
  <c r="E39" i="31"/>
  <c r="AL39" i="31"/>
  <c r="T39" i="31"/>
  <c r="AN38" i="31"/>
  <c r="AL38" i="31"/>
  <c r="AS38" i="31"/>
  <c r="AR38" i="31"/>
  <c r="AQ38" i="31"/>
  <c r="M38" i="31"/>
  <c r="N38" i="31" s="1"/>
  <c r="E38" i="31"/>
  <c r="AP37" i="31"/>
  <c r="AN37" i="31"/>
  <c r="AS37" i="31"/>
  <c r="AR37" i="31"/>
  <c r="E37" i="31"/>
  <c r="T37" i="31"/>
  <c r="AN36" i="31"/>
  <c r="AS36" i="31"/>
  <c r="AR36" i="31"/>
  <c r="AQ36" i="31"/>
  <c r="AP36" i="31"/>
  <c r="AL36" i="31"/>
  <c r="AN35" i="31"/>
  <c r="AL35" i="31"/>
  <c r="AK35" i="31"/>
  <c r="AS35" i="31"/>
  <c r="AR35" i="31"/>
  <c r="AP35" i="31"/>
  <c r="E35" i="31"/>
  <c r="T35" i="31"/>
  <c r="A35" i="31"/>
  <c r="AN34" i="31"/>
  <c r="AS34" i="31"/>
  <c r="AR34" i="31"/>
  <c r="AQ34" i="31"/>
  <c r="AP34" i="31"/>
  <c r="D41" i="31"/>
  <c r="AS33" i="31"/>
  <c r="AR33" i="31"/>
  <c r="AQ33" i="31"/>
  <c r="AP33" i="31"/>
  <c r="AN33" i="31"/>
  <c r="AL33" i="31"/>
  <c r="M33" i="31"/>
  <c r="N33" i="31" s="1"/>
  <c r="E33" i="31"/>
  <c r="AM33" i="31" s="1"/>
  <c r="T33" i="31"/>
  <c r="AS32" i="31"/>
  <c r="AR32" i="31"/>
  <c r="AQ32" i="31"/>
  <c r="AP32" i="31"/>
  <c r="AN32" i="31"/>
  <c r="AL32" i="31"/>
  <c r="M32" i="31"/>
  <c r="AU32" i="31" s="1"/>
  <c r="E32" i="31"/>
  <c r="AM32" i="31" s="1"/>
  <c r="AK32" i="31"/>
  <c r="AS31" i="31"/>
  <c r="AR31" i="31"/>
  <c r="AQ31" i="31"/>
  <c r="AP31" i="31"/>
  <c r="AN31" i="31"/>
  <c r="AL31" i="31"/>
  <c r="M31" i="31"/>
  <c r="E31" i="31"/>
  <c r="AM31" i="31" s="1"/>
  <c r="T31" i="31"/>
  <c r="AS30" i="31"/>
  <c r="AR30" i="31"/>
  <c r="AQ30" i="31"/>
  <c r="AP30" i="31"/>
  <c r="AN30" i="31"/>
  <c r="AL30" i="31"/>
  <c r="M30" i="31"/>
  <c r="N30" i="31" s="1"/>
  <c r="E30" i="31"/>
  <c r="AM30" i="31" s="1"/>
  <c r="AK30" i="31"/>
  <c r="AS29" i="31"/>
  <c r="AR29" i="31"/>
  <c r="AQ29" i="31"/>
  <c r="AP29" i="31"/>
  <c r="AN29" i="31"/>
  <c r="AL29" i="31"/>
  <c r="M29" i="31"/>
  <c r="AU29" i="31" s="1"/>
  <c r="E29" i="31"/>
  <c r="AM29" i="31" s="1"/>
  <c r="T29" i="31"/>
  <c r="AS28" i="31"/>
  <c r="AR28" i="31"/>
  <c r="AQ28" i="31"/>
  <c r="AP28" i="31"/>
  <c r="AN28" i="31"/>
  <c r="AL28" i="31"/>
  <c r="M28" i="31"/>
  <c r="E28" i="31"/>
  <c r="AM28" i="31" s="1"/>
  <c r="A28" i="31"/>
  <c r="AS27" i="31"/>
  <c r="AR27" i="31"/>
  <c r="AQ27" i="31"/>
  <c r="AP27" i="31"/>
  <c r="AN27" i="31"/>
  <c r="AL27" i="31"/>
  <c r="T27" i="31"/>
  <c r="M27" i="31"/>
  <c r="AU27" i="31" s="1"/>
  <c r="E27" i="31"/>
  <c r="AM27" i="31" s="1"/>
  <c r="AK27" i="31"/>
  <c r="A27" i="31"/>
  <c r="AS26" i="31"/>
  <c r="AR26" i="31"/>
  <c r="AQ26" i="31"/>
  <c r="AP26" i="31"/>
  <c r="AN26" i="31"/>
  <c r="AL26" i="31"/>
  <c r="M26" i="31"/>
  <c r="AU26" i="31" s="1"/>
  <c r="E26" i="31"/>
  <c r="AM26" i="31" s="1"/>
  <c r="AS25" i="31"/>
  <c r="AR25" i="31"/>
  <c r="AQ25" i="31"/>
  <c r="AP25" i="31"/>
  <c r="AN25" i="31"/>
  <c r="AL25" i="31"/>
  <c r="AK25" i="31"/>
  <c r="M25" i="31"/>
  <c r="N25" i="31" s="1"/>
  <c r="E25" i="31"/>
  <c r="AM25" i="31" s="1"/>
  <c r="T25" i="31"/>
  <c r="AS24" i="31"/>
  <c r="AR24" i="31"/>
  <c r="AQ24" i="31"/>
  <c r="AP24" i="31"/>
  <c r="AN24" i="31"/>
  <c r="AL24" i="31"/>
  <c r="M24" i="31"/>
  <c r="AU24" i="31" s="1"/>
  <c r="E24" i="31"/>
  <c r="AM24" i="31" s="1"/>
  <c r="AK24" i="31"/>
  <c r="AS23" i="31"/>
  <c r="AR23" i="31"/>
  <c r="AQ23" i="31"/>
  <c r="AP23" i="31"/>
  <c r="AN23" i="31"/>
  <c r="AL23" i="31"/>
  <c r="M23" i="31"/>
  <c r="AU23" i="31" s="1"/>
  <c r="E23" i="31"/>
  <c r="AM23" i="31" s="1"/>
  <c r="T23" i="31"/>
  <c r="AS22" i="31"/>
  <c r="AR22" i="31"/>
  <c r="AQ22" i="31"/>
  <c r="AP22" i="31"/>
  <c r="AN22" i="31"/>
  <c r="AL22" i="31"/>
  <c r="M22" i="31"/>
  <c r="N22" i="31" s="1"/>
  <c r="E22" i="31"/>
  <c r="AM22" i="31" s="1"/>
  <c r="AK22" i="31"/>
  <c r="AS21" i="31"/>
  <c r="AR21" i="31"/>
  <c r="AQ21" i="31"/>
  <c r="AP21" i="31"/>
  <c r="AN21" i="31"/>
  <c r="AL21" i="31"/>
  <c r="M21" i="31"/>
  <c r="N21" i="31" s="1"/>
  <c r="E21" i="31"/>
  <c r="AM21" i="31" s="1"/>
  <c r="T21" i="31"/>
  <c r="AS20" i="31"/>
  <c r="AR20" i="31"/>
  <c r="AQ20" i="31"/>
  <c r="AP20" i="31"/>
  <c r="AN20" i="31"/>
  <c r="AL20" i="31"/>
  <c r="M20" i="31"/>
  <c r="E20" i="31"/>
  <c r="AM20" i="31" s="1"/>
  <c r="A20" i="31"/>
  <c r="AO17" i="31"/>
  <c r="G17" i="31"/>
  <c r="AS15" i="31"/>
  <c r="AR15" i="31"/>
  <c r="AQ15" i="31"/>
  <c r="AP15" i="31"/>
  <c r="AN15" i="31"/>
  <c r="AL15" i="31"/>
  <c r="T15" i="31"/>
  <c r="M15" i="31"/>
  <c r="AU15" i="31" s="1"/>
  <c r="E15" i="31"/>
  <c r="AM15" i="31" s="1"/>
  <c r="AS14" i="31"/>
  <c r="AR14" i="31"/>
  <c r="AQ14" i="31"/>
  <c r="AP14" i="31"/>
  <c r="AN14" i="31"/>
  <c r="AL14" i="31"/>
  <c r="T14" i="31"/>
  <c r="M14" i="31"/>
  <c r="AU14" i="31" s="1"/>
  <c r="E14" i="31"/>
  <c r="AM14" i="31" s="1"/>
  <c r="AS13" i="31"/>
  <c r="AR13" i="31"/>
  <c r="AQ13" i="31"/>
  <c r="AP13" i="31"/>
  <c r="AN13" i="31"/>
  <c r="AL13" i="31"/>
  <c r="T13" i="31"/>
  <c r="M13" i="31"/>
  <c r="AU13" i="31" s="1"/>
  <c r="E13" i="31"/>
  <c r="T12" i="31"/>
  <c r="H12" i="31"/>
  <c r="H17" i="31" s="1"/>
  <c r="F12" i="31"/>
  <c r="F17" i="31" s="1"/>
  <c r="D12" i="31"/>
  <c r="D17" i="31" s="1"/>
  <c r="AK4" i="31"/>
  <c r="T4" i="31"/>
  <c r="AO122" i="28"/>
  <c r="AN122" i="28"/>
  <c r="AP103" i="28"/>
  <c r="AM103" i="28"/>
  <c r="AP102" i="28"/>
  <c r="AM102" i="28"/>
  <c r="AO101" i="28"/>
  <c r="AN101" i="28"/>
  <c r="AL101" i="28"/>
  <c r="H95" i="28"/>
  <c r="AP95" i="28" s="1"/>
  <c r="E95" i="28"/>
  <c r="AM95" i="28" s="1"/>
  <c r="AP89" i="28"/>
  <c r="AM89" i="28"/>
  <c r="AP88" i="28"/>
  <c r="AM88" i="28"/>
  <c r="AP63" i="28"/>
  <c r="AM63" i="28"/>
  <c r="AO62" i="28"/>
  <c r="AN62" i="28"/>
  <c r="AL62" i="28"/>
  <c r="AP57" i="28"/>
  <c r="AM57" i="28"/>
  <c r="AP56" i="28"/>
  <c r="AM56" i="28"/>
  <c r="AO55" i="28"/>
  <c r="AN55" i="28"/>
  <c r="AL55" i="28"/>
  <c r="AP50" i="28"/>
  <c r="AM50" i="28"/>
  <c r="AP49" i="28"/>
  <c r="AM49" i="28"/>
  <c r="AO48" i="28"/>
  <c r="AN48" i="28"/>
  <c r="AP44" i="28"/>
  <c r="AM44" i="28"/>
  <c r="AP43" i="28"/>
  <c r="AM43" i="28"/>
  <c r="AO41" i="28"/>
  <c r="AN41" i="28"/>
  <c r="AL41" i="28"/>
  <c r="N32" i="28"/>
  <c r="AP31" i="28"/>
  <c r="AM31" i="28"/>
  <c r="AP30" i="28"/>
  <c r="AM30" i="28"/>
  <c r="AP29" i="28"/>
  <c r="AM29" i="28"/>
  <c r="AP28" i="28"/>
  <c r="AM28" i="28"/>
  <c r="AO27" i="28"/>
  <c r="AN27" i="28"/>
  <c r="AL27" i="28"/>
  <c r="AP16" i="28"/>
  <c r="AM16" i="28"/>
  <c r="AO15" i="28"/>
  <c r="AN15" i="28"/>
  <c r="AL15" i="28"/>
  <c r="AK15" i="28"/>
  <c r="AP15" i="28"/>
  <c r="AM15" i="28"/>
  <c r="AO14" i="28"/>
  <c r="AN14" i="28"/>
  <c r="AL14" i="28"/>
  <c r="AK14" i="28"/>
  <c r="AP14" i="28"/>
  <c r="AM14" i="28"/>
  <c r="AK13" i="28"/>
  <c r="T13" i="28"/>
  <c r="AV8" i="28"/>
  <c r="AU8" i="28"/>
  <c r="AS8" i="28"/>
  <c r="AR8" i="28"/>
  <c r="AP8" i="28"/>
  <c r="AO8" i="28"/>
  <c r="AN8" i="28"/>
  <c r="AU7" i="28"/>
  <c r="AR7" i="28"/>
  <c r="AL7" i="28"/>
  <c r="T64" i="27"/>
  <c r="T63" i="27"/>
  <c r="T62" i="27"/>
  <c r="T61" i="27"/>
  <c r="T60" i="27"/>
  <c r="T59" i="27"/>
  <c r="T58" i="27"/>
  <c r="T57" i="27"/>
  <c r="AO56" i="27"/>
  <c r="T56" i="27"/>
  <c r="G56" i="27"/>
  <c r="T55" i="27"/>
  <c r="T54" i="27"/>
  <c r="T53" i="27"/>
  <c r="T52" i="27"/>
  <c r="T51" i="27"/>
  <c r="T50" i="27"/>
  <c r="T49" i="27"/>
  <c r="AO48" i="27"/>
  <c r="T48" i="27"/>
  <c r="G48" i="27"/>
  <c r="T47" i="27"/>
  <c r="T46" i="27"/>
  <c r="T45" i="27"/>
  <c r="AO44" i="27"/>
  <c r="T44" i="27"/>
  <c r="G44" i="27"/>
  <c r="AR39" i="27"/>
  <c r="AP39" i="27"/>
  <c r="AL39" i="27"/>
  <c r="AK39" i="27"/>
  <c r="AS39" i="27"/>
  <c r="AQ39" i="27"/>
  <c r="T39" i="27"/>
  <c r="AP38" i="27"/>
  <c r="AS38" i="27"/>
  <c r="AR38" i="27"/>
  <c r="AQ38" i="27"/>
  <c r="AP37" i="27"/>
  <c r="AL37" i="27"/>
  <c r="AS37" i="27"/>
  <c r="AR37" i="27"/>
  <c r="AQ37" i="27"/>
  <c r="T37" i="27"/>
  <c r="AL36" i="27"/>
  <c r="AS36" i="27"/>
  <c r="AR36" i="27"/>
  <c r="AQ36" i="27"/>
  <c r="AP36" i="27"/>
  <c r="AK35" i="27"/>
  <c r="AS35" i="27"/>
  <c r="AR35" i="27"/>
  <c r="AQ35" i="27"/>
  <c r="AP35" i="27"/>
  <c r="T35" i="27"/>
  <c r="T33" i="27"/>
  <c r="AK32" i="27"/>
  <c r="A31" i="27"/>
  <c r="A30" i="27"/>
  <c r="T29" i="27"/>
  <c r="A28" i="27"/>
  <c r="T27" i="27"/>
  <c r="T25" i="27"/>
  <c r="AK24" i="27"/>
  <c r="AK23" i="27"/>
  <c r="A22" i="27"/>
  <c r="T21" i="27"/>
  <c r="A20" i="27"/>
  <c r="AO17" i="27"/>
  <c r="G17" i="27"/>
  <c r="T15" i="27"/>
  <c r="T14" i="27"/>
  <c r="AS13" i="27"/>
  <c r="AR13" i="27"/>
  <c r="AQ13" i="27"/>
  <c r="AP13" i="27"/>
  <c r="AN13" i="27"/>
  <c r="AL13" i="27"/>
  <c r="T13" i="27"/>
  <c r="M13" i="27"/>
  <c r="E13" i="27"/>
  <c r="T12" i="27"/>
  <c r="T4" i="27"/>
  <c r="AK4" i="27"/>
  <c r="AS122" i="24"/>
  <c r="AO122" i="24"/>
  <c r="AN122" i="24"/>
  <c r="AP103" i="24"/>
  <c r="AM103" i="24"/>
  <c r="AP102" i="24"/>
  <c r="AM102" i="24"/>
  <c r="AS101" i="24"/>
  <c r="AR101" i="24"/>
  <c r="AO101" i="24"/>
  <c r="AN101" i="24"/>
  <c r="AL101" i="24"/>
  <c r="H95" i="24"/>
  <c r="AP95" i="24" s="1"/>
  <c r="E95" i="24"/>
  <c r="AM95" i="24" s="1"/>
  <c r="AP89" i="24"/>
  <c r="AM89" i="24"/>
  <c r="AP88" i="24"/>
  <c r="AM88" i="24"/>
  <c r="AP63" i="24"/>
  <c r="AM63" i="24"/>
  <c r="AU62" i="24"/>
  <c r="AS62" i="24"/>
  <c r="AR62" i="24"/>
  <c r="AO62" i="24"/>
  <c r="AN62" i="24"/>
  <c r="AL62" i="24"/>
  <c r="AP57" i="24"/>
  <c r="AM57" i="24"/>
  <c r="AP56" i="24"/>
  <c r="AM56" i="24"/>
  <c r="AU55" i="24"/>
  <c r="AS55" i="24"/>
  <c r="AR55" i="24"/>
  <c r="AO55" i="24"/>
  <c r="AN55" i="24"/>
  <c r="AL55" i="24"/>
  <c r="AP50" i="24"/>
  <c r="AM50" i="24"/>
  <c r="AP49" i="24"/>
  <c r="AM49" i="24"/>
  <c r="AU48" i="24"/>
  <c r="AS48" i="24"/>
  <c r="AR48" i="24"/>
  <c r="AO48" i="24"/>
  <c r="AN48" i="24"/>
  <c r="AP44" i="24"/>
  <c r="AM44" i="24"/>
  <c r="AP43" i="24"/>
  <c r="AM43" i="24"/>
  <c r="AU41" i="24"/>
  <c r="AS41" i="24"/>
  <c r="AR41" i="24"/>
  <c r="AO41" i="24"/>
  <c r="AN41" i="24"/>
  <c r="AL41" i="24"/>
  <c r="N32" i="24"/>
  <c r="AP31" i="24"/>
  <c r="AM31" i="24"/>
  <c r="AP30" i="24"/>
  <c r="AM30" i="24"/>
  <c r="AP29" i="24"/>
  <c r="AM29" i="24"/>
  <c r="AP28" i="24"/>
  <c r="AM28" i="24"/>
  <c r="AU27" i="24"/>
  <c r="AS27" i="24"/>
  <c r="AR27" i="24"/>
  <c r="AO27" i="24"/>
  <c r="AN27" i="24"/>
  <c r="AL27" i="24"/>
  <c r="AP16" i="24"/>
  <c r="AM16" i="24"/>
  <c r="AU15" i="24"/>
  <c r="AS15" i="24"/>
  <c r="AR15" i="24"/>
  <c r="AO15" i="24"/>
  <c r="AN15" i="24"/>
  <c r="AL15" i="24"/>
  <c r="AK15" i="24"/>
  <c r="AP15" i="24"/>
  <c r="AM15" i="24"/>
  <c r="AU14" i="24"/>
  <c r="AS14" i="24"/>
  <c r="AR14" i="24"/>
  <c r="AO14" i="24"/>
  <c r="AN14" i="24"/>
  <c r="AL14" i="24"/>
  <c r="AK14" i="24"/>
  <c r="AP14" i="24"/>
  <c r="AM14" i="24"/>
  <c r="AK13" i="24"/>
  <c r="T13" i="24"/>
  <c r="AV8" i="24"/>
  <c r="AU8" i="24"/>
  <c r="AS8" i="24"/>
  <c r="AR8" i="24"/>
  <c r="AP8" i="24"/>
  <c r="AO8" i="24"/>
  <c r="AN8" i="24"/>
  <c r="AU7" i="24"/>
  <c r="AR7" i="24"/>
  <c r="AL7" i="24"/>
  <c r="T4" i="24"/>
  <c r="AS64" i="23"/>
  <c r="AR64" i="23"/>
  <c r="AQ64" i="23"/>
  <c r="AP64" i="23"/>
  <c r="AN64" i="23"/>
  <c r="AL64" i="23"/>
  <c r="T64" i="23"/>
  <c r="M64" i="23"/>
  <c r="AU64" i="23" s="1"/>
  <c r="E64" i="23"/>
  <c r="AM64" i="23" s="1"/>
  <c r="AS63" i="23"/>
  <c r="AR63" i="23"/>
  <c r="AQ63" i="23"/>
  <c r="AP63" i="23"/>
  <c r="AN63" i="23"/>
  <c r="AL63" i="23"/>
  <c r="T63" i="23"/>
  <c r="M63" i="23"/>
  <c r="E63" i="23"/>
  <c r="AM63" i="23" s="1"/>
  <c r="AS62" i="23"/>
  <c r="AR62" i="23"/>
  <c r="AQ62" i="23"/>
  <c r="AP62" i="23"/>
  <c r="AN62" i="23"/>
  <c r="AL62" i="23"/>
  <c r="T62" i="23"/>
  <c r="M62" i="23"/>
  <c r="N62" i="23" s="1"/>
  <c r="E62" i="23"/>
  <c r="AM62" i="23" s="1"/>
  <c r="AS61" i="23"/>
  <c r="AR61" i="23"/>
  <c r="AQ61" i="23"/>
  <c r="AP61" i="23"/>
  <c r="AN61" i="23"/>
  <c r="AL61" i="23"/>
  <c r="T61" i="23"/>
  <c r="M61" i="23"/>
  <c r="E61" i="23"/>
  <c r="AM61" i="23" s="1"/>
  <c r="AS60" i="23"/>
  <c r="AR60" i="23"/>
  <c r="AQ60" i="23"/>
  <c r="AP60" i="23"/>
  <c r="AN60" i="23"/>
  <c r="AL60" i="23"/>
  <c r="T60" i="23"/>
  <c r="M60" i="23"/>
  <c r="N60" i="23" s="1"/>
  <c r="E60" i="23"/>
  <c r="AM60" i="23" s="1"/>
  <c r="AS59" i="23"/>
  <c r="AR59" i="23"/>
  <c r="AQ59" i="23"/>
  <c r="AP59" i="23"/>
  <c r="AN59" i="23"/>
  <c r="AL59" i="23"/>
  <c r="T59" i="23"/>
  <c r="M59" i="23"/>
  <c r="E59" i="23"/>
  <c r="AM59" i="23" s="1"/>
  <c r="AS58" i="23"/>
  <c r="T58" i="23"/>
  <c r="AS57" i="23"/>
  <c r="AR57" i="23"/>
  <c r="AQ57" i="23"/>
  <c r="AP57" i="23"/>
  <c r="AN57" i="23"/>
  <c r="AL57" i="23"/>
  <c r="T57" i="23"/>
  <c r="M57" i="23"/>
  <c r="E57" i="23"/>
  <c r="AM57" i="23" s="1"/>
  <c r="AO56" i="23"/>
  <c r="T56" i="23"/>
  <c r="G56" i="23"/>
  <c r="AS55" i="23"/>
  <c r="AR55" i="23"/>
  <c r="AQ55" i="23"/>
  <c r="AP55" i="23"/>
  <c r="AN55" i="23"/>
  <c r="AL55" i="23"/>
  <c r="T55" i="23"/>
  <c r="M55" i="23"/>
  <c r="E55" i="23"/>
  <c r="AM55" i="23" s="1"/>
  <c r="AS54" i="23"/>
  <c r="AR54" i="23"/>
  <c r="AQ54" i="23"/>
  <c r="AP54" i="23"/>
  <c r="AN54" i="23"/>
  <c r="AL54" i="23"/>
  <c r="T54" i="23"/>
  <c r="M54" i="23"/>
  <c r="N54" i="23" s="1"/>
  <c r="E54" i="23"/>
  <c r="AM54" i="23" s="1"/>
  <c r="AS53" i="23"/>
  <c r="AR53" i="23"/>
  <c r="AQ53" i="23"/>
  <c r="AP53" i="23"/>
  <c r="AN53" i="23"/>
  <c r="AL53" i="23"/>
  <c r="T53" i="23"/>
  <c r="M53" i="23"/>
  <c r="E53" i="23"/>
  <c r="AM53" i="23" s="1"/>
  <c r="AS52" i="23"/>
  <c r="AR52" i="23"/>
  <c r="AQ52" i="23"/>
  <c r="AP52" i="23"/>
  <c r="AN52" i="23"/>
  <c r="AL52" i="23"/>
  <c r="T52" i="23"/>
  <c r="M52" i="23"/>
  <c r="AU52" i="23" s="1"/>
  <c r="E52" i="23"/>
  <c r="AM52" i="23" s="1"/>
  <c r="AS51" i="23"/>
  <c r="AR51" i="23"/>
  <c r="AQ51" i="23"/>
  <c r="AP51" i="23"/>
  <c r="AN51" i="23"/>
  <c r="AL51" i="23"/>
  <c r="T51" i="23"/>
  <c r="M51" i="23"/>
  <c r="E51" i="23"/>
  <c r="AM51" i="23" s="1"/>
  <c r="AS50" i="23"/>
  <c r="AR50" i="23"/>
  <c r="AQ50" i="23"/>
  <c r="AP50" i="23"/>
  <c r="AN50" i="23"/>
  <c r="AL50" i="23"/>
  <c r="T50" i="23"/>
  <c r="M50" i="23"/>
  <c r="AU50" i="23" s="1"/>
  <c r="E50" i="23"/>
  <c r="AM50" i="23" s="1"/>
  <c r="AS49" i="23"/>
  <c r="AR49" i="23"/>
  <c r="AQ49" i="23"/>
  <c r="AP49" i="23"/>
  <c r="AN49" i="23"/>
  <c r="AL49" i="23"/>
  <c r="T49" i="23"/>
  <c r="M49" i="23"/>
  <c r="E49" i="23"/>
  <c r="AM49" i="23" s="1"/>
  <c r="AO48" i="23"/>
  <c r="T48" i="23"/>
  <c r="H48" i="23"/>
  <c r="G48" i="23"/>
  <c r="F48" i="23"/>
  <c r="D48" i="23"/>
  <c r="AS47" i="23"/>
  <c r="AR47" i="23"/>
  <c r="AQ47" i="23"/>
  <c r="AP47" i="23"/>
  <c r="AN47" i="23"/>
  <c r="AL47" i="23"/>
  <c r="T47" i="23"/>
  <c r="M47" i="23"/>
  <c r="E47" i="23"/>
  <c r="AM47" i="23" s="1"/>
  <c r="AS46" i="23"/>
  <c r="AR46" i="23"/>
  <c r="AQ46" i="23"/>
  <c r="AP46" i="23"/>
  <c r="AN46" i="23"/>
  <c r="AL46" i="23"/>
  <c r="T46" i="23"/>
  <c r="M46" i="23"/>
  <c r="AU46" i="23" s="1"/>
  <c r="E46" i="23"/>
  <c r="AM46" i="23" s="1"/>
  <c r="AS45" i="23"/>
  <c r="AR45" i="23"/>
  <c r="AQ45" i="23"/>
  <c r="AP45" i="23"/>
  <c r="AN45" i="23"/>
  <c r="AL45" i="23"/>
  <c r="T45" i="23"/>
  <c r="M45" i="23"/>
  <c r="E45" i="23"/>
  <c r="AM45" i="23" s="1"/>
  <c r="AO44" i="23"/>
  <c r="T44" i="23"/>
  <c r="H44" i="23"/>
  <c r="G44" i="23"/>
  <c r="F44" i="23"/>
  <c r="D44" i="23"/>
  <c r="F41" i="23"/>
  <c r="AQ39" i="23"/>
  <c r="AP39" i="23"/>
  <c r="AN39" i="23"/>
  <c r="AS39" i="23"/>
  <c r="AR39" i="23"/>
  <c r="AK39" i="23"/>
  <c r="AS38" i="23"/>
  <c r="AN38" i="23"/>
  <c r="AR38" i="23"/>
  <c r="AQ38" i="23"/>
  <c r="M38" i="23"/>
  <c r="N38" i="23" s="1"/>
  <c r="AL38" i="23"/>
  <c r="T38" i="23"/>
  <c r="AQ37" i="23"/>
  <c r="AN37" i="23"/>
  <c r="AR37" i="23"/>
  <c r="AP37" i="23"/>
  <c r="AK37" i="23"/>
  <c r="AN36" i="23"/>
  <c r="AS36" i="23"/>
  <c r="AR36" i="23"/>
  <c r="AQ36" i="23"/>
  <c r="E36" i="23"/>
  <c r="T36" i="23"/>
  <c r="AR35" i="23"/>
  <c r="AN35" i="23"/>
  <c r="AS35" i="23"/>
  <c r="AQ35" i="23"/>
  <c r="AP35" i="23"/>
  <c r="AK35" i="23"/>
  <c r="AS34" i="23"/>
  <c r="AN34" i="23"/>
  <c r="AR34" i="23"/>
  <c r="AQ34" i="23"/>
  <c r="H41" i="23"/>
  <c r="E34" i="23"/>
  <c r="T34" i="23"/>
  <c r="AS33" i="23"/>
  <c r="AR33" i="23"/>
  <c r="AQ33" i="23"/>
  <c r="AP33" i="23"/>
  <c r="AN33" i="23"/>
  <c r="AL33" i="23"/>
  <c r="M33" i="23"/>
  <c r="N33" i="23" s="1"/>
  <c r="E33" i="23"/>
  <c r="AM33" i="23" s="1"/>
  <c r="AS32" i="23"/>
  <c r="AR32" i="23"/>
  <c r="AQ32" i="23"/>
  <c r="AP32" i="23"/>
  <c r="AN32" i="23"/>
  <c r="AL32" i="23"/>
  <c r="M32" i="23"/>
  <c r="AU32" i="23" s="1"/>
  <c r="E32" i="23"/>
  <c r="AM32" i="23" s="1"/>
  <c r="A32" i="23"/>
  <c r="AS31" i="23"/>
  <c r="AR31" i="23"/>
  <c r="AQ31" i="23"/>
  <c r="AP31" i="23"/>
  <c r="AN31" i="23"/>
  <c r="AL31" i="23"/>
  <c r="M31" i="23"/>
  <c r="E31" i="23"/>
  <c r="AM31" i="23" s="1"/>
  <c r="AK31" i="23"/>
  <c r="AS30" i="23"/>
  <c r="AR30" i="23"/>
  <c r="AQ30" i="23"/>
  <c r="AP30" i="23"/>
  <c r="AN30" i="23"/>
  <c r="AL30" i="23"/>
  <c r="M30" i="23"/>
  <c r="N30" i="23" s="1"/>
  <c r="E30" i="23"/>
  <c r="AM30" i="23" s="1"/>
  <c r="AK30" i="23"/>
  <c r="AS29" i="23"/>
  <c r="AR29" i="23"/>
  <c r="AQ29" i="23"/>
  <c r="AP29" i="23"/>
  <c r="AN29" i="23"/>
  <c r="AL29" i="23"/>
  <c r="M29" i="23"/>
  <c r="AU29" i="23" s="1"/>
  <c r="E29" i="23"/>
  <c r="AM29" i="23" s="1"/>
  <c r="AS28" i="23"/>
  <c r="AR28" i="23"/>
  <c r="AQ28" i="23"/>
  <c r="AP28" i="23"/>
  <c r="AN28" i="23"/>
  <c r="AL28" i="23"/>
  <c r="M28" i="23"/>
  <c r="N28" i="23" s="1"/>
  <c r="E28" i="23"/>
  <c r="AM28" i="23" s="1"/>
  <c r="AK28" i="23"/>
  <c r="AS27" i="23"/>
  <c r="AR27" i="23"/>
  <c r="AQ27" i="23"/>
  <c r="AP27" i="23"/>
  <c r="AN27" i="23"/>
  <c r="AL27" i="23"/>
  <c r="M27" i="23"/>
  <c r="AU27" i="23" s="1"/>
  <c r="E27" i="23"/>
  <c r="AM27" i="23" s="1"/>
  <c r="A27" i="23"/>
  <c r="AS26" i="23"/>
  <c r="AR26" i="23"/>
  <c r="AQ26" i="23"/>
  <c r="AP26" i="23"/>
  <c r="AN26" i="23"/>
  <c r="AL26" i="23"/>
  <c r="M26" i="23"/>
  <c r="N26" i="23" s="1"/>
  <c r="E26" i="23"/>
  <c r="AM26" i="23" s="1"/>
  <c r="A26" i="23"/>
  <c r="AS25" i="23"/>
  <c r="AR25" i="23"/>
  <c r="AQ25" i="23"/>
  <c r="AP25" i="23"/>
  <c r="AN25" i="23"/>
  <c r="AL25" i="23"/>
  <c r="M25" i="23"/>
  <c r="N25" i="23" s="1"/>
  <c r="E25" i="23"/>
  <c r="AM25" i="23" s="1"/>
  <c r="AS24" i="23"/>
  <c r="AR24" i="23"/>
  <c r="AQ24" i="23"/>
  <c r="AP24" i="23"/>
  <c r="AN24" i="23"/>
  <c r="AL24" i="23"/>
  <c r="M24" i="23"/>
  <c r="AU24" i="23" s="1"/>
  <c r="E24" i="23"/>
  <c r="AM24" i="23" s="1"/>
  <c r="A24" i="23"/>
  <c r="AS23" i="23"/>
  <c r="AR23" i="23"/>
  <c r="AQ23" i="23"/>
  <c r="AP23" i="23"/>
  <c r="AN23" i="23"/>
  <c r="AL23" i="23"/>
  <c r="M23" i="23"/>
  <c r="E23" i="23"/>
  <c r="AM23" i="23" s="1"/>
  <c r="AK23" i="23"/>
  <c r="AS22" i="23"/>
  <c r="AR22" i="23"/>
  <c r="AQ22" i="23"/>
  <c r="AP22" i="23"/>
  <c r="AN22" i="23"/>
  <c r="AL22" i="23"/>
  <c r="M22" i="23"/>
  <c r="AU22" i="23" s="1"/>
  <c r="E22" i="23"/>
  <c r="AS21" i="23"/>
  <c r="AR21" i="23"/>
  <c r="AQ21" i="23"/>
  <c r="AP21" i="23"/>
  <c r="AN21" i="23"/>
  <c r="AL21" i="23"/>
  <c r="M21" i="23"/>
  <c r="AU21" i="23" s="1"/>
  <c r="E21" i="23"/>
  <c r="AM21" i="23" s="1"/>
  <c r="AS20" i="23"/>
  <c r="AR20" i="23"/>
  <c r="AQ20" i="23"/>
  <c r="AP20" i="23"/>
  <c r="AN20" i="23"/>
  <c r="AL20" i="23"/>
  <c r="M20" i="23"/>
  <c r="N20" i="23" s="1"/>
  <c r="E20" i="23"/>
  <c r="AM20" i="23" s="1"/>
  <c r="A20" i="23"/>
  <c r="AO17" i="23"/>
  <c r="G17" i="23"/>
  <c r="AS15" i="23"/>
  <c r="AR15" i="23"/>
  <c r="AQ15" i="23"/>
  <c r="AP15" i="23"/>
  <c r="AN15" i="23"/>
  <c r="AL15" i="23"/>
  <c r="T15" i="23"/>
  <c r="M15" i="23"/>
  <c r="AU15" i="23" s="1"/>
  <c r="E15" i="23"/>
  <c r="AM15" i="23" s="1"/>
  <c r="AS14" i="23"/>
  <c r="AR14" i="23"/>
  <c r="AQ14" i="23"/>
  <c r="AP14" i="23"/>
  <c r="AN14" i="23"/>
  <c r="AL14" i="23"/>
  <c r="T14" i="23"/>
  <c r="M14" i="23"/>
  <c r="N14" i="23" s="1"/>
  <c r="E14" i="23"/>
  <c r="AM14" i="23" s="1"/>
  <c r="AS13" i="23"/>
  <c r="AR13" i="23"/>
  <c r="AQ13" i="23"/>
  <c r="AP13" i="23"/>
  <c r="AN13" i="23"/>
  <c r="AL13" i="23"/>
  <c r="T13" i="23"/>
  <c r="M13" i="23"/>
  <c r="AU13" i="23" s="1"/>
  <c r="E13" i="23"/>
  <c r="AM13" i="23" s="1"/>
  <c r="T12" i="23"/>
  <c r="H12" i="23"/>
  <c r="H17" i="23" s="1"/>
  <c r="F12" i="23"/>
  <c r="F17" i="23" s="1"/>
  <c r="D12" i="23"/>
  <c r="D17" i="23" s="1"/>
  <c r="AK4" i="23"/>
  <c r="AO122" i="20"/>
  <c r="AN122" i="20"/>
  <c r="AP103" i="20"/>
  <c r="AM103" i="20"/>
  <c r="AP102" i="20"/>
  <c r="AM102" i="20"/>
  <c r="AO101" i="20"/>
  <c r="AN101" i="20"/>
  <c r="AL101" i="20"/>
  <c r="H95" i="20"/>
  <c r="AP95" i="20" s="1"/>
  <c r="E95" i="20"/>
  <c r="AM95" i="20" s="1"/>
  <c r="AP89" i="20"/>
  <c r="AM89" i="20"/>
  <c r="AP88" i="20"/>
  <c r="AM88" i="20"/>
  <c r="AP63" i="20"/>
  <c r="AM63" i="20"/>
  <c r="AO62" i="20"/>
  <c r="AN62" i="20"/>
  <c r="AL62" i="20"/>
  <c r="AP57" i="20"/>
  <c r="AM57" i="20"/>
  <c r="AP56" i="20"/>
  <c r="AM56" i="20"/>
  <c r="AO55" i="20"/>
  <c r="AN55" i="20"/>
  <c r="AL55" i="20"/>
  <c r="AP50" i="20"/>
  <c r="AM50" i="20"/>
  <c r="AP49" i="20"/>
  <c r="AM49" i="20"/>
  <c r="AO48" i="20"/>
  <c r="AN48" i="20"/>
  <c r="AP44" i="20"/>
  <c r="AM44" i="20"/>
  <c r="AP43" i="20"/>
  <c r="AM43" i="20"/>
  <c r="AO41" i="20"/>
  <c r="AN41" i="20"/>
  <c r="AL41" i="20"/>
  <c r="N32" i="20"/>
  <c r="AP31" i="20"/>
  <c r="AM31" i="20"/>
  <c r="AP30" i="20"/>
  <c r="AM30" i="20"/>
  <c r="AP29" i="20"/>
  <c r="AM29" i="20"/>
  <c r="AP28" i="20"/>
  <c r="AM28" i="20"/>
  <c r="AO27" i="20"/>
  <c r="AN27" i="20"/>
  <c r="AL27" i="20"/>
  <c r="AP16" i="20"/>
  <c r="AM16" i="20"/>
  <c r="AO15" i="20"/>
  <c r="AN15" i="20"/>
  <c r="AL15" i="20"/>
  <c r="AK15" i="20"/>
  <c r="AM15" i="20"/>
  <c r="AO14" i="20"/>
  <c r="AN14" i="20"/>
  <c r="AL14" i="20"/>
  <c r="AK14" i="20"/>
  <c r="AP14" i="20"/>
  <c r="AK13" i="20"/>
  <c r="T13" i="20"/>
  <c r="AV8" i="20"/>
  <c r="AU8" i="20"/>
  <c r="AS8" i="20"/>
  <c r="AR8" i="20"/>
  <c r="AP8" i="20"/>
  <c r="AO8" i="20"/>
  <c r="AN8" i="20"/>
  <c r="AU7" i="20"/>
  <c r="AR7" i="20"/>
  <c r="AL7" i="20"/>
  <c r="T4" i="20"/>
  <c r="T64" i="19"/>
  <c r="T63" i="19"/>
  <c r="T62" i="19"/>
  <c r="T61" i="19"/>
  <c r="T60" i="19"/>
  <c r="T59" i="19"/>
  <c r="T58" i="19"/>
  <c r="T57" i="19"/>
  <c r="AO56" i="19"/>
  <c r="T56" i="19"/>
  <c r="G56" i="19"/>
  <c r="T55" i="19"/>
  <c r="T54" i="19"/>
  <c r="T53" i="19"/>
  <c r="T52" i="19"/>
  <c r="T51" i="19"/>
  <c r="T50" i="19"/>
  <c r="T49" i="19"/>
  <c r="AO48" i="19"/>
  <c r="T48" i="19"/>
  <c r="G48" i="19"/>
  <c r="T47" i="19"/>
  <c r="T46" i="19"/>
  <c r="T45" i="19"/>
  <c r="AO44" i="19"/>
  <c r="T44" i="19"/>
  <c r="G44" i="19"/>
  <c r="AQ39" i="19"/>
  <c r="AL39" i="19"/>
  <c r="AS39" i="19"/>
  <c r="AR39" i="19"/>
  <c r="AP39" i="19"/>
  <c r="AK39" i="19"/>
  <c r="AQ38" i="19"/>
  <c r="AS38" i="19"/>
  <c r="AR38" i="19"/>
  <c r="M38" i="19"/>
  <c r="AS37" i="19"/>
  <c r="AQ37" i="19"/>
  <c r="AR37" i="19"/>
  <c r="AP37" i="19"/>
  <c r="AL37" i="19"/>
  <c r="AK37" i="19"/>
  <c r="AQ36" i="19"/>
  <c r="AS36" i="19"/>
  <c r="AR36" i="19"/>
  <c r="M36" i="19"/>
  <c r="AK36" i="19"/>
  <c r="AS35" i="19"/>
  <c r="AL35" i="19"/>
  <c r="AR35" i="19"/>
  <c r="AQ35" i="19"/>
  <c r="AP35" i="19"/>
  <c r="AK35" i="19"/>
  <c r="T34" i="19"/>
  <c r="A33" i="19"/>
  <c r="T31" i="19"/>
  <c r="T29" i="19"/>
  <c r="T28" i="19"/>
  <c r="AK27" i="19"/>
  <c r="T26" i="19"/>
  <c r="AK25" i="19"/>
  <c r="T25" i="19"/>
  <c r="A25" i="19"/>
  <c r="T22" i="19"/>
  <c r="T21" i="19"/>
  <c r="T20" i="19"/>
  <c r="AO17" i="19"/>
  <c r="G17" i="19"/>
  <c r="T15" i="19"/>
  <c r="T14" i="19"/>
  <c r="AS13" i="19"/>
  <c r="AR13" i="19"/>
  <c r="AQ13" i="19"/>
  <c r="AP13" i="19"/>
  <c r="AN13" i="19"/>
  <c r="AL13" i="19"/>
  <c r="T13" i="19"/>
  <c r="M13" i="19"/>
  <c r="N13" i="19" s="1"/>
  <c r="E13" i="19"/>
  <c r="T12" i="19"/>
  <c r="AK4" i="19"/>
  <c r="AO122" i="16"/>
  <c r="AN122" i="16"/>
  <c r="AP103" i="16"/>
  <c r="AM103" i="16"/>
  <c r="AP102" i="16"/>
  <c r="AM102" i="16"/>
  <c r="AO101" i="16"/>
  <c r="AN101" i="16"/>
  <c r="AL101" i="16"/>
  <c r="H95" i="16"/>
  <c r="AP95" i="16" s="1"/>
  <c r="E95" i="16"/>
  <c r="AM95" i="16" s="1"/>
  <c r="AP89" i="16"/>
  <c r="AM89" i="16"/>
  <c r="AP88" i="16"/>
  <c r="AM88" i="16"/>
  <c r="AP63" i="16"/>
  <c r="AM63" i="16"/>
  <c r="AO62" i="16"/>
  <c r="AN62" i="16"/>
  <c r="AL62" i="16"/>
  <c r="AP57" i="16"/>
  <c r="AM57" i="16"/>
  <c r="AP56" i="16"/>
  <c r="AM56" i="16"/>
  <c r="AO55" i="16"/>
  <c r="AN55" i="16"/>
  <c r="AL55" i="16"/>
  <c r="AP50" i="16"/>
  <c r="AM50" i="16"/>
  <c r="AP49" i="16"/>
  <c r="AM49" i="16"/>
  <c r="AO48" i="16"/>
  <c r="AN48" i="16"/>
  <c r="AP44" i="16"/>
  <c r="AM44" i="16"/>
  <c r="AP43" i="16"/>
  <c r="AM43" i="16"/>
  <c r="AO41" i="16"/>
  <c r="AN41" i="16"/>
  <c r="AL41" i="16"/>
  <c r="N32" i="16"/>
  <c r="AP31" i="16"/>
  <c r="AM31" i="16"/>
  <c r="AP30" i="16"/>
  <c r="AM30" i="16"/>
  <c r="AP29" i="16"/>
  <c r="AM29" i="16"/>
  <c r="AP28" i="16"/>
  <c r="AM28" i="16"/>
  <c r="AO27" i="16"/>
  <c r="AN27" i="16"/>
  <c r="AL27" i="16"/>
  <c r="AP16" i="16"/>
  <c r="AM16" i="16"/>
  <c r="AO15" i="16"/>
  <c r="AN15" i="16"/>
  <c r="AL15" i="16"/>
  <c r="AK15" i="16"/>
  <c r="AM15" i="16"/>
  <c r="AO14" i="16"/>
  <c r="AN14" i="16"/>
  <c r="AL14" i="16"/>
  <c r="AK14" i="16"/>
  <c r="AP14" i="16"/>
  <c r="AK13" i="16"/>
  <c r="T13" i="16"/>
  <c r="AV8" i="16"/>
  <c r="AU8" i="16"/>
  <c r="AS8" i="16"/>
  <c r="AR8" i="16"/>
  <c r="AP8" i="16"/>
  <c r="AO8" i="16"/>
  <c r="AN8" i="16"/>
  <c r="AU7" i="16"/>
  <c r="AR7" i="16"/>
  <c r="AL7" i="16"/>
  <c r="AK4" i="16"/>
  <c r="T64" i="15"/>
  <c r="T63" i="15"/>
  <c r="T62" i="15"/>
  <c r="T61" i="15"/>
  <c r="T60" i="15"/>
  <c r="T59" i="15"/>
  <c r="T58" i="15"/>
  <c r="T57" i="15"/>
  <c r="AO56" i="15"/>
  <c r="T56" i="15"/>
  <c r="G56" i="15"/>
  <c r="T55" i="15"/>
  <c r="T54" i="15"/>
  <c r="T53" i="15"/>
  <c r="T52" i="15"/>
  <c r="T51" i="15"/>
  <c r="T50" i="15"/>
  <c r="T49" i="15"/>
  <c r="AO48" i="15"/>
  <c r="T48" i="15"/>
  <c r="G48" i="15"/>
  <c r="T47" i="15"/>
  <c r="T46" i="15"/>
  <c r="T45" i="15"/>
  <c r="AO44" i="15"/>
  <c r="T44" i="15"/>
  <c r="G44" i="15"/>
  <c r="AS39" i="15"/>
  <c r="AR39" i="15"/>
  <c r="AQ39" i="15"/>
  <c r="AP39" i="15"/>
  <c r="AK39" i="15"/>
  <c r="AS38" i="15"/>
  <c r="AR38" i="15"/>
  <c r="AQ38" i="15"/>
  <c r="AK38" i="15"/>
  <c r="AQ37" i="15"/>
  <c r="AS37" i="15"/>
  <c r="AR37" i="15"/>
  <c r="AP37" i="15"/>
  <c r="AK37" i="15"/>
  <c r="AQ36" i="15"/>
  <c r="T36" i="15"/>
  <c r="AS36" i="15"/>
  <c r="AR36" i="15"/>
  <c r="AK36" i="15"/>
  <c r="A36" i="15"/>
  <c r="AQ35" i="15"/>
  <c r="AS35" i="15"/>
  <c r="AR35" i="15"/>
  <c r="AP35" i="15"/>
  <c r="AK35" i="15"/>
  <c r="AK34" i="15"/>
  <c r="T33" i="15"/>
  <c r="T32" i="15"/>
  <c r="T31" i="15"/>
  <c r="T30" i="15"/>
  <c r="AK29" i="15"/>
  <c r="T28" i="15"/>
  <c r="A27" i="15"/>
  <c r="T26" i="15"/>
  <c r="A26" i="15"/>
  <c r="T25" i="15"/>
  <c r="T24" i="15"/>
  <c r="T23" i="15"/>
  <c r="T22" i="15"/>
  <c r="AK21" i="15"/>
  <c r="T20" i="15"/>
  <c r="AO17" i="15"/>
  <c r="G17" i="15"/>
  <c r="T15" i="15"/>
  <c r="T14" i="15"/>
  <c r="AS13" i="15"/>
  <c r="AR13" i="15"/>
  <c r="AQ13" i="15"/>
  <c r="AP13" i="15"/>
  <c r="AN13" i="15"/>
  <c r="AL13" i="15"/>
  <c r="T13" i="15"/>
  <c r="M13" i="15"/>
  <c r="N13" i="15" s="1"/>
  <c r="E13" i="15"/>
  <c r="AM13" i="15" s="1"/>
  <c r="T12" i="15"/>
  <c r="T4" i="15"/>
  <c r="AO122" i="12"/>
  <c r="AN122" i="12"/>
  <c r="AP103" i="12"/>
  <c r="AM103" i="12"/>
  <c r="AP102" i="12"/>
  <c r="AM102" i="12"/>
  <c r="AO101" i="12"/>
  <c r="AN101" i="12"/>
  <c r="AL101" i="12"/>
  <c r="H95" i="12"/>
  <c r="E95" i="12"/>
  <c r="AP89" i="12"/>
  <c r="AM89" i="12"/>
  <c r="AP88" i="12"/>
  <c r="AM88" i="12"/>
  <c r="AP64" i="2"/>
  <c r="AP63" i="12"/>
  <c r="AM63" i="12"/>
  <c r="AO62" i="12"/>
  <c r="AN62" i="12"/>
  <c r="AL62" i="12"/>
  <c r="AP57" i="12"/>
  <c r="AM57" i="12"/>
  <c r="AP56" i="12"/>
  <c r="AM56" i="12"/>
  <c r="AO55" i="12"/>
  <c r="AN55" i="12"/>
  <c r="AL55" i="12"/>
  <c r="AP50" i="12"/>
  <c r="AM50" i="12"/>
  <c r="AP49" i="12"/>
  <c r="AM49" i="12"/>
  <c r="AO48" i="12"/>
  <c r="AN48" i="12"/>
  <c r="AP44" i="12"/>
  <c r="AM44" i="12"/>
  <c r="AP43" i="12"/>
  <c r="AM43" i="12"/>
  <c r="AO41" i="12"/>
  <c r="AN41" i="12"/>
  <c r="AL41" i="12"/>
  <c r="N32" i="12"/>
  <c r="AP31" i="12"/>
  <c r="AM31" i="12"/>
  <c r="AP30" i="12"/>
  <c r="AM30" i="12"/>
  <c r="AP29" i="12"/>
  <c r="AP28" i="12"/>
  <c r="AM28" i="12"/>
  <c r="AO27" i="12"/>
  <c r="AN27" i="12"/>
  <c r="AL27" i="12"/>
  <c r="AP16" i="12"/>
  <c r="AM16" i="12"/>
  <c r="AO15" i="12"/>
  <c r="AN15" i="12"/>
  <c r="AL15" i="12"/>
  <c r="AK15" i="12"/>
  <c r="AP15" i="12"/>
  <c r="AM15" i="12"/>
  <c r="AO14" i="12"/>
  <c r="AN14" i="12"/>
  <c r="AL14" i="12"/>
  <c r="AK14" i="12"/>
  <c r="AP14" i="12"/>
  <c r="AK13" i="12"/>
  <c r="T13" i="12"/>
  <c r="AV8" i="12"/>
  <c r="AU8" i="12"/>
  <c r="AS8" i="12"/>
  <c r="AR8" i="12"/>
  <c r="AP8" i="12"/>
  <c r="AO8" i="12"/>
  <c r="AN8" i="12"/>
  <c r="AU7" i="12"/>
  <c r="AR7" i="12"/>
  <c r="AL7" i="12"/>
  <c r="T4" i="12"/>
  <c r="T64" i="11"/>
  <c r="T63" i="11"/>
  <c r="T62" i="11"/>
  <c r="T61" i="11"/>
  <c r="T60" i="11"/>
  <c r="T59" i="11"/>
  <c r="T58" i="11"/>
  <c r="T57" i="11"/>
  <c r="AO56" i="11"/>
  <c r="T56" i="11"/>
  <c r="G56" i="11"/>
  <c r="T55" i="11"/>
  <c r="T54" i="11"/>
  <c r="T53" i="11"/>
  <c r="T52" i="11"/>
  <c r="T51" i="11"/>
  <c r="T50" i="11"/>
  <c r="T49" i="11"/>
  <c r="AO48" i="11"/>
  <c r="T48" i="11"/>
  <c r="G48" i="11"/>
  <c r="T47" i="11"/>
  <c r="T46" i="11"/>
  <c r="T45" i="11"/>
  <c r="AO44" i="11"/>
  <c r="T44" i="11"/>
  <c r="G44" i="11"/>
  <c r="AS39" i="11"/>
  <c r="AQ39" i="11"/>
  <c r="AR39" i="11"/>
  <c r="AP39" i="11"/>
  <c r="AK39" i="11"/>
  <c r="AS38" i="11"/>
  <c r="AQ38" i="11"/>
  <c r="AL38" i="11"/>
  <c r="AR38" i="11"/>
  <c r="AK38" i="11"/>
  <c r="AS37" i="11"/>
  <c r="AQ37" i="11"/>
  <c r="M37" i="11"/>
  <c r="AR37" i="11"/>
  <c r="AP37" i="11"/>
  <c r="AK37" i="11"/>
  <c r="AS36" i="11"/>
  <c r="AQ36" i="11"/>
  <c r="AL36" i="11"/>
  <c r="AR36" i="11"/>
  <c r="AK36" i="11"/>
  <c r="AS35" i="11"/>
  <c r="AL35" i="11"/>
  <c r="AR35" i="11"/>
  <c r="AQ35" i="11"/>
  <c r="AP35" i="11"/>
  <c r="AK35" i="11"/>
  <c r="AK34" i="11"/>
  <c r="A33" i="11"/>
  <c r="T32" i="11"/>
  <c r="A31" i="11"/>
  <c r="A30" i="11"/>
  <c r="A29" i="11"/>
  <c r="AK28" i="11"/>
  <c r="T27" i="11"/>
  <c r="T26" i="11"/>
  <c r="A25" i="11"/>
  <c r="T24" i="11"/>
  <c r="A23" i="11"/>
  <c r="A22" i="11"/>
  <c r="A21" i="11"/>
  <c r="T20" i="11"/>
  <c r="AO17" i="11"/>
  <c r="G17" i="11"/>
  <c r="T15" i="11"/>
  <c r="T14" i="11"/>
  <c r="AS13" i="11"/>
  <c r="AR13" i="11"/>
  <c r="AQ13" i="11"/>
  <c r="AP13" i="11"/>
  <c r="AN13" i="11"/>
  <c r="AL13" i="11"/>
  <c r="T13" i="11"/>
  <c r="M13" i="11"/>
  <c r="E13" i="11"/>
  <c r="AM13" i="11" s="1"/>
  <c r="T12" i="11"/>
  <c r="AK4" i="11"/>
  <c r="R5" i="9"/>
  <c r="AO14" i="2"/>
  <c r="AN14" i="2"/>
  <c r="AL14" i="2"/>
  <c r="AS33" i="3"/>
  <c r="AR33" i="3"/>
  <c r="AQ33" i="3"/>
  <c r="AP33" i="3"/>
  <c r="AN33" i="3"/>
  <c r="AL33" i="3"/>
  <c r="AS32" i="3"/>
  <c r="AR32" i="3"/>
  <c r="AQ32" i="3"/>
  <c r="AP32" i="3"/>
  <c r="AN32" i="3"/>
  <c r="AL32" i="3"/>
  <c r="AS31" i="3"/>
  <c r="AR31" i="3"/>
  <c r="AQ31" i="3"/>
  <c r="AP31" i="3"/>
  <c r="AN31" i="3"/>
  <c r="AL31" i="3"/>
  <c r="AS30" i="3"/>
  <c r="AR30" i="3"/>
  <c r="AQ30" i="3"/>
  <c r="AP30" i="3"/>
  <c r="AN30" i="3"/>
  <c r="AL30" i="3"/>
  <c r="AS29" i="3"/>
  <c r="AR29" i="3"/>
  <c r="AQ29" i="3"/>
  <c r="AP29" i="3"/>
  <c r="AN29" i="3"/>
  <c r="AL29" i="3"/>
  <c r="AN13" i="3"/>
  <c r="AL13" i="3"/>
  <c r="AS13" i="3"/>
  <c r="AR13" i="3"/>
  <c r="AQ13" i="3"/>
  <c r="AP13" i="3"/>
  <c r="AM13" i="19" l="1"/>
  <c r="H23" i="3"/>
  <c r="AP23" i="3" s="1"/>
  <c r="F23" i="3"/>
  <c r="AN23" i="3" s="1"/>
  <c r="D25" i="3"/>
  <c r="AL25" i="3" s="1"/>
  <c r="F25" i="3"/>
  <c r="AN25" i="3" s="1"/>
  <c r="AM95" i="12"/>
  <c r="E95" i="2"/>
  <c r="AM95" i="2" s="1"/>
  <c r="AP95" i="12"/>
  <c r="H95" i="2"/>
  <c r="AP95" i="2" s="1"/>
  <c r="E8" i="20"/>
  <c r="E8" i="32"/>
  <c r="E8" i="36"/>
  <c r="E8" i="2"/>
  <c r="E8" i="24"/>
  <c r="E8" i="28"/>
  <c r="E8" i="40"/>
  <c r="E8" i="12"/>
  <c r="AM8" i="12" s="1"/>
  <c r="E8" i="44"/>
  <c r="E8" i="16"/>
  <c r="AM64" i="2"/>
  <c r="AP41" i="24"/>
  <c r="AP41" i="28"/>
  <c r="AM41" i="32"/>
  <c r="D13" i="2"/>
  <c r="AP70" i="2"/>
  <c r="AM81" i="2"/>
  <c r="AP81" i="2"/>
  <c r="AM41" i="40"/>
  <c r="AM41" i="44"/>
  <c r="AM21" i="2"/>
  <c r="AL87" i="2"/>
  <c r="AM113" i="2"/>
  <c r="AM41" i="20"/>
  <c r="AP21" i="2"/>
  <c r="AN87" i="2"/>
  <c r="AP113" i="2"/>
  <c r="AO87" i="2"/>
  <c r="AM70" i="2"/>
  <c r="AM28" i="36"/>
  <c r="AM28" i="2"/>
  <c r="AM44" i="36"/>
  <c r="AM44" i="2"/>
  <c r="AL55" i="36"/>
  <c r="AL55" i="2"/>
  <c r="AM89" i="36"/>
  <c r="AM89" i="2"/>
  <c r="AP102" i="36"/>
  <c r="AP102" i="2"/>
  <c r="AM16" i="36"/>
  <c r="AM16" i="2"/>
  <c r="AP28" i="36"/>
  <c r="AP28" i="2"/>
  <c r="AP44" i="36"/>
  <c r="AP44" i="2"/>
  <c r="AN55" i="36"/>
  <c r="AN55" i="2"/>
  <c r="AP89" i="36"/>
  <c r="AP89" i="2"/>
  <c r="AM103" i="36"/>
  <c r="AM103" i="2"/>
  <c r="AP16" i="36"/>
  <c r="AP16" i="2"/>
  <c r="AM29" i="36"/>
  <c r="AM29" i="2"/>
  <c r="AN48" i="36"/>
  <c r="AN48" i="2"/>
  <c r="AO55" i="36"/>
  <c r="AO55" i="2"/>
  <c r="AM63" i="36"/>
  <c r="AM63" i="2"/>
  <c r="AP103" i="36"/>
  <c r="AP103" i="2"/>
  <c r="AM15" i="36"/>
  <c r="AM15" i="2"/>
  <c r="AP29" i="36"/>
  <c r="AP29" i="2"/>
  <c r="AO48" i="36"/>
  <c r="AO48" i="2"/>
  <c r="AM56" i="36"/>
  <c r="AM56" i="2"/>
  <c r="AP63" i="36"/>
  <c r="AP63" i="2"/>
  <c r="AP15" i="36"/>
  <c r="AP15" i="2"/>
  <c r="AM30" i="36"/>
  <c r="AM30" i="2"/>
  <c r="AM42" i="2"/>
  <c r="AM41" i="36"/>
  <c r="AM49" i="36"/>
  <c r="AM49" i="2"/>
  <c r="AP56" i="36"/>
  <c r="AP56" i="2"/>
  <c r="AL101" i="36"/>
  <c r="AL101" i="2"/>
  <c r="AL27" i="36"/>
  <c r="AL27" i="2"/>
  <c r="AP30" i="36"/>
  <c r="AP30" i="2"/>
  <c r="AP42" i="2"/>
  <c r="AP41" i="36"/>
  <c r="AP49" i="36"/>
  <c r="AP49" i="2"/>
  <c r="AM57" i="36"/>
  <c r="AM57" i="2"/>
  <c r="AN101" i="36"/>
  <c r="AN101" i="2"/>
  <c r="AP14" i="36"/>
  <c r="AP13" i="36" s="1"/>
  <c r="AN27" i="36"/>
  <c r="AN27" i="2"/>
  <c r="AM31" i="36"/>
  <c r="AM31" i="2"/>
  <c r="AM43" i="36"/>
  <c r="AM43" i="2"/>
  <c r="AM50" i="36"/>
  <c r="AM50" i="2"/>
  <c r="AP57" i="36"/>
  <c r="AP57" i="2"/>
  <c r="AM88" i="36"/>
  <c r="AM88" i="2"/>
  <c r="AO101" i="36"/>
  <c r="AO101" i="2"/>
  <c r="AO27" i="36"/>
  <c r="AO27" i="2"/>
  <c r="AP31" i="36"/>
  <c r="AP31" i="2"/>
  <c r="AP43" i="36"/>
  <c r="AP43" i="2"/>
  <c r="AP50" i="36"/>
  <c r="AP50" i="2"/>
  <c r="AP88" i="36"/>
  <c r="AP88" i="2"/>
  <c r="AM102" i="36"/>
  <c r="AM102" i="2"/>
  <c r="AP64" i="16"/>
  <c r="AP62" i="16"/>
  <c r="AM64" i="16"/>
  <c r="AP64" i="28"/>
  <c r="AP62" i="28"/>
  <c r="AP64" i="24"/>
  <c r="AP62" i="24"/>
  <c r="AP64" i="32"/>
  <c r="AP62" i="32"/>
  <c r="AP64" i="12"/>
  <c r="AP62" i="12"/>
  <c r="AP64" i="40"/>
  <c r="AP62" i="40"/>
  <c r="AP64" i="44"/>
  <c r="AP62" i="44"/>
  <c r="AP64" i="20"/>
  <c r="AP62" i="20"/>
  <c r="AP64" i="36"/>
  <c r="AM64" i="24"/>
  <c r="AM62" i="24"/>
  <c r="AM64" i="32"/>
  <c r="AM62" i="32"/>
  <c r="AM64" i="12"/>
  <c r="AM62" i="12"/>
  <c r="AM64" i="40"/>
  <c r="AM64" i="44"/>
  <c r="AM62" i="44"/>
  <c r="AM64" i="20"/>
  <c r="AM62" i="20"/>
  <c r="AM64" i="36"/>
  <c r="AM62" i="36"/>
  <c r="AM64" i="28"/>
  <c r="D8" i="40"/>
  <c r="D8" i="16"/>
  <c r="D8" i="44"/>
  <c r="D8" i="36"/>
  <c r="D8" i="12"/>
  <c r="D8" i="32"/>
  <c r="AL8" i="32" s="1"/>
  <c r="D8" i="2"/>
  <c r="D8" i="28"/>
  <c r="D8" i="24"/>
  <c r="D8" i="20"/>
  <c r="AL76" i="20"/>
  <c r="AN76" i="36"/>
  <c r="AO76" i="40"/>
  <c r="AM70" i="44"/>
  <c r="AM69" i="44"/>
  <c r="AP70" i="44"/>
  <c r="AP69" i="44"/>
  <c r="AM70" i="28"/>
  <c r="AM69" i="28"/>
  <c r="AM70" i="24"/>
  <c r="AM69" i="24"/>
  <c r="AP70" i="28"/>
  <c r="AP69" i="28"/>
  <c r="AP70" i="24"/>
  <c r="AP69" i="24"/>
  <c r="AM70" i="40"/>
  <c r="AM69" i="40"/>
  <c r="AP70" i="40"/>
  <c r="AP69" i="40"/>
  <c r="AM70" i="20"/>
  <c r="AM69" i="20"/>
  <c r="AP70" i="20"/>
  <c r="AP69" i="20"/>
  <c r="AP70" i="36"/>
  <c r="AM42" i="36"/>
  <c r="AP42" i="36"/>
  <c r="AM70" i="36"/>
  <c r="AM70" i="12"/>
  <c r="AM69" i="12"/>
  <c r="AP70" i="12"/>
  <c r="AP69" i="12"/>
  <c r="AM70" i="16"/>
  <c r="AM69" i="16"/>
  <c r="AP70" i="16"/>
  <c r="AP69" i="16"/>
  <c r="AM70" i="32"/>
  <c r="AM69" i="32"/>
  <c r="AP70" i="32"/>
  <c r="AP69" i="32"/>
  <c r="AO76" i="28"/>
  <c r="AO76" i="44"/>
  <c r="AL76" i="16"/>
  <c r="AN76" i="16"/>
  <c r="AO76" i="20"/>
  <c r="AN76" i="28"/>
  <c r="AO76" i="12"/>
  <c r="AR76" i="32"/>
  <c r="AN76" i="20"/>
  <c r="AN76" i="24"/>
  <c r="AS76" i="24"/>
  <c r="AO76" i="32"/>
  <c r="AO108" i="16"/>
  <c r="AM42" i="28"/>
  <c r="AM41" i="28"/>
  <c r="AM42" i="32"/>
  <c r="AP42" i="28"/>
  <c r="AP42" i="32"/>
  <c r="AP41" i="32"/>
  <c r="AM42" i="20"/>
  <c r="AM42" i="16"/>
  <c r="AP42" i="20"/>
  <c r="AP41" i="20"/>
  <c r="AM42" i="40"/>
  <c r="AP42" i="16"/>
  <c r="AP41" i="16"/>
  <c r="AM42" i="24"/>
  <c r="AP42" i="40"/>
  <c r="AP41" i="40"/>
  <c r="AP42" i="24"/>
  <c r="AM42" i="44"/>
  <c r="AP42" i="44"/>
  <c r="AP41" i="44"/>
  <c r="AP42" i="12"/>
  <c r="AP41" i="12"/>
  <c r="AM42" i="12"/>
  <c r="AM41" i="12"/>
  <c r="AM118" i="12"/>
  <c r="AM117" i="12"/>
  <c r="AP21" i="16"/>
  <c r="AP20" i="16"/>
  <c r="AP81" i="20"/>
  <c r="AM21" i="24"/>
  <c r="AM20" i="24"/>
  <c r="AO87" i="24"/>
  <c r="AO108" i="24"/>
  <c r="AO87" i="28"/>
  <c r="AO108" i="28"/>
  <c r="AM118" i="28"/>
  <c r="AM117" i="28"/>
  <c r="AM81" i="32"/>
  <c r="AM118" i="32"/>
  <c r="AM117" i="32"/>
  <c r="AM21" i="36"/>
  <c r="AO87" i="36"/>
  <c r="AO108" i="36"/>
  <c r="AP21" i="44"/>
  <c r="AP20" i="44"/>
  <c r="AN87" i="44"/>
  <c r="AN108" i="44"/>
  <c r="AP113" i="44"/>
  <c r="AP118" i="12"/>
  <c r="AP117" i="12"/>
  <c r="AM113" i="16"/>
  <c r="AM21" i="20"/>
  <c r="AM20" i="20"/>
  <c r="AL87" i="20"/>
  <c r="AL108" i="20"/>
  <c r="AM113" i="20"/>
  <c r="AP21" i="24"/>
  <c r="AP20" i="24"/>
  <c r="AR87" i="24"/>
  <c r="AR108" i="24"/>
  <c r="AP118" i="28"/>
  <c r="AP117" i="28"/>
  <c r="AS76" i="32"/>
  <c r="AP81" i="32"/>
  <c r="AP118" i="32"/>
  <c r="AP117" i="32"/>
  <c r="AP21" i="36"/>
  <c r="AM81" i="40"/>
  <c r="AO87" i="44"/>
  <c r="AO108" i="44"/>
  <c r="AM118" i="44"/>
  <c r="AM117" i="44"/>
  <c r="AP113" i="16"/>
  <c r="AP21" i="20"/>
  <c r="AP20" i="20"/>
  <c r="AN87" i="20"/>
  <c r="AP113" i="20"/>
  <c r="AS87" i="24"/>
  <c r="AS108" i="24"/>
  <c r="AM113" i="24"/>
  <c r="AU76" i="32"/>
  <c r="AL87" i="32"/>
  <c r="AL108" i="32"/>
  <c r="AM113" i="36"/>
  <c r="AP81" i="40"/>
  <c r="AP118" i="44"/>
  <c r="AP117" i="44"/>
  <c r="AO87" i="12"/>
  <c r="AO108" i="12"/>
  <c r="AM81" i="16"/>
  <c r="AM118" i="16"/>
  <c r="AM117" i="16"/>
  <c r="AO87" i="20"/>
  <c r="AO108" i="20"/>
  <c r="AM118" i="20"/>
  <c r="AM117" i="20"/>
  <c r="AO76" i="24"/>
  <c r="AP113" i="24"/>
  <c r="AL76" i="28"/>
  <c r="AN87" i="32"/>
  <c r="AN108" i="32"/>
  <c r="AO76" i="36"/>
  <c r="AP113" i="36"/>
  <c r="AM21" i="40"/>
  <c r="AM20" i="40"/>
  <c r="AL87" i="40"/>
  <c r="AL108" i="40"/>
  <c r="AM113" i="40"/>
  <c r="AM81" i="12"/>
  <c r="AP81" i="16"/>
  <c r="AP118" i="16"/>
  <c r="AP117" i="16"/>
  <c r="AP118" i="20"/>
  <c r="AP117" i="20"/>
  <c r="AR76" i="24"/>
  <c r="AM81" i="24"/>
  <c r="AM118" i="24"/>
  <c r="AM117" i="24"/>
  <c r="AM81" i="28"/>
  <c r="AM21" i="32"/>
  <c r="AM20" i="32"/>
  <c r="AO87" i="32"/>
  <c r="AO108" i="32"/>
  <c r="AM81" i="36"/>
  <c r="AM118" i="36"/>
  <c r="AM117" i="36"/>
  <c r="AP21" i="40"/>
  <c r="AP20" i="40"/>
  <c r="AN87" i="40"/>
  <c r="AP113" i="40"/>
  <c r="AN76" i="12"/>
  <c r="AP81" i="12"/>
  <c r="AL87" i="16"/>
  <c r="AL108" i="16"/>
  <c r="AP81" i="24"/>
  <c r="AP118" i="24"/>
  <c r="AP117" i="24"/>
  <c r="AP81" i="28"/>
  <c r="AP21" i="32"/>
  <c r="AP20" i="32"/>
  <c r="AR87" i="32"/>
  <c r="AR108" i="32"/>
  <c r="AP81" i="36"/>
  <c r="AP118" i="36"/>
  <c r="AP117" i="36"/>
  <c r="AO87" i="40"/>
  <c r="AO108" i="40"/>
  <c r="AM118" i="40"/>
  <c r="AM117" i="40"/>
  <c r="AM81" i="44"/>
  <c r="AL87" i="12"/>
  <c r="AL108" i="12"/>
  <c r="AM113" i="12"/>
  <c r="AN87" i="16"/>
  <c r="AN108" i="16"/>
  <c r="AU76" i="24"/>
  <c r="AL108" i="24"/>
  <c r="AM21" i="28"/>
  <c r="AM20" i="28"/>
  <c r="AL87" i="28"/>
  <c r="AL108" i="28"/>
  <c r="AM113" i="28"/>
  <c r="AS87" i="32"/>
  <c r="AS108" i="32"/>
  <c r="AM113" i="32"/>
  <c r="AL87" i="36"/>
  <c r="AL108" i="36"/>
  <c r="AP118" i="40"/>
  <c r="AP117" i="40"/>
  <c r="AP81" i="44"/>
  <c r="AP21" i="12"/>
  <c r="AP20" i="12"/>
  <c r="AM21" i="12"/>
  <c r="AM20" i="12"/>
  <c r="AN87" i="12"/>
  <c r="AN108" i="12"/>
  <c r="AP113" i="12"/>
  <c r="AM21" i="16"/>
  <c r="AM20" i="16"/>
  <c r="AM81" i="20"/>
  <c r="AN87" i="24"/>
  <c r="AN108" i="24"/>
  <c r="AP21" i="28"/>
  <c r="AP20" i="28"/>
  <c r="AN87" i="28"/>
  <c r="AP113" i="28"/>
  <c r="AP113" i="32"/>
  <c r="AN87" i="36"/>
  <c r="AM21" i="44"/>
  <c r="AM20" i="44"/>
  <c r="AL87" i="44"/>
  <c r="AL108" i="44"/>
  <c r="AM113" i="44"/>
  <c r="AM8" i="32"/>
  <c r="AM8" i="20"/>
  <c r="AM8" i="24"/>
  <c r="AM8" i="28"/>
  <c r="AM8" i="36"/>
  <c r="AM8" i="40"/>
  <c r="AL87" i="24"/>
  <c r="AO87" i="16"/>
  <c r="AS12" i="23"/>
  <c r="AS17" i="23" s="1"/>
  <c r="AM8" i="16"/>
  <c r="AR44" i="31"/>
  <c r="AM55" i="24"/>
  <c r="AL12" i="31"/>
  <c r="AL17" i="31" s="1"/>
  <c r="AL13" i="36"/>
  <c r="AO13" i="36"/>
  <c r="AM48" i="32"/>
  <c r="AL12" i="23"/>
  <c r="AL17" i="23" s="1"/>
  <c r="AL76" i="36"/>
  <c r="AL8" i="44"/>
  <c r="AL8" i="28"/>
  <c r="AL8" i="12"/>
  <c r="AL8" i="40"/>
  <c r="AL8" i="24"/>
  <c r="AL8" i="36"/>
  <c r="AL8" i="20"/>
  <c r="AL8" i="16"/>
  <c r="D6" i="27"/>
  <c r="D6" i="31"/>
  <c r="D6" i="11"/>
  <c r="D6" i="35"/>
  <c r="D6" i="39"/>
  <c r="D6" i="43"/>
  <c r="D6" i="3"/>
  <c r="D6" i="15"/>
  <c r="AM8" i="44"/>
  <c r="D6" i="19"/>
  <c r="D6" i="23"/>
  <c r="AM87" i="16"/>
  <c r="AP101" i="24"/>
  <c r="AP55" i="44"/>
  <c r="AP101" i="44"/>
  <c r="AP101" i="20"/>
  <c r="AM48" i="20"/>
  <c r="AS56" i="35"/>
  <c r="AP48" i="44"/>
  <c r="AP27" i="44"/>
  <c r="AM87" i="32"/>
  <c r="AP55" i="32"/>
  <c r="AP101" i="32"/>
  <c r="AM27" i="32"/>
  <c r="AP87" i="28"/>
  <c r="AM27" i="28"/>
  <c r="AP101" i="28"/>
  <c r="AP55" i="28"/>
  <c r="AM12" i="23"/>
  <c r="AM17" i="23" s="1"/>
  <c r="AN13" i="20"/>
  <c r="AU39" i="19"/>
  <c r="AP27" i="20"/>
  <c r="AP55" i="20"/>
  <c r="AN108" i="20"/>
  <c r="AM101" i="20"/>
  <c r="AS12" i="43"/>
  <c r="AS17" i="43" s="1"/>
  <c r="AM48" i="44"/>
  <c r="AM87" i="44"/>
  <c r="AP87" i="44"/>
  <c r="AP27" i="40"/>
  <c r="AU35" i="39"/>
  <c r="AN13" i="40"/>
  <c r="AP55" i="40"/>
  <c r="AM87" i="40"/>
  <c r="AN108" i="40"/>
  <c r="AP87" i="40"/>
  <c r="AP48" i="40"/>
  <c r="AP12" i="31"/>
  <c r="AP17" i="31" s="1"/>
  <c r="AR13" i="32"/>
  <c r="M12" i="31"/>
  <c r="M17" i="31" s="1"/>
  <c r="AQ12" i="31"/>
  <c r="AQ17" i="31" s="1"/>
  <c r="AP27" i="32"/>
  <c r="AP48" i="32"/>
  <c r="AM101" i="32"/>
  <c r="AM55" i="32"/>
  <c r="AR12" i="31"/>
  <c r="AR17" i="31" s="1"/>
  <c r="N59" i="31"/>
  <c r="AM101" i="28"/>
  <c r="AP27" i="28"/>
  <c r="AM55" i="28"/>
  <c r="AM87" i="28"/>
  <c r="AP48" i="28"/>
  <c r="AN108" i="28"/>
  <c r="AM48" i="28"/>
  <c r="AN12" i="23"/>
  <c r="AN17" i="23" s="1"/>
  <c r="AU37" i="23"/>
  <c r="AU13" i="24"/>
  <c r="AU35" i="23"/>
  <c r="AN13" i="24"/>
  <c r="AP48" i="24"/>
  <c r="AM27" i="24"/>
  <c r="AM41" i="24"/>
  <c r="AP87" i="24"/>
  <c r="AM55" i="20"/>
  <c r="AO13" i="20"/>
  <c r="AM27" i="20"/>
  <c r="AP27" i="16"/>
  <c r="AM13" i="40"/>
  <c r="AU13" i="32"/>
  <c r="AR12" i="35"/>
  <c r="AR17" i="35" s="1"/>
  <c r="AP13" i="44"/>
  <c r="AP48" i="31"/>
  <c r="AL13" i="32"/>
  <c r="AS44" i="43"/>
  <c r="AQ44" i="23"/>
  <c r="AS13" i="24"/>
  <c r="AU39" i="43"/>
  <c r="AL13" i="20"/>
  <c r="AN12" i="31"/>
  <c r="AN17" i="31" s="1"/>
  <c r="AR48" i="31"/>
  <c r="AN13" i="16"/>
  <c r="AL48" i="23"/>
  <c r="AM38" i="31"/>
  <c r="N60" i="31"/>
  <c r="N13" i="39"/>
  <c r="AU13" i="39"/>
  <c r="N13" i="31"/>
  <c r="N27" i="31"/>
  <c r="N50" i="31"/>
  <c r="AS44" i="35"/>
  <c r="AM39" i="31"/>
  <c r="AL13" i="28"/>
  <c r="AO13" i="40"/>
  <c r="AQ12" i="23"/>
  <c r="AQ17" i="23" s="1"/>
  <c r="AL44" i="31"/>
  <c r="AS44" i="23"/>
  <c r="AS56" i="23"/>
  <c r="AO13" i="16"/>
  <c r="AU37" i="19"/>
  <c r="AM13" i="24"/>
  <c r="AR13" i="24"/>
  <c r="AL13" i="24"/>
  <c r="AP13" i="24"/>
  <c r="AU31" i="31"/>
  <c r="N31" i="31"/>
  <c r="AS48" i="35"/>
  <c r="AP48" i="23"/>
  <c r="E12" i="23"/>
  <c r="E17" i="23" s="1"/>
  <c r="AR12" i="23"/>
  <c r="AR17" i="23" s="1"/>
  <c r="AP13" i="28"/>
  <c r="AP44" i="23"/>
  <c r="N13" i="27"/>
  <c r="N32" i="23"/>
  <c r="AS56" i="31"/>
  <c r="AN13" i="32"/>
  <c r="AO13" i="28"/>
  <c r="N53" i="31"/>
  <c r="AR48" i="35"/>
  <c r="AN13" i="44"/>
  <c r="AS44" i="31"/>
  <c r="N49" i="31"/>
  <c r="AO13" i="44"/>
  <c r="N45" i="31"/>
  <c r="N54" i="31"/>
  <c r="AS13" i="32"/>
  <c r="AR44" i="35"/>
  <c r="AN13" i="36"/>
  <c r="AM13" i="44"/>
  <c r="AU37" i="27"/>
  <c r="AO13" i="32"/>
  <c r="AL13" i="40"/>
  <c r="AU35" i="43"/>
  <c r="AL13" i="44"/>
  <c r="AN13" i="28"/>
  <c r="AU12" i="31"/>
  <c r="AU17" i="31" s="1"/>
  <c r="N46" i="31"/>
  <c r="AS12" i="35"/>
  <c r="AS17" i="35" s="1"/>
  <c r="AU37" i="39"/>
  <c r="AU36" i="43"/>
  <c r="AN13" i="12"/>
  <c r="AU39" i="11"/>
  <c r="AL13" i="16"/>
  <c r="AP101" i="16"/>
  <c r="C24" i="9"/>
  <c r="S5" i="9"/>
  <c r="AP87" i="16"/>
  <c r="AP55" i="16"/>
  <c r="AL13" i="12"/>
  <c r="C70" i="3"/>
  <c r="U5" i="9"/>
  <c r="C70" i="43"/>
  <c r="C70" i="19"/>
  <c r="C70" i="11"/>
  <c r="C70" i="23"/>
  <c r="C70" i="27"/>
  <c r="C70" i="31"/>
  <c r="C70" i="39"/>
  <c r="C70" i="35"/>
  <c r="C70" i="15"/>
  <c r="T5" i="9"/>
  <c r="C71" i="3"/>
  <c r="B71" i="3"/>
  <c r="AN41" i="23"/>
  <c r="N50" i="23"/>
  <c r="AU60" i="23"/>
  <c r="N24" i="23"/>
  <c r="AN48" i="23"/>
  <c r="AL44" i="23"/>
  <c r="AU62" i="23"/>
  <c r="AN44" i="23"/>
  <c r="AU54" i="23"/>
  <c r="N27" i="23"/>
  <c r="AQ48" i="23"/>
  <c r="AS48" i="23"/>
  <c r="B71" i="11"/>
  <c r="B71" i="23"/>
  <c r="B71" i="19"/>
  <c r="B71" i="43"/>
  <c r="B71" i="31"/>
  <c r="B71" i="35"/>
  <c r="B71" i="27"/>
  <c r="AR26" i="3"/>
  <c r="AR25" i="3"/>
  <c r="I25" i="3"/>
  <c r="AQ25" i="3" s="1"/>
  <c r="AR23" i="3"/>
  <c r="I23" i="3"/>
  <c r="AQ23" i="3" s="1"/>
  <c r="AU37" i="43"/>
  <c r="AL38" i="15"/>
  <c r="AL36" i="23"/>
  <c r="AM36" i="23" s="1"/>
  <c r="M37" i="23"/>
  <c r="N37" i="23" s="1"/>
  <c r="E38" i="23"/>
  <c r="AL35" i="27"/>
  <c r="E34" i="31"/>
  <c r="E36" i="31"/>
  <c r="M37" i="35"/>
  <c r="AL36" i="39"/>
  <c r="AL35" i="15"/>
  <c r="AL38" i="27"/>
  <c r="M34" i="31"/>
  <c r="N34" i="31" s="1"/>
  <c r="M36" i="31"/>
  <c r="N36" i="31" s="1"/>
  <c r="AL37" i="31"/>
  <c r="AM37" i="31" s="1"/>
  <c r="H41" i="31"/>
  <c r="AL39" i="35"/>
  <c r="AL36" i="43"/>
  <c r="M35" i="35"/>
  <c r="AL37" i="35"/>
  <c r="AP38" i="43"/>
  <c r="AL34" i="23"/>
  <c r="AM34" i="23" s="1"/>
  <c r="M35" i="23"/>
  <c r="N35" i="23" s="1"/>
  <c r="M36" i="23"/>
  <c r="N36" i="23" s="1"/>
  <c r="AU35" i="27"/>
  <c r="AM35" i="31"/>
  <c r="AU37" i="35"/>
  <c r="AL38" i="35"/>
  <c r="AU35" i="15"/>
  <c r="AL36" i="15"/>
  <c r="AS37" i="23"/>
  <c r="AS41" i="23" s="1"/>
  <c r="M39" i="23"/>
  <c r="N39" i="23" s="1"/>
  <c r="AP38" i="31"/>
  <c r="AP41" i="31" s="1"/>
  <c r="AL36" i="35"/>
  <c r="M36" i="43"/>
  <c r="AP38" i="19"/>
  <c r="AU38" i="19" s="1"/>
  <c r="AU38" i="27"/>
  <c r="AL34" i="31"/>
  <c r="AM87" i="12"/>
  <c r="AP87" i="12"/>
  <c r="AL76" i="12"/>
  <c r="AP48" i="12"/>
  <c r="AP55" i="12"/>
  <c r="AP101" i="12"/>
  <c r="AO13" i="12"/>
  <c r="AU37" i="11"/>
  <c r="AP13" i="12"/>
  <c r="AP27" i="12"/>
  <c r="N13" i="43"/>
  <c r="AS41" i="43"/>
  <c r="AM13" i="39"/>
  <c r="AU13" i="35"/>
  <c r="AS41" i="35"/>
  <c r="AS12" i="31"/>
  <c r="AS17" i="31" s="1"/>
  <c r="N29" i="31"/>
  <c r="N47" i="31"/>
  <c r="AN48" i="31"/>
  <c r="N63" i="31"/>
  <c r="AU21" i="31"/>
  <c r="AU33" i="31"/>
  <c r="AQ44" i="31"/>
  <c r="N51" i="31"/>
  <c r="N57" i="31"/>
  <c r="N64" i="31"/>
  <c r="N15" i="31"/>
  <c r="AU25" i="31"/>
  <c r="AU34" i="31"/>
  <c r="AM36" i="31"/>
  <c r="M44" i="31"/>
  <c r="N44" i="31" s="1"/>
  <c r="AS48" i="31"/>
  <c r="AQ48" i="31"/>
  <c r="N52" i="31"/>
  <c r="N55" i="31"/>
  <c r="N61" i="31"/>
  <c r="AN44" i="31"/>
  <c r="N62" i="31"/>
  <c r="E12" i="31"/>
  <c r="E17" i="31" s="1"/>
  <c r="N23" i="31"/>
  <c r="AP44" i="31"/>
  <c r="M48" i="31"/>
  <c r="N48" i="31" s="1"/>
  <c r="AU36" i="27"/>
  <c r="AU26" i="23"/>
  <c r="M12" i="23"/>
  <c r="N12" i="23" s="1"/>
  <c r="N13" i="23"/>
  <c r="AU20" i="23"/>
  <c r="N22" i="23"/>
  <c r="N29" i="23"/>
  <c r="AR41" i="23"/>
  <c r="AU14" i="23"/>
  <c r="AU12" i="23" s="1"/>
  <c r="AU17" i="23" s="1"/>
  <c r="AU30" i="23"/>
  <c r="AM38" i="23"/>
  <c r="N64" i="23"/>
  <c r="N21" i="23"/>
  <c r="AU28" i="23"/>
  <c r="AU39" i="23"/>
  <c r="N46" i="23"/>
  <c r="N52" i="23"/>
  <c r="AP12" i="23"/>
  <c r="AP17" i="23" s="1"/>
  <c r="N15" i="23"/>
  <c r="AQ41" i="23"/>
  <c r="AU13" i="19"/>
  <c r="AU35" i="19"/>
  <c r="A31" i="23"/>
  <c r="A36" i="35"/>
  <c r="T38" i="39"/>
  <c r="AK38" i="39"/>
  <c r="A23" i="23"/>
  <c r="T21" i="43"/>
  <c r="AK21" i="43"/>
  <c r="A21" i="43"/>
  <c r="AK20" i="23"/>
  <c r="T30" i="31"/>
  <c r="A31" i="31"/>
  <c r="T21" i="35"/>
  <c r="A35" i="35"/>
  <c r="T35" i="35"/>
  <c r="AK28" i="15"/>
  <c r="AK33" i="31"/>
  <c r="A28" i="39"/>
  <c r="AK28" i="39"/>
  <c r="T34" i="35"/>
  <c r="AK37" i="39"/>
  <c r="T37" i="39"/>
  <c r="A37" i="39"/>
  <c r="T29" i="43"/>
  <c r="AK29" i="43"/>
  <c r="A29" i="43"/>
  <c r="AK20" i="15"/>
  <c r="A21" i="15"/>
  <c r="A34" i="35"/>
  <c r="A26" i="19"/>
  <c r="AK29" i="31"/>
  <c r="A30" i="31"/>
  <c r="T27" i="35"/>
  <c r="AK36" i="35"/>
  <c r="T38" i="35"/>
  <c r="T28" i="39"/>
  <c r="T39" i="43"/>
  <c r="AK39" i="43"/>
  <c r="T33" i="43"/>
  <c r="AK33" i="43"/>
  <c r="AK36" i="43"/>
  <c r="T24" i="43"/>
  <c r="T26" i="43"/>
  <c r="AK37" i="43"/>
  <c r="AK4" i="20"/>
  <c r="A21" i="27"/>
  <c r="T22" i="27"/>
  <c r="A23" i="27"/>
  <c r="A25" i="27"/>
  <c r="A27" i="27"/>
  <c r="AK37" i="27"/>
  <c r="AK21" i="31"/>
  <c r="A22" i="31"/>
  <c r="A29" i="31"/>
  <c r="A33" i="31"/>
  <c r="AK26" i="35"/>
  <c r="A38" i="35"/>
  <c r="A20" i="39"/>
  <c r="AK20" i="39"/>
  <c r="T20" i="39"/>
  <c r="T4" i="40"/>
  <c r="AK4" i="40"/>
  <c r="A28" i="23"/>
  <c r="AK23" i="31"/>
  <c r="T28" i="35"/>
  <c r="AK30" i="35"/>
  <c r="AK32" i="35"/>
  <c r="AK26" i="15"/>
  <c r="AK20" i="19"/>
  <c r="AK28" i="35"/>
  <c r="AM55" i="44"/>
  <c r="AK29" i="27"/>
  <c r="T31" i="27"/>
  <c r="AK33" i="27"/>
  <c r="A21" i="31"/>
  <c r="A25" i="31"/>
  <c r="A37" i="31"/>
  <c r="AK37" i="31"/>
  <c r="AK20" i="35"/>
  <c r="A26" i="35"/>
  <c r="A20" i="43"/>
  <c r="AK20" i="43"/>
  <c r="T20" i="43"/>
  <c r="A28" i="43"/>
  <c r="AK28" i="43"/>
  <c r="T28" i="43"/>
  <c r="AS56" i="43"/>
  <c r="AK24" i="15"/>
  <c r="AK26" i="19"/>
  <c r="T36" i="19"/>
  <c r="T4" i="23"/>
  <c r="AK31" i="27"/>
  <c r="T22" i="31"/>
  <c r="A23" i="31"/>
  <c r="A39" i="31"/>
  <c r="AK39" i="31"/>
  <c r="A30" i="35"/>
  <c r="A32" i="35"/>
  <c r="AM13" i="43"/>
  <c r="A20" i="19"/>
  <c r="A36" i="19"/>
  <c r="T28" i="23"/>
  <c r="AK21" i="27"/>
  <c r="T23" i="27"/>
  <c r="AK25" i="27"/>
  <c r="AK27" i="27"/>
  <c r="A29" i="27"/>
  <c r="T30" i="27"/>
  <c r="A33" i="27"/>
  <c r="AK31" i="31"/>
  <c r="A20" i="35"/>
  <c r="AS48" i="43"/>
  <c r="AK26" i="39"/>
  <c r="T23" i="43"/>
  <c r="AK24" i="43"/>
  <c r="T31" i="43"/>
  <c r="AK32" i="43"/>
  <c r="A34" i="43"/>
  <c r="A36" i="43"/>
  <c r="A38" i="43"/>
  <c r="AK29" i="39"/>
  <c r="T22" i="43"/>
  <c r="T30" i="43"/>
  <c r="AK4" i="39"/>
  <c r="AK36" i="39"/>
  <c r="AK22" i="43"/>
  <c r="AK30" i="43"/>
  <c r="AM27" i="44"/>
  <c r="AK34" i="39"/>
  <c r="A35" i="43"/>
  <c r="M35" i="43"/>
  <c r="A37" i="43"/>
  <c r="M37" i="43"/>
  <c r="A39" i="43"/>
  <c r="M39" i="43"/>
  <c r="AM101" i="44"/>
  <c r="AK22" i="15"/>
  <c r="T27" i="15"/>
  <c r="AK24" i="19"/>
  <c r="T24" i="19"/>
  <c r="A24" i="19"/>
  <c r="AK34" i="19"/>
  <c r="A34" i="19"/>
  <c r="A26" i="27"/>
  <c r="AK26" i="27"/>
  <c r="T26" i="27"/>
  <c r="A36" i="27"/>
  <c r="AK36" i="27"/>
  <c r="T36" i="27"/>
  <c r="M37" i="27"/>
  <c r="A37" i="11"/>
  <c r="T37" i="11"/>
  <c r="A24" i="15"/>
  <c r="A34" i="15"/>
  <c r="T34" i="15"/>
  <c r="A22" i="19"/>
  <c r="AK38" i="19"/>
  <c r="A38" i="19"/>
  <c r="T38" i="19"/>
  <c r="AK4" i="28"/>
  <c r="T4" i="28"/>
  <c r="A38" i="27"/>
  <c r="AK38" i="27"/>
  <c r="T38" i="27"/>
  <c r="M39" i="27"/>
  <c r="AU39" i="27"/>
  <c r="AM13" i="28"/>
  <c r="A28" i="11"/>
  <c r="T21" i="15"/>
  <c r="A22" i="15"/>
  <c r="AK32" i="19"/>
  <c r="T32" i="19"/>
  <c r="A32" i="19"/>
  <c r="AK25" i="23"/>
  <c r="A25" i="23"/>
  <c r="T25" i="23"/>
  <c r="AK33" i="23"/>
  <c r="A33" i="23"/>
  <c r="T33" i="23"/>
  <c r="A26" i="11"/>
  <c r="A37" i="15"/>
  <c r="AK22" i="23"/>
  <c r="A22" i="23"/>
  <c r="A35" i="15"/>
  <c r="T30" i="19"/>
  <c r="AK30" i="19"/>
  <c r="A30" i="19"/>
  <c r="A32" i="11"/>
  <c r="T39" i="15"/>
  <c r="AK22" i="19"/>
  <c r="A34" i="27"/>
  <c r="AK34" i="27"/>
  <c r="T34" i="27"/>
  <c r="M35" i="27"/>
  <c r="T20" i="23"/>
  <c r="AK34" i="23"/>
  <c r="AK36" i="23"/>
  <c r="AK38" i="23"/>
  <c r="AU13" i="27"/>
  <c r="AK22" i="27"/>
  <c r="A24" i="27"/>
  <c r="AK30" i="27"/>
  <c r="A32" i="27"/>
  <c r="A34" i="31"/>
  <c r="AK34" i="31"/>
  <c r="T34" i="31"/>
  <c r="T20" i="27"/>
  <c r="T28" i="27"/>
  <c r="T27" i="23"/>
  <c r="AM13" i="27"/>
  <c r="AK20" i="27"/>
  <c r="AK28" i="27"/>
  <c r="A35" i="27"/>
  <c r="A37" i="27"/>
  <c r="A39" i="27"/>
  <c r="AK27" i="23"/>
  <c r="T35" i="23"/>
  <c r="T37" i="23"/>
  <c r="T39" i="23"/>
  <c r="AM62" i="28"/>
  <c r="A35" i="19"/>
  <c r="T35" i="19"/>
  <c r="T37" i="19"/>
  <c r="T26" i="23"/>
  <c r="A35" i="23"/>
  <c r="A37" i="23"/>
  <c r="A39" i="23"/>
  <c r="AK4" i="24"/>
  <c r="A37" i="19"/>
  <c r="A39" i="19"/>
  <c r="T39" i="19"/>
  <c r="AK26" i="23"/>
  <c r="A30" i="23"/>
  <c r="T24" i="27"/>
  <c r="T32" i="27"/>
  <c r="M36" i="27"/>
  <c r="M38" i="27"/>
  <c r="AN41" i="31"/>
  <c r="AQ35" i="31"/>
  <c r="AU35" i="31" s="1"/>
  <c r="M35" i="31"/>
  <c r="N35" i="31" s="1"/>
  <c r="AU44" i="31"/>
  <c r="AK4" i="32"/>
  <c r="T4" i="32"/>
  <c r="A36" i="31"/>
  <c r="AK36" i="31"/>
  <c r="T36" i="31"/>
  <c r="AM46" i="31"/>
  <c r="AM44" i="31" s="1"/>
  <c r="E44" i="31"/>
  <c r="AM13" i="32"/>
  <c r="A26" i="31"/>
  <c r="AK26" i="31"/>
  <c r="T26" i="31"/>
  <c r="AQ37" i="31"/>
  <c r="M37" i="31"/>
  <c r="N37" i="31" s="1"/>
  <c r="AP13" i="32"/>
  <c r="AR41" i="31"/>
  <c r="AU28" i="31"/>
  <c r="N28" i="31"/>
  <c r="AU36" i="31"/>
  <c r="A38" i="31"/>
  <c r="AK38" i="31"/>
  <c r="T38" i="31"/>
  <c r="AU48" i="31"/>
  <c r="AS41" i="31"/>
  <c r="AQ39" i="31"/>
  <c r="AU39" i="31" s="1"/>
  <c r="M39" i="31"/>
  <c r="N39" i="31" s="1"/>
  <c r="AM50" i="31"/>
  <c r="AM48" i="31" s="1"/>
  <c r="E48" i="31"/>
  <c r="AU20" i="31"/>
  <c r="N20" i="31"/>
  <c r="AL48" i="31"/>
  <c r="AU22" i="31"/>
  <c r="A24" i="31"/>
  <c r="AU30" i="31"/>
  <c r="A32" i="31"/>
  <c r="T20" i="31"/>
  <c r="T28" i="31"/>
  <c r="AM13" i="31"/>
  <c r="AM12" i="31" s="1"/>
  <c r="AM17" i="31" s="1"/>
  <c r="AK20" i="31"/>
  <c r="N26" i="31"/>
  <c r="AK28" i="31"/>
  <c r="N14" i="31"/>
  <c r="N24" i="31"/>
  <c r="N32" i="31"/>
  <c r="T24" i="31"/>
  <c r="T32" i="31"/>
  <c r="AM14" i="36"/>
  <c r="A31" i="35"/>
  <c r="AK31" i="35"/>
  <c r="T31" i="35"/>
  <c r="AU35" i="35"/>
  <c r="A23" i="35"/>
  <c r="AK23" i="35"/>
  <c r="T23" i="35"/>
  <c r="M38" i="35"/>
  <c r="AP38" i="35"/>
  <c r="AU38" i="35" s="1"/>
  <c r="AR41" i="35"/>
  <c r="M36" i="35"/>
  <c r="AP36" i="35"/>
  <c r="AU36" i="35" s="1"/>
  <c r="AU39" i="35"/>
  <c r="A21" i="35"/>
  <c r="AK27" i="35"/>
  <c r="A29" i="35"/>
  <c r="T25" i="35"/>
  <c r="T33" i="35"/>
  <c r="AK25" i="35"/>
  <c r="AK33" i="35"/>
  <c r="AN108" i="36"/>
  <c r="M38" i="39"/>
  <c r="AP38" i="39"/>
  <c r="AU38" i="39" s="1"/>
  <c r="AK30" i="39"/>
  <c r="T30" i="39"/>
  <c r="A30" i="39"/>
  <c r="AU39" i="39"/>
  <c r="T21" i="39"/>
  <c r="A21" i="39"/>
  <c r="AK21" i="39"/>
  <c r="T22" i="39"/>
  <c r="A29" i="39"/>
  <c r="M36" i="39"/>
  <c r="AP36" i="39"/>
  <c r="AU36" i="39" s="1"/>
  <c r="AK23" i="39"/>
  <c r="T23" i="39"/>
  <c r="A39" i="39"/>
  <c r="AM62" i="40"/>
  <c r="AM101" i="40"/>
  <c r="AK31" i="39"/>
  <c r="T31" i="39"/>
  <c r="A35" i="39"/>
  <c r="M35" i="39"/>
  <c r="A24" i="39"/>
  <c r="AK24" i="39"/>
  <c r="AM55" i="40"/>
  <c r="A32" i="39"/>
  <c r="AK32" i="39"/>
  <c r="T35" i="39"/>
  <c r="AP13" i="40"/>
  <c r="A34" i="39"/>
  <c r="A36" i="39"/>
  <c r="A38" i="39"/>
  <c r="AM48" i="40"/>
  <c r="AP101" i="40"/>
  <c r="AM27" i="40"/>
  <c r="AK26" i="11"/>
  <c r="T28" i="11"/>
  <c r="A32" i="15"/>
  <c r="T4" i="19"/>
  <c r="T27" i="19"/>
  <c r="A28" i="19"/>
  <c r="AP36" i="19"/>
  <c r="AU36" i="19" s="1"/>
  <c r="A23" i="19"/>
  <c r="AK23" i="19"/>
  <c r="T35" i="11"/>
  <c r="T38" i="11"/>
  <c r="A35" i="11"/>
  <c r="A20" i="15"/>
  <c r="AK27" i="15"/>
  <c r="A28" i="15"/>
  <c r="T29" i="15"/>
  <c r="T35" i="15"/>
  <c r="T37" i="15"/>
  <c r="A39" i="15"/>
  <c r="M39" i="19"/>
  <c r="T23" i="19"/>
  <c r="M37" i="19"/>
  <c r="AK32" i="11"/>
  <c r="AK32" i="15"/>
  <c r="A27" i="19"/>
  <c r="T33" i="19"/>
  <c r="M35" i="19"/>
  <c r="AM14" i="20"/>
  <c r="AM13" i="20" s="1"/>
  <c r="AM87" i="20"/>
  <c r="A24" i="11"/>
  <c r="T34" i="11"/>
  <c r="T38" i="15"/>
  <c r="AK28" i="19"/>
  <c r="AK33" i="19"/>
  <c r="AL38" i="19"/>
  <c r="A21" i="19"/>
  <c r="AK21" i="19"/>
  <c r="A34" i="11"/>
  <c r="AK4" i="12"/>
  <c r="A38" i="15"/>
  <c r="A29" i="19"/>
  <c r="AK29" i="19"/>
  <c r="A31" i="19"/>
  <c r="AK31" i="19"/>
  <c r="AL36" i="19"/>
  <c r="AP87" i="20"/>
  <c r="AP15" i="20"/>
  <c r="AP13" i="20" s="1"/>
  <c r="AM22" i="23"/>
  <c r="AP48" i="20"/>
  <c r="A29" i="23"/>
  <c r="AK29" i="23"/>
  <c r="T29" i="23"/>
  <c r="AU47" i="23"/>
  <c r="N47" i="23"/>
  <c r="AU53" i="23"/>
  <c r="N53" i="23"/>
  <c r="AU59" i="23"/>
  <c r="N59" i="23"/>
  <c r="A21" i="23"/>
  <c r="AK21" i="23"/>
  <c r="T21" i="23"/>
  <c r="D41" i="23"/>
  <c r="AR44" i="23"/>
  <c r="AM48" i="24"/>
  <c r="AM44" i="23"/>
  <c r="AU63" i="23"/>
  <c r="N63" i="23"/>
  <c r="AP27" i="24"/>
  <c r="AU23" i="23"/>
  <c r="N23" i="23"/>
  <c r="AU31" i="23"/>
  <c r="N31" i="23"/>
  <c r="M44" i="23"/>
  <c r="AU45" i="23"/>
  <c r="N45" i="23"/>
  <c r="AU51" i="23"/>
  <c r="N51" i="23"/>
  <c r="AU57" i="23"/>
  <c r="N57" i="23"/>
  <c r="AP55" i="24"/>
  <c r="AR48" i="23"/>
  <c r="AL35" i="23"/>
  <c r="AM35" i="23" s="1"/>
  <c r="E35" i="23"/>
  <c r="AL37" i="23"/>
  <c r="AM37" i="23" s="1"/>
  <c r="E37" i="23"/>
  <c r="AL39" i="23"/>
  <c r="AM39" i="23" s="1"/>
  <c r="E39" i="23"/>
  <c r="AM48" i="23"/>
  <c r="AU55" i="23"/>
  <c r="N55" i="23"/>
  <c r="AU61" i="23"/>
  <c r="N61" i="23"/>
  <c r="AO13" i="24"/>
  <c r="M48" i="23"/>
  <c r="N48" i="23" s="1"/>
  <c r="AU49" i="23"/>
  <c r="N49" i="23"/>
  <c r="T24" i="23"/>
  <c r="AU25" i="23"/>
  <c r="T32" i="23"/>
  <c r="AU33" i="23"/>
  <c r="AP34" i="23"/>
  <c r="AU34" i="23" s="1"/>
  <c r="AP36" i="23"/>
  <c r="AU36" i="23" s="1"/>
  <c r="AP38" i="23"/>
  <c r="AU38" i="23" s="1"/>
  <c r="T23" i="23"/>
  <c r="AK24" i="23"/>
  <c r="T31" i="23"/>
  <c r="AK32" i="23"/>
  <c r="A34" i="23"/>
  <c r="M34" i="23"/>
  <c r="N34" i="23" s="1"/>
  <c r="A36" i="23"/>
  <c r="A38" i="23"/>
  <c r="T22" i="23"/>
  <c r="T30" i="23"/>
  <c r="AM101" i="24"/>
  <c r="E44" i="23"/>
  <c r="E48" i="23"/>
  <c r="AM87" i="24"/>
  <c r="AL39" i="15"/>
  <c r="AK24" i="11"/>
  <c r="T36" i="11"/>
  <c r="AU13" i="15"/>
  <c r="AU37" i="15"/>
  <c r="AU39" i="15"/>
  <c r="AM41" i="16"/>
  <c r="AL37" i="15"/>
  <c r="A29" i="15"/>
  <c r="AK20" i="11"/>
  <c r="T25" i="11"/>
  <c r="T33" i="11"/>
  <c r="T39" i="11"/>
  <c r="AK30" i="15"/>
  <c r="M35" i="15"/>
  <c r="T23" i="11"/>
  <c r="T31" i="11"/>
  <c r="A39" i="11"/>
  <c r="AK4" i="15"/>
  <c r="A31" i="15"/>
  <c r="AK31" i="15"/>
  <c r="A33" i="15"/>
  <c r="AK33" i="15"/>
  <c r="M36" i="15"/>
  <c r="AP36" i="15"/>
  <c r="AU36" i="15" s="1"/>
  <c r="M37" i="15"/>
  <c r="M38" i="15"/>
  <c r="AP38" i="15"/>
  <c r="AU38" i="15" s="1"/>
  <c r="M39" i="15"/>
  <c r="AK27" i="11"/>
  <c r="A23" i="15"/>
  <c r="AK23" i="15"/>
  <c r="A25" i="15"/>
  <c r="AK25" i="15"/>
  <c r="AM14" i="16"/>
  <c r="AM13" i="16" s="1"/>
  <c r="A20" i="11"/>
  <c r="A30" i="15"/>
  <c r="T4" i="16"/>
  <c r="AM48" i="16"/>
  <c r="AM55" i="16"/>
  <c r="AM101" i="16"/>
  <c r="AP15" i="16"/>
  <c r="AP13" i="16" s="1"/>
  <c r="AM27" i="16"/>
  <c r="AP48" i="16"/>
  <c r="AM62" i="16"/>
  <c r="AK25" i="11"/>
  <c r="A27" i="11"/>
  <c r="AK33" i="11"/>
  <c r="M35" i="11"/>
  <c r="M38" i="11"/>
  <c r="AP38" i="11"/>
  <c r="AU38" i="11" s="1"/>
  <c r="M39" i="11"/>
  <c r="N13" i="11"/>
  <c r="T22" i="11"/>
  <c r="AK23" i="11"/>
  <c r="T30" i="11"/>
  <c r="AK31" i="11"/>
  <c r="M36" i="11"/>
  <c r="AP36" i="11"/>
  <c r="AU36" i="11" s="1"/>
  <c r="AU13" i="11"/>
  <c r="T21" i="11"/>
  <c r="AK22" i="11"/>
  <c r="T29" i="11"/>
  <c r="AK30" i="11"/>
  <c r="AM27" i="12"/>
  <c r="T4" i="11"/>
  <c r="AK21" i="11"/>
  <c r="AK29" i="11"/>
  <c r="AL39" i="11"/>
  <c r="AU35" i="11"/>
  <c r="AL37" i="11"/>
  <c r="AM14" i="12"/>
  <c r="AM13" i="12" s="1"/>
  <c r="AM101" i="12"/>
  <c r="A36" i="11"/>
  <c r="A38" i="11"/>
  <c r="AM48" i="12"/>
  <c r="AM55" i="12"/>
  <c r="M38" i="3"/>
  <c r="M36" i="3"/>
  <c r="M13" i="3"/>
  <c r="AU13" i="3" s="1"/>
  <c r="M37" i="3"/>
  <c r="N17" i="31" l="1"/>
  <c r="D23" i="3"/>
  <c r="AL23" i="3" s="1"/>
  <c r="H25" i="3"/>
  <c r="AP25" i="3" s="1"/>
  <c r="AP122" i="2"/>
  <c r="AM13" i="36"/>
  <c r="AP80" i="2"/>
  <c r="AM80" i="2"/>
  <c r="AM41" i="2"/>
  <c r="AP41" i="2"/>
  <c r="AM62" i="2"/>
  <c r="AP55" i="36"/>
  <c r="AP55" i="2"/>
  <c r="AL108" i="2"/>
  <c r="AP101" i="36"/>
  <c r="AP101" i="2"/>
  <c r="AM27" i="36"/>
  <c r="AM27" i="2"/>
  <c r="AM87" i="36"/>
  <c r="AM87" i="2"/>
  <c r="AO108" i="2"/>
  <c r="AN108" i="2"/>
  <c r="AP27" i="36"/>
  <c r="AP27" i="2"/>
  <c r="AP69" i="36"/>
  <c r="AP69" i="2"/>
  <c r="AM48" i="36"/>
  <c r="AM48" i="2"/>
  <c r="AP87" i="36"/>
  <c r="AP87" i="2"/>
  <c r="AM69" i="36"/>
  <c r="AM69" i="2"/>
  <c r="AP48" i="36"/>
  <c r="AP48" i="2"/>
  <c r="AM101" i="36"/>
  <c r="AM101" i="2"/>
  <c r="AM20" i="36"/>
  <c r="AM20" i="2"/>
  <c r="AM55" i="36"/>
  <c r="AM55" i="2"/>
  <c r="AP20" i="36"/>
  <c r="AP20" i="2"/>
  <c r="AP112" i="2"/>
  <c r="AP62" i="36"/>
  <c r="AP62" i="2"/>
  <c r="K23" i="3"/>
  <c r="AS23" i="3" s="1"/>
  <c r="K28" i="3"/>
  <c r="AS28" i="3" s="1"/>
  <c r="K25" i="3"/>
  <c r="AS25" i="3" s="1"/>
  <c r="K26" i="3"/>
  <c r="AS26" i="3" s="1"/>
  <c r="AP76" i="28"/>
  <c r="AM76" i="40"/>
  <c r="AP76" i="12"/>
  <c r="AM76" i="24"/>
  <c r="AP122" i="12"/>
  <c r="AP112" i="12"/>
  <c r="AP108" i="44"/>
  <c r="AP80" i="44"/>
  <c r="AP108" i="28"/>
  <c r="AP80" i="28"/>
  <c r="AP108" i="12"/>
  <c r="AP80" i="12"/>
  <c r="AM108" i="12"/>
  <c r="AM80" i="12"/>
  <c r="AP122" i="36"/>
  <c r="AP112" i="36"/>
  <c r="AM122" i="36"/>
  <c r="AM112" i="36"/>
  <c r="AM122" i="20"/>
  <c r="AM112" i="20"/>
  <c r="AM108" i="32"/>
  <c r="AM80" i="32"/>
  <c r="AP76" i="16"/>
  <c r="AM76" i="20"/>
  <c r="AP122" i="16"/>
  <c r="AP112" i="16"/>
  <c r="AM122" i="44"/>
  <c r="AM112" i="44"/>
  <c r="AP122" i="32"/>
  <c r="AP112" i="32"/>
  <c r="AM108" i="44"/>
  <c r="AM80" i="44"/>
  <c r="AP108" i="36"/>
  <c r="AP80" i="36"/>
  <c r="AM108" i="28"/>
  <c r="AM80" i="28"/>
  <c r="AM122" i="40"/>
  <c r="AM112" i="40"/>
  <c r="AP108" i="20"/>
  <c r="AP80" i="20"/>
  <c r="AP122" i="40"/>
  <c r="AP112" i="40"/>
  <c r="AM108" i="36"/>
  <c r="AM80" i="36"/>
  <c r="AP122" i="20"/>
  <c r="AP112" i="20"/>
  <c r="AM76" i="12"/>
  <c r="AM76" i="32"/>
  <c r="AP122" i="28"/>
  <c r="AP112" i="28"/>
  <c r="AM108" i="20"/>
  <c r="AM80" i="20"/>
  <c r="AM122" i="28"/>
  <c r="AM112" i="28"/>
  <c r="AP108" i="24"/>
  <c r="AP80" i="24"/>
  <c r="AP122" i="44"/>
  <c r="AP112" i="44"/>
  <c r="AM76" i="36"/>
  <c r="AM76" i="28"/>
  <c r="AP76" i="20"/>
  <c r="AP76" i="44"/>
  <c r="AP76" i="40"/>
  <c r="AP108" i="16"/>
  <c r="AP80" i="16"/>
  <c r="AM122" i="12"/>
  <c r="AM112" i="12"/>
  <c r="AM108" i="24"/>
  <c r="AM80" i="24"/>
  <c r="AP122" i="24"/>
  <c r="AP112" i="24"/>
  <c r="AP108" i="40"/>
  <c r="AP80" i="40"/>
  <c r="AM122" i="16"/>
  <c r="AM112" i="16"/>
  <c r="AP76" i="24"/>
  <c r="AM122" i="32"/>
  <c r="AM112" i="32"/>
  <c r="AM108" i="16"/>
  <c r="AM80" i="16"/>
  <c r="AM122" i="24"/>
  <c r="AM112" i="24"/>
  <c r="AM108" i="40"/>
  <c r="AM80" i="40"/>
  <c r="AP108" i="32"/>
  <c r="AP80" i="32"/>
  <c r="AS66" i="23"/>
  <c r="AS66" i="31"/>
  <c r="AP87" i="32"/>
  <c r="AL76" i="32"/>
  <c r="AL76" i="40"/>
  <c r="AL76" i="44"/>
  <c r="AN124" i="32"/>
  <c r="AN76" i="32"/>
  <c r="AN124" i="40"/>
  <c r="AN76" i="40"/>
  <c r="AN124" i="44"/>
  <c r="AN76" i="44"/>
  <c r="AL76" i="24"/>
  <c r="AO124" i="16"/>
  <c r="AO76" i="16"/>
  <c r="AO124" i="32"/>
  <c r="AN124" i="16"/>
  <c r="AN124" i="20"/>
  <c r="AR124" i="32"/>
  <c r="AO124" i="28"/>
  <c r="N12" i="31"/>
  <c r="AR124" i="24"/>
  <c r="AO124" i="40"/>
  <c r="AN124" i="28"/>
  <c r="AN124" i="36"/>
  <c r="AO124" i="44"/>
  <c r="AS124" i="24"/>
  <c r="AU38" i="43"/>
  <c r="AN124" i="12"/>
  <c r="AO124" i="20"/>
  <c r="AN124" i="24"/>
  <c r="M17" i="23"/>
  <c r="AU38" i="31"/>
  <c r="AS124" i="32"/>
  <c r="D6" i="16"/>
  <c r="AL6" i="16" s="1"/>
  <c r="D6" i="36"/>
  <c r="AL6" i="36" s="1"/>
  <c r="D6" i="2"/>
  <c r="D6" i="12"/>
  <c r="AL6" i="12" s="1"/>
  <c r="AO124" i="36"/>
  <c r="D6" i="44"/>
  <c r="AL6" i="44" s="1"/>
  <c r="D6" i="32"/>
  <c r="AL6" i="32" s="1"/>
  <c r="D6" i="24"/>
  <c r="AL6" i="24" s="1"/>
  <c r="D6" i="40"/>
  <c r="AL6" i="40" s="1"/>
  <c r="D6" i="20"/>
  <c r="AL6" i="20" s="1"/>
  <c r="D6" i="28"/>
  <c r="AL6" i="28" s="1"/>
  <c r="AL41" i="31"/>
  <c r="AO124" i="24"/>
  <c r="E41" i="31"/>
  <c r="AM34" i="31"/>
  <c r="AM41" i="31" s="1"/>
  <c r="AS66" i="35"/>
  <c r="AS66" i="43"/>
  <c r="AU48" i="23"/>
  <c r="M35" i="3"/>
  <c r="M39" i="3"/>
  <c r="AO124" i="12"/>
  <c r="AQ41" i="31"/>
  <c r="E41" i="23"/>
  <c r="AM41" i="23"/>
  <c r="AU41" i="23"/>
  <c r="M41" i="23"/>
  <c r="AU37" i="31"/>
  <c r="M41" i="31"/>
  <c r="AL41" i="23"/>
  <c r="N44" i="23"/>
  <c r="AP41" i="23"/>
  <c r="AU44" i="23"/>
  <c r="N17" i="23" l="1"/>
  <c r="N41" i="23"/>
  <c r="N41" i="31"/>
  <c r="AM112" i="2"/>
  <c r="AM108" i="2"/>
  <c r="AP108" i="2"/>
  <c r="AO124" i="2"/>
  <c r="AO76" i="2"/>
  <c r="AN124" i="2"/>
  <c r="AN76" i="2"/>
  <c r="AM122" i="2"/>
  <c r="AM124" i="16"/>
  <c r="AM76" i="16"/>
  <c r="AP124" i="32"/>
  <c r="AP76" i="32"/>
  <c r="AM124" i="44"/>
  <c r="AM76" i="44"/>
  <c r="AP124" i="36"/>
  <c r="AP76" i="36"/>
  <c r="AP124" i="16"/>
  <c r="AM124" i="36"/>
  <c r="AM124" i="32"/>
  <c r="AP124" i="28"/>
  <c r="AM124" i="20"/>
  <c r="AP124" i="24"/>
  <c r="AP124" i="40"/>
  <c r="AP124" i="20"/>
  <c r="AP124" i="44"/>
  <c r="AM124" i="28"/>
  <c r="AP124" i="12"/>
  <c r="AM124" i="24"/>
  <c r="AU41" i="31"/>
  <c r="AM124" i="40"/>
  <c r="AM124" i="12"/>
  <c r="M23" i="3"/>
  <c r="AU23" i="3" s="1"/>
  <c r="M32" i="3" l="1"/>
  <c r="AU32" i="3" s="1"/>
  <c r="M34" i="3"/>
  <c r="M33" i="3"/>
  <c r="AU33" i="3" s="1"/>
  <c r="M30" i="3"/>
  <c r="AU30" i="3" s="1"/>
  <c r="M29" i="3"/>
  <c r="AU29" i="3" s="1"/>
  <c r="M31" i="3"/>
  <c r="AU31" i="3" s="1"/>
  <c r="M25" i="3"/>
  <c r="AU25" i="3" s="1"/>
  <c r="T64" i="3" l="1"/>
  <c r="T63" i="3"/>
  <c r="T62" i="3"/>
  <c r="T61" i="3"/>
  <c r="T60" i="3"/>
  <c r="T59" i="3"/>
  <c r="T58" i="3"/>
  <c r="T57" i="3"/>
  <c r="T56" i="3"/>
  <c r="T55" i="3"/>
  <c r="T54" i="3"/>
  <c r="T53" i="3"/>
  <c r="T52" i="3"/>
  <c r="T51" i="3"/>
  <c r="T50" i="3"/>
  <c r="T49" i="3"/>
  <c r="T48" i="3"/>
  <c r="T47" i="3"/>
  <c r="T46" i="3"/>
  <c r="T45" i="3"/>
  <c r="T44" i="3"/>
  <c r="T15" i="3"/>
  <c r="T14" i="3"/>
  <c r="T13" i="3"/>
  <c r="T12" i="3"/>
  <c r="T14" i="2"/>
  <c r="T13" i="2"/>
  <c r="C4" i="2" l="1"/>
  <c r="AK4" i="2" s="1"/>
  <c r="AU7" i="2"/>
  <c r="AR7" i="2"/>
  <c r="AL6" i="2"/>
  <c r="AL7" i="2"/>
  <c r="AV8" i="2"/>
  <c r="AU8" i="2"/>
  <c r="AS8" i="2"/>
  <c r="AR8" i="2"/>
  <c r="AP8" i="2"/>
  <c r="AO8" i="2"/>
  <c r="AN8" i="2"/>
  <c r="AM8" i="2"/>
  <c r="AL8" i="2"/>
  <c r="AK13" i="2"/>
  <c r="AK14" i="2"/>
  <c r="T39" i="3"/>
  <c r="T38" i="3"/>
  <c r="T37" i="3"/>
  <c r="T36" i="3"/>
  <c r="T35" i="3"/>
  <c r="T34" i="3"/>
  <c r="T33" i="3"/>
  <c r="T32" i="3"/>
  <c r="T31" i="3"/>
  <c r="T30" i="3"/>
  <c r="T29" i="3"/>
  <c r="T28" i="3"/>
  <c r="T27" i="3"/>
  <c r="T26" i="3"/>
  <c r="T25" i="3"/>
  <c r="T24" i="3"/>
  <c r="T23" i="3"/>
  <c r="T22" i="3"/>
  <c r="T21" i="3"/>
  <c r="T20" i="3"/>
  <c r="AQ34" i="3"/>
  <c r="AR34" i="3"/>
  <c r="AS34" i="3"/>
  <c r="AQ35" i="3"/>
  <c r="AR35" i="3"/>
  <c r="AS35" i="3"/>
  <c r="AQ36" i="3"/>
  <c r="AR36" i="3"/>
  <c r="AS36" i="3"/>
  <c r="AQ37" i="3"/>
  <c r="AR37" i="3"/>
  <c r="AS37" i="3"/>
  <c r="AQ38" i="3"/>
  <c r="AR38" i="3"/>
  <c r="AS38" i="3"/>
  <c r="AQ39" i="3"/>
  <c r="AR39" i="3"/>
  <c r="AS39" i="3"/>
  <c r="BD7" i="7"/>
  <c r="C4" i="3"/>
  <c r="AK4" i="3" s="1"/>
  <c r="C3" i="12" l="1"/>
  <c r="C3" i="3"/>
  <c r="C3" i="2"/>
  <c r="AK3" i="2" s="1"/>
  <c r="C3" i="43"/>
  <c r="C3" i="44"/>
  <c r="C3" i="40"/>
  <c r="C3" i="35"/>
  <c r="C3" i="36"/>
  <c r="C3" i="39"/>
  <c r="C3" i="28"/>
  <c r="C3" i="23"/>
  <c r="C3" i="24"/>
  <c r="C3" i="32"/>
  <c r="C3" i="27"/>
  <c r="C3" i="31"/>
  <c r="C3" i="20"/>
  <c r="C3" i="15"/>
  <c r="C3" i="16"/>
  <c r="C3" i="19"/>
  <c r="C3" i="11"/>
  <c r="T3" i="3"/>
  <c r="AK32" i="3"/>
  <c r="A32" i="3"/>
  <c r="AK25" i="3"/>
  <c r="A25" i="3"/>
  <c r="AK33" i="3"/>
  <c r="A33" i="3"/>
  <c r="AK26" i="3"/>
  <c r="A26" i="3"/>
  <c r="AK34" i="3"/>
  <c r="A34" i="3"/>
  <c r="AK35" i="3"/>
  <c r="A35" i="3"/>
  <c r="AK27" i="3"/>
  <c r="A27" i="3"/>
  <c r="AK20" i="3"/>
  <c r="A20" i="3"/>
  <c r="AK36" i="3"/>
  <c r="A36" i="3"/>
  <c r="AK28" i="3"/>
  <c r="A28" i="3"/>
  <c r="AK21" i="3"/>
  <c r="A21" i="3"/>
  <c r="AK29" i="3"/>
  <c r="A29" i="3"/>
  <c r="AK37" i="3"/>
  <c r="A37" i="3"/>
  <c r="AK22" i="3"/>
  <c r="A22" i="3"/>
  <c r="AK30" i="3"/>
  <c r="A30" i="3"/>
  <c r="AK38" i="3"/>
  <c r="A38" i="3"/>
  <c r="AK31" i="3"/>
  <c r="A31" i="3"/>
  <c r="AK23" i="3"/>
  <c r="A23" i="3"/>
  <c r="AK39" i="3"/>
  <c r="A39" i="3"/>
  <c r="AK24" i="3"/>
  <c r="A24" i="3"/>
  <c r="T4" i="3"/>
  <c r="AP14" i="2"/>
  <c r="T4" i="2"/>
  <c r="AK3" i="19" l="1"/>
  <c r="T3" i="19"/>
  <c r="T3" i="27"/>
  <c r="AK3" i="27"/>
  <c r="AK3" i="28"/>
  <c r="T3" i="28"/>
  <c r="AK3" i="12"/>
  <c r="T3" i="12"/>
  <c r="AK3" i="40"/>
  <c r="T3" i="40"/>
  <c r="AK3" i="35"/>
  <c r="T3" i="35"/>
  <c r="AK3" i="15"/>
  <c r="T3" i="15"/>
  <c r="AK3" i="32"/>
  <c r="T3" i="32"/>
  <c r="T3" i="11"/>
  <c r="AK3" i="11"/>
  <c r="T3" i="20"/>
  <c r="AK3" i="20"/>
  <c r="AK3" i="24"/>
  <c r="T3" i="24"/>
  <c r="T3" i="39"/>
  <c r="AK3" i="39"/>
  <c r="AK3" i="44"/>
  <c r="T3" i="44"/>
  <c r="AK3" i="43"/>
  <c r="T3" i="43"/>
  <c r="AK3" i="16"/>
  <c r="T3" i="16"/>
  <c r="T3" i="31"/>
  <c r="AK3" i="31"/>
  <c r="T3" i="23"/>
  <c r="AK3" i="23"/>
  <c r="T3" i="36"/>
  <c r="AK3" i="36"/>
  <c r="AK3" i="3"/>
  <c r="T3" i="2"/>
  <c r="AP39" i="3" l="1"/>
  <c r="AU39" i="3" s="1"/>
  <c r="AP38" i="3"/>
  <c r="AU38" i="3" s="1"/>
  <c r="AP37" i="3"/>
  <c r="AU37" i="3" s="1"/>
  <c r="AP36" i="3"/>
  <c r="AU36" i="3" s="1"/>
  <c r="AP35" i="3"/>
  <c r="AU35" i="3" s="1"/>
  <c r="AP34" i="3"/>
  <c r="AU34" i="3" s="1"/>
  <c r="AN39" i="3"/>
  <c r="AN38" i="3"/>
  <c r="AN37" i="3"/>
  <c r="AN36" i="3"/>
  <c r="AN35" i="3"/>
  <c r="AN34" i="3"/>
  <c r="AL39" i="3"/>
  <c r="AL38" i="3"/>
  <c r="AL37" i="3"/>
  <c r="AL36" i="3"/>
  <c r="AL35" i="3"/>
  <c r="AL34" i="3"/>
  <c r="AO56" i="3"/>
  <c r="AO48" i="3"/>
  <c r="AO44" i="3"/>
  <c r="AO17" i="3"/>
  <c r="AL76" i="2" l="1"/>
  <c r="AO13" i="2"/>
  <c r="AM34" i="3"/>
  <c r="AL13" i="2"/>
  <c r="AM35" i="3"/>
  <c r="AM36" i="3"/>
  <c r="AM37" i="3"/>
  <c r="AM38" i="3"/>
  <c r="AM39" i="3"/>
  <c r="G56" i="3" l="1"/>
  <c r="G48" i="3"/>
  <c r="G44" i="3"/>
  <c r="N39" i="3"/>
  <c r="N38" i="3"/>
  <c r="N37" i="3"/>
  <c r="N36" i="3"/>
  <c r="N35" i="3"/>
  <c r="N34" i="3"/>
  <c r="N33" i="3"/>
  <c r="E33" i="3"/>
  <c r="AM33" i="3" s="1"/>
  <c r="N32" i="3"/>
  <c r="E32" i="3"/>
  <c r="AM32" i="3" s="1"/>
  <c r="N31" i="3"/>
  <c r="E31" i="3"/>
  <c r="AM31" i="3" s="1"/>
  <c r="N30" i="3"/>
  <c r="E30" i="3"/>
  <c r="AM30" i="3" s="1"/>
  <c r="N29" i="3"/>
  <c r="E29" i="3"/>
  <c r="AM29" i="3" s="1"/>
  <c r="N25" i="3"/>
  <c r="E25" i="3"/>
  <c r="AM25" i="3" s="1"/>
  <c r="N23" i="3"/>
  <c r="E23" i="3"/>
  <c r="AM23" i="3" s="1"/>
  <c r="G17" i="3"/>
  <c r="N13" i="3"/>
  <c r="E13" i="3"/>
  <c r="AM13" i="3" s="1"/>
  <c r="AM14" i="2" l="1"/>
  <c r="AN13" i="2" l="1"/>
  <c r="AM13" i="2"/>
  <c r="AP13" i="2"/>
  <c r="AM124" i="2" l="1"/>
  <c r="AP76" i="2"/>
  <c r="AP124" i="2"/>
  <c r="AS21" i="11"/>
  <c r="AM76" i="2" l="1"/>
  <c r="AS31" i="11"/>
  <c r="AS32" i="11"/>
  <c r="AS26" i="11"/>
  <c r="AS28" i="11"/>
  <c r="AS30" i="11"/>
  <c r="AS24" i="11"/>
  <c r="AS23" i="11"/>
  <c r="AS25" i="11"/>
  <c r="AS33" i="11"/>
  <c r="AS34" i="11"/>
  <c r="AS27" i="11"/>
  <c r="AS29" i="11"/>
  <c r="AS22" i="11"/>
  <c r="AS14" i="11" l="1"/>
  <c r="AS12" i="11" s="1"/>
  <c r="K20" i="3" l="1"/>
  <c r="AS20" i="11"/>
  <c r="AS41" i="11" s="1"/>
  <c r="AS20" i="3" l="1"/>
  <c r="AS15" i="11" l="1"/>
  <c r="AS17" i="11" s="1"/>
  <c r="AS45" i="11" l="1"/>
  <c r="AS59" i="11"/>
  <c r="AS64" i="11"/>
  <c r="AS46" i="11"/>
  <c r="AS62" i="11"/>
  <c r="AS61" i="11"/>
  <c r="AS60" i="11"/>
  <c r="AS63" i="11"/>
  <c r="AS57" i="11" l="1"/>
  <c r="AS50" i="11"/>
  <c r="AS54" i="11"/>
  <c r="AS51" i="11"/>
  <c r="AS52" i="11"/>
  <c r="AS47" i="11"/>
  <c r="AS44" i="11" s="1"/>
  <c r="AS49" i="11" l="1"/>
  <c r="AS55" i="11"/>
  <c r="AS53" i="11"/>
  <c r="AS48" i="11" l="1"/>
  <c r="AS58" i="11" l="1"/>
  <c r="AS56" i="11" s="1"/>
  <c r="AS66" i="11" s="1"/>
  <c r="AR64" i="28" l="1"/>
  <c r="AR95" i="28"/>
  <c r="AU64" i="28" l="1"/>
  <c r="AS64" i="28"/>
  <c r="AS95" i="28" l="1"/>
  <c r="AR58" i="35" l="1"/>
  <c r="AR56" i="35" s="1"/>
  <c r="AR66" i="35" s="1"/>
  <c r="AR57" i="44" l="1"/>
  <c r="AR56" i="44"/>
  <c r="AR103" i="44"/>
  <c r="AR102" i="44"/>
  <c r="AR70" i="44"/>
  <c r="AR64" i="44"/>
  <c r="AS95" i="44"/>
  <c r="AR95" i="44"/>
  <c r="AR63" i="44"/>
  <c r="AR50" i="44"/>
  <c r="AR49" i="44"/>
  <c r="AR89" i="44"/>
  <c r="AR44" i="44"/>
  <c r="AR88" i="44"/>
  <c r="AR43" i="44"/>
  <c r="AR42" i="44"/>
  <c r="AR31" i="44"/>
  <c r="AR30" i="44"/>
  <c r="AR29" i="44"/>
  <c r="AR28" i="44"/>
  <c r="AR81" i="44"/>
  <c r="AR21" i="44"/>
  <c r="AR16" i="44"/>
  <c r="AR15" i="44" l="1"/>
  <c r="AR27" i="44"/>
  <c r="AR41" i="44"/>
  <c r="AR48" i="44"/>
  <c r="AR101" i="44"/>
  <c r="AR62" i="44"/>
  <c r="AR55" i="44"/>
  <c r="AS64" i="44"/>
  <c r="AR87" i="44" l="1"/>
  <c r="AR108" i="44"/>
  <c r="AU64" i="44"/>
  <c r="AR28" i="43" l="1"/>
  <c r="AR32" i="43"/>
  <c r="AR24" i="43"/>
  <c r="AR30" i="43" l="1"/>
  <c r="AR27" i="43"/>
  <c r="AR23" i="43"/>
  <c r="AR33" i="43"/>
  <c r="AR22" i="43"/>
  <c r="AR21" i="43"/>
  <c r="AR31" i="43"/>
  <c r="AR29" i="43"/>
  <c r="AR34" i="43"/>
  <c r="AR14" i="44"/>
  <c r="AR13" i="44" s="1"/>
  <c r="AR25" i="43"/>
  <c r="AR26" i="43"/>
  <c r="AR124" i="44" l="1"/>
  <c r="AR76" i="44"/>
  <c r="AR14" i="43" l="1"/>
  <c r="AR12" i="43" s="1"/>
  <c r="J28" i="3" l="1"/>
  <c r="AR20" i="43"/>
  <c r="AR41" i="43" s="1"/>
  <c r="AR28" i="3" l="1"/>
  <c r="AR15" i="43" l="1"/>
  <c r="AR17" i="43" s="1"/>
  <c r="AR57" i="43" l="1"/>
  <c r="AR64" i="43"/>
  <c r="AR63" i="43"/>
  <c r="AR60" i="43"/>
  <c r="AR59" i="43"/>
  <c r="AR62" i="43"/>
  <c r="AR61" i="43"/>
  <c r="AR47" i="43" l="1"/>
  <c r="AR52" i="43"/>
  <c r="AR54" i="43"/>
  <c r="AR51" i="43"/>
  <c r="AR45" i="43"/>
  <c r="AR46" i="43"/>
  <c r="AR44" i="43" l="1"/>
  <c r="AR49" i="43"/>
  <c r="AR55" i="43"/>
  <c r="AR53" i="43"/>
  <c r="AR50" i="43"/>
  <c r="AR48" i="43" l="1"/>
  <c r="AR58" i="43" l="1"/>
  <c r="AR56" i="43" s="1"/>
  <c r="AR66" i="43" s="1"/>
  <c r="AR81" i="12" l="1"/>
  <c r="AR31" i="12"/>
  <c r="AS88" i="12"/>
  <c r="AU50" i="12"/>
  <c r="AS102" i="12"/>
  <c r="AR28" i="12"/>
  <c r="AS31" i="12"/>
  <c r="AR44" i="12"/>
  <c r="AR63" i="12"/>
  <c r="AR103" i="12"/>
  <c r="AR102" i="12"/>
  <c r="AR16" i="12"/>
  <c r="AU28" i="12"/>
  <c r="AU31" i="12"/>
  <c r="AU44" i="12"/>
  <c r="AU63" i="12"/>
  <c r="AR56" i="12"/>
  <c r="AR88" i="12"/>
  <c r="AS16" i="12"/>
  <c r="AR29" i="12"/>
  <c r="AR42" i="12"/>
  <c r="AR89" i="12"/>
  <c r="AR95" i="12"/>
  <c r="AS56" i="12"/>
  <c r="AU21" i="12"/>
  <c r="AU16" i="12"/>
  <c r="AS29" i="12"/>
  <c r="AU42" i="12"/>
  <c r="AS89" i="12"/>
  <c r="AS95" i="12"/>
  <c r="AU56" i="12"/>
  <c r="AR50" i="12"/>
  <c r="AR21" i="12"/>
  <c r="AU29" i="12"/>
  <c r="AR43" i="12"/>
  <c r="AR49" i="12"/>
  <c r="AR64" i="12"/>
  <c r="AR57" i="12"/>
  <c r="AU30" i="12"/>
  <c r="AS21" i="12"/>
  <c r="AR30" i="12"/>
  <c r="AS43" i="12"/>
  <c r="AU49" i="12"/>
  <c r="AR70" i="12"/>
  <c r="AS57" i="12"/>
  <c r="AR62" i="12"/>
  <c r="AR55" i="12"/>
  <c r="AU14" i="12"/>
  <c r="AR15" i="12"/>
  <c r="AU15" i="12"/>
  <c r="AR27" i="12"/>
  <c r="AR41" i="12"/>
  <c r="AR48" i="12"/>
  <c r="AR101" i="12"/>
  <c r="AS55" i="12"/>
  <c r="AR87" i="12" l="1"/>
  <c r="AR108" i="12"/>
  <c r="AS87" i="12"/>
  <c r="AS70" i="12"/>
  <c r="AU43" i="12"/>
  <c r="AS63" i="12"/>
  <c r="AS50" i="12"/>
  <c r="AS30" i="12"/>
  <c r="AU64" i="12"/>
  <c r="AS64" i="12"/>
  <c r="AS49" i="12"/>
  <c r="AS81" i="12"/>
  <c r="AS103" i="12"/>
  <c r="AS44" i="12"/>
  <c r="AS28" i="12"/>
  <c r="AS113" i="12"/>
  <c r="AU70" i="12"/>
  <c r="AU27" i="12"/>
  <c r="AU48" i="12"/>
  <c r="AU57" i="12"/>
  <c r="AS48" i="12"/>
  <c r="AS14" i="12"/>
  <c r="AU13" i="12"/>
  <c r="AS15" i="12"/>
  <c r="AS27" i="12"/>
  <c r="AS122" i="12"/>
  <c r="AS62" i="12"/>
  <c r="AS108" i="12" l="1"/>
  <c r="AS101" i="12"/>
  <c r="AU62" i="12"/>
  <c r="AU55" i="12"/>
  <c r="AU41" i="12"/>
  <c r="AS13" i="12"/>
  <c r="AU76" i="12" l="1"/>
  <c r="AL32" i="11"/>
  <c r="AL21" i="11"/>
  <c r="AL24" i="11"/>
  <c r="AL31" i="11"/>
  <c r="AL26" i="11"/>
  <c r="AL30" i="11"/>
  <c r="AR29" i="11"/>
  <c r="AL27" i="11"/>
  <c r="AL23" i="11"/>
  <c r="AL29" i="11"/>
  <c r="AL25" i="11"/>
  <c r="AR25" i="11"/>
  <c r="AL33" i="11"/>
  <c r="AL22" i="11"/>
  <c r="AL28" i="11"/>
  <c r="AP21" i="11" l="1"/>
  <c r="AQ21" i="11"/>
  <c r="AR26" i="11"/>
  <c r="AR22" i="11"/>
  <c r="AR30" i="11"/>
  <c r="AR21" i="11"/>
  <c r="AR23" i="11"/>
  <c r="AR27" i="11"/>
  <c r="AR32" i="11"/>
  <c r="AR24" i="11"/>
  <c r="AR31" i="11"/>
  <c r="AR28" i="11"/>
  <c r="AR33" i="11"/>
  <c r="M21" i="11" l="1"/>
  <c r="AL34" i="11"/>
  <c r="AQ34" i="11"/>
  <c r="AQ31" i="11"/>
  <c r="AQ30" i="11"/>
  <c r="AQ29" i="11"/>
  <c r="AQ28" i="11"/>
  <c r="AQ27" i="11"/>
  <c r="AQ26" i="11"/>
  <c r="AQ25" i="11"/>
  <c r="AQ24" i="11"/>
  <c r="AQ23" i="11"/>
  <c r="AQ22" i="11"/>
  <c r="M26" i="11" l="1"/>
  <c r="AQ33" i="11"/>
  <c r="M23" i="11"/>
  <c r="AP23" i="11"/>
  <c r="M27" i="11"/>
  <c r="AP27" i="11"/>
  <c r="AQ32" i="11"/>
  <c r="AR34" i="11"/>
  <c r="AP22" i="11"/>
  <c r="M22" i="11"/>
  <c r="AP26" i="11"/>
  <c r="AP34" i="11"/>
  <c r="AU34" i="11" s="1"/>
  <c r="AP25" i="11"/>
  <c r="M25" i="11"/>
  <c r="AP24" i="11"/>
  <c r="M24" i="11"/>
  <c r="AP32" i="11"/>
  <c r="AU21" i="11"/>
  <c r="M32" i="11" l="1"/>
  <c r="AU32" i="11" s="1"/>
  <c r="M34" i="11"/>
  <c r="AP28" i="11"/>
  <c r="M28" i="11"/>
  <c r="AU23" i="11"/>
  <c r="AU24" i="11"/>
  <c r="M33" i="11"/>
  <c r="AP33" i="11"/>
  <c r="M29" i="11"/>
  <c r="AP29" i="11"/>
  <c r="AP30" i="11"/>
  <c r="M30" i="11"/>
  <c r="AU25" i="11"/>
  <c r="AU26" i="11"/>
  <c r="AP31" i="11"/>
  <c r="M31" i="11"/>
  <c r="AU22" i="11"/>
  <c r="AU27" i="11"/>
  <c r="AU33" i="11" l="1"/>
  <c r="AU30" i="11"/>
  <c r="AU29" i="11"/>
  <c r="AU28" i="11"/>
  <c r="AU31" i="11"/>
  <c r="AR14" i="12" l="1"/>
  <c r="AR13" i="12" s="1"/>
  <c r="AR124" i="12" l="1"/>
  <c r="AR76" i="12"/>
  <c r="D12" i="11" l="1"/>
  <c r="AL14" i="11"/>
  <c r="AL12" i="11" s="1"/>
  <c r="F12" i="11" l="1"/>
  <c r="E14" i="11"/>
  <c r="AN14" i="11"/>
  <c r="AN12" i="11" s="1"/>
  <c r="AQ14" i="11"/>
  <c r="AQ12" i="11" s="1"/>
  <c r="I12" i="11"/>
  <c r="E12" i="11" l="1"/>
  <c r="AM14" i="11"/>
  <c r="AM12" i="11" s="1"/>
  <c r="I41" i="11" l="1"/>
  <c r="AQ20" i="11"/>
  <c r="AQ41" i="11" s="1"/>
  <c r="H41" i="11"/>
  <c r="AP20" i="11"/>
  <c r="AP41" i="11" s="1"/>
  <c r="M20" i="11"/>
  <c r="J20" i="3"/>
  <c r="AR20" i="11"/>
  <c r="AR41" i="11" s="1"/>
  <c r="H20" i="3" l="1"/>
  <c r="AP20" i="3" s="1"/>
  <c r="I20" i="3"/>
  <c r="AR20" i="3"/>
  <c r="AU20" i="11"/>
  <c r="AU41" i="11" s="1"/>
  <c r="M41" i="11"/>
  <c r="M20" i="3" l="1"/>
  <c r="AU20" i="3" s="1"/>
  <c r="AQ20" i="3"/>
  <c r="AN29" i="11" l="1"/>
  <c r="E29" i="11"/>
  <c r="AM29" i="11" s="1"/>
  <c r="N29" i="11"/>
  <c r="AN36" i="11"/>
  <c r="AM36" i="11" s="1"/>
  <c r="N36" i="11"/>
  <c r="E36" i="11"/>
  <c r="N39" i="11"/>
  <c r="AN39" i="11"/>
  <c r="AM39" i="11" s="1"/>
  <c r="E39" i="11"/>
  <c r="E26" i="11"/>
  <c r="AM26" i="11" s="1"/>
  <c r="AN26" i="11"/>
  <c r="N26" i="11"/>
  <c r="N37" i="11"/>
  <c r="E37" i="11"/>
  <c r="AN37" i="11"/>
  <c r="AM37" i="11" s="1"/>
  <c r="AN38" i="11"/>
  <c r="AM38" i="11" s="1"/>
  <c r="N38" i="11"/>
  <c r="E38" i="11"/>
  <c r="E22" i="11"/>
  <c r="AM22" i="11" s="1"/>
  <c r="AN22" i="11"/>
  <c r="N22" i="11"/>
  <c r="E34" i="11"/>
  <c r="AN34" i="11"/>
  <c r="AM34" i="11" s="1"/>
  <c r="N34" i="11"/>
  <c r="E32" i="11"/>
  <c r="AM32" i="11" s="1"/>
  <c r="AN32" i="11"/>
  <c r="N32" i="11"/>
  <c r="AN35" i="11"/>
  <c r="AM35" i="11" s="1"/>
  <c r="N35" i="11"/>
  <c r="E35" i="11"/>
  <c r="AN27" i="11"/>
  <c r="E27" i="11"/>
  <c r="AM27" i="11" s="1"/>
  <c r="N27" i="11"/>
  <c r="E23" i="11"/>
  <c r="AM23" i="11" s="1"/>
  <c r="AN23" i="11"/>
  <c r="N23" i="11"/>
  <c r="AN21" i="11"/>
  <c r="E21" i="11"/>
  <c r="AM21" i="11" s="1"/>
  <c r="N21" i="11"/>
  <c r="AN25" i="11"/>
  <c r="E25" i="11"/>
  <c r="AM25" i="11" s="1"/>
  <c r="N25" i="11"/>
  <c r="AN30" i="11"/>
  <c r="E30" i="11"/>
  <c r="AM30" i="11" s="1"/>
  <c r="N30" i="11"/>
  <c r="AN33" i="11"/>
  <c r="E33" i="11"/>
  <c r="AM33" i="11" s="1"/>
  <c r="N33" i="11"/>
  <c r="AN28" i="11"/>
  <c r="E28" i="11"/>
  <c r="AM28" i="11" s="1"/>
  <c r="N28" i="11"/>
  <c r="E31" i="11"/>
  <c r="AM31" i="11" s="1"/>
  <c r="AN31" i="11"/>
  <c r="N31" i="11"/>
  <c r="AN24" i="11"/>
  <c r="E24" i="11"/>
  <c r="AM24" i="11" s="1"/>
  <c r="N24" i="11"/>
  <c r="AL20" i="11" l="1"/>
  <c r="AL41" i="11" s="1"/>
  <c r="D41" i="11"/>
  <c r="AR15" i="11"/>
  <c r="AQ15" i="11"/>
  <c r="AQ17" i="11" s="1"/>
  <c r="I17" i="11"/>
  <c r="AP15" i="11"/>
  <c r="M15" i="11"/>
  <c r="D20" i="3" l="1"/>
  <c r="AL20" i="3" s="1"/>
  <c r="AU15" i="11"/>
  <c r="AL15" i="11"/>
  <c r="AL17" i="11" s="1"/>
  <c r="D17" i="11"/>
  <c r="E15" i="11" l="1"/>
  <c r="AN15" i="11"/>
  <c r="AN17" i="11" s="1"/>
  <c r="F17" i="11"/>
  <c r="N15" i="11"/>
  <c r="AM15" i="11" l="1"/>
  <c r="AM17" i="11" s="1"/>
  <c r="E17" i="11"/>
  <c r="AN20" i="11" l="1"/>
  <c r="AN41" i="11" s="1"/>
  <c r="F41" i="11"/>
  <c r="E20" i="11"/>
  <c r="N20" i="11"/>
  <c r="E41" i="11" l="1"/>
  <c r="AM20" i="11"/>
  <c r="AM41" i="11" s="1"/>
  <c r="F20" i="3"/>
  <c r="N41" i="11"/>
  <c r="AN20" i="3" l="1"/>
  <c r="E20" i="3"/>
  <c r="N20" i="3"/>
  <c r="AM20" i="3" l="1"/>
  <c r="AP54" i="11" l="1"/>
  <c r="AP52" i="11"/>
  <c r="AQ63" i="11"/>
  <c r="AR63" i="11"/>
  <c r="M45" i="11"/>
  <c r="AQ51" i="11"/>
  <c r="M62" i="11"/>
  <c r="AP62" i="11"/>
  <c r="AQ61" i="11"/>
  <c r="M57" i="11"/>
  <c r="AQ57" i="11"/>
  <c r="AP46" i="11"/>
  <c r="M64" i="11"/>
  <c r="AP64" i="11"/>
  <c r="AP59" i="11"/>
  <c r="M59" i="11"/>
  <c r="AQ45" i="11"/>
  <c r="AP63" i="11"/>
  <c r="M63" i="11"/>
  <c r="AR64" i="11"/>
  <c r="AP45" i="11"/>
  <c r="AP57" i="11"/>
  <c r="AQ54" i="11"/>
  <c r="AQ62" i="11"/>
  <c r="AR61" i="11"/>
  <c r="AR57" i="11"/>
  <c r="AR60" i="11"/>
  <c r="AQ59" i="11"/>
  <c r="AR59" i="11"/>
  <c r="M61" i="11"/>
  <c r="AP61" i="11"/>
  <c r="AQ64" i="11"/>
  <c r="AP60" i="11"/>
  <c r="M60" i="11"/>
  <c r="AQ60" i="11"/>
  <c r="AR62" i="11"/>
  <c r="AP50" i="11" l="1"/>
  <c r="AU60" i="11"/>
  <c r="AU61" i="11"/>
  <c r="AU63" i="11"/>
  <c r="AU59" i="11"/>
  <c r="AL57" i="11"/>
  <c r="AU62" i="11"/>
  <c r="AL63" i="11"/>
  <c r="AQ55" i="11"/>
  <c r="AR54" i="11"/>
  <c r="AR51" i="11"/>
  <c r="AP47" i="11"/>
  <c r="AP44" i="11" s="1"/>
  <c r="M47" i="11"/>
  <c r="AL59" i="11"/>
  <c r="AP51" i="11"/>
  <c r="M51" i="11"/>
  <c r="H44" i="11"/>
  <c r="M54" i="11"/>
  <c r="AL64" i="11"/>
  <c r="AR47" i="11"/>
  <c r="M46" i="11"/>
  <c r="AQ46" i="11"/>
  <c r="AR46" i="11"/>
  <c r="I44" i="11"/>
  <c r="AU64" i="11"/>
  <c r="AU57" i="11"/>
  <c r="AR45" i="11"/>
  <c r="AL62" i="11"/>
  <c r="AP55" i="11"/>
  <c r="M52" i="11"/>
  <c r="AQ52" i="11"/>
  <c r="AR52" i="11"/>
  <c r="AL61" i="11"/>
  <c r="AU45" i="11"/>
  <c r="AQ47" i="11"/>
  <c r="AL60" i="11"/>
  <c r="M44" i="11" l="1"/>
  <c r="AQ44" i="11"/>
  <c r="M55" i="11"/>
  <c r="AU55" i="11" s="1"/>
  <c r="AU46" i="11"/>
  <c r="AR50" i="11"/>
  <c r="AR53" i="11"/>
  <c r="AU52" i="11"/>
  <c r="I48" i="11"/>
  <c r="AQ49" i="11"/>
  <c r="M49" i="11"/>
  <c r="AP49" i="11"/>
  <c r="H48" i="11"/>
  <c r="AP53" i="11"/>
  <c r="M53" i="11"/>
  <c r="AU51" i="11"/>
  <c r="AR44" i="11"/>
  <c r="AR49" i="11"/>
  <c r="AQ53" i="11"/>
  <c r="AU47" i="11"/>
  <c r="AU54" i="11"/>
  <c r="M50" i="11"/>
  <c r="AQ50" i="11"/>
  <c r="AR55" i="11"/>
  <c r="AU44" i="11" l="1"/>
  <c r="AU49" i="11"/>
  <c r="M48" i="11"/>
  <c r="AU50" i="11"/>
  <c r="AQ48" i="11"/>
  <c r="AR48" i="11"/>
  <c r="AU53" i="11"/>
  <c r="AP48" i="11"/>
  <c r="AU48" i="11" l="1"/>
  <c r="AL52" i="11"/>
  <c r="AL45" i="11"/>
  <c r="D44" i="11"/>
  <c r="AL51" i="11"/>
  <c r="AL46" i="11"/>
  <c r="AL47" i="11"/>
  <c r="AL54" i="11"/>
  <c r="AL55" i="11" l="1"/>
  <c r="AL44" i="11"/>
  <c r="AL50" i="11"/>
  <c r="AL49" i="11"/>
  <c r="D48" i="11"/>
  <c r="AL53" i="11"/>
  <c r="AL48" i="11" l="1"/>
  <c r="AN53" i="11" l="1"/>
  <c r="E53" i="11"/>
  <c r="AM53" i="11" s="1"/>
  <c r="N53" i="11"/>
  <c r="E60" i="11"/>
  <c r="AM60" i="11" s="1"/>
  <c r="AN60" i="11"/>
  <c r="N60" i="11"/>
  <c r="AN54" i="11"/>
  <c r="E54" i="11"/>
  <c r="AM54" i="11" s="1"/>
  <c r="N54" i="11"/>
  <c r="E45" i="11"/>
  <c r="AN45" i="11"/>
  <c r="F44" i="11"/>
  <c r="N45" i="11"/>
  <c r="AN62" i="11"/>
  <c r="E62" i="11"/>
  <c r="AM62" i="11" s="1"/>
  <c r="N62" i="11"/>
  <c r="E64" i="11"/>
  <c r="AM64" i="11" s="1"/>
  <c r="AN64" i="11"/>
  <c r="N64" i="11"/>
  <c r="AN46" i="11"/>
  <c r="E46" i="11"/>
  <c r="AM46" i="11" s="1"/>
  <c r="N46" i="11"/>
  <c r="E61" i="11"/>
  <c r="AM61" i="11" s="1"/>
  <c r="AN61" i="11"/>
  <c r="N61" i="11"/>
  <c r="E63" i="11"/>
  <c r="AM63" i="11" s="1"/>
  <c r="AN63" i="11"/>
  <c r="N63" i="11"/>
  <c r="E55" i="11"/>
  <c r="AM55" i="11" s="1"/>
  <c r="AN55" i="11"/>
  <c r="N55" i="11"/>
  <c r="AN50" i="11"/>
  <c r="E50" i="11"/>
  <c r="AM50" i="11" s="1"/>
  <c r="N50" i="11"/>
  <c r="E47" i="11"/>
  <c r="AM47" i="11" s="1"/>
  <c r="AN47" i="11"/>
  <c r="N47" i="11"/>
  <c r="AN59" i="11"/>
  <c r="E59" i="11"/>
  <c r="AM59" i="11" s="1"/>
  <c r="N59" i="11"/>
  <c r="AN52" i="11"/>
  <c r="E52" i="11"/>
  <c r="AM52" i="11" s="1"/>
  <c r="N52" i="11"/>
  <c r="AN51" i="11"/>
  <c r="E51" i="11"/>
  <c r="AM51" i="11" s="1"/>
  <c r="N51" i="11"/>
  <c r="E57" i="11"/>
  <c r="AM57" i="11" s="1"/>
  <c r="AN57" i="11"/>
  <c r="N57" i="11"/>
  <c r="E49" i="11"/>
  <c r="AN49" i="11"/>
  <c r="F48" i="11"/>
  <c r="N48" i="11" s="1"/>
  <c r="N49" i="11"/>
  <c r="N44" i="11" l="1"/>
  <c r="AN44" i="11"/>
  <c r="E44" i="11"/>
  <c r="AM45" i="11"/>
  <c r="AM44" i="11" s="1"/>
  <c r="AN48" i="11"/>
  <c r="E48" i="11"/>
  <c r="AM49" i="11"/>
  <c r="AM48" i="11" s="1"/>
  <c r="AS42" i="12" l="1"/>
  <c r="AS41" i="12" l="1"/>
  <c r="H12" i="11"/>
  <c r="H17" i="11" s="1"/>
  <c r="AP14" i="11"/>
  <c r="AP12" i="11" s="1"/>
  <c r="AP17" i="11" s="1"/>
  <c r="AS124" i="12" l="1"/>
  <c r="AS76" i="12"/>
  <c r="AR14" i="11" l="1"/>
  <c r="AR12" i="11" s="1"/>
  <c r="AR17" i="11" s="1"/>
  <c r="M14" i="11"/>
  <c r="AU14" i="11" l="1"/>
  <c r="AU12" i="11" s="1"/>
  <c r="AU17" i="11" s="1"/>
  <c r="N14" i="11"/>
  <c r="M12" i="11"/>
  <c r="M17" i="11" l="1"/>
  <c r="N12" i="11"/>
  <c r="N17" i="11" l="1"/>
  <c r="AN58" i="11"/>
  <c r="AN56" i="11" s="1"/>
  <c r="AN66" i="11" s="1"/>
  <c r="E58" i="11"/>
  <c r="F56" i="11"/>
  <c r="F66" i="11" s="1"/>
  <c r="AL58" i="11"/>
  <c r="AL56" i="11" s="1"/>
  <c r="AL66" i="11" s="1"/>
  <c r="D56" i="11"/>
  <c r="D66" i="11" s="1"/>
  <c r="AR58" i="11"/>
  <c r="AR56" i="11" s="1"/>
  <c r="AR66" i="11" s="1"/>
  <c r="AP58" i="11" l="1"/>
  <c r="AP56" i="11" s="1"/>
  <c r="AP66" i="11" s="1"/>
  <c r="H56" i="11"/>
  <c r="H66" i="11" s="1"/>
  <c r="E56" i="11"/>
  <c r="E66" i="11" s="1"/>
  <c r="AM58" i="11"/>
  <c r="AM56" i="11" s="1"/>
  <c r="AM66" i="11" s="1"/>
  <c r="M58" i="11"/>
  <c r="AQ58" i="11"/>
  <c r="AQ56" i="11" s="1"/>
  <c r="AQ66" i="11" s="1"/>
  <c r="I56" i="11"/>
  <c r="I66" i="11" s="1"/>
  <c r="AU58" i="11" l="1"/>
  <c r="AU56" i="11" s="1"/>
  <c r="AU66" i="11" s="1"/>
  <c r="N58" i="11"/>
  <c r="M56" i="11"/>
  <c r="N56" i="11" l="1"/>
  <c r="M66" i="11"/>
  <c r="N66" i="11" l="1"/>
  <c r="AR58" i="23"/>
  <c r="AR56" i="23" s="1"/>
  <c r="AR66" i="23" s="1"/>
  <c r="I56" i="23"/>
  <c r="I66" i="23" s="1"/>
  <c r="AP58" i="23"/>
  <c r="AP56" i="23" s="1"/>
  <c r="AP66" i="23" s="1"/>
  <c r="F56" i="23"/>
  <c r="F66" i="23" s="1"/>
  <c r="D56" i="23"/>
  <c r="D66" i="23" s="1"/>
  <c r="AL58" i="23" l="1"/>
  <c r="AL56" i="23" s="1"/>
  <c r="AL66" i="23" s="1"/>
  <c r="E58" i="23"/>
  <c r="E56" i="23" s="1"/>
  <c r="E66" i="23" s="1"/>
  <c r="AN58" i="23"/>
  <c r="AN56" i="23" s="1"/>
  <c r="AN66" i="23" s="1"/>
  <c r="M58" i="23"/>
  <c r="M56" i="23" s="1"/>
  <c r="H56" i="23"/>
  <c r="H66" i="23" s="1"/>
  <c r="AQ58" i="23"/>
  <c r="AQ56" i="23" s="1"/>
  <c r="AQ66" i="23" s="1"/>
  <c r="AU58" i="23" l="1"/>
  <c r="AU56" i="23" s="1"/>
  <c r="AU66" i="23" s="1"/>
  <c r="N58" i="23"/>
  <c r="AM58" i="23"/>
  <c r="AM56" i="23" s="1"/>
  <c r="AM66" i="23" s="1"/>
  <c r="N56" i="23"/>
  <c r="M66" i="23"/>
  <c r="N66" i="23" l="1"/>
  <c r="AN58" i="31"/>
  <c r="AN56" i="31" s="1"/>
  <c r="AN66" i="31" s="1"/>
  <c r="AQ58" i="31"/>
  <c r="AQ56" i="31" s="1"/>
  <c r="AQ66" i="31" s="1"/>
  <c r="D56" i="31"/>
  <c r="D66" i="31" s="1"/>
  <c r="AP58" i="31"/>
  <c r="AP56" i="31" s="1"/>
  <c r="AP66" i="31" s="1"/>
  <c r="I56" i="31" l="1"/>
  <c r="I66" i="31" s="1"/>
  <c r="AL58" i="31"/>
  <c r="AL56" i="31" s="1"/>
  <c r="AL66" i="31" s="1"/>
  <c r="F56" i="31"/>
  <c r="F66" i="31" s="1"/>
  <c r="H56" i="31"/>
  <c r="H66" i="31" s="1"/>
  <c r="E58" i="31"/>
  <c r="E56" i="31" s="1"/>
  <c r="E66" i="31" s="1"/>
  <c r="AR58" i="31"/>
  <c r="AR56" i="31" s="1"/>
  <c r="AR66" i="31" s="1"/>
  <c r="M58" i="31"/>
  <c r="AM58" i="31" l="1"/>
  <c r="AM56" i="31" s="1"/>
  <c r="AM66" i="31" s="1"/>
  <c r="AU58" i="31"/>
  <c r="AU56" i="31" s="1"/>
  <c r="AU66" i="31" s="1"/>
  <c r="N58" i="31"/>
  <c r="M56" i="31"/>
  <c r="M66" i="31" l="1"/>
  <c r="N56" i="31"/>
  <c r="N66" i="31" l="1"/>
  <c r="AR95" i="40"/>
  <c r="AR64" i="40"/>
  <c r="AS64" i="40" l="1"/>
  <c r="AU64" i="40"/>
  <c r="AL24" i="39" l="1"/>
  <c r="AL28" i="39"/>
  <c r="AL32" i="39"/>
  <c r="AL25" i="39"/>
  <c r="AL29" i="39"/>
  <c r="AL33" i="39"/>
  <c r="AL22" i="39"/>
  <c r="AL26" i="39"/>
  <c r="AL30" i="39"/>
  <c r="AL34" i="39"/>
  <c r="AL21" i="39"/>
  <c r="AL23" i="39"/>
  <c r="AL27" i="39"/>
  <c r="AL31" i="39"/>
  <c r="AN34" i="39" l="1"/>
  <c r="AM34" i="39" s="1"/>
  <c r="E34" i="39"/>
  <c r="E36" i="39"/>
  <c r="AN36" i="39"/>
  <c r="AM36" i="39" s="1"/>
  <c r="N36" i="39"/>
  <c r="E27" i="39"/>
  <c r="AM27" i="39" s="1"/>
  <c r="AN27" i="39"/>
  <c r="E28" i="39"/>
  <c r="AM28" i="39" s="1"/>
  <c r="AN28" i="39"/>
  <c r="N35" i="39"/>
  <c r="AN35" i="39"/>
  <c r="AM35" i="39" s="1"/>
  <c r="E35" i="39"/>
  <c r="E31" i="39"/>
  <c r="AM31" i="39" s="1"/>
  <c r="AN31" i="39"/>
  <c r="E22" i="39"/>
  <c r="AM22" i="39" s="1"/>
  <c r="AN22" i="39"/>
  <c r="N38" i="39"/>
  <c r="E38" i="39"/>
  <c r="AN38" i="39"/>
  <c r="AM38" i="39" s="1"/>
  <c r="E39" i="39"/>
  <c r="AN39" i="39"/>
  <c r="AM39" i="39" s="1"/>
  <c r="N39" i="39"/>
  <c r="E26" i="39"/>
  <c r="AM26" i="39" s="1"/>
  <c r="AN26" i="39"/>
  <c r="E29" i="39"/>
  <c r="AM29" i="39" s="1"/>
  <c r="AN29" i="39"/>
  <c r="AN32" i="39"/>
  <c r="E32" i="39"/>
  <c r="AM32" i="39" s="1"/>
  <c r="AN37" i="39"/>
  <c r="AM37" i="39" s="1"/>
  <c r="N37" i="39"/>
  <c r="E37" i="39"/>
  <c r="E25" i="39"/>
  <c r="AM25" i="39" s="1"/>
  <c r="AN25" i="39"/>
  <c r="E33" i="39"/>
  <c r="AM33" i="39" s="1"/>
  <c r="AN33" i="39"/>
  <c r="E21" i="39"/>
  <c r="AM21" i="39" s="1"/>
  <c r="AN21" i="39"/>
  <c r="AN30" i="39"/>
  <c r="E30" i="39"/>
  <c r="AM30" i="39" s="1"/>
  <c r="E23" i="39"/>
  <c r="AM23" i="39" s="1"/>
  <c r="AN23" i="39"/>
  <c r="E24" i="39"/>
  <c r="AM24" i="39" s="1"/>
  <c r="AN24" i="39"/>
  <c r="AL20" i="39" l="1"/>
  <c r="AL41" i="39" s="1"/>
  <c r="D41" i="39"/>
  <c r="D27" i="3" l="1"/>
  <c r="AL27" i="3"/>
  <c r="F41" i="39"/>
  <c r="AN20" i="39"/>
  <c r="AN41" i="39" s="1"/>
  <c r="E20" i="39"/>
  <c r="F27" i="3" l="1"/>
  <c r="AM20" i="39"/>
  <c r="AM41" i="39" s="1"/>
  <c r="E41" i="39"/>
  <c r="E27" i="3" l="1"/>
  <c r="AN27" i="3"/>
  <c r="AM27" i="3" l="1"/>
  <c r="AL59" i="39" l="1"/>
  <c r="AL62" i="39"/>
  <c r="AL64" i="39"/>
  <c r="AL63" i="39"/>
  <c r="AL61" i="39"/>
  <c r="AL60" i="39"/>
  <c r="AL57" i="39" l="1"/>
  <c r="AL54" i="39" l="1"/>
  <c r="D44" i="39"/>
  <c r="AL45" i="39"/>
  <c r="AL47" i="39"/>
  <c r="AL46" i="39"/>
  <c r="AL51" i="39"/>
  <c r="AL52" i="39"/>
  <c r="AL50" i="39" l="1"/>
  <c r="AL44" i="39"/>
  <c r="AL53" i="39"/>
  <c r="D48" i="39"/>
  <c r="AL49" i="39"/>
  <c r="AL55" i="39"/>
  <c r="AL48" i="39" l="1"/>
  <c r="AN64" i="39" l="1"/>
  <c r="E64" i="39"/>
  <c r="AM64" i="39" s="1"/>
  <c r="AN54" i="39"/>
  <c r="E54" i="39"/>
  <c r="AM54" i="39" s="1"/>
  <c r="AN59" i="39"/>
  <c r="E59" i="39"/>
  <c r="AM59" i="39" s="1"/>
  <c r="E62" i="39"/>
  <c r="AM62" i="39" s="1"/>
  <c r="AN62" i="39"/>
  <c r="E60" i="39"/>
  <c r="AM60" i="39" s="1"/>
  <c r="AN60" i="39"/>
  <c r="E61" i="39"/>
  <c r="AM61" i="39" s="1"/>
  <c r="AN61" i="39"/>
  <c r="E51" i="39"/>
  <c r="AM51" i="39" s="1"/>
  <c r="AN51" i="39"/>
  <c r="AN52" i="39"/>
  <c r="E52" i="39"/>
  <c r="AM52" i="39" s="1"/>
  <c r="E63" i="39"/>
  <c r="AM63" i="39" s="1"/>
  <c r="AN63" i="39"/>
  <c r="E50" i="39" l="1"/>
  <c r="AM50" i="39" s="1"/>
  <c r="AN50" i="39"/>
  <c r="AN57" i="39"/>
  <c r="E57" i="39"/>
  <c r="AN45" i="39"/>
  <c r="E45" i="39"/>
  <c r="E47" i="39"/>
  <c r="AM47" i="39" s="1"/>
  <c r="AN47" i="39"/>
  <c r="F48" i="39"/>
  <c r="E49" i="39"/>
  <c r="AN49" i="39"/>
  <c r="E55" i="39"/>
  <c r="AM55" i="39" s="1"/>
  <c r="AN55" i="39"/>
  <c r="F44" i="39"/>
  <c r="E46" i="39"/>
  <c r="AM46" i="39" s="1"/>
  <c r="AN46" i="39"/>
  <c r="AN53" i="39"/>
  <c r="E53" i="39"/>
  <c r="AM53" i="39" s="1"/>
  <c r="AN44" i="39" l="1"/>
  <c r="AN48" i="39"/>
  <c r="E44" i="39"/>
  <c r="AM45" i="39"/>
  <c r="AM44" i="39" s="1"/>
  <c r="AM57" i="39"/>
  <c r="E48" i="39"/>
  <c r="AM49" i="39"/>
  <c r="AM48" i="39" s="1"/>
  <c r="AS95" i="40" l="1"/>
  <c r="AL58" i="39"/>
  <c r="AL56" i="39" s="1"/>
  <c r="AL66" i="39" s="1"/>
  <c r="D56" i="39"/>
  <c r="D66" i="39" s="1"/>
  <c r="E58" i="39" l="1"/>
  <c r="AN58" i="39"/>
  <c r="AN56" i="39" s="1"/>
  <c r="AN66" i="39" s="1"/>
  <c r="F56" i="39"/>
  <c r="F66" i="39" s="1"/>
  <c r="AM58" i="39" l="1"/>
  <c r="AM56" i="39" s="1"/>
  <c r="AM66" i="39" s="1"/>
  <c r="E56" i="39"/>
  <c r="E66" i="39" s="1"/>
  <c r="AU29" i="20" l="1"/>
  <c r="AR30" i="20"/>
  <c r="AS88" i="20"/>
  <c r="AU50" i="20"/>
  <c r="AS102" i="20"/>
  <c r="AS29" i="20"/>
  <c r="AS31" i="20"/>
  <c r="AU42" i="20"/>
  <c r="AR16" i="20"/>
  <c r="AU16" i="20"/>
  <c r="AR43" i="20"/>
  <c r="AR102" i="20"/>
  <c r="AS21" i="20"/>
  <c r="AR28" i="20"/>
  <c r="AR42" i="20"/>
  <c r="AS42" i="20"/>
  <c r="AR88" i="20"/>
  <c r="AR95" i="20"/>
  <c r="AS56" i="20"/>
  <c r="AR35" i="20"/>
  <c r="AR34" i="20" s="1"/>
  <c r="AS16" i="20"/>
  <c r="AR29" i="20"/>
  <c r="AU44" i="20"/>
  <c r="AR70" i="20"/>
  <c r="AR21" i="20"/>
  <c r="AR103" i="20"/>
  <c r="AR55" i="20"/>
  <c r="AU21" i="20"/>
  <c r="AS57" i="20"/>
  <c r="AS89" i="20"/>
  <c r="AR44" i="20"/>
  <c r="AU63" i="20"/>
  <c r="AR95" i="2"/>
  <c r="AR64" i="20"/>
  <c r="AS55" i="20"/>
  <c r="AS43" i="20"/>
  <c r="AR49" i="20"/>
  <c r="AR50" i="20"/>
  <c r="AR56" i="20"/>
  <c r="AR57" i="20"/>
  <c r="AR81" i="20"/>
  <c r="AU31" i="20"/>
  <c r="AR64" i="2" l="1"/>
  <c r="AS87" i="20"/>
  <c r="AR31" i="20"/>
  <c r="AR15" i="20"/>
  <c r="AR48" i="20"/>
  <c r="AS118" i="20"/>
  <c r="AU49" i="20"/>
  <c r="AR62" i="20"/>
  <c r="AR63" i="20"/>
  <c r="AU56" i="20"/>
  <c r="AU28" i="20"/>
  <c r="AU35" i="20"/>
  <c r="AU34" i="20" s="1"/>
  <c r="AU15" i="20"/>
  <c r="AR89" i="20"/>
  <c r="AU27" i="20"/>
  <c r="AR41" i="20"/>
  <c r="AR27" i="20"/>
  <c r="AU14" i="20"/>
  <c r="AS64" i="20"/>
  <c r="AS49" i="20"/>
  <c r="AS30" i="20"/>
  <c r="AS50" i="20"/>
  <c r="AS101" i="20"/>
  <c r="AU43" i="20"/>
  <c r="AU30" i="20"/>
  <c r="AS81" i="20"/>
  <c r="AR101" i="20"/>
  <c r="AS113" i="20"/>
  <c r="AS62" i="20"/>
  <c r="AU62" i="20"/>
  <c r="AU70" i="20"/>
  <c r="AU57" i="20"/>
  <c r="AS14" i="20"/>
  <c r="AS44" i="20"/>
  <c r="AS15" i="20"/>
  <c r="AS28" i="20"/>
  <c r="AS41" i="20"/>
  <c r="AU64" i="20"/>
  <c r="AS35" i="2" l="1"/>
  <c r="AS34" i="2" s="1"/>
  <c r="AR35" i="2"/>
  <c r="AR34" i="2" s="1"/>
  <c r="AR87" i="20"/>
  <c r="AR108" i="20"/>
  <c r="AS35" i="20"/>
  <c r="AS34" i="20" s="1"/>
  <c r="AU13" i="20"/>
  <c r="AU48" i="20"/>
  <c r="AS48" i="20"/>
  <c r="AU35" i="2"/>
  <c r="AU34" i="2" s="1"/>
  <c r="AS70" i="20"/>
  <c r="AS27" i="20"/>
  <c r="AS103" i="20"/>
  <c r="AS122" i="20"/>
  <c r="AS63" i="20"/>
  <c r="AS13" i="20"/>
  <c r="AS64" i="2" l="1"/>
  <c r="AS76" i="20"/>
  <c r="AU64" i="2"/>
  <c r="AU55" i="20"/>
  <c r="AU41" i="20"/>
  <c r="AU76" i="20" l="1"/>
  <c r="AR14" i="20" l="1"/>
  <c r="AR13" i="20" s="1"/>
  <c r="AR76" i="20" l="1"/>
  <c r="AR124" i="20" l="1"/>
  <c r="AL14" i="19"/>
  <c r="AL12" i="19" s="1"/>
  <c r="D12" i="19"/>
  <c r="AR14" i="19"/>
  <c r="AR12" i="19" s="1"/>
  <c r="I12" i="19"/>
  <c r="AQ14" i="19"/>
  <c r="AQ12" i="19" s="1"/>
  <c r="AS14" i="19"/>
  <c r="AS12" i="19" s="1"/>
  <c r="AN14" i="19" l="1"/>
  <c r="AN12" i="19" s="1"/>
  <c r="F12" i="19"/>
  <c r="E14" i="19"/>
  <c r="E12" i="19" l="1"/>
  <c r="AM14" i="19"/>
  <c r="AM12" i="19" s="1"/>
  <c r="AQ24" i="19" l="1"/>
  <c r="AS31" i="19"/>
  <c r="AP27" i="19"/>
  <c r="AS20" i="19"/>
  <c r="AS29" i="19"/>
  <c r="AR29" i="19"/>
  <c r="AQ27" i="19"/>
  <c r="AS28" i="19"/>
  <c r="AP20" i="19"/>
  <c r="AQ34" i="19"/>
  <c r="AL21" i="19"/>
  <c r="AL30" i="19"/>
  <c r="AS26" i="19"/>
  <c r="AL29" i="19"/>
  <c r="AL31" i="19"/>
  <c r="AL34" i="19"/>
  <c r="AL28" i="19"/>
  <c r="AL32" i="19"/>
  <c r="AL22" i="19"/>
  <c r="AL27" i="19"/>
  <c r="AL26" i="19"/>
  <c r="AL24" i="19"/>
  <c r="AL23" i="19"/>
  <c r="AL33" i="19"/>
  <c r="AL25" i="19"/>
  <c r="AR22" i="19"/>
  <c r="AP26" i="19"/>
  <c r="AR31" i="19"/>
  <c r="AQ33" i="19"/>
  <c r="AR21" i="19"/>
  <c r="AS23" i="19"/>
  <c r="AS24" i="19"/>
  <c r="AS21" i="19"/>
  <c r="AQ21" i="19"/>
  <c r="AP21" i="19"/>
  <c r="AR33" i="19"/>
  <c r="AR26" i="19"/>
  <c r="AQ28" i="19"/>
  <c r="AR23" i="19"/>
  <c r="AS22" i="19"/>
  <c r="AQ32" i="19"/>
  <c r="AQ23" i="19"/>
  <c r="AQ22" i="19"/>
  <c r="AQ31" i="19"/>
  <c r="AQ26" i="19"/>
  <c r="AS34" i="19"/>
  <c r="AR25" i="19"/>
  <c r="AS30" i="19"/>
  <c r="AS33" i="19"/>
  <c r="AQ25" i="19"/>
  <c r="AR34" i="19"/>
  <c r="AR24" i="19"/>
  <c r="AQ30" i="19"/>
  <c r="AR20" i="19"/>
  <c r="AR28" i="19"/>
  <c r="AS25" i="19"/>
  <c r="AQ29" i="19"/>
  <c r="AS32" i="19"/>
  <c r="AR27" i="19"/>
  <c r="AR30" i="19"/>
  <c r="AR32" i="19"/>
  <c r="AS27" i="19"/>
  <c r="M26" i="19" l="1"/>
  <c r="AU26" i="19" s="1"/>
  <c r="K22" i="3"/>
  <c r="M25" i="19"/>
  <c r="AP25" i="19"/>
  <c r="AS41" i="19"/>
  <c r="AP30" i="19"/>
  <c r="M30" i="19"/>
  <c r="I41" i="19"/>
  <c r="AQ20" i="19"/>
  <c r="AQ41" i="19" s="1"/>
  <c r="AP23" i="19"/>
  <c r="M23" i="19"/>
  <c r="H41" i="19"/>
  <c r="AP32" i="19"/>
  <c r="M32" i="19"/>
  <c r="AP24" i="19"/>
  <c r="M24" i="19"/>
  <c r="M20" i="19"/>
  <c r="AP34" i="19"/>
  <c r="AU34" i="19" s="1"/>
  <c r="M34" i="19"/>
  <c r="AP29" i="19"/>
  <c r="M29" i="19"/>
  <c r="AP33" i="19"/>
  <c r="M33" i="19"/>
  <c r="AP28" i="19"/>
  <c r="M28" i="19"/>
  <c r="AR41" i="19"/>
  <c r="M27" i="19"/>
  <c r="AP22" i="19"/>
  <c r="M22" i="19"/>
  <c r="M21" i="19"/>
  <c r="AP31" i="19"/>
  <c r="M31" i="19"/>
  <c r="H22" i="3" l="1"/>
  <c r="AP22" i="3" s="1"/>
  <c r="I22" i="3"/>
  <c r="AQ22" i="3" s="1"/>
  <c r="J22" i="3"/>
  <c r="AP41" i="19"/>
  <c r="AU24" i="19"/>
  <c r="AU32" i="19"/>
  <c r="AU25" i="19"/>
  <c r="AU29" i="19"/>
  <c r="AU23" i="19"/>
  <c r="AU31" i="19"/>
  <c r="AU27" i="19"/>
  <c r="AU28" i="19"/>
  <c r="AU20" i="19"/>
  <c r="M41" i="19"/>
  <c r="AU21" i="19"/>
  <c r="AU33" i="19"/>
  <c r="AU22" i="19"/>
  <c r="AU30" i="19"/>
  <c r="AS22" i="3"/>
  <c r="M22" i="3" l="1"/>
  <c r="AU22" i="3" s="1"/>
  <c r="AR22" i="3"/>
  <c r="AU41" i="19"/>
  <c r="AL20" i="19" l="1"/>
  <c r="AL41" i="19" s="1"/>
  <c r="AN32" i="19"/>
  <c r="E32" i="19"/>
  <c r="N32" i="19"/>
  <c r="AN33" i="19"/>
  <c r="E33" i="19"/>
  <c r="N33" i="19"/>
  <c r="AN30" i="19"/>
  <c r="E30" i="19"/>
  <c r="N30" i="19"/>
  <c r="E27" i="19"/>
  <c r="AN27" i="19"/>
  <c r="N27" i="19"/>
  <c r="AN29" i="19"/>
  <c r="E29" i="19"/>
  <c r="N29" i="19"/>
  <c r="E26" i="19"/>
  <c r="AN26" i="19"/>
  <c r="N26" i="19"/>
  <c r="E34" i="19"/>
  <c r="AN34" i="19"/>
  <c r="AM34" i="19" s="1"/>
  <c r="N34" i="19"/>
  <c r="AN21" i="19"/>
  <c r="E21" i="19"/>
  <c r="N21" i="19"/>
  <c r="AN22" i="19"/>
  <c r="E22" i="19"/>
  <c r="N22" i="19"/>
  <c r="AN38" i="19"/>
  <c r="AM38" i="19" s="1"/>
  <c r="E38" i="19"/>
  <c r="N38" i="19"/>
  <c r="AN37" i="19"/>
  <c r="AM37" i="19" s="1"/>
  <c r="E37" i="19"/>
  <c r="N37" i="19"/>
  <c r="AN31" i="19"/>
  <c r="E31" i="19"/>
  <c r="N31" i="19"/>
  <c r="AN36" i="19"/>
  <c r="AM36" i="19" s="1"/>
  <c r="E36" i="19"/>
  <c r="N36" i="19"/>
  <c r="E39" i="19"/>
  <c r="AN39" i="19"/>
  <c r="AM39" i="19" s="1"/>
  <c r="N39" i="19"/>
  <c r="E25" i="19"/>
  <c r="AN25" i="19"/>
  <c r="N25" i="19"/>
  <c r="AN23" i="19"/>
  <c r="E23" i="19"/>
  <c r="N23" i="19"/>
  <c r="E35" i="19"/>
  <c r="AN35" i="19"/>
  <c r="AM35" i="19" s="1"/>
  <c r="N35" i="19"/>
  <c r="AN28" i="19"/>
  <c r="E28" i="19"/>
  <c r="N28" i="19"/>
  <c r="AN24" i="19"/>
  <c r="E24" i="19"/>
  <c r="N24" i="19"/>
  <c r="AM21" i="19" l="1"/>
  <c r="AM23" i="19"/>
  <c r="AM28" i="19"/>
  <c r="AM25" i="19"/>
  <c r="AM31" i="19"/>
  <c r="AM22" i="19"/>
  <c r="AM24" i="19"/>
  <c r="AM26" i="19"/>
  <c r="AM30" i="19"/>
  <c r="AM33" i="19"/>
  <c r="AM32" i="19"/>
  <c r="AM29" i="19"/>
  <c r="AM27" i="19"/>
  <c r="D41" i="19"/>
  <c r="AQ15" i="19"/>
  <c r="AQ17" i="19" s="1"/>
  <c r="I17" i="19"/>
  <c r="AL15" i="19"/>
  <c r="AL17" i="19" s="1"/>
  <c r="D17" i="19"/>
  <c r="M15" i="19"/>
  <c r="AP15" i="19"/>
  <c r="AR15" i="19"/>
  <c r="AR17" i="19" s="1"/>
  <c r="AS15" i="19"/>
  <c r="AS17" i="19" s="1"/>
  <c r="D22" i="3" l="1"/>
  <c r="AL22" i="3" s="1"/>
  <c r="AU15" i="19"/>
  <c r="E15" i="19" l="1"/>
  <c r="AN15" i="19"/>
  <c r="AN17" i="19" s="1"/>
  <c r="F17" i="19"/>
  <c r="N15" i="19"/>
  <c r="AM15" i="19" l="1"/>
  <c r="AM17" i="19" s="1"/>
  <c r="E17" i="19"/>
  <c r="AN20" i="19" l="1"/>
  <c r="AN41" i="19" s="1"/>
  <c r="E20" i="19"/>
  <c r="N20" i="19"/>
  <c r="AM20" i="19" l="1"/>
  <c r="AM41" i="19" s="1"/>
  <c r="E41" i="19"/>
  <c r="F22" i="3"/>
  <c r="N41" i="19"/>
  <c r="AN22" i="3" l="1"/>
  <c r="E22" i="3"/>
  <c r="N22" i="3"/>
  <c r="AM22" i="3" l="1"/>
  <c r="AS57" i="19" l="1"/>
  <c r="AP45" i="19"/>
  <c r="AP47" i="19"/>
  <c r="AR59" i="19"/>
  <c r="AQ60" i="19"/>
  <c r="AR63" i="19"/>
  <c r="AR61" i="19"/>
  <c r="AQ64" i="19"/>
  <c r="AP61" i="19"/>
  <c r="M61" i="19"/>
  <c r="AR60" i="19"/>
  <c r="AP62" i="19"/>
  <c r="M62" i="19"/>
  <c r="M64" i="19"/>
  <c r="AP64" i="19"/>
  <c r="AS63" i="19"/>
  <c r="AS60" i="19"/>
  <c r="AR64" i="19"/>
  <c r="AQ61" i="19"/>
  <c r="M59" i="19"/>
  <c r="AP59" i="19"/>
  <c r="AR62" i="19"/>
  <c r="AS64" i="19"/>
  <c r="AS59" i="19"/>
  <c r="AP60" i="19"/>
  <c r="M60" i="19"/>
  <c r="AS61" i="19"/>
  <c r="AQ62" i="19"/>
  <c r="AQ63" i="19"/>
  <c r="AQ59" i="19"/>
  <c r="AP63" i="19"/>
  <c r="M63" i="19"/>
  <c r="AS62" i="19"/>
  <c r="AR57" i="19" l="1"/>
  <c r="AS46" i="19"/>
  <c r="H44" i="19"/>
  <c r="AR51" i="19"/>
  <c r="AS47" i="19"/>
  <c r="AQ51" i="19"/>
  <c r="AU61" i="19"/>
  <c r="AR52" i="19"/>
  <c r="AR54" i="19"/>
  <c r="AS54" i="19"/>
  <c r="AR46" i="19"/>
  <c r="M52" i="19"/>
  <c r="AP52" i="19"/>
  <c r="AR47" i="19"/>
  <c r="AL64" i="19"/>
  <c r="AS52" i="19"/>
  <c r="AL57" i="19"/>
  <c r="AQ57" i="19"/>
  <c r="AP51" i="19"/>
  <c r="M51" i="19"/>
  <c r="AL63" i="19"/>
  <c r="AU62" i="19"/>
  <c r="AU63" i="19"/>
  <c r="AR45" i="19"/>
  <c r="M47" i="19"/>
  <c r="AQ52" i="19"/>
  <c r="AS45" i="19"/>
  <c r="M57" i="19"/>
  <c r="AP57" i="19"/>
  <c r="AL61" i="19"/>
  <c r="AQ54" i="19"/>
  <c r="I44" i="19"/>
  <c r="AQ45" i="19"/>
  <c r="AL59" i="19"/>
  <c r="AP46" i="19"/>
  <c r="AP44" i="19" s="1"/>
  <c r="M46" i="19"/>
  <c r="AS51" i="19"/>
  <c r="AQ47" i="19"/>
  <c r="AU64" i="19"/>
  <c r="M45" i="19"/>
  <c r="AL60" i="19"/>
  <c r="AU60" i="19"/>
  <c r="AQ46" i="19"/>
  <c r="AU59" i="19"/>
  <c r="M54" i="19"/>
  <c r="AP54" i="19"/>
  <c r="AL62" i="19"/>
  <c r="AS44" i="19" l="1"/>
  <c r="AR44" i="19"/>
  <c r="AQ44" i="19"/>
  <c r="AQ53" i="19"/>
  <c r="AR49" i="19"/>
  <c r="M55" i="19"/>
  <c r="AP55" i="19"/>
  <c r="AP49" i="19"/>
  <c r="H48" i="19"/>
  <c r="M49" i="19"/>
  <c r="AS49" i="19"/>
  <c r="AU57" i="19"/>
  <c r="AU47" i="19"/>
  <c r="AS53" i="19"/>
  <c r="AS50" i="19"/>
  <c r="AR55" i="19"/>
  <c r="AU54" i="19"/>
  <c r="AS55" i="19"/>
  <c r="M53" i="19"/>
  <c r="AP53" i="19"/>
  <c r="AU51" i="19"/>
  <c r="AQ50" i="19"/>
  <c r="AR53" i="19"/>
  <c r="AU45" i="19"/>
  <c r="M44" i="19"/>
  <c r="AQ55" i="19"/>
  <c r="AR50" i="19"/>
  <c r="I48" i="19"/>
  <c r="AQ49" i="19"/>
  <c r="AU46" i="19"/>
  <c r="AP50" i="19"/>
  <c r="M50" i="19"/>
  <c r="AU52" i="19"/>
  <c r="AU44" i="19" l="1"/>
  <c r="AQ48" i="19"/>
  <c r="AR48" i="19"/>
  <c r="AS48" i="19"/>
  <c r="AU55" i="19"/>
  <c r="AU50" i="19"/>
  <c r="AU53" i="19"/>
  <c r="M48" i="19"/>
  <c r="AU49" i="19"/>
  <c r="AP48" i="19"/>
  <c r="AL51" i="19" l="1"/>
  <c r="AU48" i="19"/>
  <c r="AL47" i="19"/>
  <c r="AL52" i="19"/>
  <c r="D44" i="19"/>
  <c r="AL45" i="19"/>
  <c r="AL46" i="19"/>
  <c r="AL54" i="19" l="1"/>
  <c r="AL53" i="19"/>
  <c r="AL50" i="19"/>
  <c r="AL49" i="19"/>
  <c r="AL44" i="19"/>
  <c r="AL55" i="19" l="1"/>
  <c r="AL48" i="19" s="1"/>
  <c r="D48" i="19"/>
  <c r="E53" i="19" l="1"/>
  <c r="AN49" i="19"/>
  <c r="AN50" i="19"/>
  <c r="E55" i="19"/>
  <c r="E54" i="19"/>
  <c r="AN54" i="19"/>
  <c r="N54" i="19"/>
  <c r="E45" i="19"/>
  <c r="AN45" i="19"/>
  <c r="N45" i="19"/>
  <c r="AN47" i="19"/>
  <c r="E47" i="19"/>
  <c r="N47" i="19"/>
  <c r="AN61" i="19"/>
  <c r="E61" i="19"/>
  <c r="N61" i="19"/>
  <c r="E60" i="19"/>
  <c r="AN60" i="19"/>
  <c r="N60" i="19"/>
  <c r="AN52" i="19"/>
  <c r="E52" i="19"/>
  <c r="N52" i="19"/>
  <c r="AN57" i="19"/>
  <c r="E57" i="19"/>
  <c r="N57" i="19"/>
  <c r="AN63" i="19"/>
  <c r="E63" i="19"/>
  <c r="N63" i="19"/>
  <c r="AN64" i="19"/>
  <c r="E64" i="19"/>
  <c r="N64" i="19"/>
  <c r="E59" i="19"/>
  <c r="AN59" i="19"/>
  <c r="N59" i="19"/>
  <c r="AN62" i="19"/>
  <c r="E62" i="19"/>
  <c r="N62" i="19"/>
  <c r="AN51" i="19"/>
  <c r="E51" i="19"/>
  <c r="N51" i="19"/>
  <c r="AM51" i="19" l="1"/>
  <c r="AM54" i="19"/>
  <c r="AM62" i="19"/>
  <c r="AM63" i="19"/>
  <c r="AM61" i="19"/>
  <c r="AM47" i="19"/>
  <c r="AM59" i="19"/>
  <c r="AM64" i="19"/>
  <c r="AM52" i="19"/>
  <c r="AM55" i="19"/>
  <c r="AM60" i="19"/>
  <c r="AM53" i="19"/>
  <c r="AM57" i="19"/>
  <c r="E50" i="19"/>
  <c r="N55" i="19"/>
  <c r="AN55" i="19"/>
  <c r="N50" i="19"/>
  <c r="N49" i="19"/>
  <c r="N53" i="19"/>
  <c r="AN53" i="19"/>
  <c r="E49" i="19"/>
  <c r="F48" i="19"/>
  <c r="E46" i="19"/>
  <c r="AN46" i="19"/>
  <c r="AN44" i="19" s="1"/>
  <c r="N46" i="19"/>
  <c r="F44" i="19"/>
  <c r="AM45" i="19"/>
  <c r="AM49" i="19" l="1"/>
  <c r="N48" i="19"/>
  <c r="AM50" i="19"/>
  <c r="N44" i="19"/>
  <c r="AM46" i="19"/>
  <c r="AM44" i="19" s="1"/>
  <c r="AN48" i="19"/>
  <c r="E48" i="19"/>
  <c r="E44" i="19"/>
  <c r="AM48" i="19" l="1"/>
  <c r="AS95" i="20"/>
  <c r="AS108" i="20" l="1"/>
  <c r="AS124" i="20" l="1"/>
  <c r="AS95" i="2"/>
  <c r="H12" i="19"/>
  <c r="H17" i="19" s="1"/>
  <c r="M14" i="19"/>
  <c r="AP14" i="19"/>
  <c r="AP12" i="19" s="1"/>
  <c r="AP17" i="19" s="1"/>
  <c r="N14" i="19" l="1"/>
  <c r="AU14" i="19"/>
  <c r="AU12" i="19" s="1"/>
  <c r="AU17" i="19" s="1"/>
  <c r="M12" i="19"/>
  <c r="N12" i="19" l="1"/>
  <c r="M17" i="19"/>
  <c r="N17" i="19" l="1"/>
  <c r="AL58" i="19"/>
  <c r="AL56" i="19" s="1"/>
  <c r="AL66" i="19" s="1"/>
  <c r="D56" i="19"/>
  <c r="D66" i="19" l="1"/>
  <c r="AR58" i="19"/>
  <c r="AR56" i="19" s="1"/>
  <c r="AR66" i="19" s="1"/>
  <c r="AQ58" i="19"/>
  <c r="AQ56" i="19" s="1"/>
  <c r="AQ66" i="19" s="1"/>
  <c r="I56" i="19"/>
  <c r="I66" i="19" s="1"/>
  <c r="AS58" i="19"/>
  <c r="AS56" i="19" s="1"/>
  <c r="AS66" i="19" s="1"/>
  <c r="AP58" i="19"/>
  <c r="AP56" i="19" s="1"/>
  <c r="AP66" i="19" s="1"/>
  <c r="M58" i="19"/>
  <c r="H56" i="19"/>
  <c r="H66" i="19" s="1"/>
  <c r="AN58" i="19" l="1"/>
  <c r="AN56" i="19" s="1"/>
  <c r="AN66" i="19" s="1"/>
  <c r="E58" i="19"/>
  <c r="F56" i="19"/>
  <c r="F66" i="19" s="1"/>
  <c r="AU58" i="19"/>
  <c r="AU56" i="19" s="1"/>
  <c r="AU66" i="19" s="1"/>
  <c r="N58" i="19"/>
  <c r="M56" i="19"/>
  <c r="M66" i="19" l="1"/>
  <c r="E56" i="19"/>
  <c r="AM58" i="19"/>
  <c r="AM56" i="19" s="1"/>
  <c r="AM66" i="19" s="1"/>
  <c r="N56" i="19"/>
  <c r="N66" i="19" l="1"/>
  <c r="E66" i="19"/>
  <c r="AL117" i="28"/>
  <c r="AL117" i="2"/>
  <c r="AL117" i="16"/>
  <c r="AL117" i="40"/>
  <c r="AL117" i="32"/>
  <c r="AL117" i="20"/>
  <c r="AL117" i="44"/>
  <c r="AL112" i="40"/>
  <c r="AL112" i="20"/>
  <c r="AL117" i="12"/>
  <c r="AL117" i="36"/>
  <c r="AL112" i="36"/>
  <c r="AL112" i="28"/>
  <c r="AL117" i="24"/>
  <c r="AL112" i="16"/>
  <c r="AL112" i="12"/>
  <c r="AL112" i="32"/>
  <c r="AL122" i="24" l="1"/>
  <c r="AL124" i="24"/>
  <c r="AL122" i="28"/>
  <c r="AL124" i="28"/>
  <c r="AL124" i="2"/>
  <c r="AL122" i="2"/>
  <c r="AL122" i="44"/>
  <c r="AL124" i="44"/>
  <c r="AL112" i="24"/>
  <c r="AL112" i="2"/>
  <c r="AL112" i="44"/>
  <c r="AL122" i="36" l="1"/>
  <c r="AL124" i="36"/>
  <c r="AL122" i="20"/>
  <c r="AL124" i="20"/>
  <c r="AL122" i="40"/>
  <c r="AL124" i="40"/>
  <c r="AL122" i="12"/>
  <c r="AL124" i="12"/>
  <c r="AL122" i="16"/>
  <c r="AL124" i="16"/>
  <c r="AL122" i="32"/>
  <c r="AL124" i="32"/>
  <c r="N57" i="44" l="1"/>
  <c r="K69" i="44"/>
  <c r="K62" i="44"/>
  <c r="N50" i="44"/>
  <c r="K117" i="44"/>
  <c r="K48" i="44"/>
  <c r="N45" i="44"/>
  <c r="N44" i="44"/>
  <c r="N43" i="44"/>
  <c r="N31" i="44"/>
  <c r="N30" i="44"/>
  <c r="N29" i="44"/>
  <c r="K80" i="44"/>
  <c r="K112" i="44"/>
  <c r="K122" i="44" s="1"/>
  <c r="K20" i="44"/>
  <c r="N16" i="44"/>
  <c r="N15" i="44"/>
  <c r="K27" i="44" l="1"/>
  <c r="K41" i="44"/>
  <c r="N63" i="44"/>
  <c r="M62" i="44"/>
  <c r="N62" i="44" s="1"/>
  <c r="N28" i="44"/>
  <c r="M27" i="44"/>
  <c r="N27" i="44" s="1"/>
  <c r="M41" i="44"/>
  <c r="N42" i="44"/>
  <c r="M69" i="44"/>
  <c r="N69" i="44" s="1"/>
  <c r="N70" i="44"/>
  <c r="M48" i="44"/>
  <c r="N48" i="44" s="1"/>
  <c r="N49" i="44"/>
  <c r="K87" i="44"/>
  <c r="AS87" i="44" s="1"/>
  <c r="N21" i="44"/>
  <c r="M20" i="44"/>
  <c r="N20" i="44" s="1"/>
  <c r="N56" i="44"/>
  <c r="M55" i="44"/>
  <c r="N55" i="44" s="1"/>
  <c r="AS30" i="44"/>
  <c r="AS50" i="44"/>
  <c r="AS31" i="44"/>
  <c r="AU49" i="44"/>
  <c r="AS63" i="44"/>
  <c r="AS62" i="44"/>
  <c r="AS103" i="44"/>
  <c r="AU28" i="44"/>
  <c r="AS41" i="44"/>
  <c r="AS42" i="44"/>
  <c r="AS69" i="44"/>
  <c r="AS70" i="44"/>
  <c r="AU29" i="44"/>
  <c r="AS43" i="44"/>
  <c r="AU30" i="44"/>
  <c r="AS88" i="44"/>
  <c r="AU50" i="44"/>
  <c r="AS15" i="44"/>
  <c r="AU31" i="44"/>
  <c r="AS44" i="44"/>
  <c r="AU63" i="44"/>
  <c r="AS16" i="44"/>
  <c r="AU42" i="44"/>
  <c r="AS45" i="44"/>
  <c r="AU70" i="44"/>
  <c r="AS20" i="44"/>
  <c r="AS21" i="44"/>
  <c r="AU43" i="44"/>
  <c r="AS113" i="44"/>
  <c r="AS89" i="44"/>
  <c r="AU15" i="44"/>
  <c r="AS80" i="44"/>
  <c r="AS81" i="44"/>
  <c r="AU44" i="44"/>
  <c r="AS49" i="44"/>
  <c r="AS48" i="44"/>
  <c r="AU16" i="44"/>
  <c r="AS28" i="44"/>
  <c r="AS27" i="44"/>
  <c r="AU45" i="44"/>
  <c r="AS56" i="44"/>
  <c r="AU57" i="44"/>
  <c r="AU21" i="44"/>
  <c r="AS29" i="44"/>
  <c r="AS117" i="44"/>
  <c r="AS118" i="44"/>
  <c r="AU56" i="44"/>
  <c r="K55" i="44"/>
  <c r="N41" i="44" l="1"/>
  <c r="AS55" i="44"/>
  <c r="AS122" i="44"/>
  <c r="AS112" i="44"/>
  <c r="AU48" i="44"/>
  <c r="AU27" i="44"/>
  <c r="AU20" i="44"/>
  <c r="AU41" i="44"/>
  <c r="AU55" i="44"/>
  <c r="AS57" i="44"/>
  <c r="AU62" i="44"/>
  <c r="AU69" i="44"/>
  <c r="AL21" i="43" l="1"/>
  <c r="AQ21" i="43"/>
  <c r="AP21" i="43" l="1"/>
  <c r="M21" i="43"/>
  <c r="AU21" i="43" l="1"/>
  <c r="AL34" i="43"/>
  <c r="AQ34" i="43"/>
  <c r="AL33" i="43"/>
  <c r="AL32" i="43"/>
  <c r="AL31" i="43"/>
  <c r="AL30" i="43"/>
  <c r="AL29" i="43"/>
  <c r="AL28" i="43"/>
  <c r="AQ28" i="43"/>
  <c r="AL27" i="43"/>
  <c r="AL26" i="43"/>
  <c r="AL25" i="43"/>
  <c r="AL24" i="43"/>
  <c r="AL23" i="43"/>
  <c r="AL22" i="43"/>
  <c r="AP23" i="43" l="1"/>
  <c r="AP29" i="43"/>
  <c r="AQ23" i="43"/>
  <c r="AP27" i="43"/>
  <c r="AQ33" i="43"/>
  <c r="AQ22" i="43"/>
  <c r="AP24" i="43"/>
  <c r="AQ24" i="43"/>
  <c r="AQ30" i="43"/>
  <c r="AP26" i="43"/>
  <c r="AP32" i="43"/>
  <c r="AQ25" i="43"/>
  <c r="AQ31" i="43"/>
  <c r="AQ26" i="43"/>
  <c r="AQ32" i="43"/>
  <c r="M34" i="43"/>
  <c r="AP34" i="43"/>
  <c r="AU34" i="43" s="1"/>
  <c r="AQ27" i="43"/>
  <c r="AQ29" i="43"/>
  <c r="M23" i="43" l="1"/>
  <c r="M26" i="43"/>
  <c r="AU26" i="43" s="1"/>
  <c r="M27" i="43"/>
  <c r="M24" i="43"/>
  <c r="AU24" i="43" s="1"/>
  <c r="M29" i="43"/>
  <c r="AU29" i="43" s="1"/>
  <c r="M32" i="43"/>
  <c r="AU32" i="43" s="1"/>
  <c r="AU27" i="43"/>
  <c r="AU23" i="43"/>
  <c r="M22" i="43"/>
  <c r="AP22" i="43"/>
  <c r="AP28" i="43"/>
  <c r="M28" i="43"/>
  <c r="AP31" i="43"/>
  <c r="M31" i="43"/>
  <c r="M30" i="43"/>
  <c r="AP30" i="43"/>
  <c r="M33" i="43"/>
  <c r="AP33" i="43"/>
  <c r="AP25" i="43"/>
  <c r="M25" i="43"/>
  <c r="AU30" i="43" l="1"/>
  <c r="AU31" i="43"/>
  <c r="AU22" i="43"/>
  <c r="AU33" i="43"/>
  <c r="AU28" i="43"/>
  <c r="AU25" i="43"/>
  <c r="K13" i="44"/>
  <c r="K76" i="44" s="1"/>
  <c r="M13" i="44" l="1"/>
  <c r="N14" i="44"/>
  <c r="AS14" i="44"/>
  <c r="AS13" i="44" s="1"/>
  <c r="AU14" i="44"/>
  <c r="AU13" i="44" s="1"/>
  <c r="N13" i="44" l="1"/>
  <c r="M76" i="44"/>
  <c r="N76" i="44" s="1"/>
  <c r="AS76" i="44"/>
  <c r="AU76" i="44" l="1"/>
  <c r="AL14" i="43"/>
  <c r="AL12" i="43" s="1"/>
  <c r="D12" i="43"/>
  <c r="AQ20" i="43" l="1"/>
  <c r="AQ41" i="43" s="1"/>
  <c r="I41" i="43"/>
  <c r="AN14" i="43"/>
  <c r="AN12" i="43" s="1"/>
  <c r="E14" i="43"/>
  <c r="F12" i="43"/>
  <c r="H12" i="43"/>
  <c r="AP14" i="43"/>
  <c r="AP12" i="43" s="1"/>
  <c r="I28" i="3" l="1"/>
  <c r="AQ28" i="3" s="1"/>
  <c r="AP20" i="43"/>
  <c r="AP41" i="43" s="1"/>
  <c r="H41" i="43"/>
  <c r="M20" i="43"/>
  <c r="AM14" i="43"/>
  <c r="AM12" i="43" s="1"/>
  <c r="E12" i="43"/>
  <c r="H28" i="3" l="1"/>
  <c r="M28" i="3" s="1"/>
  <c r="AU20" i="43"/>
  <c r="AU41" i="43" s="1"/>
  <c r="M41" i="43"/>
  <c r="AP28" i="3" l="1"/>
  <c r="AU28" i="3"/>
  <c r="E25" i="43" l="1"/>
  <c r="AM25" i="43" s="1"/>
  <c r="AN25" i="43"/>
  <c r="N25" i="43"/>
  <c r="AN37" i="43"/>
  <c r="AM37" i="43" s="1"/>
  <c r="E37" i="43"/>
  <c r="N37" i="43"/>
  <c r="AN29" i="43"/>
  <c r="E29" i="43"/>
  <c r="AM29" i="43" s="1"/>
  <c r="N29" i="43"/>
  <c r="AN22" i="43"/>
  <c r="E22" i="43"/>
  <c r="AM22" i="43" s="1"/>
  <c r="N22" i="43"/>
  <c r="AL15" i="43"/>
  <c r="AL17" i="43" s="1"/>
  <c r="D17" i="43"/>
  <c r="AN36" i="43"/>
  <c r="AM36" i="43" s="1"/>
  <c r="N36" i="43"/>
  <c r="E36" i="43"/>
  <c r="AN33" i="43"/>
  <c r="E33" i="43"/>
  <c r="AM33" i="43" s="1"/>
  <c r="N33" i="43"/>
  <c r="AN21" i="43"/>
  <c r="E21" i="43"/>
  <c r="AM21" i="43" s="1"/>
  <c r="N21" i="43"/>
  <c r="E31" i="43"/>
  <c r="AM31" i="43" s="1"/>
  <c r="AN31" i="43"/>
  <c r="N31" i="43"/>
  <c r="AN23" i="43"/>
  <c r="E23" i="43"/>
  <c r="AM23" i="43" s="1"/>
  <c r="N23" i="43"/>
  <c r="E30" i="43"/>
  <c r="AM30" i="43" s="1"/>
  <c r="AN30" i="43"/>
  <c r="N30" i="43"/>
  <c r="E27" i="43"/>
  <c r="AM27" i="43" s="1"/>
  <c r="AN27" i="43"/>
  <c r="N27" i="43"/>
  <c r="AN38" i="43"/>
  <c r="AM38" i="43" s="1"/>
  <c r="E38" i="43"/>
  <c r="N38" i="43"/>
  <c r="AN24" i="43"/>
  <c r="E24" i="43"/>
  <c r="AM24" i="43" s="1"/>
  <c r="N24" i="43"/>
  <c r="E39" i="43"/>
  <c r="N39" i="43"/>
  <c r="AN39" i="43"/>
  <c r="AM39" i="43" s="1"/>
  <c r="E26" i="43"/>
  <c r="AM26" i="43" s="1"/>
  <c r="AN26" i="43"/>
  <c r="N26" i="43"/>
  <c r="E32" i="43"/>
  <c r="AM32" i="43" s="1"/>
  <c r="AN32" i="43"/>
  <c r="N32" i="43"/>
  <c r="AN28" i="43"/>
  <c r="E28" i="43"/>
  <c r="AM28" i="43" s="1"/>
  <c r="N28" i="43"/>
  <c r="N35" i="43"/>
  <c r="AN35" i="43"/>
  <c r="AM35" i="43" s="1"/>
  <c r="E35" i="43"/>
  <c r="D41" i="43"/>
  <c r="AL20" i="43"/>
  <c r="AL41" i="43" s="1"/>
  <c r="AN34" i="43"/>
  <c r="AM34" i="43" s="1"/>
  <c r="E34" i="43"/>
  <c r="N34" i="43"/>
  <c r="D28" i="3" l="1"/>
  <c r="M15" i="43"/>
  <c r="AP15" i="43"/>
  <c r="AP17" i="43" s="1"/>
  <c r="H17" i="43"/>
  <c r="AQ15" i="43"/>
  <c r="AN20" i="43"/>
  <c r="AN41" i="43" s="1"/>
  <c r="F41" i="43"/>
  <c r="E20" i="43"/>
  <c r="N20" i="43"/>
  <c r="AL28" i="3"/>
  <c r="AM20" i="43" l="1"/>
  <c r="AM41" i="43" s="1"/>
  <c r="E41" i="43"/>
  <c r="F28" i="3"/>
  <c r="N41" i="43"/>
  <c r="AN15" i="43"/>
  <c r="AN17" i="43" s="1"/>
  <c r="E15" i="43"/>
  <c r="F17" i="43"/>
  <c r="AU15" i="43"/>
  <c r="N15" i="43"/>
  <c r="AM15" i="43" l="1"/>
  <c r="AM17" i="43" s="1"/>
  <c r="E17" i="43"/>
  <c r="AN28" i="3"/>
  <c r="E28" i="3"/>
  <c r="N28" i="3"/>
  <c r="AM28" i="3" l="1"/>
  <c r="AQ46" i="43" l="1"/>
  <c r="AP46" i="43"/>
  <c r="AP47" i="43"/>
  <c r="AQ45" i="43"/>
  <c r="AP58" i="43"/>
  <c r="M60" i="43"/>
  <c r="AP60" i="43"/>
  <c r="AP61" i="43"/>
  <c r="M61" i="43"/>
  <c r="AQ59" i="43"/>
  <c r="AQ58" i="43"/>
  <c r="AQ62" i="43"/>
  <c r="M62" i="43"/>
  <c r="AP62" i="43"/>
  <c r="AP64" i="43"/>
  <c r="M64" i="43"/>
  <c r="AQ61" i="43"/>
  <c r="M63" i="43"/>
  <c r="AP63" i="43"/>
  <c r="M59" i="43"/>
  <c r="AP59" i="43"/>
  <c r="AQ64" i="43"/>
  <c r="AQ54" i="43"/>
  <c r="AQ60" i="43"/>
  <c r="AQ63" i="43"/>
  <c r="M57" i="43" l="1"/>
  <c r="AU57" i="43" s="1"/>
  <c r="M46" i="43"/>
  <c r="AU46" i="43" s="1"/>
  <c r="M47" i="43"/>
  <c r="AU47" i="43" s="1"/>
  <c r="AP50" i="43"/>
  <c r="AP57" i="43"/>
  <c r="AP56" i="43" s="1"/>
  <c r="H56" i="43"/>
  <c r="AQ51" i="43"/>
  <c r="M58" i="43"/>
  <c r="M56" i="43" s="1"/>
  <c r="AQ49" i="43"/>
  <c r="AQ55" i="43"/>
  <c r="AQ50" i="43"/>
  <c r="AU61" i="43"/>
  <c r="AU63" i="43"/>
  <c r="AU62" i="43"/>
  <c r="AP54" i="43"/>
  <c r="M54" i="43"/>
  <c r="AU64" i="43"/>
  <c r="AU60" i="43"/>
  <c r="M45" i="43"/>
  <c r="H44" i="43"/>
  <c r="AP45" i="43"/>
  <c r="AP44" i="43" s="1"/>
  <c r="AQ52" i="43"/>
  <c r="AQ47" i="43"/>
  <c r="AQ44" i="43" s="1"/>
  <c r="I44" i="43"/>
  <c r="AL63" i="43"/>
  <c r="AL57" i="43"/>
  <c r="D56" i="43"/>
  <c r="M51" i="43"/>
  <c r="AP51" i="43"/>
  <c r="AP52" i="43"/>
  <c r="M52" i="43"/>
  <c r="AL61" i="43"/>
  <c r="AQ57" i="43"/>
  <c r="AQ56" i="43" s="1"/>
  <c r="I56" i="43"/>
  <c r="AU59" i="43"/>
  <c r="AL59" i="43"/>
  <c r="AL64" i="43"/>
  <c r="AL58" i="43"/>
  <c r="AL62" i="43"/>
  <c r="AL60" i="43"/>
  <c r="AP55" i="43" l="1"/>
  <c r="AU58" i="43"/>
  <c r="AU56" i="43" s="1"/>
  <c r="M50" i="43"/>
  <c r="AU50" i="43" s="1"/>
  <c r="M55" i="43"/>
  <c r="AU55" i="43" s="1"/>
  <c r="I48" i="43"/>
  <c r="I66" i="43" s="1"/>
  <c r="M44" i="43"/>
  <c r="AU45" i="43"/>
  <c r="AU44" i="43" s="1"/>
  <c r="AU54" i="43"/>
  <c r="AL56" i="43"/>
  <c r="AU51" i="43"/>
  <c r="AP49" i="43"/>
  <c r="H48" i="43"/>
  <c r="H66" i="43" s="1"/>
  <c r="M49" i="43"/>
  <c r="AQ53" i="43"/>
  <c r="AQ48" i="43" s="1"/>
  <c r="AQ66" i="43" s="1"/>
  <c r="AP53" i="43"/>
  <c r="M53" i="43"/>
  <c r="AU52" i="43"/>
  <c r="AU53" i="43" l="1"/>
  <c r="AP48" i="43"/>
  <c r="AP66" i="43" s="1"/>
  <c r="M48" i="43"/>
  <c r="M66" i="43" s="1"/>
  <c r="AU49" i="43"/>
  <c r="AU48" i="43" l="1"/>
  <c r="AU66" i="43" s="1"/>
  <c r="AL45" i="43" l="1"/>
  <c r="D44" i="43"/>
  <c r="AL46" i="43"/>
  <c r="AL51" i="43"/>
  <c r="AL54" i="43"/>
  <c r="AL52" i="43"/>
  <c r="AL47" i="43"/>
  <c r="AL44" i="43" l="1"/>
  <c r="AL55" i="43"/>
  <c r="AL49" i="43"/>
  <c r="D48" i="43"/>
  <c r="D66" i="43" s="1"/>
  <c r="AL53" i="43"/>
  <c r="AL50" i="43"/>
  <c r="AL48" i="43" l="1"/>
  <c r="AL66" i="43" s="1"/>
  <c r="AN52" i="43" l="1"/>
  <c r="E52" i="43"/>
  <c r="AM52" i="43" s="1"/>
  <c r="N52" i="43"/>
  <c r="AN64" i="43"/>
  <c r="E64" i="43"/>
  <c r="AM64" i="43" s="1"/>
  <c r="N64" i="43"/>
  <c r="E63" i="43"/>
  <c r="AM63" i="43" s="1"/>
  <c r="AN63" i="43"/>
  <c r="N63" i="43"/>
  <c r="AN54" i="43"/>
  <c r="E54" i="43"/>
  <c r="AM54" i="43" s="1"/>
  <c r="N54" i="43"/>
  <c r="E62" i="43"/>
  <c r="AM62" i="43" s="1"/>
  <c r="AN62" i="43"/>
  <c r="N62" i="43"/>
  <c r="AN60" i="43"/>
  <c r="E60" i="43"/>
  <c r="AM60" i="43" s="1"/>
  <c r="N60" i="43"/>
  <c r="E51" i="43"/>
  <c r="AM51" i="43" s="1"/>
  <c r="AN51" i="43"/>
  <c r="N51" i="43"/>
  <c r="AN61" i="43"/>
  <c r="E61" i="43"/>
  <c r="AM61" i="43" s="1"/>
  <c r="N61" i="43"/>
  <c r="AN59" i="43"/>
  <c r="E59" i="43"/>
  <c r="AM59" i="43" s="1"/>
  <c r="N59" i="43"/>
  <c r="AN47" i="43" l="1"/>
  <c r="E47" i="43"/>
  <c r="AM47" i="43" s="1"/>
  <c r="N47" i="43"/>
  <c r="AN58" i="43"/>
  <c r="E58" i="43"/>
  <c r="AM58" i="43" s="1"/>
  <c r="N58" i="43"/>
  <c r="E55" i="43"/>
  <c r="AM55" i="43" s="1"/>
  <c r="AN55" i="43"/>
  <c r="N55" i="43"/>
  <c r="AN53" i="43"/>
  <c r="E53" i="43"/>
  <c r="AM53" i="43" s="1"/>
  <c r="N53" i="43"/>
  <c r="AN45" i="43"/>
  <c r="E45" i="43"/>
  <c r="F44" i="43"/>
  <c r="N44" i="43" s="1"/>
  <c r="N45" i="43"/>
  <c r="AN49" i="43"/>
  <c r="E49" i="43"/>
  <c r="F48" i="43"/>
  <c r="N48" i="43" s="1"/>
  <c r="N49" i="43"/>
  <c r="E46" i="43"/>
  <c r="AM46" i="43" s="1"/>
  <c r="AN46" i="43"/>
  <c r="N46" i="43"/>
  <c r="AN50" i="43"/>
  <c r="E50" i="43"/>
  <c r="AM50" i="43" s="1"/>
  <c r="N50" i="43"/>
  <c r="AN57" i="43"/>
  <c r="E57" i="43"/>
  <c r="F56" i="43"/>
  <c r="N57" i="43"/>
  <c r="AN44" i="43" l="1"/>
  <c r="AM49" i="43"/>
  <c r="AM48" i="43" s="1"/>
  <c r="E48" i="43"/>
  <c r="AN48" i="43"/>
  <c r="AN56" i="43"/>
  <c r="F66" i="43"/>
  <c r="N56" i="43"/>
  <c r="AM57" i="43"/>
  <c r="AM56" i="43" s="1"/>
  <c r="E56" i="43"/>
  <c r="E44" i="43"/>
  <c r="AM45" i="43"/>
  <c r="AM44" i="43" s="1"/>
  <c r="N66" i="43" l="1"/>
  <c r="E66" i="43"/>
  <c r="AM66" i="43"/>
  <c r="AN66" i="43"/>
  <c r="K101" i="44" l="1"/>
  <c r="K108" i="44" s="1"/>
  <c r="K124" i="44" s="1"/>
  <c r="AS102" i="44" l="1"/>
  <c r="I12" i="43" l="1"/>
  <c r="I17" i="43" s="1"/>
  <c r="AQ14" i="43"/>
  <c r="AQ12" i="43" s="1"/>
  <c r="AQ17" i="43" s="1"/>
  <c r="M14" i="43"/>
  <c r="AS101" i="44"/>
  <c r="AS108" i="44" l="1"/>
  <c r="AS124" i="44"/>
  <c r="M12" i="43"/>
  <c r="AU14" i="43"/>
  <c r="AU12" i="43" s="1"/>
  <c r="AU17" i="43" s="1"/>
  <c r="N14" i="43"/>
  <c r="N12" i="43" l="1"/>
  <c r="M17" i="43"/>
  <c r="N17" i="43" l="1"/>
  <c r="AL21" i="27" l="1"/>
  <c r="AL34" i="27" l="1"/>
  <c r="AL33" i="27"/>
  <c r="AL32" i="27"/>
  <c r="AL31" i="27"/>
  <c r="AL30" i="27"/>
  <c r="AL29" i="27"/>
  <c r="AL28" i="27"/>
  <c r="AL27" i="27"/>
  <c r="AL26" i="27"/>
  <c r="AL25" i="27"/>
  <c r="AL24" i="27"/>
  <c r="AL23" i="27"/>
  <c r="AL22" i="27"/>
  <c r="AN22" i="27" l="1"/>
  <c r="E22" i="27"/>
  <c r="AM22" i="27" s="1"/>
  <c r="AN30" i="27"/>
  <c r="E30" i="27"/>
  <c r="AM30" i="27" s="1"/>
  <c r="E34" i="27"/>
  <c r="AN34" i="27"/>
  <c r="AM34" i="27" s="1"/>
  <c r="E35" i="27"/>
  <c r="AN35" i="27"/>
  <c r="AM35" i="27" s="1"/>
  <c r="N35" i="27"/>
  <c r="AN32" i="27"/>
  <c r="E32" i="27"/>
  <c r="AM32" i="27" s="1"/>
  <c r="AN21" i="27"/>
  <c r="E21" i="27"/>
  <c r="AM21" i="27" s="1"/>
  <c r="E29" i="27"/>
  <c r="AM29" i="27" s="1"/>
  <c r="AN29" i="27"/>
  <c r="E33" i="27"/>
  <c r="AM33" i="27" s="1"/>
  <c r="AN33" i="27"/>
  <c r="E24" i="27"/>
  <c r="AM24" i="27" s="1"/>
  <c r="AN24" i="27"/>
  <c r="N39" i="27"/>
  <c r="AN39" i="27"/>
  <c r="AM39" i="27" s="1"/>
  <c r="E39" i="27"/>
  <c r="E23" i="27"/>
  <c r="AM23" i="27" s="1"/>
  <c r="AN23" i="27"/>
  <c r="AN36" i="27"/>
  <c r="AM36" i="27" s="1"/>
  <c r="N36" i="27"/>
  <c r="E36" i="27"/>
  <c r="AN26" i="27"/>
  <c r="E26" i="27"/>
  <c r="AM26" i="27" s="1"/>
  <c r="E27" i="27"/>
  <c r="AM27" i="27" s="1"/>
  <c r="AN27" i="27"/>
  <c r="E38" i="27"/>
  <c r="AN38" i="27"/>
  <c r="AM38" i="27" s="1"/>
  <c r="N38" i="27"/>
  <c r="AN28" i="27"/>
  <c r="E28" i="27"/>
  <c r="AM28" i="27" s="1"/>
  <c r="AN25" i="27"/>
  <c r="E25" i="27"/>
  <c r="AM25" i="27" s="1"/>
  <c r="E37" i="27"/>
  <c r="N37" i="27"/>
  <c r="AN37" i="27"/>
  <c r="AM37" i="27" s="1"/>
  <c r="E31" i="27"/>
  <c r="AM31" i="27" s="1"/>
  <c r="AN31" i="27"/>
  <c r="D41" i="27"/>
  <c r="AL20" i="27"/>
  <c r="AL41" i="27" s="1"/>
  <c r="D24" i="3" l="1"/>
  <c r="AL24" i="3"/>
  <c r="E20" i="27" l="1"/>
  <c r="F41" i="27"/>
  <c r="AN20" i="27"/>
  <c r="AN41" i="27" s="1"/>
  <c r="F24" i="3" l="1"/>
  <c r="E41" i="27"/>
  <c r="AM20" i="27"/>
  <c r="AM41" i="27" s="1"/>
  <c r="AN24" i="3" l="1"/>
  <c r="E24" i="3"/>
  <c r="AM24" i="3" l="1"/>
  <c r="AL60" i="27" l="1"/>
  <c r="AL59" i="27"/>
  <c r="AL58" i="27"/>
  <c r="AL62" i="27"/>
  <c r="AL63" i="27"/>
  <c r="AL64" i="27"/>
  <c r="AL61" i="27"/>
  <c r="AL57" i="27" l="1"/>
  <c r="AL56" i="27" s="1"/>
  <c r="D56" i="27"/>
  <c r="AL47" i="27" l="1"/>
  <c r="D44" i="27"/>
  <c r="AL45" i="27"/>
  <c r="AL46" i="27"/>
  <c r="AL53" i="27" l="1"/>
  <c r="AL52" i="27"/>
  <c r="AL51" i="27"/>
  <c r="AL55" i="27"/>
  <c r="AL54" i="27"/>
  <c r="AL50" i="27"/>
  <c r="AL49" i="27"/>
  <c r="D48" i="27"/>
  <c r="D66" i="27" s="1"/>
  <c r="AL44" i="27"/>
  <c r="AL48" i="27" l="1"/>
  <c r="AL66" i="27" s="1"/>
  <c r="AN63" i="27" l="1"/>
  <c r="E63" i="27"/>
  <c r="AM63" i="27" s="1"/>
  <c r="E60" i="27"/>
  <c r="AM60" i="27" s="1"/>
  <c r="AN60" i="27"/>
  <c r="AN61" i="27"/>
  <c r="E61" i="27"/>
  <c r="AM61" i="27" s="1"/>
  <c r="AN51" i="27"/>
  <c r="E51" i="27"/>
  <c r="AM51" i="27" s="1"/>
  <c r="AN62" i="27"/>
  <c r="E62" i="27"/>
  <c r="AM62" i="27" s="1"/>
  <c r="E59" i="27"/>
  <c r="AM59" i="27" s="1"/>
  <c r="AN59" i="27"/>
  <c r="AN54" i="27"/>
  <c r="E54" i="27"/>
  <c r="AM54" i="27" s="1"/>
  <c r="AN52" i="27"/>
  <c r="E52" i="27"/>
  <c r="AM52" i="27" s="1"/>
  <c r="AN64" i="27"/>
  <c r="E64" i="27"/>
  <c r="AM64" i="27" s="1"/>
  <c r="AN45" i="27" l="1"/>
  <c r="E45" i="27"/>
  <c r="F48" i="27"/>
  <c r="AN49" i="27"/>
  <c r="E49" i="27"/>
  <c r="E55" i="27"/>
  <c r="AM55" i="27" s="1"/>
  <c r="AN55" i="27"/>
  <c r="AN53" i="27"/>
  <c r="E53" i="27"/>
  <c r="AM53" i="27" s="1"/>
  <c r="F44" i="27"/>
  <c r="E50" i="27"/>
  <c r="AM50" i="27" s="1"/>
  <c r="AN50" i="27"/>
  <c r="E58" i="27"/>
  <c r="AN58" i="27"/>
  <c r="AN47" i="27"/>
  <c r="E47" i="27"/>
  <c r="AM47" i="27" s="1"/>
  <c r="E57" i="27" l="1"/>
  <c r="AM57" i="27" s="1"/>
  <c r="AN57" i="27"/>
  <c r="AN56" i="27" s="1"/>
  <c r="F56" i="27"/>
  <c r="E46" i="27"/>
  <c r="AM46" i="27" s="1"/>
  <c r="AN46" i="27"/>
  <c r="AN44" i="27" s="1"/>
  <c r="AM49" i="27"/>
  <c r="AM48" i="27" s="1"/>
  <c r="E48" i="27"/>
  <c r="AN48" i="27"/>
  <c r="AM45" i="27"/>
  <c r="AM58" i="27"/>
  <c r="E56" i="27" l="1"/>
  <c r="AM44" i="27"/>
  <c r="AM56" i="27"/>
  <c r="E44" i="27"/>
  <c r="AN66" i="27"/>
  <c r="F66" i="27"/>
  <c r="E66" i="27" l="1"/>
  <c r="AM66" i="27"/>
  <c r="AL21" i="15" l="1"/>
  <c r="AL34" i="15" l="1"/>
  <c r="AL33" i="15"/>
  <c r="AL32" i="15"/>
  <c r="AL31" i="15"/>
  <c r="AL30" i="15"/>
  <c r="AL29" i="15"/>
  <c r="AL28" i="15"/>
  <c r="AL27" i="15"/>
  <c r="AL26" i="15"/>
  <c r="AL25" i="15"/>
  <c r="AL24" i="15"/>
  <c r="AL23" i="15"/>
  <c r="AL22" i="15"/>
  <c r="AN25" i="15" l="1"/>
  <c r="E25" i="15"/>
  <c r="AM25" i="15" s="1"/>
  <c r="E21" i="15"/>
  <c r="AM21" i="15" s="1"/>
  <c r="AN21" i="15"/>
  <c r="E24" i="15"/>
  <c r="AM24" i="15" s="1"/>
  <c r="AN24" i="15"/>
  <c r="E35" i="15"/>
  <c r="AN35" i="15"/>
  <c r="AM35" i="15" s="1"/>
  <c r="N35" i="15"/>
  <c r="AN26" i="15"/>
  <c r="E26" i="15"/>
  <c r="AM26" i="15" s="1"/>
  <c r="E38" i="15"/>
  <c r="AN38" i="15"/>
  <c r="AM38" i="15" s="1"/>
  <c r="N38" i="15"/>
  <c r="AN28" i="15"/>
  <c r="E28" i="15"/>
  <c r="AM28" i="15" s="1"/>
  <c r="AN30" i="15"/>
  <c r="E30" i="15"/>
  <c r="AM30" i="15" s="1"/>
  <c r="E23" i="15"/>
  <c r="AM23" i="15" s="1"/>
  <c r="AN23" i="15"/>
  <c r="AN27" i="15"/>
  <c r="E27" i="15"/>
  <c r="AM27" i="15" s="1"/>
  <c r="AN37" i="15"/>
  <c r="AM37" i="15" s="1"/>
  <c r="E37" i="15"/>
  <c r="N37" i="15"/>
  <c r="AN34" i="15"/>
  <c r="AM34" i="15" s="1"/>
  <c r="E34" i="15"/>
  <c r="AN32" i="15"/>
  <c r="E32" i="15"/>
  <c r="AM32" i="15" s="1"/>
  <c r="E36" i="15"/>
  <c r="N36" i="15"/>
  <c r="AN36" i="15"/>
  <c r="AM36" i="15" s="1"/>
  <c r="AN33" i="15"/>
  <c r="E33" i="15"/>
  <c r="AM33" i="15" s="1"/>
  <c r="D41" i="15"/>
  <c r="AL20" i="15"/>
  <c r="AL41" i="15" s="1"/>
  <c r="AN39" i="15"/>
  <c r="AM39" i="15" s="1"/>
  <c r="N39" i="15"/>
  <c r="E39" i="15"/>
  <c r="AN22" i="15"/>
  <c r="E22" i="15"/>
  <c r="AM22" i="15" s="1"/>
  <c r="AN29" i="15"/>
  <c r="E29" i="15"/>
  <c r="AM29" i="15" s="1"/>
  <c r="E31" i="15"/>
  <c r="AM31" i="15" s="1"/>
  <c r="AN31" i="15"/>
  <c r="D21" i="3" l="1"/>
  <c r="AL21" i="3" s="1"/>
  <c r="AN20" i="15"/>
  <c r="AN41" i="15" s="1"/>
  <c r="F41" i="15"/>
  <c r="E20" i="15"/>
  <c r="E41" i="15" l="1"/>
  <c r="AM20" i="15"/>
  <c r="AM41" i="15" s="1"/>
  <c r="F21" i="3"/>
  <c r="E21" i="3" l="1"/>
  <c r="AN21" i="3"/>
  <c r="AM21" i="3" l="1"/>
  <c r="AL60" i="15" l="1"/>
  <c r="AL58" i="15"/>
  <c r="AL57" i="15"/>
  <c r="D56" i="15"/>
  <c r="AL62" i="15"/>
  <c r="AL61" i="15"/>
  <c r="AL63" i="15"/>
  <c r="AL59" i="15"/>
  <c r="AL64" i="15"/>
  <c r="AL56" i="15" l="1"/>
  <c r="AL45" i="15" l="1"/>
  <c r="D44" i="15"/>
  <c r="AL46" i="15"/>
  <c r="AL54" i="15"/>
  <c r="AL51" i="15"/>
  <c r="AL52" i="15"/>
  <c r="AL47" i="15"/>
  <c r="AL55" i="15" l="1"/>
  <c r="AL53" i="15"/>
  <c r="D48" i="15"/>
  <c r="D66" i="15" s="1"/>
  <c r="AL49" i="15"/>
  <c r="AL50" i="15"/>
  <c r="AL44" i="15"/>
  <c r="AL48" i="15" l="1"/>
  <c r="AL66" i="15" s="1"/>
  <c r="AN51" i="15" l="1"/>
  <c r="E51" i="15"/>
  <c r="AM51" i="15" s="1"/>
  <c r="AN59" i="15"/>
  <c r="E59" i="15"/>
  <c r="AM59" i="15" s="1"/>
  <c r="AM64" i="15"/>
  <c r="AN64" i="15"/>
  <c r="E62" i="15"/>
  <c r="AM62" i="15" s="1"/>
  <c r="AN62" i="15"/>
  <c r="E63" i="15"/>
  <c r="AM63" i="15" s="1"/>
  <c r="AN63" i="15"/>
  <c r="AN60" i="15"/>
  <c r="E60" i="15"/>
  <c r="AM60" i="15" s="1"/>
  <c r="AN61" i="15"/>
  <c r="E61" i="15"/>
  <c r="AM61" i="15" s="1"/>
  <c r="E54" i="15"/>
  <c r="AM54" i="15" s="1"/>
  <c r="AN54" i="15"/>
  <c r="AN52" i="15"/>
  <c r="E52" i="15"/>
  <c r="AM52" i="15" s="1"/>
  <c r="AN49" i="15" l="1"/>
  <c r="E49" i="15"/>
  <c r="F48" i="15"/>
  <c r="E50" i="15"/>
  <c r="AM50" i="15" s="1"/>
  <c r="AN50" i="15"/>
  <c r="AN46" i="15"/>
  <c r="E46" i="15"/>
  <c r="AM46" i="15" s="1"/>
  <c r="F44" i="15"/>
  <c r="AN45" i="15"/>
  <c r="E45" i="15"/>
  <c r="E47" i="15"/>
  <c r="AM47" i="15" s="1"/>
  <c r="AN47" i="15"/>
  <c r="AN57" i="15"/>
  <c r="F56" i="15"/>
  <c r="E57" i="15"/>
  <c r="AN55" i="15"/>
  <c r="E55" i="15"/>
  <c r="AM55" i="15" s="1"/>
  <c r="E58" i="15"/>
  <c r="AM58" i="15" s="1"/>
  <c r="AN58" i="15"/>
  <c r="AN53" i="15"/>
  <c r="E53" i="15"/>
  <c r="AM53" i="15" s="1"/>
  <c r="AN56" i="15" l="1"/>
  <c r="AN44" i="15"/>
  <c r="F66" i="15"/>
  <c r="AM57" i="15"/>
  <c r="AM56" i="15" s="1"/>
  <c r="E56" i="15"/>
  <c r="AM49" i="15"/>
  <c r="AM48" i="15" s="1"/>
  <c r="E48" i="15"/>
  <c r="E44" i="15"/>
  <c r="AM45" i="15"/>
  <c r="AM44" i="15" s="1"/>
  <c r="AN48" i="15"/>
  <c r="E66" i="15" l="1"/>
  <c r="AN66" i="15"/>
  <c r="AM66" i="15"/>
  <c r="N43" i="36" l="1"/>
  <c r="M48" i="36"/>
  <c r="N49" i="36"/>
  <c r="J101" i="36"/>
  <c r="J87" i="36"/>
  <c r="N30" i="36"/>
  <c r="N50" i="36"/>
  <c r="N29" i="36"/>
  <c r="N44" i="36"/>
  <c r="J62" i="36"/>
  <c r="N57" i="36"/>
  <c r="J80" i="36"/>
  <c r="N63" i="36"/>
  <c r="M62" i="36"/>
  <c r="N56" i="36"/>
  <c r="M55" i="36"/>
  <c r="J20" i="36"/>
  <c r="M20" i="36"/>
  <c r="N21" i="36"/>
  <c r="N31" i="36"/>
  <c r="J27" i="36"/>
  <c r="J41" i="36"/>
  <c r="N45" i="36"/>
  <c r="J69" i="36"/>
  <c r="M27" i="36"/>
  <c r="N28" i="36"/>
  <c r="M41" i="36"/>
  <c r="N42" i="36"/>
  <c r="M69" i="36"/>
  <c r="N70" i="36"/>
  <c r="N16" i="36"/>
  <c r="N15" i="36"/>
  <c r="J48" i="36"/>
  <c r="J55" i="36"/>
  <c r="AR88" i="36"/>
  <c r="AR43" i="36"/>
  <c r="AR57" i="36"/>
  <c r="AR15" i="36"/>
  <c r="AR44" i="36"/>
  <c r="AU49" i="36"/>
  <c r="AR56" i="36"/>
  <c r="AR16" i="36"/>
  <c r="AU28" i="36"/>
  <c r="AR45" i="36"/>
  <c r="AU21" i="36"/>
  <c r="AR21" i="36"/>
  <c r="AU29" i="36"/>
  <c r="AR89" i="36"/>
  <c r="AU50" i="36"/>
  <c r="AU30" i="36"/>
  <c r="AR81" i="36"/>
  <c r="AU31" i="36"/>
  <c r="AR49" i="36"/>
  <c r="AU63" i="36"/>
  <c r="AR28" i="36"/>
  <c r="AU42" i="36"/>
  <c r="AU70" i="36"/>
  <c r="AR29" i="36"/>
  <c r="AU43" i="36"/>
  <c r="AR102" i="36"/>
  <c r="AR103" i="36"/>
  <c r="AR50" i="36"/>
  <c r="AU15" i="36"/>
  <c r="AR31" i="36"/>
  <c r="AU44" i="36"/>
  <c r="AR63" i="36"/>
  <c r="AU57" i="36"/>
  <c r="AR30" i="36"/>
  <c r="AU16" i="36"/>
  <c r="AR42" i="36"/>
  <c r="AU45" i="36"/>
  <c r="AR70" i="36"/>
  <c r="AU56" i="36"/>
  <c r="N41" i="36" l="1"/>
  <c r="N20" i="36"/>
  <c r="K80" i="36"/>
  <c r="K101" i="36"/>
  <c r="J108" i="36"/>
  <c r="AR108" i="36" s="1"/>
  <c r="K62" i="36"/>
  <c r="AS62" i="36" s="1"/>
  <c r="N27" i="36"/>
  <c r="K69" i="36"/>
  <c r="K20" i="36"/>
  <c r="K87" i="36"/>
  <c r="K41" i="36"/>
  <c r="N55" i="36"/>
  <c r="K117" i="36"/>
  <c r="K27" i="36"/>
  <c r="K48" i="36"/>
  <c r="K112" i="36"/>
  <c r="N69" i="36"/>
  <c r="N48" i="36"/>
  <c r="N62" i="36"/>
  <c r="AR62" i="36"/>
  <c r="AR41" i="36"/>
  <c r="AR48" i="36"/>
  <c r="AR55" i="36"/>
  <c r="AR69" i="36"/>
  <c r="AR101" i="36"/>
  <c r="AR27" i="36"/>
  <c r="AR20" i="36"/>
  <c r="AR87" i="36"/>
  <c r="AS45" i="36"/>
  <c r="AU62" i="36"/>
  <c r="AS88" i="36"/>
  <c r="AR80" i="36"/>
  <c r="AU20" i="36"/>
  <c r="AS103" i="36"/>
  <c r="AU48" i="36"/>
  <c r="AS15" i="36"/>
  <c r="AS43" i="36"/>
  <c r="AS70" i="36"/>
  <c r="AS50" i="36"/>
  <c r="AS89" i="36"/>
  <c r="AS49" i="36"/>
  <c r="AU41" i="36"/>
  <c r="AS117" i="36"/>
  <c r="AS118" i="36"/>
  <c r="AS31" i="36"/>
  <c r="AS113" i="36"/>
  <c r="AS21" i="36"/>
  <c r="AS44" i="36"/>
  <c r="AS42" i="36"/>
  <c r="AS29" i="36"/>
  <c r="AU27" i="36"/>
  <c r="AS30" i="36"/>
  <c r="AU69" i="36"/>
  <c r="AS16" i="36"/>
  <c r="AS63" i="36"/>
  <c r="AS102" i="36"/>
  <c r="AU55" i="36"/>
  <c r="AS28" i="36"/>
  <c r="AS56" i="36"/>
  <c r="AS81" i="36"/>
  <c r="AS41" i="36" l="1"/>
  <c r="K108" i="36"/>
  <c r="K122" i="36"/>
  <c r="K55" i="36"/>
  <c r="AS69" i="36"/>
  <c r="AS27" i="36"/>
  <c r="AS101" i="36"/>
  <c r="AS87" i="36"/>
  <c r="AS20" i="36"/>
  <c r="AS48" i="36"/>
  <c r="AS80" i="36"/>
  <c r="AS122" i="36"/>
  <c r="AS112" i="36"/>
  <c r="AS57" i="36"/>
  <c r="AS108" i="36" l="1"/>
  <c r="AS55" i="36"/>
  <c r="AL21" i="35" l="1"/>
  <c r="AQ21" i="35" l="1"/>
  <c r="AP21" i="35"/>
  <c r="M21" i="35" l="1"/>
  <c r="AU21" i="35" s="1"/>
  <c r="AL34" i="35"/>
  <c r="AL33" i="35"/>
  <c r="AL32" i="35"/>
  <c r="AL31" i="35"/>
  <c r="AL30" i="35"/>
  <c r="AL29" i="35"/>
  <c r="AL28" i="35"/>
  <c r="AL27" i="35"/>
  <c r="AL26" i="35"/>
  <c r="AL25" i="35"/>
  <c r="AL24" i="35"/>
  <c r="AL23" i="35"/>
  <c r="AL22" i="35"/>
  <c r="AP32" i="35" l="1"/>
  <c r="AQ23" i="35"/>
  <c r="AP27" i="35"/>
  <c r="AP28" i="35"/>
  <c r="AQ33" i="35"/>
  <c r="AQ28" i="35"/>
  <c r="AQ34" i="35"/>
  <c r="AP24" i="35"/>
  <c r="AQ24" i="35"/>
  <c r="AQ30" i="35"/>
  <c r="AP26" i="35"/>
  <c r="AQ25" i="35"/>
  <c r="AQ31" i="35"/>
  <c r="AQ26" i="35"/>
  <c r="AQ32" i="35"/>
  <c r="AP34" i="35"/>
  <c r="AP22" i="35"/>
  <c r="AQ27" i="35"/>
  <c r="AP23" i="35"/>
  <c r="M23" i="35"/>
  <c r="AP29" i="35"/>
  <c r="AQ22" i="35"/>
  <c r="AQ29" i="35"/>
  <c r="M28" i="35" l="1"/>
  <c r="M27" i="35"/>
  <c r="M24" i="35"/>
  <c r="AU24" i="35" s="1"/>
  <c r="M34" i="35"/>
  <c r="M32" i="35"/>
  <c r="AU32" i="35" s="1"/>
  <c r="AU34" i="35"/>
  <c r="M26" i="35"/>
  <c r="AU26" i="35" s="1"/>
  <c r="M22" i="35"/>
  <c r="AU22" i="35" s="1"/>
  <c r="AU28" i="35"/>
  <c r="AU23" i="35"/>
  <c r="M30" i="35"/>
  <c r="AP30" i="35"/>
  <c r="M29" i="35"/>
  <c r="AP31" i="35"/>
  <c r="M31" i="35"/>
  <c r="AU27" i="35"/>
  <c r="AP33" i="35"/>
  <c r="M33" i="35"/>
  <c r="M25" i="35"/>
  <c r="AP25" i="35"/>
  <c r="AU25" i="35" l="1"/>
  <c r="AU31" i="35"/>
  <c r="AU33" i="35"/>
  <c r="AU29" i="35"/>
  <c r="AU30" i="35"/>
  <c r="J13" i="36" l="1"/>
  <c r="N14" i="36"/>
  <c r="M13" i="36"/>
  <c r="AU14" i="36"/>
  <c r="AU13" i="36" s="1"/>
  <c r="AR14" i="36"/>
  <c r="AR13" i="36" s="1"/>
  <c r="K13" i="36" l="1"/>
  <c r="M76" i="36"/>
  <c r="N13" i="36"/>
  <c r="J76" i="36"/>
  <c r="AS14" i="36"/>
  <c r="AS13" i="36" s="1"/>
  <c r="N76" i="36" l="1"/>
  <c r="J124" i="36"/>
  <c r="K76" i="36"/>
  <c r="AR76" i="36"/>
  <c r="AU76" i="36"/>
  <c r="AR124" i="36" l="1"/>
  <c r="K124" i="36"/>
  <c r="AS76" i="36"/>
  <c r="AP14" i="35"/>
  <c r="AP12" i="35" s="1"/>
  <c r="M14" i="35"/>
  <c r="H12" i="35"/>
  <c r="D12" i="35"/>
  <c r="AL14" i="35"/>
  <c r="AL12" i="35" s="1"/>
  <c r="AQ14" i="35"/>
  <c r="AQ12" i="35" s="1"/>
  <c r="I12" i="35"/>
  <c r="AS124" i="36" l="1"/>
  <c r="AP20" i="35"/>
  <c r="AP41" i="35" s="1"/>
  <c r="H41" i="35"/>
  <c r="M20" i="35"/>
  <c r="AN14" i="35"/>
  <c r="AN12" i="35" s="1"/>
  <c r="F12" i="35"/>
  <c r="E14" i="35"/>
  <c r="N14" i="35"/>
  <c r="M12" i="35"/>
  <c r="AU14" i="35"/>
  <c r="AU12" i="35" s="1"/>
  <c r="AQ20" i="35"/>
  <c r="AQ41" i="35" s="1"/>
  <c r="I41" i="35"/>
  <c r="H26" i="3" l="1"/>
  <c r="AP26" i="3" s="1"/>
  <c r="I26" i="3"/>
  <c r="M26" i="3" s="1"/>
  <c r="AM14" i="35"/>
  <c r="AM12" i="35" s="1"/>
  <c r="E12" i="35"/>
  <c r="N12" i="35"/>
  <c r="AU20" i="35"/>
  <c r="AU41" i="35" s="1"/>
  <c r="M41" i="35"/>
  <c r="AQ26" i="3"/>
  <c r="AU26" i="3" l="1"/>
  <c r="E34" i="35" l="1"/>
  <c r="AN34" i="35"/>
  <c r="AM34" i="35" s="1"/>
  <c r="N34" i="35"/>
  <c r="E22" i="35"/>
  <c r="AM22" i="35" s="1"/>
  <c r="AN22" i="35"/>
  <c r="N22" i="35"/>
  <c r="E30" i="35"/>
  <c r="AM30" i="35" s="1"/>
  <c r="AN30" i="35"/>
  <c r="N30" i="35"/>
  <c r="AN29" i="35"/>
  <c r="E29" i="35"/>
  <c r="AM29" i="35" s="1"/>
  <c r="N29" i="35"/>
  <c r="AN35" i="35"/>
  <c r="AM35" i="35" s="1"/>
  <c r="E35" i="35"/>
  <c r="N35" i="35"/>
  <c r="AN32" i="35"/>
  <c r="E32" i="35"/>
  <c r="AM32" i="35" s="1"/>
  <c r="N32" i="35"/>
  <c r="AN21" i="35"/>
  <c r="E21" i="35"/>
  <c r="AM21" i="35" s="1"/>
  <c r="N21" i="35"/>
  <c r="AN33" i="35"/>
  <c r="E33" i="35"/>
  <c r="AM33" i="35" s="1"/>
  <c r="N33" i="35"/>
  <c r="AN39" i="35"/>
  <c r="AM39" i="35" s="1"/>
  <c r="N39" i="35"/>
  <c r="E39" i="35"/>
  <c r="E23" i="35"/>
  <c r="AM23" i="35" s="1"/>
  <c r="AN23" i="35"/>
  <c r="N23" i="35"/>
  <c r="E24" i="35"/>
  <c r="AM24" i="35" s="1"/>
  <c r="AN24" i="35"/>
  <c r="N24" i="35"/>
  <c r="E36" i="35"/>
  <c r="AN36" i="35"/>
  <c r="AM36" i="35" s="1"/>
  <c r="N36" i="35"/>
  <c r="AN26" i="35"/>
  <c r="E26" i="35"/>
  <c r="AM26" i="35" s="1"/>
  <c r="N26" i="35"/>
  <c r="AN27" i="35"/>
  <c r="E27" i="35"/>
  <c r="AM27" i="35" s="1"/>
  <c r="N27" i="35"/>
  <c r="AN38" i="35"/>
  <c r="AM38" i="35" s="1"/>
  <c r="N38" i="35"/>
  <c r="E38" i="35"/>
  <c r="AN25" i="35"/>
  <c r="E25" i="35"/>
  <c r="AM25" i="35" s="1"/>
  <c r="N25" i="35"/>
  <c r="AN37" i="35"/>
  <c r="AM37" i="35" s="1"/>
  <c r="N37" i="35"/>
  <c r="E37" i="35"/>
  <c r="E28" i="35"/>
  <c r="AM28" i="35" s="1"/>
  <c r="AN28" i="35"/>
  <c r="N28" i="35"/>
  <c r="AN31" i="35"/>
  <c r="E31" i="35"/>
  <c r="AM31" i="35" s="1"/>
  <c r="N31" i="35"/>
  <c r="AL20" i="35"/>
  <c r="AL41" i="35" s="1"/>
  <c r="D41" i="35"/>
  <c r="D26" i="3" l="1"/>
  <c r="AL26" i="3" s="1"/>
  <c r="AL41" i="3" s="1"/>
  <c r="AL15" i="35"/>
  <c r="AL17" i="35" s="1"/>
  <c r="D17" i="35"/>
  <c r="AP15" i="35"/>
  <c r="AP17" i="35" s="1"/>
  <c r="M15" i="35"/>
  <c r="H17" i="35"/>
  <c r="AQ15" i="35"/>
  <c r="AQ17" i="35" s="1"/>
  <c r="I17" i="35"/>
  <c r="D41" i="3" l="1"/>
  <c r="F41" i="35"/>
  <c r="AN20" i="35"/>
  <c r="AN41" i="35" s="1"/>
  <c r="E20" i="35"/>
  <c r="N20" i="35"/>
  <c r="AU15" i="35"/>
  <c r="AU17" i="35" s="1"/>
  <c r="M17" i="35"/>
  <c r="N15" i="35" l="1"/>
  <c r="AN15" i="35"/>
  <c r="AN17" i="35" s="1"/>
  <c r="E15" i="35"/>
  <c r="F17" i="35"/>
  <c r="E41" i="35"/>
  <c r="AM20" i="35"/>
  <c r="AM41" i="35" s="1"/>
  <c r="F26" i="3"/>
  <c r="N41" i="35"/>
  <c r="N17" i="35" l="1"/>
  <c r="AN26" i="3"/>
  <c r="AN41" i="3" s="1"/>
  <c r="E26" i="3"/>
  <c r="F41" i="3"/>
  <c r="N26" i="3"/>
  <c r="AM15" i="35"/>
  <c r="AM17" i="35" s="1"/>
  <c r="E17" i="35"/>
  <c r="AM26" i="3" l="1"/>
  <c r="AM41" i="3" s="1"/>
  <c r="E41" i="3"/>
  <c r="AP47" i="35" l="1"/>
  <c r="AQ64" i="35"/>
  <c r="M63" i="35"/>
  <c r="AP63" i="35"/>
  <c r="M62" i="35"/>
  <c r="AP62" i="35"/>
  <c r="M59" i="35"/>
  <c r="AP59" i="35"/>
  <c r="AQ60" i="35"/>
  <c r="AQ61" i="35"/>
  <c r="AQ62" i="35"/>
  <c r="AP64" i="35"/>
  <c r="M64" i="35"/>
  <c r="AQ59" i="35"/>
  <c r="M61" i="35"/>
  <c r="AP61" i="35"/>
  <c r="AQ63" i="35"/>
  <c r="AP60" i="35"/>
  <c r="M60" i="35"/>
  <c r="M47" i="35" l="1"/>
  <c r="AU47" i="35" s="1"/>
  <c r="AU64" i="35"/>
  <c r="AU59" i="35"/>
  <c r="AQ51" i="35"/>
  <c r="AQ54" i="35"/>
  <c r="AP46" i="35"/>
  <c r="M46" i="35"/>
  <c r="AP52" i="35"/>
  <c r="M52" i="35"/>
  <c r="AQ58" i="35"/>
  <c r="AQ52" i="35"/>
  <c r="AU60" i="35"/>
  <c r="AU61" i="35"/>
  <c r="H44" i="35"/>
  <c r="AP45" i="35"/>
  <c r="M45" i="35"/>
  <c r="AL62" i="35"/>
  <c r="D62" i="3"/>
  <c r="AL62" i="3" s="1"/>
  <c r="AQ47" i="35"/>
  <c r="M54" i="35"/>
  <c r="AP54" i="35"/>
  <c r="AU62" i="35"/>
  <c r="AL63" i="35"/>
  <c r="D63" i="3"/>
  <c r="AL63" i="3" s="1"/>
  <c r="AP51" i="35"/>
  <c r="M51" i="35"/>
  <c r="D64" i="3"/>
  <c r="AL64" i="3" s="1"/>
  <c r="AL64" i="35"/>
  <c r="AL58" i="35"/>
  <c r="D58" i="3"/>
  <c r="AL58" i="3" s="1"/>
  <c r="AP58" i="35"/>
  <c r="M58" i="35"/>
  <c r="AQ46" i="35"/>
  <c r="M57" i="35"/>
  <c r="AP57" i="35"/>
  <c r="H56" i="35"/>
  <c r="AU63" i="35"/>
  <c r="AL60" i="35"/>
  <c r="D60" i="3"/>
  <c r="AL60" i="3" s="1"/>
  <c r="AQ57" i="35"/>
  <c r="I56" i="35"/>
  <c r="AL61" i="35"/>
  <c r="D61" i="3"/>
  <c r="AL61" i="3" s="1"/>
  <c r="I44" i="35"/>
  <c r="AQ45" i="35"/>
  <c r="AL59" i="35"/>
  <c r="D59" i="3"/>
  <c r="AL59" i="3" s="1"/>
  <c r="AP44" i="35" l="1"/>
  <c r="AP56" i="35"/>
  <c r="M50" i="35"/>
  <c r="AP50" i="35"/>
  <c r="AQ53" i="35"/>
  <c r="AQ56" i="35"/>
  <c r="AQ44" i="35"/>
  <c r="AU58" i="35"/>
  <c r="AQ55" i="35"/>
  <c r="AP55" i="35"/>
  <c r="M55" i="35"/>
  <c r="AL57" i="35"/>
  <c r="AL56" i="35" s="1"/>
  <c r="D56" i="35"/>
  <c r="D57" i="3"/>
  <c r="AU52" i="35"/>
  <c r="AQ50" i="35"/>
  <c r="AU46" i="35"/>
  <c r="AU45" i="35"/>
  <c r="M44" i="35"/>
  <c r="AP53" i="35"/>
  <c r="M53" i="35"/>
  <c r="AU54" i="35"/>
  <c r="AU57" i="35"/>
  <c r="M56" i="35"/>
  <c r="AU51" i="35"/>
  <c r="AQ49" i="35"/>
  <c r="I48" i="35"/>
  <c r="I66" i="35" s="1"/>
  <c r="AP49" i="35"/>
  <c r="H48" i="35"/>
  <c r="H66" i="35" s="1"/>
  <c r="M49" i="35"/>
  <c r="AU44" i="35" l="1"/>
  <c r="AL57" i="3"/>
  <c r="AL56" i="3" s="1"/>
  <c r="D56" i="3"/>
  <c r="AQ48" i="35"/>
  <c r="AQ66" i="35" s="1"/>
  <c r="AU55" i="35"/>
  <c r="AU49" i="35"/>
  <c r="M48" i="35"/>
  <c r="M66" i="35" s="1"/>
  <c r="AP48" i="35"/>
  <c r="AP66" i="35" s="1"/>
  <c r="AU56" i="35"/>
  <c r="AU53" i="35"/>
  <c r="AU50" i="35"/>
  <c r="AU48" i="35" l="1"/>
  <c r="AU66" i="35" s="1"/>
  <c r="AL47" i="35" l="1"/>
  <c r="D47" i="3"/>
  <c r="AL47" i="3" s="1"/>
  <c r="D44" i="35"/>
  <c r="AL45" i="35"/>
  <c r="D45" i="3"/>
  <c r="AL46" i="35"/>
  <c r="D46" i="3"/>
  <c r="AL46" i="3" s="1"/>
  <c r="AL50" i="35" l="1"/>
  <c r="D50" i="3"/>
  <c r="AL50" i="3" s="1"/>
  <c r="D44" i="3"/>
  <c r="AL45" i="3"/>
  <c r="AL44" i="3" s="1"/>
  <c r="AL53" i="35"/>
  <c r="D53" i="3"/>
  <c r="AL53" i="3" s="1"/>
  <c r="AL52" i="35"/>
  <c r="D52" i="3"/>
  <c r="AL52" i="3" s="1"/>
  <c r="AL51" i="35"/>
  <c r="D51" i="3"/>
  <c r="AL51" i="3" s="1"/>
  <c r="AL54" i="35"/>
  <c r="D54" i="3"/>
  <c r="AL54" i="3" s="1"/>
  <c r="AL55" i="35"/>
  <c r="D55" i="3"/>
  <c r="AL55" i="3" s="1"/>
  <c r="AL44" i="35"/>
  <c r="D48" i="35"/>
  <c r="D66" i="35" s="1"/>
  <c r="AL49" i="35"/>
  <c r="D49" i="3"/>
  <c r="AL49" i="3" l="1"/>
  <c r="AL48" i="3" s="1"/>
  <c r="AL66" i="3" s="1"/>
  <c r="D48" i="3"/>
  <c r="D66" i="3" s="1"/>
  <c r="AL48" i="35"/>
  <c r="AL66" i="35" s="1"/>
  <c r="E59" i="35" l="1"/>
  <c r="AM59" i="35" s="1"/>
  <c r="AN59" i="35"/>
  <c r="F59" i="3"/>
  <c r="N59" i="35"/>
  <c r="F52" i="3"/>
  <c r="E52" i="35"/>
  <c r="AM52" i="35" s="1"/>
  <c r="AN52" i="35"/>
  <c r="N52" i="35"/>
  <c r="F64" i="3"/>
  <c r="E64" i="35"/>
  <c r="AM64" i="35" s="1"/>
  <c r="AN64" i="35"/>
  <c r="N64" i="35"/>
  <c r="AN63" i="35"/>
  <c r="E63" i="35"/>
  <c r="AM63" i="35" s="1"/>
  <c r="F63" i="3"/>
  <c r="N63" i="35"/>
  <c r="E62" i="35"/>
  <c r="AM62" i="35" s="1"/>
  <c r="AN62" i="35"/>
  <c r="F62" i="3"/>
  <c r="N62" i="35"/>
  <c r="AN60" i="35"/>
  <c r="F60" i="3"/>
  <c r="E60" i="35"/>
  <c r="AM60" i="35" s="1"/>
  <c r="N60" i="35"/>
  <c r="E51" i="35"/>
  <c r="AM51" i="35" s="1"/>
  <c r="AN51" i="35"/>
  <c r="F51" i="3"/>
  <c r="N51" i="35"/>
  <c r="AN61" i="35"/>
  <c r="E61" i="35"/>
  <c r="AM61" i="35" s="1"/>
  <c r="F61" i="3"/>
  <c r="N61" i="35"/>
  <c r="AN54" i="35"/>
  <c r="F54" i="3"/>
  <c r="E54" i="35"/>
  <c r="AM54" i="35" s="1"/>
  <c r="N54" i="35"/>
  <c r="E47" i="35" l="1"/>
  <c r="AM47" i="35" s="1"/>
  <c r="F47" i="3"/>
  <c r="AN47" i="35"/>
  <c r="N47" i="35"/>
  <c r="AN55" i="35"/>
  <c r="E55" i="35"/>
  <c r="AM55" i="35" s="1"/>
  <c r="F55" i="3"/>
  <c r="N55" i="35"/>
  <c r="AN51" i="3"/>
  <c r="E51" i="3"/>
  <c r="AM51" i="3" s="1"/>
  <c r="E58" i="35"/>
  <c r="AM58" i="35" s="1"/>
  <c r="AN58" i="35"/>
  <c r="F58" i="3"/>
  <c r="N58" i="35"/>
  <c r="E53" i="35"/>
  <c r="AM53" i="35" s="1"/>
  <c r="F53" i="3"/>
  <c r="AN53" i="35"/>
  <c r="N53" i="35"/>
  <c r="E60" i="3"/>
  <c r="AM60" i="3" s="1"/>
  <c r="AN60" i="3"/>
  <c r="E45" i="35"/>
  <c r="AN45" i="35"/>
  <c r="F45" i="3"/>
  <c r="N45" i="35"/>
  <c r="E64" i="3"/>
  <c r="AM64" i="3" s="1"/>
  <c r="AN64" i="3"/>
  <c r="F49" i="3"/>
  <c r="F48" i="35"/>
  <c r="N48" i="35" s="1"/>
  <c r="AN49" i="35"/>
  <c r="E49" i="35"/>
  <c r="N49" i="35"/>
  <c r="E54" i="3"/>
  <c r="AM54" i="3" s="1"/>
  <c r="AN54" i="3"/>
  <c r="F50" i="3"/>
  <c r="E50" i="35"/>
  <c r="AM50" i="35" s="1"/>
  <c r="AN50" i="35"/>
  <c r="N50" i="35"/>
  <c r="AN61" i="3"/>
  <c r="E61" i="3"/>
  <c r="AM61" i="3" s="1"/>
  <c r="AN62" i="3"/>
  <c r="E62" i="3"/>
  <c r="AM62" i="3" s="1"/>
  <c r="E52" i="3"/>
  <c r="AM52" i="3" s="1"/>
  <c r="AN52" i="3"/>
  <c r="E59" i="3"/>
  <c r="AM59" i="3" s="1"/>
  <c r="AN59" i="3"/>
  <c r="E63" i="3"/>
  <c r="AM63" i="3" s="1"/>
  <c r="AN63" i="3"/>
  <c r="F46" i="3" l="1"/>
  <c r="E46" i="35"/>
  <c r="AM46" i="35" s="1"/>
  <c r="AN46" i="35"/>
  <c r="AN44" i="35" s="1"/>
  <c r="N46" i="35"/>
  <c r="F44" i="35"/>
  <c r="AN47" i="3"/>
  <c r="E47" i="3"/>
  <c r="AM47" i="3" s="1"/>
  <c r="AN45" i="3"/>
  <c r="E45" i="3"/>
  <c r="E50" i="3"/>
  <c r="AM50" i="3" s="1"/>
  <c r="AN50" i="3"/>
  <c r="E58" i="3"/>
  <c r="AM58" i="3" s="1"/>
  <c r="AN58" i="3"/>
  <c r="AN57" i="35"/>
  <c r="AN56" i="35" s="1"/>
  <c r="E57" i="35"/>
  <c r="F56" i="35"/>
  <c r="N56" i="35" s="1"/>
  <c r="F57" i="3"/>
  <c r="N57" i="35"/>
  <c r="AM45" i="35"/>
  <c r="E48" i="35"/>
  <c r="AM49" i="35"/>
  <c r="AM48" i="35" s="1"/>
  <c r="AN48" i="35"/>
  <c r="F48" i="3"/>
  <c r="AN49" i="3"/>
  <c r="E49" i="3"/>
  <c r="AN55" i="3"/>
  <c r="E55" i="3"/>
  <c r="AM55" i="3" s="1"/>
  <c r="E53" i="3"/>
  <c r="AM53" i="3" s="1"/>
  <c r="AN53" i="3"/>
  <c r="AN48" i="3" l="1"/>
  <c r="AM44" i="35"/>
  <c r="N44" i="35"/>
  <c r="F66" i="35"/>
  <c r="AN66" i="35"/>
  <c r="F44" i="3"/>
  <c r="AN46" i="3"/>
  <c r="AN44" i="3" s="1"/>
  <c r="E46" i="3"/>
  <c r="AM46" i="3" s="1"/>
  <c r="E44" i="35"/>
  <c r="AM45" i="3"/>
  <c r="AN57" i="3"/>
  <c r="AN56" i="3" s="1"/>
  <c r="E57" i="3"/>
  <c r="F56" i="3"/>
  <c r="AM57" i="35"/>
  <c r="AM56" i="35" s="1"/>
  <c r="E56" i="35"/>
  <c r="E48" i="3"/>
  <c r="AM49" i="3"/>
  <c r="AM48" i="3" s="1"/>
  <c r="N66" i="35" l="1"/>
  <c r="AM66" i="35"/>
  <c r="E44" i="3"/>
  <c r="AM44" i="3"/>
  <c r="E66" i="35"/>
  <c r="AM57" i="3"/>
  <c r="AM56" i="3" s="1"/>
  <c r="E56" i="3"/>
  <c r="AN66" i="3"/>
  <c r="F66" i="3"/>
  <c r="E66" i="3" l="1"/>
  <c r="AM66" i="3"/>
  <c r="AR30" i="16" l="1"/>
  <c r="AS30" i="16"/>
  <c r="AU30" i="16"/>
  <c r="N30" i="16"/>
  <c r="AR50" i="16"/>
  <c r="AS50" i="16"/>
  <c r="AU50" i="16"/>
  <c r="N50" i="16"/>
  <c r="AR81" i="16"/>
  <c r="J80" i="16"/>
  <c r="AS81" i="16"/>
  <c r="K80" i="16"/>
  <c r="AR44" i="16"/>
  <c r="AS44" i="16"/>
  <c r="AU44" i="16"/>
  <c r="N44" i="16"/>
  <c r="AR49" i="16"/>
  <c r="J48" i="16"/>
  <c r="K48" i="16"/>
  <c r="AS49" i="16"/>
  <c r="AU49" i="16"/>
  <c r="M48" i="16"/>
  <c r="N49" i="16"/>
  <c r="AR16" i="16"/>
  <c r="AS16" i="16"/>
  <c r="AU16" i="16"/>
  <c r="N16" i="16"/>
  <c r="J41" i="16"/>
  <c r="AR42" i="16"/>
  <c r="AS42" i="16"/>
  <c r="AU42" i="16"/>
  <c r="N42" i="16"/>
  <c r="M41" i="16"/>
  <c r="N45" i="16"/>
  <c r="AU45" i="16"/>
  <c r="J69" i="16"/>
  <c r="AR70" i="16"/>
  <c r="AS70" i="16"/>
  <c r="K69" i="16"/>
  <c r="AU70" i="16"/>
  <c r="M69" i="16"/>
  <c r="N70" i="16"/>
  <c r="AR103" i="16"/>
  <c r="AS103" i="16"/>
  <c r="AR29" i="16"/>
  <c r="AS29" i="16"/>
  <c r="AU29" i="16"/>
  <c r="N29" i="16"/>
  <c r="K117" i="16"/>
  <c r="AS118" i="16"/>
  <c r="AS56" i="16"/>
  <c r="K112" i="16"/>
  <c r="AS113" i="16"/>
  <c r="AR88" i="16"/>
  <c r="J87" i="16"/>
  <c r="AS88" i="16"/>
  <c r="K87" i="16"/>
  <c r="AR89" i="16"/>
  <c r="AS89" i="16"/>
  <c r="AR57" i="16"/>
  <c r="AR15" i="16"/>
  <c r="AS15" i="16"/>
  <c r="N15" i="16"/>
  <c r="AU15" i="16"/>
  <c r="AR31" i="16"/>
  <c r="AS31" i="16"/>
  <c r="AU31" i="16"/>
  <c r="N31" i="16"/>
  <c r="J62" i="16"/>
  <c r="AR63" i="16"/>
  <c r="AS63" i="16"/>
  <c r="K62" i="16"/>
  <c r="M62" i="16"/>
  <c r="AU63" i="16"/>
  <c r="N63" i="16"/>
  <c r="AR102" i="16"/>
  <c r="J101" i="16"/>
  <c r="AS102" i="16"/>
  <c r="K101" i="16"/>
  <c r="AR28" i="16"/>
  <c r="J27" i="16"/>
  <c r="K27" i="16"/>
  <c r="AS28" i="16"/>
  <c r="N28" i="16"/>
  <c r="AU28" i="16"/>
  <c r="M27" i="16"/>
  <c r="AR45" i="16"/>
  <c r="AU57" i="16"/>
  <c r="N57" i="16"/>
  <c r="J20" i="16"/>
  <c r="AR21" i="16"/>
  <c r="AS21" i="16"/>
  <c r="K20" i="16"/>
  <c r="N21" i="16"/>
  <c r="M20" i="16"/>
  <c r="AU21" i="16"/>
  <c r="AR43" i="16"/>
  <c r="AS43" i="16"/>
  <c r="N43" i="16"/>
  <c r="AU43" i="16"/>
  <c r="AR46" i="16"/>
  <c r="N46" i="16"/>
  <c r="AU46" i="16"/>
  <c r="J55" i="16"/>
  <c r="AR56" i="16"/>
  <c r="AU56" i="16"/>
  <c r="M55" i="16"/>
  <c r="N56" i="16"/>
  <c r="AR55" i="16" l="1"/>
  <c r="AR20" i="16"/>
  <c r="AR87" i="16"/>
  <c r="AR80" i="16"/>
  <c r="J108" i="16"/>
  <c r="AU20" i="16"/>
  <c r="N20" i="16"/>
  <c r="AS101" i="16"/>
  <c r="AU62" i="16"/>
  <c r="N62" i="16"/>
  <c r="AS117" i="16"/>
  <c r="AS48" i="16"/>
  <c r="AS69" i="16"/>
  <c r="AS62" i="16"/>
  <c r="N41" i="16"/>
  <c r="AU41" i="16"/>
  <c r="AR41" i="16"/>
  <c r="AR48" i="16"/>
  <c r="K55" i="16"/>
  <c r="AS57" i="16"/>
  <c r="N55" i="16"/>
  <c r="AU55" i="16"/>
  <c r="AS46" i="16"/>
  <c r="AS20" i="16"/>
  <c r="AS27" i="16"/>
  <c r="AR101" i="16"/>
  <c r="K122" i="16"/>
  <c r="AS112" i="16"/>
  <c r="AS87" i="16"/>
  <c r="AU48" i="16"/>
  <c r="N48" i="16"/>
  <c r="AS80" i="16"/>
  <c r="K108" i="16"/>
  <c r="AR27" i="16"/>
  <c r="AR69" i="16"/>
  <c r="N27" i="16"/>
  <c r="AU27" i="16"/>
  <c r="AR62" i="16"/>
  <c r="N69" i="16"/>
  <c r="AU69" i="16"/>
  <c r="AS108" i="16" l="1"/>
  <c r="AS55" i="16"/>
  <c r="AR108" i="16"/>
  <c r="AS122" i="16"/>
  <c r="AS21" i="15" l="1"/>
  <c r="AP21" i="15" l="1"/>
  <c r="AQ21" i="15"/>
  <c r="AR21" i="15"/>
  <c r="M21" i="15" l="1"/>
  <c r="AR32" i="15"/>
  <c r="AR28" i="15"/>
  <c r="AR24" i="15"/>
  <c r="AR22" i="15" l="1"/>
  <c r="AP25" i="15"/>
  <c r="AR26" i="15"/>
  <c r="AR30" i="15"/>
  <c r="AP33" i="15"/>
  <c r="AR34" i="15"/>
  <c r="AQ28" i="15"/>
  <c r="AQ32" i="15"/>
  <c r="AQ24" i="15"/>
  <c r="AS25" i="15"/>
  <c r="AS29" i="15"/>
  <c r="AS33" i="15"/>
  <c r="AQ22" i="15"/>
  <c r="AS23" i="15"/>
  <c r="AQ26" i="15"/>
  <c r="AS27" i="15"/>
  <c r="AQ30" i="15"/>
  <c r="AS31" i="15"/>
  <c r="AQ34" i="15"/>
  <c r="AR29" i="15"/>
  <c r="AR33" i="15"/>
  <c r="AQ23" i="15"/>
  <c r="AS24" i="15"/>
  <c r="AQ27" i="15"/>
  <c r="AS28" i="15"/>
  <c r="AQ31" i="15"/>
  <c r="AS32" i="15"/>
  <c r="AP29" i="15"/>
  <c r="AR27" i="15"/>
  <c r="AR23" i="15"/>
  <c r="AR31" i="15"/>
  <c r="AS22" i="15"/>
  <c r="AQ25" i="15"/>
  <c r="AS26" i="15"/>
  <c r="AQ29" i="15"/>
  <c r="AS30" i="15"/>
  <c r="AQ33" i="15"/>
  <c r="AS34" i="15"/>
  <c r="AP27" i="15"/>
  <c r="AP31" i="15"/>
  <c r="AP23" i="15"/>
  <c r="AR25" i="15"/>
  <c r="AU21" i="15"/>
  <c r="N21" i="15"/>
  <c r="M23" i="15" l="1"/>
  <c r="M29" i="15"/>
  <c r="N29" i="15" s="1"/>
  <c r="M31" i="15"/>
  <c r="AU31" i="15" s="1"/>
  <c r="M27" i="15"/>
  <c r="AP34" i="15"/>
  <c r="AU34" i="15" s="1"/>
  <c r="M34" i="15"/>
  <c r="N34" i="15" s="1"/>
  <c r="AU29" i="15"/>
  <c r="AP30" i="15"/>
  <c r="M30" i="15"/>
  <c r="AU23" i="15"/>
  <c r="N23" i="15"/>
  <c r="AP26" i="15"/>
  <c r="M26" i="15"/>
  <c r="M33" i="15"/>
  <c r="AP32" i="15"/>
  <c r="M32" i="15"/>
  <c r="AP22" i="15"/>
  <c r="M22" i="15"/>
  <c r="M28" i="15"/>
  <c r="AP28" i="15"/>
  <c r="M25" i="15"/>
  <c r="AP24" i="15"/>
  <c r="M24" i="15"/>
  <c r="N31" i="15" l="1"/>
  <c r="AU32" i="15"/>
  <c r="N32" i="15"/>
  <c r="AU24" i="15"/>
  <c r="N24" i="15"/>
  <c r="AU25" i="15"/>
  <c r="N25" i="15"/>
  <c r="AU30" i="15"/>
  <c r="N30" i="15"/>
  <c r="AU33" i="15"/>
  <c r="N33" i="15"/>
  <c r="AU26" i="15"/>
  <c r="N26" i="15"/>
  <c r="AU22" i="15"/>
  <c r="N22" i="15"/>
  <c r="AU28" i="15"/>
  <c r="N28" i="15"/>
  <c r="AU27" i="15"/>
  <c r="N27" i="15"/>
  <c r="J13" i="16" l="1"/>
  <c r="AR14" i="16"/>
  <c r="AR13" i="16" s="1"/>
  <c r="AS14" i="16"/>
  <c r="AS13" i="16" s="1"/>
  <c r="K13" i="16"/>
  <c r="N14" i="16"/>
  <c r="M13" i="16"/>
  <c r="AU14" i="16"/>
  <c r="AU13" i="16" s="1"/>
  <c r="M76" i="16" l="1"/>
  <c r="N13" i="16"/>
  <c r="J76" i="16"/>
  <c r="J124" i="16" l="1"/>
  <c r="AR76" i="16"/>
  <c r="J12" i="15"/>
  <c r="AR14" i="15"/>
  <c r="AR12" i="15" s="1"/>
  <c r="D12" i="15"/>
  <c r="AL14" i="15"/>
  <c r="AL12" i="15" s="1"/>
  <c r="N76" i="16"/>
  <c r="AU76" i="16"/>
  <c r="J41" i="15" l="1"/>
  <c r="AR20" i="15"/>
  <c r="AR41" i="15" s="1"/>
  <c r="AN14" i="15"/>
  <c r="AN12" i="15" s="1"/>
  <c r="F12" i="15"/>
  <c r="E14" i="15"/>
  <c r="AP14" i="15"/>
  <c r="AP12" i="15" s="1"/>
  <c r="H12" i="15"/>
  <c r="K12" i="15"/>
  <c r="AS14" i="15"/>
  <c r="AS12" i="15" s="1"/>
  <c r="AQ20" i="15"/>
  <c r="AQ41" i="15" s="1"/>
  <c r="I41" i="15"/>
  <c r="AR124" i="16"/>
  <c r="J21" i="3" l="1"/>
  <c r="K41" i="15"/>
  <c r="AS20" i="15"/>
  <c r="AS41" i="15" s="1"/>
  <c r="H41" i="15"/>
  <c r="M20" i="15"/>
  <c r="AP20" i="15"/>
  <c r="AP41" i="15" s="1"/>
  <c r="AM14" i="15"/>
  <c r="AM12" i="15" s="1"/>
  <c r="E12" i="15"/>
  <c r="I21" i="3"/>
  <c r="K21" i="3" l="1"/>
  <c r="AR21" i="3"/>
  <c r="AQ21" i="3"/>
  <c r="M41" i="15"/>
  <c r="AU20" i="15"/>
  <c r="AU41" i="15" s="1"/>
  <c r="N20" i="15"/>
  <c r="H21" i="3"/>
  <c r="N41" i="15" l="1"/>
  <c r="AP21" i="3"/>
  <c r="M21" i="3"/>
  <c r="AS21" i="3"/>
  <c r="AU21" i="3" l="1"/>
  <c r="N21" i="3"/>
  <c r="AL15" i="15" l="1"/>
  <c r="AL17" i="15" s="1"/>
  <c r="D17" i="15"/>
  <c r="AR15" i="15" l="1"/>
  <c r="AR17" i="15" s="1"/>
  <c r="J17" i="15"/>
  <c r="AP15" i="15"/>
  <c r="AP17" i="15" s="1"/>
  <c r="M15" i="15"/>
  <c r="H17" i="15"/>
  <c r="AQ15" i="15"/>
  <c r="AS15" i="15"/>
  <c r="AS17" i="15" s="1"/>
  <c r="K17" i="15"/>
  <c r="N15" i="15" l="1"/>
  <c r="AU15" i="15"/>
  <c r="AN15" i="15"/>
  <c r="AN17" i="15" s="1"/>
  <c r="E15" i="15"/>
  <c r="F17" i="15"/>
  <c r="AM15" i="15" l="1"/>
  <c r="AM17" i="15" s="1"/>
  <c r="E17" i="15"/>
  <c r="AQ45" i="15" l="1"/>
  <c r="AQ46" i="15"/>
  <c r="AQ54" i="15"/>
  <c r="AR46" i="15"/>
  <c r="M57" i="15"/>
  <c r="AS62" i="15"/>
  <c r="AS60" i="15"/>
  <c r="AQ61" i="15"/>
  <c r="AR54" i="15"/>
  <c r="AQ63" i="15"/>
  <c r="AR64" i="15"/>
  <c r="M59" i="15"/>
  <c r="AP59" i="15"/>
  <c r="AS46" i="15"/>
  <c r="M62" i="15"/>
  <c r="AP62" i="15"/>
  <c r="M60" i="15"/>
  <c r="AP60" i="15"/>
  <c r="AP63" i="15"/>
  <c r="M63" i="15"/>
  <c r="AR57" i="15"/>
  <c r="AQ57" i="15"/>
  <c r="AP45" i="15"/>
  <c r="AP52" i="15"/>
  <c r="AS61" i="15"/>
  <c r="M64" i="15"/>
  <c r="AP64" i="15"/>
  <c r="AS59" i="15"/>
  <c r="AP57" i="15"/>
  <c r="AQ47" i="15"/>
  <c r="AQ52" i="15"/>
  <c r="AR63" i="15"/>
  <c r="AR62" i="15"/>
  <c r="AS64" i="15"/>
  <c r="AR47" i="15"/>
  <c r="AS63" i="15"/>
  <c r="AR60" i="15"/>
  <c r="AQ59" i="15"/>
  <c r="AR59" i="15"/>
  <c r="AQ60" i="15"/>
  <c r="M61" i="15"/>
  <c r="AP61" i="15"/>
  <c r="AQ62" i="15"/>
  <c r="AQ64" i="15"/>
  <c r="AR61" i="15"/>
  <c r="AQ44" i="15" l="1"/>
  <c r="M45" i="15"/>
  <c r="I44" i="15"/>
  <c r="H44" i="15"/>
  <c r="AQ55" i="15"/>
  <c r="AU61" i="15"/>
  <c r="N61" i="15"/>
  <c r="K44" i="15"/>
  <c r="AS45" i="15"/>
  <c r="M51" i="15"/>
  <c r="AP51" i="15"/>
  <c r="AU60" i="15"/>
  <c r="N60" i="15"/>
  <c r="AS57" i="15"/>
  <c r="AP55" i="15"/>
  <c r="AU57" i="15"/>
  <c r="N57" i="15"/>
  <c r="AQ51" i="15"/>
  <c r="AQ49" i="15"/>
  <c r="J44" i="15"/>
  <c r="AR45" i="15"/>
  <c r="AR44" i="15" s="1"/>
  <c r="AU59" i="15"/>
  <c r="N59" i="15"/>
  <c r="AR51" i="15"/>
  <c r="M47" i="15"/>
  <c r="AP47" i="15"/>
  <c r="AS54" i="15"/>
  <c r="M55" i="15"/>
  <c r="AS47" i="15"/>
  <c r="M46" i="15"/>
  <c r="M44" i="15" s="1"/>
  <c r="N44" i="15" s="1"/>
  <c r="AP46" i="15"/>
  <c r="AU62" i="15"/>
  <c r="N62" i="15"/>
  <c r="AQ50" i="15"/>
  <c r="AS51" i="15"/>
  <c r="AU45" i="15"/>
  <c r="N45" i="15"/>
  <c r="AU63" i="15"/>
  <c r="N63" i="15"/>
  <c r="M54" i="15"/>
  <c r="AP54" i="15"/>
  <c r="AR52" i="15"/>
  <c r="AS52" i="15"/>
  <c r="AU64" i="15"/>
  <c r="N64" i="15"/>
  <c r="M52" i="15"/>
  <c r="AS49" i="15" l="1"/>
  <c r="AP44" i="15"/>
  <c r="AU54" i="15"/>
  <c r="N54" i="15"/>
  <c r="AQ53" i="15"/>
  <c r="AQ48" i="15" s="1"/>
  <c r="AS50" i="15"/>
  <c r="AU46" i="15"/>
  <c r="AU44" i="15" s="1"/>
  <c r="N46" i="15"/>
  <c r="AP53" i="15"/>
  <c r="M53" i="15"/>
  <c r="AU51" i="15"/>
  <c r="N51" i="15"/>
  <c r="AP50" i="15"/>
  <c r="M50" i="15"/>
  <c r="AP49" i="15"/>
  <c r="H48" i="15"/>
  <c r="M49" i="15"/>
  <c r="AR50" i="15"/>
  <c r="AU47" i="15"/>
  <c r="N47" i="15"/>
  <c r="J48" i="15"/>
  <c r="AR49" i="15"/>
  <c r="AU55" i="15"/>
  <c r="N55" i="15"/>
  <c r="AS44" i="15"/>
  <c r="AU52" i="15"/>
  <c r="N52" i="15"/>
  <c r="AS53" i="15"/>
  <c r="AR55" i="15"/>
  <c r="I48" i="15"/>
  <c r="AR53" i="15"/>
  <c r="AS55" i="15"/>
  <c r="K48" i="15"/>
  <c r="AP48" i="15" l="1"/>
  <c r="AS48" i="15"/>
  <c r="AU49" i="15"/>
  <c r="M48" i="15"/>
  <c r="N49" i="15"/>
  <c r="AU53" i="15"/>
  <c r="N53" i="15"/>
  <c r="AR48" i="15"/>
  <c r="AU50" i="15"/>
  <c r="N50" i="15"/>
  <c r="AU48" i="15" l="1"/>
  <c r="N48" i="15"/>
  <c r="I12" i="15" l="1"/>
  <c r="I17" i="15" s="1"/>
  <c r="AQ14" i="15"/>
  <c r="AQ12" i="15" s="1"/>
  <c r="AQ17" i="15" s="1"/>
  <c r="M14" i="15"/>
  <c r="AS45" i="16"/>
  <c r="K41" i="16"/>
  <c r="AS41" i="16" l="1"/>
  <c r="K76" i="16"/>
  <c r="AU14" i="15"/>
  <c r="AU12" i="15" s="1"/>
  <c r="AU17" i="15" s="1"/>
  <c r="N14" i="15"/>
  <c r="M12" i="15"/>
  <c r="K124" i="16" l="1"/>
  <c r="AS76" i="16"/>
  <c r="N12" i="15"/>
  <c r="M17" i="15"/>
  <c r="AS124" i="16" l="1"/>
  <c r="N17" i="15"/>
  <c r="AS58" i="15" l="1"/>
  <c r="AS56" i="15" s="1"/>
  <c r="AS66" i="15" s="1"/>
  <c r="K56" i="15"/>
  <c r="K66" i="15" s="1"/>
  <c r="AR58" i="15"/>
  <c r="AR56" i="15" s="1"/>
  <c r="AR66" i="15" s="1"/>
  <c r="J56" i="15"/>
  <c r="J66" i="15" s="1"/>
  <c r="AQ58" i="15"/>
  <c r="AQ56" i="15" s="1"/>
  <c r="AQ66" i="15" s="1"/>
  <c r="I56" i="15"/>
  <c r="I66" i="15" s="1"/>
  <c r="M58" i="15"/>
  <c r="AP58" i="15"/>
  <c r="AP56" i="15" s="1"/>
  <c r="AP66" i="15" s="1"/>
  <c r="H56" i="15"/>
  <c r="H66" i="15" s="1"/>
  <c r="AU58" i="15" l="1"/>
  <c r="AU56" i="15" s="1"/>
  <c r="AU66" i="15" s="1"/>
  <c r="N58" i="15"/>
  <c r="M56" i="15"/>
  <c r="N56" i="15" l="1"/>
  <c r="M66" i="15"/>
  <c r="N66" i="15" l="1"/>
  <c r="AR29" i="40" l="1"/>
  <c r="N29" i="40"/>
  <c r="AU29" i="40"/>
  <c r="AR46" i="40"/>
  <c r="N46" i="40"/>
  <c r="AU46" i="40"/>
  <c r="J55" i="40"/>
  <c r="AR56" i="40"/>
  <c r="AR103" i="40"/>
  <c r="J87" i="40"/>
  <c r="AR88" i="40"/>
  <c r="AR50" i="40"/>
  <c r="N50" i="40"/>
  <c r="AU50" i="40"/>
  <c r="AR15" i="40"/>
  <c r="N15" i="40"/>
  <c r="AU15" i="40"/>
  <c r="AR31" i="40"/>
  <c r="N31" i="40"/>
  <c r="AU31" i="40"/>
  <c r="J48" i="40"/>
  <c r="AR49" i="40"/>
  <c r="N49" i="40"/>
  <c r="M48" i="40"/>
  <c r="AU49" i="40"/>
  <c r="J27" i="40"/>
  <c r="AR28" i="40"/>
  <c r="N28" i="40"/>
  <c r="M27" i="40"/>
  <c r="AU28" i="40"/>
  <c r="AR45" i="40"/>
  <c r="N45" i="40"/>
  <c r="AU45" i="40"/>
  <c r="J69" i="40"/>
  <c r="AR70" i="40"/>
  <c r="M69" i="40"/>
  <c r="N70" i="40"/>
  <c r="AU70" i="40"/>
  <c r="J101" i="40"/>
  <c r="AR102" i="40"/>
  <c r="J20" i="40"/>
  <c r="AR21" i="40"/>
  <c r="N21" i="40"/>
  <c r="M20" i="40"/>
  <c r="AU21" i="40"/>
  <c r="AR43" i="40"/>
  <c r="N43" i="40"/>
  <c r="AU43" i="40"/>
  <c r="AR57" i="40"/>
  <c r="AR30" i="40"/>
  <c r="N30" i="40"/>
  <c r="AU30" i="40"/>
  <c r="AR89" i="40"/>
  <c r="J80" i="40"/>
  <c r="AR81" i="40"/>
  <c r="AR44" i="40"/>
  <c r="N44" i="40"/>
  <c r="AU44" i="40"/>
  <c r="J62" i="40"/>
  <c r="AR63" i="40"/>
  <c r="M62" i="40"/>
  <c r="N63" i="40"/>
  <c r="AU63" i="40"/>
  <c r="N57" i="40"/>
  <c r="AU57" i="40"/>
  <c r="AR16" i="40"/>
  <c r="N16" i="40"/>
  <c r="AU16" i="40"/>
  <c r="J41" i="40"/>
  <c r="AR42" i="40"/>
  <c r="N42" i="40"/>
  <c r="M41" i="40"/>
  <c r="AU42" i="40"/>
  <c r="N56" i="40"/>
  <c r="M55" i="40"/>
  <c r="AU56" i="40"/>
  <c r="K48" i="40" l="1"/>
  <c r="AS49" i="40"/>
  <c r="AS31" i="40"/>
  <c r="AS50" i="40"/>
  <c r="AR87" i="40"/>
  <c r="N41" i="40"/>
  <c r="AU41" i="40"/>
  <c r="AS43" i="40"/>
  <c r="K20" i="40"/>
  <c r="AS21" i="40"/>
  <c r="K112" i="40"/>
  <c r="AS113" i="40"/>
  <c r="AR55" i="40"/>
  <c r="K55" i="40"/>
  <c r="AR62" i="40"/>
  <c r="K80" i="40"/>
  <c r="AS81" i="40"/>
  <c r="AR101" i="40"/>
  <c r="K41" i="40"/>
  <c r="AS42" i="40"/>
  <c r="AS16" i="40"/>
  <c r="AR69" i="40"/>
  <c r="AR27" i="40"/>
  <c r="AS56" i="40"/>
  <c r="AS103" i="40"/>
  <c r="K117" i="40"/>
  <c r="AS118" i="40"/>
  <c r="AR48" i="40"/>
  <c r="K87" i="40"/>
  <c r="AS88" i="40"/>
  <c r="AS29" i="40"/>
  <c r="N55" i="40"/>
  <c r="AU55" i="40"/>
  <c r="N62" i="40"/>
  <c r="AU62" i="40"/>
  <c r="AR20" i="40"/>
  <c r="N27" i="40"/>
  <c r="AU27" i="40"/>
  <c r="AS46" i="40"/>
  <c r="K62" i="40"/>
  <c r="AS63" i="40"/>
  <c r="AS44" i="40"/>
  <c r="J108" i="40"/>
  <c r="AR80" i="40"/>
  <c r="AS30" i="40"/>
  <c r="K101" i="40"/>
  <c r="AS102" i="40"/>
  <c r="N69" i="40"/>
  <c r="AU69" i="40"/>
  <c r="N48" i="40"/>
  <c r="AU48" i="40"/>
  <c r="AR41" i="40"/>
  <c r="AS89" i="40"/>
  <c r="N20" i="40"/>
  <c r="AU20" i="40"/>
  <c r="K69" i="40"/>
  <c r="AS70" i="40"/>
  <c r="AS45" i="40"/>
  <c r="K27" i="40"/>
  <c r="AS28" i="40"/>
  <c r="AS15" i="40"/>
  <c r="AS41" i="40" l="1"/>
  <c r="K108" i="40"/>
  <c r="AS80" i="40"/>
  <c r="AS20" i="40"/>
  <c r="AS27" i="40"/>
  <c r="AR108" i="40"/>
  <c r="AS117" i="40"/>
  <c r="AS101" i="40"/>
  <c r="AS57" i="40"/>
  <c r="K122" i="40"/>
  <c r="AS112" i="40"/>
  <c r="AS69" i="40"/>
  <c r="AS62" i="40"/>
  <c r="AS87" i="40"/>
  <c r="AS55" i="40"/>
  <c r="AS48" i="40"/>
  <c r="AS122" i="40" l="1"/>
  <c r="AS108" i="40"/>
  <c r="AQ27" i="39" l="1"/>
  <c r="AS22" i="39"/>
  <c r="AR27" i="39"/>
  <c r="AS29" i="39"/>
  <c r="AQ22" i="39"/>
  <c r="AQ32" i="39"/>
  <c r="AR22" i="39"/>
  <c r="AS26" i="39"/>
  <c r="AS31" i="39"/>
  <c r="AQ24" i="39"/>
  <c r="AP24" i="39" l="1"/>
  <c r="AS21" i="39"/>
  <c r="AS30" i="39"/>
  <c r="AQ31" i="39"/>
  <c r="AS25" i="39"/>
  <c r="AR24" i="39"/>
  <c r="AQ25" i="39"/>
  <c r="AR29" i="39"/>
  <c r="AQ30" i="39"/>
  <c r="AR25" i="39"/>
  <c r="AR26" i="39"/>
  <c r="AP23" i="39"/>
  <c r="AP26" i="39"/>
  <c r="AQ26" i="39"/>
  <c r="AR32" i="39"/>
  <c r="AR23" i="39"/>
  <c r="AQ29" i="39"/>
  <c r="AR28" i="39"/>
  <c r="AQ23" i="39"/>
  <c r="AS28" i="39"/>
  <c r="AQ28" i="39"/>
  <c r="AS27" i="39"/>
  <c r="AR30" i="39"/>
  <c r="AS24" i="39"/>
  <c r="AQ21" i="39"/>
  <c r="AR31" i="39"/>
  <c r="AR21" i="39"/>
  <c r="AS23" i="39"/>
  <c r="AS32" i="39"/>
  <c r="M31" i="39" l="1"/>
  <c r="AP31" i="39"/>
  <c r="AP22" i="39"/>
  <c r="M22" i="39"/>
  <c r="AP30" i="39"/>
  <c r="M30" i="39"/>
  <c r="M26" i="39"/>
  <c r="M32" i="39"/>
  <c r="AP32" i="39"/>
  <c r="M23" i="39"/>
  <c r="AP21" i="39"/>
  <c r="M21" i="39"/>
  <c r="AP29" i="39"/>
  <c r="M29" i="39"/>
  <c r="M27" i="39"/>
  <c r="AP27" i="39"/>
  <c r="M24" i="39"/>
  <c r="AP28" i="39"/>
  <c r="M28" i="39"/>
  <c r="AP25" i="39"/>
  <c r="M25" i="39"/>
  <c r="AU26" i="39" l="1"/>
  <c r="N26" i="39"/>
  <c r="AU22" i="39"/>
  <c r="N22" i="39"/>
  <c r="AU28" i="39"/>
  <c r="N28" i="39"/>
  <c r="AU29" i="39"/>
  <c r="N29" i="39"/>
  <c r="AU25" i="39"/>
  <c r="N25" i="39"/>
  <c r="AU23" i="39"/>
  <c r="N23" i="39"/>
  <c r="AU32" i="39"/>
  <c r="N32" i="39"/>
  <c r="AU31" i="39"/>
  <c r="N31" i="39"/>
  <c r="AU24" i="39"/>
  <c r="N24" i="39"/>
  <c r="AU30" i="39"/>
  <c r="N30" i="39"/>
  <c r="AU21" i="39"/>
  <c r="N21" i="39"/>
  <c r="AU27" i="39"/>
  <c r="N27" i="39"/>
  <c r="AS34" i="39" l="1"/>
  <c r="AR33" i="39"/>
  <c r="AQ33" i="39"/>
  <c r="AS33" i="39" l="1"/>
  <c r="AQ34" i="39"/>
  <c r="AR34" i="39"/>
  <c r="AP34" i="39"/>
  <c r="M34" i="39" l="1"/>
  <c r="N34" i="39" s="1"/>
  <c r="AU34" i="39"/>
  <c r="M33" i="39"/>
  <c r="AP33" i="39"/>
  <c r="AU33" i="39" l="1"/>
  <c r="N33" i="39"/>
  <c r="J13" i="40" l="1"/>
  <c r="AR14" i="40"/>
  <c r="AR13" i="40" s="1"/>
  <c r="M13" i="40"/>
  <c r="N14" i="40"/>
  <c r="AU14" i="40"/>
  <c r="AU13" i="40" s="1"/>
  <c r="M76" i="40" l="1"/>
  <c r="N13" i="40"/>
  <c r="K13" i="40"/>
  <c r="AS14" i="40"/>
  <c r="AS13" i="40" s="1"/>
  <c r="J76" i="40"/>
  <c r="K76" i="40" l="1"/>
  <c r="J124" i="40"/>
  <c r="AR76" i="40"/>
  <c r="N76" i="40"/>
  <c r="AU76" i="40"/>
  <c r="AL14" i="39" l="1"/>
  <c r="AL12" i="39" s="1"/>
  <c r="D12" i="39"/>
  <c r="AP14" i="39"/>
  <c r="AP12" i="39" s="1"/>
  <c r="H12" i="39"/>
  <c r="M14" i="39"/>
  <c r="AR124" i="40"/>
  <c r="J12" i="39"/>
  <c r="AR14" i="39"/>
  <c r="AR12" i="39" s="1"/>
  <c r="K124" i="40"/>
  <c r="AS76" i="40"/>
  <c r="I12" i="39"/>
  <c r="AQ14" i="39"/>
  <c r="AQ12" i="39" s="1"/>
  <c r="K12" i="39"/>
  <c r="AS14" i="39"/>
  <c r="AS12" i="39" s="1"/>
  <c r="AP20" i="39" l="1"/>
  <c r="AP41" i="39" s="1"/>
  <c r="AS124" i="40"/>
  <c r="M12" i="39"/>
  <c r="AU14" i="39"/>
  <c r="AU12" i="39" s="1"/>
  <c r="N14" i="39"/>
  <c r="J41" i="39"/>
  <c r="AR20" i="39"/>
  <c r="AR41" i="39" s="1"/>
  <c r="AN14" i="39"/>
  <c r="AN12" i="39" s="1"/>
  <c r="F12" i="39"/>
  <c r="E14" i="39"/>
  <c r="H41" i="39" l="1"/>
  <c r="E12" i="39"/>
  <c r="AM14" i="39"/>
  <c r="AM12" i="39" s="1"/>
  <c r="N12" i="39"/>
  <c r="J27" i="3"/>
  <c r="H27" i="3"/>
  <c r="K41" i="39"/>
  <c r="AS20" i="39"/>
  <c r="AS41" i="39" s="1"/>
  <c r="I41" i="39"/>
  <c r="AQ20" i="39"/>
  <c r="AQ41" i="39" s="1"/>
  <c r="M20" i="39"/>
  <c r="AR27" i="3" l="1"/>
  <c r="AU20" i="39"/>
  <c r="AU41" i="39" s="1"/>
  <c r="M41" i="39"/>
  <c r="N20" i="39"/>
  <c r="K27" i="3"/>
  <c r="AP27" i="3"/>
  <c r="I27" i="3"/>
  <c r="M27" i="3" s="1"/>
  <c r="AU27" i="3" l="1"/>
  <c r="N27" i="3"/>
  <c r="N41" i="39"/>
  <c r="AS27" i="3"/>
  <c r="AQ27" i="3"/>
  <c r="AQ15" i="39" l="1"/>
  <c r="AQ17" i="39" s="1"/>
  <c r="I17" i="39"/>
  <c r="AL15" i="39"/>
  <c r="AL17" i="39" s="1"/>
  <c r="D17" i="39"/>
  <c r="AP15" i="39"/>
  <c r="AP17" i="39" s="1"/>
  <c r="M15" i="39"/>
  <c r="H17" i="39"/>
  <c r="AR15" i="39"/>
  <c r="AR17" i="39" s="1"/>
  <c r="J17" i="39"/>
  <c r="AS15" i="39"/>
  <c r="AS17" i="39" s="1"/>
  <c r="K17" i="39"/>
  <c r="AU15" i="39" l="1"/>
  <c r="AU17" i="39" s="1"/>
  <c r="M17" i="39"/>
  <c r="E15" i="39" l="1"/>
  <c r="AN15" i="39"/>
  <c r="AN17" i="39" s="1"/>
  <c r="F17" i="39"/>
  <c r="N15" i="39"/>
  <c r="N17" i="39" l="1"/>
  <c r="AM15" i="39"/>
  <c r="AM17" i="39" s="1"/>
  <c r="E17" i="39"/>
  <c r="AR57" i="39" l="1"/>
  <c r="AP57" i="39"/>
  <c r="AS57" i="39"/>
  <c r="AS62" i="39"/>
  <c r="AP61" i="39"/>
  <c r="M61" i="39"/>
  <c r="AR62" i="39"/>
  <c r="AS64" i="39"/>
  <c r="AR64" i="39"/>
  <c r="AP60" i="39"/>
  <c r="M60" i="39"/>
  <c r="AQ61" i="39"/>
  <c r="AR59" i="39"/>
  <c r="AS61" i="39"/>
  <c r="AP45" i="39"/>
  <c r="AS60" i="39"/>
  <c r="AQ64" i="39"/>
  <c r="AQ62" i="39"/>
  <c r="AR61" i="39"/>
  <c r="M62" i="39"/>
  <c r="AP62" i="39"/>
  <c r="AP63" i="39"/>
  <c r="M63" i="39"/>
  <c r="AQ59" i="39"/>
  <c r="M64" i="39"/>
  <c r="AP64" i="39"/>
  <c r="AS59" i="39"/>
  <c r="AQ63" i="39"/>
  <c r="AR60" i="39"/>
  <c r="AQ60" i="39"/>
  <c r="AS46" i="39"/>
  <c r="AS63" i="39"/>
  <c r="M59" i="39"/>
  <c r="AP59" i="39"/>
  <c r="AR63" i="39"/>
  <c r="AS49" i="39" l="1"/>
  <c r="AQ47" i="39"/>
  <c r="AU64" i="39"/>
  <c r="N64" i="39"/>
  <c r="AU62" i="39"/>
  <c r="N62" i="39"/>
  <c r="AU60" i="39"/>
  <c r="N60" i="39"/>
  <c r="AQ57" i="39"/>
  <c r="AP47" i="39"/>
  <c r="M47" i="39"/>
  <c r="AQ45" i="39"/>
  <c r="I44" i="39"/>
  <c r="AP54" i="39"/>
  <c r="M54" i="39"/>
  <c r="AU59" i="39"/>
  <c r="N59" i="39"/>
  <c r="AQ54" i="39"/>
  <c r="AS47" i="39"/>
  <c r="J44" i="39"/>
  <c r="AR45" i="39"/>
  <c r="AQ46" i="39"/>
  <c r="AQ52" i="39"/>
  <c r="K44" i="39"/>
  <c r="AS45" i="39"/>
  <c r="AR52" i="39"/>
  <c r="M57" i="39"/>
  <c r="AR46" i="39"/>
  <c r="AP51" i="39"/>
  <c r="M51" i="39"/>
  <c r="AU63" i="39"/>
  <c r="N63" i="39"/>
  <c r="AP52" i="39"/>
  <c r="M52" i="39"/>
  <c r="AU61" i="39"/>
  <c r="N61" i="39"/>
  <c r="M45" i="39"/>
  <c r="AR54" i="39"/>
  <c r="AR47" i="39"/>
  <c r="AR51" i="39"/>
  <c r="AS51" i="39"/>
  <c r="AS54" i="39"/>
  <c r="AS52" i="39"/>
  <c r="M46" i="39"/>
  <c r="AP46" i="39"/>
  <c r="AQ51" i="39"/>
  <c r="H44" i="39"/>
  <c r="AS44" i="39" l="1"/>
  <c r="AP44" i="39"/>
  <c r="AQ44" i="39"/>
  <c r="AR55" i="39"/>
  <c r="AQ49" i="39"/>
  <c r="I48" i="39"/>
  <c r="J48" i="39"/>
  <c r="AR49" i="39"/>
  <c r="AR44" i="39"/>
  <c r="AU46" i="39"/>
  <c r="N46" i="39"/>
  <c r="AU52" i="39"/>
  <c r="N52" i="39"/>
  <c r="AS50" i="39"/>
  <c r="AS48" i="39" s="1"/>
  <c r="AQ53" i="39"/>
  <c r="K48" i="39"/>
  <c r="AQ50" i="39"/>
  <c r="AU57" i="39"/>
  <c r="N57" i="39"/>
  <c r="AS53" i="39"/>
  <c r="AU47" i="39"/>
  <c r="N47" i="39"/>
  <c r="AR53" i="39"/>
  <c r="AP53" i="39"/>
  <c r="M53" i="39"/>
  <c r="AU45" i="39"/>
  <c r="M44" i="39"/>
  <c r="N45" i="39"/>
  <c r="AS55" i="39"/>
  <c r="M49" i="39"/>
  <c r="AP49" i="39"/>
  <c r="H48" i="39"/>
  <c r="AU54" i="39"/>
  <c r="N54" i="39"/>
  <c r="AP50" i="39"/>
  <c r="M50" i="39"/>
  <c r="AR50" i="39"/>
  <c r="AU51" i="39"/>
  <c r="N51" i="39"/>
  <c r="AQ55" i="39"/>
  <c r="M55" i="39"/>
  <c r="AP55" i="39"/>
  <c r="AU44" i="39" l="1"/>
  <c r="N44" i="39"/>
  <c r="AP48" i="39"/>
  <c r="AU55" i="39"/>
  <c r="N55" i="39"/>
  <c r="AU50" i="39"/>
  <c r="N50" i="39"/>
  <c r="AU49" i="39"/>
  <c r="M48" i="39"/>
  <c r="N48" i="39" s="1"/>
  <c r="N49" i="39"/>
  <c r="AQ48" i="39"/>
  <c r="AU53" i="39"/>
  <c r="N53" i="39"/>
  <c r="AR48" i="39"/>
  <c r="AU48" i="39" l="1"/>
  <c r="AR58" i="39" l="1"/>
  <c r="AR56" i="39" s="1"/>
  <c r="AR66" i="39" s="1"/>
  <c r="J56" i="39"/>
  <c r="J66" i="39" s="1"/>
  <c r="AP58" i="39"/>
  <c r="AP56" i="39" s="1"/>
  <c r="AP66" i="39" s="1"/>
  <c r="M58" i="39"/>
  <c r="H56" i="39"/>
  <c r="H66" i="39" s="1"/>
  <c r="AS58" i="39"/>
  <c r="AS56" i="39" s="1"/>
  <c r="AS66" i="39" s="1"/>
  <c r="K56" i="39"/>
  <c r="K66" i="39" s="1"/>
  <c r="AQ58" i="39"/>
  <c r="AQ56" i="39" s="1"/>
  <c r="AQ66" i="39" s="1"/>
  <c r="I56" i="39"/>
  <c r="I66" i="39" s="1"/>
  <c r="AU58" i="39" l="1"/>
  <c r="AU56" i="39" s="1"/>
  <c r="AU66" i="39" s="1"/>
  <c r="N58" i="39"/>
  <c r="M56" i="39"/>
  <c r="N56" i="39" l="1"/>
  <c r="M66" i="39"/>
  <c r="N66" i="39" l="1"/>
  <c r="J27" i="28" l="1"/>
  <c r="AR28" i="28"/>
  <c r="J28" i="2"/>
  <c r="AR28" i="2" s="1"/>
  <c r="AS28" i="28"/>
  <c r="K27" i="28"/>
  <c r="K28" i="2"/>
  <c r="AS28" i="2" s="1"/>
  <c r="AU28" i="28"/>
  <c r="N28" i="28"/>
  <c r="M27" i="28"/>
  <c r="M28" i="2"/>
  <c r="AR45" i="28"/>
  <c r="J45" i="2"/>
  <c r="AR45" i="2" s="1"/>
  <c r="AS45" i="28"/>
  <c r="K45" i="2"/>
  <c r="AS45" i="2" s="1"/>
  <c r="N45" i="28"/>
  <c r="AU45" i="28"/>
  <c r="M45" i="2"/>
  <c r="J69" i="28"/>
  <c r="AR70" i="28"/>
  <c r="J70" i="2"/>
  <c r="AR70" i="2" s="1"/>
  <c r="K69" i="28"/>
  <c r="AS70" i="28"/>
  <c r="K70" i="2"/>
  <c r="AS70" i="2" s="1"/>
  <c r="N70" i="28"/>
  <c r="M69" i="28"/>
  <c r="AU70" i="28"/>
  <c r="M70" i="2"/>
  <c r="J20" i="28"/>
  <c r="AR21" i="28"/>
  <c r="J21" i="2"/>
  <c r="AR21" i="2" s="1"/>
  <c r="K20" i="28"/>
  <c r="AS21" i="28"/>
  <c r="K21" i="2"/>
  <c r="AS21" i="2" s="1"/>
  <c r="M20" i="28"/>
  <c r="N21" i="28"/>
  <c r="AU21" i="28"/>
  <c r="M21" i="2"/>
  <c r="AR43" i="28"/>
  <c r="J43" i="2"/>
  <c r="AR43" i="2" s="1"/>
  <c r="AS43" i="28"/>
  <c r="K43" i="2"/>
  <c r="AS43" i="2" s="1"/>
  <c r="N43" i="28"/>
  <c r="AU43" i="28"/>
  <c r="M43" i="2"/>
  <c r="K117" i="28"/>
  <c r="AS118" i="28"/>
  <c r="K118" i="2"/>
  <c r="AS118" i="2" s="1"/>
  <c r="AR30" i="28"/>
  <c r="J30" i="2"/>
  <c r="AR30" i="2" s="1"/>
  <c r="AS30" i="28"/>
  <c r="K30" i="2"/>
  <c r="AS30" i="2" s="1"/>
  <c r="N30" i="28"/>
  <c r="AU30" i="28"/>
  <c r="M30" i="2"/>
  <c r="AR89" i="28"/>
  <c r="J89" i="2"/>
  <c r="AR89" i="2" s="1"/>
  <c r="AS89" i="28"/>
  <c r="K89" i="2"/>
  <c r="AS89" i="2" s="1"/>
  <c r="J80" i="28"/>
  <c r="AR81" i="28"/>
  <c r="J81" i="2"/>
  <c r="AR81" i="2" s="1"/>
  <c r="K80" i="28"/>
  <c r="AS81" i="28"/>
  <c r="K81" i="2"/>
  <c r="AS81" i="2" s="1"/>
  <c r="AR44" i="28"/>
  <c r="J44" i="2"/>
  <c r="AR44" i="2" s="1"/>
  <c r="AS44" i="28"/>
  <c r="K44" i="2"/>
  <c r="AS44" i="2" s="1"/>
  <c r="N44" i="28"/>
  <c r="AU44" i="28"/>
  <c r="M44" i="2"/>
  <c r="J62" i="28"/>
  <c r="AR63" i="28"/>
  <c r="J63" i="2"/>
  <c r="AR63" i="2" s="1"/>
  <c r="K62" i="28"/>
  <c r="AS63" i="28"/>
  <c r="K63" i="2"/>
  <c r="AS63" i="2" s="1"/>
  <c r="AU63" i="28"/>
  <c r="M62" i="28"/>
  <c r="N63" i="28"/>
  <c r="M63" i="2"/>
  <c r="AR16" i="28"/>
  <c r="J16" i="2"/>
  <c r="AR16" i="2" s="1"/>
  <c r="AS16" i="28"/>
  <c r="K16" i="2"/>
  <c r="AS16" i="2" s="1"/>
  <c r="N16" i="28"/>
  <c r="AU16" i="28"/>
  <c r="M16" i="2"/>
  <c r="J41" i="28"/>
  <c r="AR42" i="28"/>
  <c r="J42" i="2"/>
  <c r="AR42" i="2" s="1"/>
  <c r="AS42" i="28"/>
  <c r="K42" i="2"/>
  <c r="AS42" i="2" s="1"/>
  <c r="N42" i="28"/>
  <c r="AU42" i="28"/>
  <c r="M41" i="28"/>
  <c r="M42" i="2"/>
  <c r="AR57" i="28"/>
  <c r="J57" i="2"/>
  <c r="AR57" i="2" s="1"/>
  <c r="AR103" i="28"/>
  <c r="J103" i="2"/>
  <c r="AR103" i="2" s="1"/>
  <c r="AS103" i="28"/>
  <c r="K103" i="2"/>
  <c r="AS103" i="2" s="1"/>
  <c r="AR29" i="28"/>
  <c r="J29" i="2"/>
  <c r="AR29" i="2" s="1"/>
  <c r="AS29" i="28"/>
  <c r="K29" i="2"/>
  <c r="AS29" i="2" s="1"/>
  <c r="N29" i="28"/>
  <c r="AU29" i="28"/>
  <c r="M29" i="2"/>
  <c r="AR46" i="28"/>
  <c r="J46" i="2"/>
  <c r="AR46" i="2" s="1"/>
  <c r="K41" i="28"/>
  <c r="N46" i="28"/>
  <c r="AU46" i="28"/>
  <c r="M46" i="2"/>
  <c r="J55" i="28"/>
  <c r="AR56" i="28"/>
  <c r="J56" i="2"/>
  <c r="AR56" i="2" s="1"/>
  <c r="AS56" i="28"/>
  <c r="K56" i="2"/>
  <c r="AS56" i="2" s="1"/>
  <c r="K112" i="28"/>
  <c r="AS113" i="28"/>
  <c r="K113" i="2"/>
  <c r="AS113" i="2" s="1"/>
  <c r="J87" i="28"/>
  <c r="AR88" i="28"/>
  <c r="J88" i="2"/>
  <c r="AR88" i="2" s="1"/>
  <c r="K87" i="28"/>
  <c r="AS88" i="28"/>
  <c r="K88" i="2"/>
  <c r="AS88" i="2" s="1"/>
  <c r="AR50" i="28"/>
  <c r="J50" i="2"/>
  <c r="AR50" i="2" s="1"/>
  <c r="AS50" i="28"/>
  <c r="K50" i="2"/>
  <c r="AS50" i="2" s="1"/>
  <c r="N50" i="28"/>
  <c r="AU50" i="28"/>
  <c r="M50" i="2"/>
  <c r="N57" i="28"/>
  <c r="AU57" i="28"/>
  <c r="M57" i="2"/>
  <c r="AR15" i="28"/>
  <c r="J15" i="2"/>
  <c r="AR15" i="2" s="1"/>
  <c r="AS15" i="28"/>
  <c r="K15" i="2"/>
  <c r="AS15" i="2" s="1"/>
  <c r="N15" i="28"/>
  <c r="AU15" i="28"/>
  <c r="M15" i="2"/>
  <c r="AR31" i="28"/>
  <c r="J31" i="2"/>
  <c r="AR31" i="2" s="1"/>
  <c r="AS31" i="28"/>
  <c r="K31" i="2"/>
  <c r="AS31" i="2" s="1"/>
  <c r="N31" i="28"/>
  <c r="AU31" i="28"/>
  <c r="M31" i="2"/>
  <c r="J48" i="28"/>
  <c r="AR49" i="28"/>
  <c r="J49" i="2"/>
  <c r="AR49" i="2" s="1"/>
  <c r="AS49" i="28"/>
  <c r="K48" i="28"/>
  <c r="K49" i="2"/>
  <c r="AS49" i="2" s="1"/>
  <c r="AU49" i="28"/>
  <c r="N49" i="28"/>
  <c r="M48" i="28"/>
  <c r="M49" i="2"/>
  <c r="J101" i="28"/>
  <c r="AR102" i="28"/>
  <c r="J102" i="2"/>
  <c r="AR102" i="2" s="1"/>
  <c r="AS102" i="28"/>
  <c r="K101" i="28"/>
  <c r="K102" i="2"/>
  <c r="AS102" i="2" s="1"/>
  <c r="AU56" i="28"/>
  <c r="N56" i="28"/>
  <c r="M55" i="28"/>
  <c r="M56" i="2"/>
  <c r="AS41" i="28" l="1"/>
  <c r="K41" i="2"/>
  <c r="AS41" i="2" s="1"/>
  <c r="N56" i="2"/>
  <c r="AU56" i="2"/>
  <c r="N16" i="2"/>
  <c r="AU16" i="2"/>
  <c r="AR62" i="28"/>
  <c r="J62" i="2"/>
  <c r="AR62" i="2" s="1"/>
  <c r="N55" i="28"/>
  <c r="AU55" i="28"/>
  <c r="M55" i="2"/>
  <c r="AR101" i="28"/>
  <c r="J101" i="2"/>
  <c r="AR101" i="2" s="1"/>
  <c r="AR87" i="28"/>
  <c r="J87" i="2"/>
  <c r="AR87" i="2" s="1"/>
  <c r="AR55" i="28"/>
  <c r="J55" i="2"/>
  <c r="AR55" i="2" s="1"/>
  <c r="AU29" i="2"/>
  <c r="N29" i="2"/>
  <c r="N62" i="28"/>
  <c r="AU62" i="28"/>
  <c r="M62" i="2"/>
  <c r="AU44" i="2"/>
  <c r="N44" i="2"/>
  <c r="AS20" i="28"/>
  <c r="K20" i="2"/>
  <c r="AS20" i="2" s="1"/>
  <c r="N49" i="2"/>
  <c r="AU49" i="2"/>
  <c r="N57" i="2"/>
  <c r="AU57" i="2"/>
  <c r="AU46" i="2"/>
  <c r="N46" i="2"/>
  <c r="K108" i="28"/>
  <c r="AS80" i="28"/>
  <c r="K80" i="2"/>
  <c r="AS80" i="2" s="1"/>
  <c r="AU30" i="2"/>
  <c r="N30" i="2"/>
  <c r="N48" i="28"/>
  <c r="AU48" i="28"/>
  <c r="M48" i="2"/>
  <c r="AR48" i="28"/>
  <c r="J48" i="2"/>
  <c r="AR48" i="2" s="1"/>
  <c r="N15" i="2"/>
  <c r="AU15" i="2"/>
  <c r="AS117" i="28"/>
  <c r="K117" i="2"/>
  <c r="AS117" i="2" s="1"/>
  <c r="AU21" i="2"/>
  <c r="N21" i="2"/>
  <c r="AS69" i="28"/>
  <c r="K69" i="2"/>
  <c r="AS69" i="2" s="1"/>
  <c r="AS27" i="28"/>
  <c r="K27" i="2"/>
  <c r="AS27" i="2" s="1"/>
  <c r="AU31" i="2"/>
  <c r="N31" i="2"/>
  <c r="K122" i="28"/>
  <c r="AS112" i="28"/>
  <c r="K112" i="2"/>
  <c r="AS112" i="2" s="1"/>
  <c r="N43" i="2"/>
  <c r="AU43" i="2"/>
  <c r="AR20" i="28"/>
  <c r="J20" i="2"/>
  <c r="AR20" i="2" s="1"/>
  <c r="K55" i="28"/>
  <c r="AS57" i="28"/>
  <c r="K57" i="2"/>
  <c r="AS57" i="2" s="1"/>
  <c r="AS101" i="28"/>
  <c r="K101" i="2"/>
  <c r="AS101" i="2" s="1"/>
  <c r="N50" i="2"/>
  <c r="AU50" i="2"/>
  <c r="AS46" i="28"/>
  <c r="K46" i="2"/>
  <c r="AS46" i="2" s="1"/>
  <c r="AS62" i="28"/>
  <c r="K62" i="2"/>
  <c r="AS62" i="2" s="1"/>
  <c r="J108" i="28"/>
  <c r="AR80" i="28"/>
  <c r="J80" i="2"/>
  <c r="AR80" i="2" s="1"/>
  <c r="N70" i="2"/>
  <c r="AU70" i="2"/>
  <c r="AS87" i="28"/>
  <c r="K87" i="2"/>
  <c r="AS87" i="2" s="1"/>
  <c r="N42" i="2"/>
  <c r="AU42" i="2"/>
  <c r="N20" i="28"/>
  <c r="AU20" i="28"/>
  <c r="M20" i="2"/>
  <c r="AR69" i="28"/>
  <c r="J69" i="2"/>
  <c r="AR69" i="2" s="1"/>
  <c r="N28" i="2"/>
  <c r="AU28" i="2"/>
  <c r="AS48" i="28"/>
  <c r="K48" i="2"/>
  <c r="AS48" i="2" s="1"/>
  <c r="N41" i="28"/>
  <c r="AU41" i="28"/>
  <c r="M41" i="2"/>
  <c r="AR41" i="28"/>
  <c r="J41" i="2"/>
  <c r="AR41" i="2" s="1"/>
  <c r="AU63" i="2"/>
  <c r="N63" i="2"/>
  <c r="N69" i="28"/>
  <c r="AU69" i="28"/>
  <c r="M69" i="2"/>
  <c r="AU45" i="2"/>
  <c r="N45" i="2"/>
  <c r="N27" i="28"/>
  <c r="AU27" i="28"/>
  <c r="M27" i="2"/>
  <c r="AR27" i="28"/>
  <c r="J27" i="2"/>
  <c r="AR27" i="2" s="1"/>
  <c r="N48" i="2" l="1"/>
  <c r="AU48" i="2"/>
  <c r="AS122" i="28"/>
  <c r="K122" i="2"/>
  <c r="AS122" i="2" s="1"/>
  <c r="AS55" i="28"/>
  <c r="K55" i="2"/>
  <c r="AS55" i="2" s="1"/>
  <c r="AU62" i="2"/>
  <c r="N62" i="2"/>
  <c r="N41" i="2"/>
  <c r="AU41" i="2"/>
  <c r="AU69" i="2"/>
  <c r="N69" i="2"/>
  <c r="AU20" i="2"/>
  <c r="N20" i="2"/>
  <c r="N55" i="2"/>
  <c r="AU55" i="2"/>
  <c r="AU27" i="2"/>
  <c r="N27" i="2"/>
  <c r="AR108" i="28"/>
  <c r="J108" i="2"/>
  <c r="AR108" i="2" s="1"/>
  <c r="AS108" i="28"/>
  <c r="K108" i="2"/>
  <c r="AS108" i="2" s="1"/>
  <c r="AS21" i="27" l="1"/>
  <c r="AQ21" i="27" l="1"/>
  <c r="AR21" i="27"/>
  <c r="AP21" i="27"/>
  <c r="M21" i="27" l="1"/>
  <c r="AU21" i="27" s="1"/>
  <c r="AR33" i="27"/>
  <c r="AR31" i="27"/>
  <c r="AR29" i="27"/>
  <c r="AR27" i="27"/>
  <c r="AR25" i="27"/>
  <c r="AR23" i="27"/>
  <c r="N21" i="27" l="1"/>
  <c r="AQ24" i="27"/>
  <c r="AS25" i="27"/>
  <c r="AQ28" i="27"/>
  <c r="AS29" i="27"/>
  <c r="AQ32" i="27"/>
  <c r="AS33" i="27"/>
  <c r="AQ22" i="27"/>
  <c r="AS23" i="27"/>
  <c r="AQ26" i="27"/>
  <c r="AS27" i="27"/>
  <c r="AQ30" i="27"/>
  <c r="AS31" i="27"/>
  <c r="AQ34" i="27"/>
  <c r="AP24" i="27"/>
  <c r="AP32" i="27"/>
  <c r="AQ23" i="27"/>
  <c r="AS24" i="27"/>
  <c r="AS28" i="27"/>
  <c r="AQ31" i="27"/>
  <c r="AS32" i="27"/>
  <c r="AR22" i="27"/>
  <c r="AR26" i="27"/>
  <c r="AR30" i="27"/>
  <c r="AR34" i="27"/>
  <c r="AP30" i="27"/>
  <c r="AP22" i="27"/>
  <c r="AP34" i="27"/>
  <c r="AS26" i="27"/>
  <c r="AP26" i="27"/>
  <c r="AS22" i="27"/>
  <c r="AQ25" i="27"/>
  <c r="AQ29" i="27"/>
  <c r="AS30" i="27"/>
  <c r="AQ33" i="27"/>
  <c r="AS34" i="27"/>
  <c r="AR24" i="27"/>
  <c r="AR28" i="27"/>
  <c r="AR32" i="27"/>
  <c r="AP28" i="27"/>
  <c r="AQ27" i="27"/>
  <c r="AU34" i="27" l="1"/>
  <c r="M28" i="27"/>
  <c r="AU28" i="27" s="1"/>
  <c r="AP23" i="27"/>
  <c r="M23" i="27"/>
  <c r="AP33" i="27"/>
  <c r="M33" i="27"/>
  <c r="M34" i="27"/>
  <c r="N34" i="27" s="1"/>
  <c r="AP29" i="27"/>
  <c r="M29" i="27"/>
  <c r="AP31" i="27"/>
  <c r="M31" i="27"/>
  <c r="M22" i="27"/>
  <c r="AP25" i="27"/>
  <c r="M25" i="27"/>
  <c r="M32" i="27"/>
  <c r="M27" i="27"/>
  <c r="AP27" i="27"/>
  <c r="M26" i="27"/>
  <c r="M30" i="27"/>
  <c r="M24" i="27"/>
  <c r="N28" i="27" l="1"/>
  <c r="AU27" i="27"/>
  <c r="N27" i="27"/>
  <c r="AU32" i="27"/>
  <c r="N32" i="27"/>
  <c r="AU25" i="27"/>
  <c r="N25" i="27"/>
  <c r="AU33" i="27"/>
  <c r="N33" i="27"/>
  <c r="AU24" i="27"/>
  <c r="N24" i="27"/>
  <c r="AU22" i="27"/>
  <c r="N22" i="27"/>
  <c r="AU30" i="27"/>
  <c r="N30" i="27"/>
  <c r="AU31" i="27"/>
  <c r="N31" i="27"/>
  <c r="AU26" i="27"/>
  <c r="N26" i="27"/>
  <c r="AU23" i="27"/>
  <c r="N23" i="27"/>
  <c r="AU29" i="27"/>
  <c r="N29" i="27"/>
  <c r="J13" i="28" l="1"/>
  <c r="AR14" i="28"/>
  <c r="AR13" i="28" s="1"/>
  <c r="J14" i="2"/>
  <c r="AR14" i="2" s="1"/>
  <c r="AR13" i="2" s="1"/>
  <c r="K13" i="28"/>
  <c r="AS14" i="28"/>
  <c r="AS13" i="28" s="1"/>
  <c r="K14" i="2"/>
  <c r="AS14" i="2" s="1"/>
  <c r="AS13" i="2" s="1"/>
  <c r="M13" i="28"/>
  <c r="AU14" i="28"/>
  <c r="AU13" i="28" s="1"/>
  <c r="N14" i="28"/>
  <c r="M14" i="2"/>
  <c r="N13" i="28" l="1"/>
  <c r="M76" i="28"/>
  <c r="M13" i="2"/>
  <c r="N13" i="2" s="1"/>
  <c r="K76" i="28"/>
  <c r="K13" i="2"/>
  <c r="AU14" i="2"/>
  <c r="AU13" i="2" s="1"/>
  <c r="N14" i="2"/>
  <c r="J76" i="28"/>
  <c r="J13" i="2"/>
  <c r="J124" i="28" l="1"/>
  <c r="AR76" i="28"/>
  <c r="J76" i="2"/>
  <c r="AR76" i="2" s="1"/>
  <c r="K124" i="28"/>
  <c r="AS76" i="28"/>
  <c r="K76" i="2"/>
  <c r="AS76" i="2" s="1"/>
  <c r="AL14" i="27"/>
  <c r="AL12" i="27" s="1"/>
  <c r="D12" i="27"/>
  <c r="D14" i="3"/>
  <c r="N76" i="28"/>
  <c r="AU76" i="28"/>
  <c r="M76" i="2"/>
  <c r="AQ14" i="27"/>
  <c r="AQ12" i="27" s="1"/>
  <c r="I12" i="27"/>
  <c r="I14" i="3"/>
  <c r="H41" i="27" l="1"/>
  <c r="AS124" i="28"/>
  <c r="K124" i="2"/>
  <c r="D12" i="3"/>
  <c r="AL14" i="3"/>
  <c r="AL12" i="3" s="1"/>
  <c r="K12" i="27"/>
  <c r="AS14" i="27"/>
  <c r="AS12" i="27" s="1"/>
  <c r="K14" i="3"/>
  <c r="I41" i="27"/>
  <c r="AQ20" i="27"/>
  <c r="AQ41" i="27" s="1"/>
  <c r="AN14" i="27"/>
  <c r="AN12" i="27" s="1"/>
  <c r="E14" i="27"/>
  <c r="F12" i="27"/>
  <c r="F14" i="3"/>
  <c r="AQ14" i="3"/>
  <c r="AQ12" i="3" s="1"/>
  <c r="I12" i="3"/>
  <c r="AP14" i="27"/>
  <c r="AP12" i="27" s="1"/>
  <c r="H12" i="27"/>
  <c r="M14" i="27"/>
  <c r="H14" i="3"/>
  <c r="J12" i="27"/>
  <c r="AR14" i="27"/>
  <c r="AR12" i="27" s="1"/>
  <c r="J14" i="3"/>
  <c r="AU76" i="2"/>
  <c r="M124" i="2"/>
  <c r="N76" i="2"/>
  <c r="AR124" i="28"/>
  <c r="J124" i="2"/>
  <c r="AP20" i="27" l="1"/>
  <c r="AP41" i="27" s="1"/>
  <c r="J41" i="27"/>
  <c r="AR20" i="27"/>
  <c r="AR41" i="27" s="1"/>
  <c r="AP14" i="3"/>
  <c r="AP12" i="3" s="1"/>
  <c r="H12" i="3"/>
  <c r="M14" i="3"/>
  <c r="AM14" i="27"/>
  <c r="AM12" i="27" s="1"/>
  <c r="E12" i="27"/>
  <c r="AU14" i="27"/>
  <c r="AU12" i="27" s="1"/>
  <c r="M12" i="27"/>
  <c r="N14" i="27"/>
  <c r="AR124" i="2"/>
  <c r="K41" i="27"/>
  <c r="AS20" i="27"/>
  <c r="AS41" i="27" s="1"/>
  <c r="H24" i="3"/>
  <c r="AR14" i="3"/>
  <c r="AR12" i="3" s="1"/>
  <c r="J12" i="3"/>
  <c r="I24" i="3"/>
  <c r="M20" i="27"/>
  <c r="K12" i="3"/>
  <c r="AS14" i="3"/>
  <c r="AS12" i="3" s="1"/>
  <c r="AS124" i="2"/>
  <c r="AU124" i="2"/>
  <c r="N124" i="2"/>
  <c r="F12" i="3"/>
  <c r="E14" i="3"/>
  <c r="AN14" i="3"/>
  <c r="AN12" i="3" s="1"/>
  <c r="K24" i="3" l="1"/>
  <c r="E12" i="3"/>
  <c r="AM14" i="3"/>
  <c r="AM12" i="3" s="1"/>
  <c r="AU14" i="3"/>
  <c r="AU12" i="3" s="1"/>
  <c r="M12" i="3"/>
  <c r="N14" i="3"/>
  <c r="AP24" i="3"/>
  <c r="AP41" i="3" s="1"/>
  <c r="H41" i="3"/>
  <c r="M41" i="27"/>
  <c r="AU20" i="27"/>
  <c r="AU41" i="27" s="1"/>
  <c r="N20" i="27"/>
  <c r="AQ24" i="3"/>
  <c r="AQ41" i="3" s="1"/>
  <c r="I41" i="3"/>
  <c r="N12" i="27"/>
  <c r="J24" i="3"/>
  <c r="M24" i="3" l="1"/>
  <c r="AU24" i="3" s="1"/>
  <c r="AU41" i="3" s="1"/>
  <c r="AR24" i="3"/>
  <c r="AR41" i="3" s="1"/>
  <c r="J41" i="3"/>
  <c r="AS24" i="3"/>
  <c r="AS41" i="3" s="1"/>
  <c r="K41" i="3"/>
  <c r="N41" i="27"/>
  <c r="N12" i="3"/>
  <c r="N24" i="3" l="1"/>
  <c r="M41" i="3"/>
  <c r="N41" i="3" s="1"/>
  <c r="AR15" i="27" l="1"/>
  <c r="AR17" i="27" s="1"/>
  <c r="J15" i="3"/>
  <c r="J17" i="27"/>
  <c r="M15" i="27"/>
  <c r="AP15" i="27"/>
  <c r="AP17" i="27" s="1"/>
  <c r="H15" i="3"/>
  <c r="H17" i="27"/>
  <c r="AS15" i="27"/>
  <c r="AS17" i="27" s="1"/>
  <c r="K15" i="3"/>
  <c r="K17" i="27"/>
  <c r="AQ15" i="27"/>
  <c r="AQ17" i="27" s="1"/>
  <c r="I15" i="3"/>
  <c r="I17" i="27"/>
  <c r="AL15" i="27"/>
  <c r="AL17" i="27" s="1"/>
  <c r="D15" i="3"/>
  <c r="D17" i="27"/>
  <c r="M15" i="3" l="1"/>
  <c r="AP15" i="3"/>
  <c r="AP17" i="3" s="1"/>
  <c r="H17" i="3"/>
  <c r="AQ15" i="3"/>
  <c r="AQ17" i="3" s="1"/>
  <c r="I17" i="3"/>
  <c r="AU15" i="27"/>
  <c r="AU17" i="27" s="1"/>
  <c r="M17" i="27"/>
  <c r="AR15" i="3"/>
  <c r="AR17" i="3" s="1"/>
  <c r="J17" i="3"/>
  <c r="AS15" i="3"/>
  <c r="AS17" i="3" s="1"/>
  <c r="K17" i="3"/>
  <c r="AL15" i="3"/>
  <c r="AL17" i="3" s="1"/>
  <c r="D17" i="3"/>
  <c r="E15" i="27" l="1"/>
  <c r="AN15" i="27"/>
  <c r="AN17" i="27" s="1"/>
  <c r="F15" i="3"/>
  <c r="N15" i="3" s="1"/>
  <c r="F17" i="27"/>
  <c r="N17" i="27" s="1"/>
  <c r="AU15" i="3"/>
  <c r="AU17" i="3" s="1"/>
  <c r="M17" i="3"/>
  <c r="N15" i="27"/>
  <c r="E15" i="3" l="1"/>
  <c r="AN15" i="3"/>
  <c r="AN17" i="3" s="1"/>
  <c r="F17" i="3"/>
  <c r="N17" i="3" s="1"/>
  <c r="AM15" i="27"/>
  <c r="AM17" i="27" s="1"/>
  <c r="E17" i="27"/>
  <c r="AM15" i="3" l="1"/>
  <c r="AM17" i="3" s="1"/>
  <c r="E17" i="3"/>
  <c r="AR47" i="27" l="1"/>
  <c r="AR45" i="27"/>
  <c r="AQ52" i="27"/>
  <c r="I52" i="3"/>
  <c r="AQ52" i="3" s="1"/>
  <c r="AS57" i="27"/>
  <c r="K57" i="3"/>
  <c r="AR60" i="27"/>
  <c r="J60" i="3"/>
  <c r="AR60" i="3" s="1"/>
  <c r="AQ64" i="27"/>
  <c r="I64" i="3"/>
  <c r="AQ64" i="3" s="1"/>
  <c r="AP63" i="27"/>
  <c r="M63" i="27"/>
  <c r="H63" i="3"/>
  <c r="AP47" i="27"/>
  <c r="H47" i="3"/>
  <c r="AQ59" i="27"/>
  <c r="I59" i="3"/>
  <c r="AQ59" i="3" s="1"/>
  <c r="AS60" i="27"/>
  <c r="K60" i="3"/>
  <c r="AS60" i="3" s="1"/>
  <c r="AR64" i="27"/>
  <c r="J64" i="3"/>
  <c r="AR64" i="3" s="1"/>
  <c r="M59" i="27"/>
  <c r="AP59" i="27"/>
  <c r="H59" i="3"/>
  <c r="AP60" i="27"/>
  <c r="M60" i="27"/>
  <c r="H60" i="3"/>
  <c r="AQ61" i="27"/>
  <c r="I61" i="3"/>
  <c r="AQ61" i="3" s="1"/>
  <c r="K44" i="27"/>
  <c r="AS63" i="27"/>
  <c r="K63" i="3"/>
  <c r="AS63" i="3" s="1"/>
  <c r="AQ62" i="27"/>
  <c r="I62" i="3"/>
  <c r="AQ62" i="3" s="1"/>
  <c r="AS59" i="27"/>
  <c r="K59" i="3"/>
  <c r="AS59" i="3" s="1"/>
  <c r="AS51" i="27"/>
  <c r="K51" i="3"/>
  <c r="AS51" i="3" s="1"/>
  <c r="AR59" i="27"/>
  <c r="J59" i="3"/>
  <c r="AR59" i="3" s="1"/>
  <c r="AS64" i="27"/>
  <c r="K64" i="3"/>
  <c r="AS64" i="3" s="1"/>
  <c r="AR61" i="27"/>
  <c r="J61" i="3"/>
  <c r="AR61" i="3" s="1"/>
  <c r="AQ60" i="27"/>
  <c r="I60" i="3"/>
  <c r="AQ60" i="3" s="1"/>
  <c r="AS62" i="27"/>
  <c r="K62" i="3"/>
  <c r="AS62" i="3" s="1"/>
  <c r="AP61" i="27"/>
  <c r="M61" i="27"/>
  <c r="H61" i="3"/>
  <c r="AS45" i="27"/>
  <c r="K45" i="3"/>
  <c r="AS46" i="27"/>
  <c r="K46" i="3"/>
  <c r="AS46" i="3" s="1"/>
  <c r="AR63" i="27"/>
  <c r="J63" i="3"/>
  <c r="AR63" i="3" s="1"/>
  <c r="AR62" i="27"/>
  <c r="J62" i="3"/>
  <c r="AR62" i="3" s="1"/>
  <c r="AS61" i="27"/>
  <c r="K61" i="3"/>
  <c r="AS61" i="3" s="1"/>
  <c r="AP64" i="27"/>
  <c r="M64" i="27"/>
  <c r="H64" i="3"/>
  <c r="AQ63" i="27"/>
  <c r="I63" i="3"/>
  <c r="AQ63" i="3" s="1"/>
  <c r="M62" i="27"/>
  <c r="AP62" i="27"/>
  <c r="H62" i="3"/>
  <c r="J44" i="27" l="1"/>
  <c r="J47" i="3"/>
  <c r="AR47" i="3" s="1"/>
  <c r="AP55" i="27"/>
  <c r="M47" i="27"/>
  <c r="N47" i="27" s="1"/>
  <c r="J45" i="3"/>
  <c r="AR45" i="3" s="1"/>
  <c r="AU64" i="27"/>
  <c r="N64" i="27"/>
  <c r="AS45" i="3"/>
  <c r="AP51" i="27"/>
  <c r="M51" i="27"/>
  <c r="H51" i="3"/>
  <c r="AP54" i="27"/>
  <c r="M54" i="27"/>
  <c r="H54" i="3"/>
  <c r="AP59" i="3"/>
  <c r="M59" i="3"/>
  <c r="AP49" i="27"/>
  <c r="H49" i="3"/>
  <c r="AS49" i="27"/>
  <c r="K49" i="3"/>
  <c r="AQ57" i="27"/>
  <c r="I57" i="3"/>
  <c r="AS57" i="3"/>
  <c r="M62" i="3"/>
  <c r="AP62" i="3"/>
  <c r="AP52" i="27"/>
  <c r="M52" i="27"/>
  <c r="H52" i="3"/>
  <c r="H44" i="27"/>
  <c r="AP45" i="27"/>
  <c r="M45" i="27"/>
  <c r="H45" i="3"/>
  <c r="AR57" i="27"/>
  <c r="J57" i="3"/>
  <c r="AU59" i="27"/>
  <c r="N59" i="27"/>
  <c r="AP63" i="3"/>
  <c r="M63" i="3"/>
  <c r="AR50" i="27"/>
  <c r="J50" i="3"/>
  <c r="AR50" i="3" s="1"/>
  <c r="AR46" i="27"/>
  <c r="J46" i="3"/>
  <c r="AR46" i="3" s="1"/>
  <c r="AQ51" i="27"/>
  <c r="I51" i="3"/>
  <c r="AQ51" i="3" s="1"/>
  <c r="M61" i="3"/>
  <c r="AP61" i="3"/>
  <c r="AS52" i="27"/>
  <c r="K52" i="3"/>
  <c r="AS52" i="3" s="1"/>
  <c r="I44" i="27"/>
  <c r="AQ45" i="27"/>
  <c r="I45" i="3"/>
  <c r="AR54" i="27"/>
  <c r="J54" i="3"/>
  <c r="AR54" i="3" s="1"/>
  <c r="AU63" i="27"/>
  <c r="N63" i="27"/>
  <c r="AR55" i="27"/>
  <c r="J55" i="3"/>
  <c r="AR55" i="3" s="1"/>
  <c r="AU62" i="27"/>
  <c r="N62" i="27"/>
  <c r="AR51" i="27"/>
  <c r="J51" i="3"/>
  <c r="AR51" i="3" s="1"/>
  <c r="AS54" i="27"/>
  <c r="K54" i="3"/>
  <c r="AS54" i="3" s="1"/>
  <c r="AU61" i="27"/>
  <c r="N61" i="27"/>
  <c r="AQ46" i="27"/>
  <c r="I46" i="3"/>
  <c r="AQ46" i="3" s="1"/>
  <c r="AP57" i="27"/>
  <c r="M57" i="27"/>
  <c r="H57" i="3"/>
  <c r="AQ54" i="27"/>
  <c r="I54" i="3"/>
  <c r="AQ54" i="3" s="1"/>
  <c r="M60" i="3"/>
  <c r="AP60" i="3"/>
  <c r="AR44" i="27"/>
  <c r="AQ47" i="27"/>
  <c r="I47" i="3"/>
  <c r="AQ47" i="3" s="1"/>
  <c r="M46" i="27"/>
  <c r="AP46" i="27"/>
  <c r="H46" i="3"/>
  <c r="AU60" i="27"/>
  <c r="N60" i="27"/>
  <c r="M64" i="3"/>
  <c r="AP64" i="3"/>
  <c r="AR52" i="27"/>
  <c r="J52" i="3"/>
  <c r="AR52" i="3" s="1"/>
  <c r="AS47" i="27"/>
  <c r="AS44" i="27" s="1"/>
  <c r="K47" i="3"/>
  <c r="AS47" i="3" s="1"/>
  <c r="AP47" i="3"/>
  <c r="K48" i="27" l="1"/>
  <c r="M55" i="27"/>
  <c r="N55" i="27" s="1"/>
  <c r="J44" i="3"/>
  <c r="H55" i="3"/>
  <c r="AP55" i="3" s="1"/>
  <c r="AU47" i="27"/>
  <c r="AR44" i="3"/>
  <c r="AU46" i="27"/>
  <c r="N46" i="27"/>
  <c r="J48" i="27"/>
  <c r="AR49" i="27"/>
  <c r="J49" i="3"/>
  <c r="N59" i="3"/>
  <c r="AU59" i="3"/>
  <c r="K44" i="3"/>
  <c r="N60" i="3"/>
  <c r="AU60" i="3"/>
  <c r="M50" i="27"/>
  <c r="AP50" i="27"/>
  <c r="H50" i="3"/>
  <c r="AR53" i="27"/>
  <c r="J53" i="3"/>
  <c r="AR53" i="3" s="1"/>
  <c r="I48" i="27"/>
  <c r="AQ49" i="27"/>
  <c r="I49" i="3"/>
  <c r="M49" i="3" s="1"/>
  <c r="AS49" i="3"/>
  <c r="AS44" i="3"/>
  <c r="AU64" i="3"/>
  <c r="N64" i="3"/>
  <c r="AU55" i="27"/>
  <c r="AS55" i="27"/>
  <c r="K55" i="3"/>
  <c r="AS55" i="3" s="1"/>
  <c r="AR57" i="3"/>
  <c r="M52" i="3"/>
  <c r="AP52" i="3"/>
  <c r="AP54" i="3"/>
  <c r="M54" i="3"/>
  <c r="AU52" i="27"/>
  <c r="N52" i="27"/>
  <c r="AU54" i="27"/>
  <c r="N54" i="27"/>
  <c r="M47" i="3"/>
  <c r="AQ53" i="27"/>
  <c r="I53" i="3"/>
  <c r="AQ53" i="3" s="1"/>
  <c r="AQ55" i="27"/>
  <c r="I55" i="3"/>
  <c r="AQ55" i="3" s="1"/>
  <c r="AU61" i="3"/>
  <c r="N61" i="3"/>
  <c r="M57" i="3"/>
  <c r="AQ57" i="3"/>
  <c r="AP49" i="3"/>
  <c r="AS53" i="27"/>
  <c r="K53" i="3"/>
  <c r="AS53" i="3" s="1"/>
  <c r="AP45" i="3"/>
  <c r="M45" i="3"/>
  <c r="M49" i="27"/>
  <c r="M51" i="3"/>
  <c r="AP51" i="3"/>
  <c r="AP53" i="27"/>
  <c r="AP48" i="27" s="1"/>
  <c r="M53" i="27"/>
  <c r="H53" i="3"/>
  <c r="H44" i="3"/>
  <c r="M46" i="3"/>
  <c r="AP46" i="3"/>
  <c r="AP57" i="3"/>
  <c r="AS50" i="27"/>
  <c r="K50" i="3"/>
  <c r="AS50" i="3" s="1"/>
  <c r="I44" i="3"/>
  <c r="AQ45" i="3"/>
  <c r="AQ44" i="3" s="1"/>
  <c r="N63" i="3"/>
  <c r="AU63" i="3"/>
  <c r="M44" i="27"/>
  <c r="N44" i="27" s="1"/>
  <c r="AU45" i="27"/>
  <c r="N45" i="27"/>
  <c r="AU62" i="3"/>
  <c r="N62" i="3"/>
  <c r="H48" i="27"/>
  <c r="AU51" i="27"/>
  <c r="N51" i="27"/>
  <c r="AU57" i="27"/>
  <c r="N57" i="27"/>
  <c r="AQ44" i="27"/>
  <c r="AP44" i="27"/>
  <c r="AQ50" i="27"/>
  <c r="I50" i="3"/>
  <c r="AQ50" i="3" s="1"/>
  <c r="AS48" i="27" l="1"/>
  <c r="H48" i="3"/>
  <c r="AU44" i="27"/>
  <c r="AR48" i="27"/>
  <c r="AU53" i="27"/>
  <c r="N53" i="27"/>
  <c r="K48" i="3"/>
  <c r="AU49" i="3"/>
  <c r="N49" i="3"/>
  <c r="AS48" i="3"/>
  <c r="AU50" i="27"/>
  <c r="N50" i="27"/>
  <c r="AR49" i="3"/>
  <c r="AR48" i="3" s="1"/>
  <c r="J48" i="3"/>
  <c r="AU54" i="3"/>
  <c r="N54" i="3"/>
  <c r="I48" i="3"/>
  <c r="AQ49" i="3"/>
  <c r="AQ48" i="3" s="1"/>
  <c r="AU51" i="3"/>
  <c r="N51" i="3"/>
  <c r="AQ48" i="27"/>
  <c r="M48" i="27"/>
  <c r="AU49" i="27"/>
  <c r="N49" i="27"/>
  <c r="N46" i="3"/>
  <c r="AU46" i="3"/>
  <c r="AU45" i="3"/>
  <c r="N45" i="3"/>
  <c r="M44" i="3"/>
  <c r="AU47" i="3"/>
  <c r="N47" i="3"/>
  <c r="M55" i="3"/>
  <c r="AP44" i="3"/>
  <c r="N57" i="3"/>
  <c r="AU57" i="3"/>
  <c r="AU52" i="3"/>
  <c r="N52" i="3"/>
  <c r="AP53" i="3"/>
  <c r="M53" i="3"/>
  <c r="M50" i="3"/>
  <c r="AP50" i="3"/>
  <c r="M48" i="3" l="1"/>
  <c r="N48" i="3" s="1"/>
  <c r="AU44" i="3"/>
  <c r="AP48" i="3"/>
  <c r="N44" i="3"/>
  <c r="AU48" i="27"/>
  <c r="N48" i="27"/>
  <c r="N50" i="3"/>
  <c r="AU50" i="3"/>
  <c r="AU53" i="3"/>
  <c r="N53" i="3"/>
  <c r="N55" i="3"/>
  <c r="AU55" i="3"/>
  <c r="AU48" i="3" l="1"/>
  <c r="M58" i="27" l="1"/>
  <c r="AP58" i="27"/>
  <c r="AP56" i="27" s="1"/>
  <c r="AP66" i="27" s="1"/>
  <c r="H58" i="3"/>
  <c r="H56" i="27"/>
  <c r="H66" i="27" s="1"/>
  <c r="AR58" i="27"/>
  <c r="AR56" i="27" s="1"/>
  <c r="AR66" i="27" s="1"/>
  <c r="J58" i="3"/>
  <c r="J56" i="27"/>
  <c r="J66" i="27" s="1"/>
  <c r="AQ58" i="27"/>
  <c r="AQ56" i="27" s="1"/>
  <c r="AQ66" i="27" s="1"/>
  <c r="I58" i="3"/>
  <c r="I56" i="27"/>
  <c r="I66" i="27" s="1"/>
  <c r="AS58" i="27"/>
  <c r="AS56" i="27" s="1"/>
  <c r="AS66" i="27" s="1"/>
  <c r="K58" i="3"/>
  <c r="K56" i="27"/>
  <c r="K66" i="27" s="1"/>
  <c r="AP58" i="3" l="1"/>
  <c r="AP56" i="3" s="1"/>
  <c r="AP66" i="3" s="1"/>
  <c r="M58" i="3"/>
  <c r="H56" i="3"/>
  <c r="H66" i="3" s="1"/>
  <c r="AR58" i="3"/>
  <c r="AR56" i="3" s="1"/>
  <c r="AR66" i="3" s="1"/>
  <c r="J56" i="3"/>
  <c r="J66" i="3" s="1"/>
  <c r="AS58" i="3"/>
  <c r="AS56" i="3" s="1"/>
  <c r="AS66" i="3" s="1"/>
  <c r="K56" i="3"/>
  <c r="K66" i="3" s="1"/>
  <c r="AQ58" i="3"/>
  <c r="AQ56" i="3" s="1"/>
  <c r="AQ66" i="3" s="1"/>
  <c r="I56" i="3"/>
  <c r="I66" i="3" s="1"/>
  <c r="AU58" i="27"/>
  <c r="AU56" i="27" s="1"/>
  <c r="AU66" i="27" s="1"/>
  <c r="N58" i="27"/>
  <c r="M56" i="27"/>
  <c r="AU58" i="3" l="1"/>
  <c r="AU56" i="3" s="1"/>
  <c r="AU66" i="3" s="1"/>
  <c r="N58" i="3"/>
  <c r="M56" i="3"/>
  <c r="N56" i="27"/>
  <c r="M66" i="27"/>
  <c r="N56" i="3" l="1"/>
  <c r="M66" i="3"/>
  <c r="N66" i="3" s="1"/>
  <c r="N66" i="27"/>
</calcChain>
</file>

<file path=xl/sharedStrings.xml><?xml version="1.0" encoding="utf-8"?>
<sst xmlns="http://schemas.openxmlformats.org/spreadsheetml/2006/main" count="2786" uniqueCount="224">
  <si>
    <t>Current payments</t>
  </si>
  <si>
    <t>Transfers and subsidies</t>
  </si>
  <si>
    <t>Payments for capital assets</t>
  </si>
  <si>
    <t>Payments for financial assets</t>
  </si>
  <si>
    <t>Total</t>
  </si>
  <si>
    <t>R'000</t>
  </si>
  <si>
    <t>%</t>
  </si>
  <si>
    <t>Receipts</t>
  </si>
  <si>
    <t>Transfers from National Revenue Fund</t>
  </si>
  <si>
    <t>Provincial own receipts</t>
  </si>
  <si>
    <t>Total receipts</t>
  </si>
  <si>
    <t>Payments by provincial departments</t>
  </si>
  <si>
    <t>Total payments</t>
  </si>
  <si>
    <t>1.</t>
  </si>
  <si>
    <t>Provincial
roll-overs
approved by National Treasury</t>
  </si>
  <si>
    <r>
      <t>Schedule 5, Part A Grants</t>
    </r>
    <r>
      <rPr>
        <b/>
        <vertAlign val="superscript"/>
        <sz val="12"/>
        <rFont val="Arial"/>
        <family val="2"/>
      </rPr>
      <t>2.</t>
    </r>
  </si>
  <si>
    <t>Agriculture, Forestry and Fisheries (Vote 24)</t>
  </si>
  <si>
    <t>(a) Comprehensive Agricultural Support Programme Grant</t>
  </si>
  <si>
    <t>(b) Ilima/Letsema Projects Grant</t>
  </si>
  <si>
    <t>(c) Land Care Programme Grant: Poverty Relief and Infrastructure Development</t>
  </si>
  <si>
    <t>Arts and Culture (Vote 37)</t>
  </si>
  <si>
    <t>Community Library Services Grant</t>
  </si>
  <si>
    <t>Basic Education (Vote 14)</t>
  </si>
  <si>
    <t>(a) HIV and AIDS (Life Skills Education) Grant</t>
  </si>
  <si>
    <t>(b) Learners with Profound Intellectual Disabilities Grant</t>
  </si>
  <si>
    <t>(c) Maths, Science and Technology Grant</t>
  </si>
  <si>
    <t>(d) National School Nutrition Programme Grant</t>
  </si>
  <si>
    <t>Health (Vote 16)</t>
  </si>
  <si>
    <t>(b) Health Facility Revitalisation Grant</t>
  </si>
  <si>
    <t>(c) Human Papillomavirus Vaccine Grant</t>
  </si>
  <si>
    <t>Human Settlements (Vote 38)</t>
  </si>
  <si>
    <t>Public Works (Vote 11)</t>
  </si>
  <si>
    <t>(a) Expanded Public Works Programme Integrated Grant for Provinces</t>
  </si>
  <si>
    <t>(b) Social Sector Expanded Public Works Programme Incentive Grant for Provinces</t>
  </si>
  <si>
    <t>Social Development (Vote 17)</t>
  </si>
  <si>
    <t>Sport and Recreation South Africa (Vote 40)</t>
  </si>
  <si>
    <t>Mass Participation and Sport Development Grant</t>
  </si>
  <si>
    <t>Sub-Total</t>
  </si>
  <si>
    <r>
      <t>Schedule 4, Part A Grants</t>
    </r>
    <r>
      <rPr>
        <b/>
        <vertAlign val="superscript"/>
        <sz val="12"/>
        <rFont val="Arial"/>
        <family val="2"/>
      </rPr>
      <t>1.</t>
    </r>
  </si>
  <si>
    <t>Education Infrastructure Grant</t>
  </si>
  <si>
    <t>(a) Health Professions Training and Development Grant</t>
  </si>
  <si>
    <t>(b) National Tertiary Services Grant</t>
  </si>
  <si>
    <t>Transport (Vote 35)</t>
  </si>
  <si>
    <t>(a) Provincial Roads Maintenance Grant</t>
  </si>
  <si>
    <t>(b) Public Transport Operations Grant</t>
  </si>
  <si>
    <r>
      <t>Schedule 7, Part A Grants</t>
    </r>
    <r>
      <rPr>
        <b/>
        <vertAlign val="superscript"/>
        <sz val="12"/>
        <rFont val="Arial"/>
        <family val="2"/>
      </rPr>
      <t>3.</t>
    </r>
  </si>
  <si>
    <t>Cooperative Governance and Traditional Affairs (Vote 4)</t>
  </si>
  <si>
    <t>Schedule 4, Part A grants specifying allocations to provinces to supplement the funding of programmes or functions funded from provincial budgets.</t>
  </si>
  <si>
    <t>2.</t>
  </si>
  <si>
    <t>Schedule 5, Part A grants specifying specific-purpose allocations to provinces.</t>
  </si>
  <si>
    <t>3.</t>
  </si>
  <si>
    <t>Schedule 7, Part A grants specifying unallocated provisions for provinces for disaster response.</t>
  </si>
  <si>
    <t/>
  </si>
  <si>
    <t>Payments by economic classification</t>
  </si>
  <si>
    <t>Compensation of employees</t>
  </si>
  <si>
    <t>Goods and services</t>
  </si>
  <si>
    <t>Interest and rent on land</t>
  </si>
  <si>
    <t>Provinces and municipalities</t>
  </si>
  <si>
    <t>Departmental agencies and accounts</t>
  </si>
  <si>
    <t>Higher education and institutions</t>
  </si>
  <si>
    <t>Foreign governments and international organisations</t>
  </si>
  <si>
    <t>Public corporations and private enterprises</t>
  </si>
  <si>
    <t>Non profit institutions</t>
  </si>
  <si>
    <t>Households</t>
  </si>
  <si>
    <t>Buildings and other fixed structures</t>
  </si>
  <si>
    <t>Machinery and equipment</t>
  </si>
  <si>
    <t>Heritage assets</t>
  </si>
  <si>
    <t>Specialised military assets</t>
  </si>
  <si>
    <t>Biological assets</t>
  </si>
  <si>
    <t>Land and sub-soil assets</t>
  </si>
  <si>
    <t>Software and other intangible assets</t>
  </si>
  <si>
    <t>Equitable share of revenue</t>
  </si>
  <si>
    <t>Conditional grants</t>
  </si>
  <si>
    <t>Adjustments</t>
  </si>
  <si>
    <t>First
Quarter</t>
  </si>
  <si>
    <t>Second
Quarter</t>
  </si>
  <si>
    <t>Third
Quarter</t>
  </si>
  <si>
    <t>Fourth
Quarter</t>
  </si>
  <si>
    <t>Actual
Payments</t>
  </si>
  <si>
    <t>%
Actual
Payments</t>
  </si>
  <si>
    <t>Total
National
Allocation</t>
  </si>
  <si>
    <t>Total
Available</t>
  </si>
  <si>
    <t>Provincial Payment Schedule
(National Allocation)</t>
  </si>
  <si>
    <t>Transferred from National
to
Province</t>
  </si>
  <si>
    <r>
      <t>Main
Budget</t>
    </r>
    <r>
      <rPr>
        <b/>
        <vertAlign val="superscript"/>
        <sz val="11"/>
        <rFont val="Arial"/>
        <family val="2"/>
      </rPr>
      <t>1.</t>
    </r>
  </si>
  <si>
    <t>Budget</t>
  </si>
  <si>
    <t>Payments by Quarter</t>
  </si>
  <si>
    <t>Payments to Date</t>
  </si>
  <si>
    <t>Transfers</t>
  </si>
  <si>
    <t>Provincial departments</t>
  </si>
  <si>
    <t>National departments administering conditional grants</t>
  </si>
  <si>
    <r>
      <t>Adjusted
Budget</t>
    </r>
    <r>
      <rPr>
        <b/>
        <vertAlign val="superscript"/>
        <sz val="11"/>
        <rFont val="Arial"/>
        <family val="2"/>
      </rPr>
      <t>2.</t>
    </r>
  </si>
  <si>
    <t>(a) Human Settlements Development Grant</t>
  </si>
  <si>
    <t>(b) Title Deeds Restoriation Grant</t>
  </si>
  <si>
    <t>Provincial Emergency Housing Grant</t>
  </si>
  <si>
    <r>
      <t>Main
Budget</t>
    </r>
    <r>
      <rPr>
        <b/>
        <vertAlign val="superscript"/>
        <sz val="11"/>
        <color rgb="FFFF0000"/>
        <rFont val="Arial"/>
        <family val="2"/>
      </rPr>
      <t>1.</t>
    </r>
  </si>
  <si>
    <r>
      <t>Adjusted
Budget</t>
    </r>
    <r>
      <rPr>
        <b/>
        <vertAlign val="superscript"/>
        <sz val="11"/>
        <color rgb="FFFF0000"/>
        <rFont val="Arial"/>
        <family val="2"/>
      </rPr>
      <t>2.</t>
    </r>
  </si>
  <si>
    <r>
      <t>Schedule 5, Part A Grants</t>
    </r>
    <r>
      <rPr>
        <b/>
        <vertAlign val="superscript"/>
        <sz val="12"/>
        <color rgb="FFFF0000"/>
        <rFont val="Arial"/>
        <family val="2"/>
      </rPr>
      <t>2.</t>
    </r>
  </si>
  <si>
    <t>No.</t>
  </si>
  <si>
    <t>Quarter</t>
  </si>
  <si>
    <t>Filter</t>
  </si>
  <si>
    <t>Selections:</t>
  </si>
  <si>
    <t>Financial Year</t>
  </si>
  <si>
    <t>Province code</t>
  </si>
  <si>
    <t>Accounting officers</t>
  </si>
  <si>
    <t>Title</t>
  </si>
  <si>
    <t>Position</t>
  </si>
  <si>
    <t>Provincial Treasury</t>
  </si>
  <si>
    <t>Tel No.</t>
  </si>
  <si>
    <t>2015/16</t>
  </si>
  <si>
    <t>EC</t>
  </si>
  <si>
    <t>Daluhlanga Majeke</t>
  </si>
  <si>
    <t>Mr</t>
  </si>
  <si>
    <t>Head Official</t>
  </si>
  <si>
    <t>Eastern Cape</t>
  </si>
  <si>
    <t>(040) 609-5612</t>
  </si>
  <si>
    <t>2016/17</t>
  </si>
  <si>
    <t>FS</t>
  </si>
  <si>
    <t>MNG Mahlatsi</t>
  </si>
  <si>
    <t>Free State</t>
  </si>
  <si>
    <t>(051) 403-3066</t>
  </si>
  <si>
    <t>2017/18</t>
  </si>
  <si>
    <t>GT</t>
  </si>
  <si>
    <t>Nomfundo Tshabalala</t>
  </si>
  <si>
    <t>Ms</t>
  </si>
  <si>
    <t>Gauteng</t>
  </si>
  <si>
    <t>(011) 689-8233</t>
  </si>
  <si>
    <t>KZN</t>
  </si>
  <si>
    <t>Simiso Magagula</t>
  </si>
  <si>
    <t>KwaZulu-Natal</t>
  </si>
  <si>
    <t>(033) 897-4547</t>
  </si>
  <si>
    <t>2019/20</t>
  </si>
  <si>
    <t>LIM</t>
  </si>
  <si>
    <t>Gavin Pratt</t>
  </si>
  <si>
    <t>Limpopo</t>
  </si>
  <si>
    <t>(015) 298-7123</t>
  </si>
  <si>
    <t>2020/21</t>
  </si>
  <si>
    <t>MPU</t>
  </si>
  <si>
    <t>Mpumalanga</t>
  </si>
  <si>
    <t>(013) 766-4571</t>
  </si>
  <si>
    <t>2021/22</t>
  </si>
  <si>
    <t>NC</t>
  </si>
  <si>
    <t>Acting Head Official</t>
  </si>
  <si>
    <t>Northern Cape</t>
  </si>
  <si>
    <t>(053) 830-8357</t>
  </si>
  <si>
    <t>2022/23</t>
  </si>
  <si>
    <t>NW</t>
  </si>
  <si>
    <t>Ndlela Kunene</t>
  </si>
  <si>
    <t>North West</t>
  </si>
  <si>
    <t>(018) 388-4441</t>
  </si>
  <si>
    <t>2023/24</t>
  </si>
  <si>
    <t>WC</t>
  </si>
  <si>
    <t>Western Cape</t>
  </si>
  <si>
    <t>(021) 483-3749</t>
  </si>
  <si>
    <t>2024/25</t>
  </si>
  <si>
    <t>Province</t>
  </si>
  <si>
    <t>EASTERN CAPE</t>
  </si>
  <si>
    <t>FREE STATE</t>
  </si>
  <si>
    <t>GAUTENG</t>
  </si>
  <si>
    <t>KWAZULU-NATAL</t>
  </si>
  <si>
    <t>LIMPOPO</t>
  </si>
  <si>
    <t>MPUMALANGA</t>
  </si>
  <si>
    <t>NORTH WEST</t>
  </si>
  <si>
    <t>WESTERN CAPE</t>
  </si>
  <si>
    <t>NORTHERN CAPE</t>
  </si>
  <si>
    <t>WESTERN CAPE PROVINCE</t>
  </si>
  <si>
    <t>NORTH WEST PROVINCE</t>
  </si>
  <si>
    <t>NORTHERN CAPE PROVINCE</t>
  </si>
  <si>
    <t>MPUMALANGA PROVINCE</t>
  </si>
  <si>
    <t>LIMPOPO PROVINCE</t>
  </si>
  <si>
    <t>KWAZULU-NATAL PROVINCE</t>
  </si>
  <si>
    <t>GAUTENG PROVINCE</t>
  </si>
  <si>
    <t>FREE STATE PROVINCE</t>
  </si>
  <si>
    <t>EASTERN CAPE PROVINCE</t>
  </si>
  <si>
    <t xml:space="preserve"> </t>
  </si>
  <si>
    <t>Print</t>
  </si>
  <si>
    <t>All Provinces</t>
  </si>
  <si>
    <t>1st Quarter</t>
  </si>
  <si>
    <t>2nd Quarter</t>
  </si>
  <si>
    <t>3rd Quarter</t>
  </si>
  <si>
    <t>4th Quarter</t>
  </si>
  <si>
    <t>PrintYear</t>
  </si>
  <si>
    <t>Information submitted by provinces</t>
  </si>
  <si>
    <t>Import Selection:</t>
  </si>
  <si>
    <t>Print Directory:</t>
  </si>
  <si>
    <t>Print Settings:</t>
  </si>
  <si>
    <t>ALL PROVINCES</t>
  </si>
  <si>
    <t>Admin</t>
  </si>
  <si>
    <t>Provincial Disaster Relief Grant</t>
  </si>
  <si>
    <t>Division of Revenue Act,
No. 14 of 2018</t>
  </si>
  <si>
    <t>Division of Revenue Amendment Act,
No. 14 of 2018</t>
  </si>
  <si>
    <t>Gugu Mashiteng</t>
  </si>
  <si>
    <t>FIRST QUARTER ENDED 30 JUNE 2019</t>
  </si>
  <si>
    <t>SECOND QUARTER ENDED 30 SEPTEMBER 2019</t>
  </si>
  <si>
    <t>FOURTH QUARTER ENDED 31 MARCH 2020</t>
  </si>
  <si>
    <t>(a) HIV, TB, Malaria and Community Outreach Grant</t>
  </si>
  <si>
    <t>(d) Human Resources Capacitation Grant</t>
  </si>
  <si>
    <r>
      <t xml:space="preserve"> Provincial own receipts</t>
    </r>
    <r>
      <rPr>
        <b/>
        <vertAlign val="superscript"/>
        <sz val="8.25"/>
        <rFont val="Arial"/>
        <family val="2"/>
      </rPr>
      <t>2.</t>
    </r>
  </si>
  <si>
    <t>Payments by provincial departments²</t>
  </si>
  <si>
    <t>K:\CD - PROVINCIAL BUDGET ANALYSIS\Provinces\Early Warning System\2019-20\06. Section 32 Publication\3rd Quarter\Final\02. Publication</t>
  </si>
  <si>
    <t>Adjusted Budget</t>
  </si>
  <si>
    <t>(e) National Health Insurance Grant</t>
  </si>
  <si>
    <t>(a) Early Childhood Development Grant</t>
  </si>
  <si>
    <t>(b) Substance Abuse Treatment Grant</t>
  </si>
  <si>
    <t>Provincial Disaster Recovery Grant</t>
  </si>
  <si>
    <t>Early Childhood Development Grant</t>
  </si>
  <si>
    <t>Lephina Bosvark</t>
  </si>
  <si>
    <t>David Savage</t>
  </si>
  <si>
    <t>Receipts/Payments by Quarter</t>
  </si>
  <si>
    <t>Receipts/Payments to Date</t>
  </si>
  <si>
    <t>Actual
Receipts/
Payments</t>
  </si>
  <si>
    <t>%
Actual
Receipts/
Payments</t>
  </si>
  <si>
    <t>THIRD QUARTER ENDED 31 DECEMBER 2019</t>
  </si>
  <si>
    <t>Education</t>
  </si>
  <si>
    <t>Health</t>
  </si>
  <si>
    <t>Social Development</t>
  </si>
  <si>
    <t>Office Of The Premier</t>
  </si>
  <si>
    <t>Provincial Legislature</t>
  </si>
  <si>
    <t>Agriculture</t>
  </si>
  <si>
    <t>Economic Development, Environment And Tourism</t>
  </si>
  <si>
    <t>Transport And Community Safety</t>
  </si>
  <si>
    <t>Public Works, Roads And Infrastructure</t>
  </si>
  <si>
    <t>Cooperative Governance, Human Settlements And Traditional Affairs</t>
  </si>
  <si>
    <t>Sport, Arts And Culture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</si>
</sst>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_(* #,##0_);_(* \(#,##0\);_(* &quot;-&quot;?_);_(@_)"/>
    <numFmt numFmtId="166" formatCode="_(* #,##0_);_(* \(#,##0\);_(* &quot;- &quot;?_);_(@_)"/>
    <numFmt numFmtId="167" formatCode="_-* 0.0%_-;\-* 0.0%_-;_-* &quot;-&quot;_-;_-@_-"/>
    <numFmt numFmtId="169" formatCode="_*\ #,##0_-;* #,##0_-;_-* &quot; &quot;_-;_ @_-"/>
    <numFmt numFmtId="170" formatCode="_(* #,##0.000_);_(* \(#,##0.000\);_(* &quot;- &quot;?_);_(@_)"/>
    <numFmt numFmtId="171" formatCode="_(* #,##0.000_);_(* \(#,##0.000\);_(* &quot;-&quot;?_);_(@_)"/>
  </numFmts>
  <fonts count="37" x14ac:knownFonts="1">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b/>
      <sz val="10"/>
      <name val="Arial"/>
      <family val="2"/>
    </font>
    <font>
      <b/>
      <vertAlign val="superscript"/>
      <sz val="12"/>
      <name val="Arial"/>
      <family val="2"/>
    </font>
    <font>
      <i/>
      <sz val="10"/>
      <name val="Arial"/>
      <family val="2"/>
    </font>
    <font>
      <i/>
      <sz val="11"/>
      <name val="Arial"/>
      <family val="2"/>
    </font>
    <font>
      <b/>
      <i/>
      <sz val="10"/>
      <color indexed="10"/>
      <name val="Arial"/>
      <family val="2"/>
    </font>
    <font>
      <sz val="11"/>
      <name val="Arial"/>
      <family val="2"/>
    </font>
    <font>
      <vertAlign val="superscript"/>
      <sz val="11"/>
      <name val="Arial"/>
      <family val="2"/>
    </font>
    <font>
      <b/>
      <u/>
      <sz val="12"/>
      <name val="Arial"/>
      <family val="2"/>
    </font>
    <font>
      <b/>
      <vertAlign val="superscript"/>
      <sz val="11"/>
      <name val="Arial"/>
      <family val="2"/>
    </font>
    <font>
      <i/>
      <vertAlign val="superscript"/>
      <sz val="11"/>
      <name val="Arial"/>
      <family val="2"/>
    </font>
    <font>
      <b/>
      <i/>
      <sz val="11"/>
      <name val="Arial"/>
      <family val="2"/>
    </font>
    <font>
      <sz val="11"/>
      <color rgb="FFFF0000"/>
      <name val="Arial"/>
      <family val="2"/>
    </font>
    <font>
      <sz val="10"/>
      <color rgb="FFFF0000"/>
      <name val="Arial"/>
      <family val="2"/>
    </font>
    <font>
      <b/>
      <sz val="12"/>
      <color rgb="FFFF0000"/>
      <name val="Arial"/>
      <family val="2"/>
    </font>
    <font>
      <b/>
      <sz val="11"/>
      <color rgb="FFFF0000"/>
      <name val="Arial"/>
      <family val="2"/>
    </font>
    <font>
      <b/>
      <vertAlign val="superscript"/>
      <sz val="11"/>
      <color rgb="FFFF0000"/>
      <name val="Arial"/>
      <family val="2"/>
    </font>
    <font>
      <vertAlign val="superscript"/>
      <sz val="11"/>
      <color rgb="FFFF0000"/>
      <name val="Arial"/>
      <family val="2"/>
    </font>
    <font>
      <i/>
      <sz val="11"/>
      <color rgb="FFFF0000"/>
      <name val="Arial"/>
      <family val="2"/>
    </font>
    <font>
      <b/>
      <i/>
      <sz val="11"/>
      <color rgb="FFFF0000"/>
      <name val="Arial"/>
      <family val="2"/>
    </font>
    <font>
      <i/>
      <sz val="10"/>
      <color rgb="FFFF0000"/>
      <name val="Arial"/>
      <family val="2"/>
    </font>
    <font>
      <b/>
      <i/>
      <sz val="10"/>
      <color rgb="FFFF0000"/>
      <name val="Arial"/>
      <family val="2"/>
    </font>
    <font>
      <b/>
      <u/>
      <sz val="12"/>
      <color rgb="FFFF0000"/>
      <name val="Arial"/>
      <family val="2"/>
    </font>
    <font>
      <b/>
      <vertAlign val="superscript"/>
      <sz val="12"/>
      <color rgb="FFFF0000"/>
      <name val="Arial"/>
      <family val="2"/>
    </font>
    <font>
      <i/>
      <vertAlign val="superscript"/>
      <sz val="11"/>
      <color rgb="FFFF0000"/>
      <name val="Arial"/>
      <family val="2"/>
    </font>
    <font>
      <b/>
      <sz val="9"/>
      <name val="Arial"/>
      <family val="2"/>
    </font>
    <font>
      <sz val="8"/>
      <color rgb="FF000000"/>
      <name val="Segoe UI"/>
      <family val="2"/>
    </font>
    <font>
      <b/>
      <i/>
      <sz val="8"/>
      <name val="Arial"/>
      <family val="2"/>
    </font>
    <font>
      <sz val="8"/>
      <name val="Arial"/>
      <family val="2"/>
    </font>
    <font>
      <b/>
      <sz val="10"/>
      <color rgb="FF000000"/>
      <name val="Arial"/>
      <family val="2"/>
    </font>
    <font>
      <b/>
      <sz val="11"/>
      <color indexed="10"/>
      <name val="Arial"/>
      <family val="2"/>
    </font>
    <font>
      <b/>
      <vertAlign val="superscript"/>
      <sz val="8.25"/>
      <name val="Arial"/>
      <family val="2"/>
    </font>
  </fonts>
  <fills count="10">
    <fill>
      <patternFill patternType="none"/>
    </fill>
    <fill>
      <patternFill patternType="gray125"/>
    </fill>
    <fill>
      <patternFill patternType="solid">
        <fgColor indexed="2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s>
  <borders count="39">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4">
    <xf numFmtId="0" fontId="0" fillId="0" borderId="0"/>
    <xf numFmtId="164" fontId="2" fillId="0" borderId="0" applyFont="0" applyFill="0" applyBorder="0" applyAlignment="0" applyProtection="0"/>
    <xf numFmtId="164" fontId="3" fillId="0" borderId="0" applyFont="0" applyFill="0" applyBorder="0" applyAlignment="0" applyProtection="0"/>
    <xf numFmtId="0" fontId="1" fillId="0" borderId="0"/>
  </cellStyleXfs>
  <cellXfs count="631">
    <xf numFmtId="0" fontId="0" fillId="0" borderId="0" xfId="0"/>
    <xf numFmtId="165" fontId="3" fillId="0" borderId="0" xfId="0" applyNumberFormat="1" applyFont="1"/>
    <xf numFmtId="165" fontId="3" fillId="0" borderId="0" xfId="0" applyNumberFormat="1" applyFont="1" applyBorder="1"/>
    <xf numFmtId="165" fontId="3" fillId="0" borderId="1" xfId="0" applyNumberFormat="1" applyFont="1" applyBorder="1"/>
    <xf numFmtId="165" fontId="3" fillId="0" borderId="2" xfId="0" applyNumberFormat="1" applyFont="1" applyBorder="1"/>
    <xf numFmtId="165" fontId="3" fillId="0" borderId="3" xfId="0" applyNumberFormat="1" applyFont="1" applyBorder="1"/>
    <xf numFmtId="165" fontId="3" fillId="0" borderId="4" xfId="0" applyNumberFormat="1" applyFont="1" applyBorder="1"/>
    <xf numFmtId="165" fontId="4" fillId="0" borderId="0" xfId="0" applyNumberFormat="1" applyFont="1" applyBorder="1"/>
    <xf numFmtId="165" fontId="3" fillId="0" borderId="0" xfId="1" applyNumberFormat="1" applyFont="1" applyBorder="1"/>
    <xf numFmtId="165" fontId="3" fillId="0" borderId="5" xfId="1" applyNumberFormat="1" applyFont="1" applyBorder="1"/>
    <xf numFmtId="165" fontId="5" fillId="0" borderId="0" xfId="0" applyNumberFormat="1" applyFont="1" applyBorder="1"/>
    <xf numFmtId="165" fontId="3" fillId="0" borderId="5" xfId="1" applyNumberFormat="1" applyFont="1" applyFill="1" applyBorder="1"/>
    <xf numFmtId="0" fontId="0" fillId="0" borderId="0" xfId="0" applyBorder="1"/>
    <xf numFmtId="165" fontId="3" fillId="0" borderId="0" xfId="0" applyNumberFormat="1" applyFont="1" applyFill="1" applyAlignment="1"/>
    <xf numFmtId="1" fontId="9" fillId="0" borderId="0" xfId="0" quotePrefix="1" applyNumberFormat="1" applyFont="1" applyFill="1" applyAlignment="1" applyProtection="1">
      <alignment horizontal="justify" wrapText="1"/>
    </xf>
    <xf numFmtId="1" fontId="9" fillId="0" borderId="0" xfId="0" applyNumberFormat="1" applyFont="1" applyFill="1" applyAlignment="1"/>
    <xf numFmtId="165" fontId="3" fillId="0" borderId="0" xfId="0" applyNumberFormat="1" applyFont="1" applyFill="1"/>
    <xf numFmtId="1" fontId="9" fillId="0" borderId="0" xfId="0" applyNumberFormat="1" applyFont="1" applyBorder="1" applyAlignment="1">
      <alignment vertical="center"/>
    </xf>
    <xf numFmtId="49" fontId="3" fillId="0" borderId="0" xfId="0" applyNumberFormat="1" applyFont="1" applyAlignment="1">
      <alignment horizontal="left" indent="1"/>
    </xf>
    <xf numFmtId="166" fontId="8" fillId="0" borderId="0" xfId="0" applyNumberFormat="1" applyFont="1" applyBorder="1"/>
    <xf numFmtId="165" fontId="10" fillId="0" borderId="0" xfId="1" applyNumberFormat="1" applyFont="1" applyFill="1" applyBorder="1"/>
    <xf numFmtId="165" fontId="11" fillId="0" borderId="0" xfId="0" applyNumberFormat="1" applyFont="1" applyProtection="1"/>
    <xf numFmtId="165" fontId="11" fillId="0" borderId="0" xfId="0" applyNumberFormat="1" applyFont="1" applyFill="1" applyProtection="1"/>
    <xf numFmtId="165" fontId="11" fillId="0" borderId="0" xfId="0" applyNumberFormat="1" applyFont="1" applyAlignment="1" applyProtection="1">
      <alignment horizontal="center"/>
    </xf>
    <xf numFmtId="165" fontId="11" fillId="0" borderId="1" xfId="0" applyNumberFormat="1" applyFont="1" applyBorder="1" applyProtection="1"/>
    <xf numFmtId="165" fontId="11" fillId="0" borderId="2" xfId="0" applyNumberFormat="1" applyFont="1" applyFill="1" applyBorder="1" applyProtection="1"/>
    <xf numFmtId="165" fontId="11" fillId="0" borderId="2" xfId="0" applyNumberFormat="1" applyFont="1" applyBorder="1" applyProtection="1"/>
    <xf numFmtId="49" fontId="12" fillId="0" borderId="3" xfId="0" applyNumberFormat="1" applyFont="1" applyBorder="1" applyAlignment="1" applyProtection="1">
      <alignment horizontal="center"/>
    </xf>
    <xf numFmtId="165" fontId="11" fillId="0" borderId="0" xfId="0" applyNumberFormat="1" applyFont="1" applyAlignment="1" applyProtection="1">
      <alignment wrapText="1"/>
    </xf>
    <xf numFmtId="0" fontId="5" fillId="0" borderId="4" xfId="0" applyFont="1" applyBorder="1" applyAlignment="1" applyProtection="1">
      <alignment horizontal="centerContinuous" vertical="top" wrapText="1"/>
    </xf>
    <xf numFmtId="0" fontId="4" fillId="0" borderId="0" xfId="0" applyFont="1" applyFill="1" applyBorder="1" applyProtection="1"/>
    <xf numFmtId="0" fontId="11" fillId="0" borderId="0" xfId="0" applyFont="1" applyBorder="1" applyAlignment="1" applyProtection="1">
      <alignment horizontal="centerContinuous" vertical="top" wrapText="1"/>
    </xf>
    <xf numFmtId="0" fontId="11" fillId="0" borderId="0" xfId="0" applyFont="1" applyFill="1" applyBorder="1" applyAlignment="1" applyProtection="1">
      <alignment horizontal="centerContinuous" vertical="top" wrapText="1"/>
    </xf>
    <xf numFmtId="49" fontId="12" fillId="0" borderId="5" xfId="0" applyNumberFormat="1" applyFont="1" applyBorder="1" applyAlignment="1" applyProtection="1">
      <alignment horizontal="center"/>
    </xf>
    <xf numFmtId="0" fontId="5" fillId="0" borderId="0" xfId="0" applyFont="1" applyFill="1" applyBorder="1" applyProtection="1"/>
    <xf numFmtId="165" fontId="11" fillId="0" borderId="0" xfId="0" applyNumberFormat="1" applyFont="1" applyBorder="1" applyProtection="1"/>
    <xf numFmtId="0" fontId="5" fillId="0" borderId="4" xfId="0" applyFont="1" applyBorder="1" applyProtection="1"/>
    <xf numFmtId="0" fontId="11" fillId="0" borderId="0" xfId="0" applyFont="1" applyFill="1" applyBorder="1" applyProtection="1"/>
    <xf numFmtId="0" fontId="11" fillId="0" borderId="0" xfId="0" applyFont="1" applyBorder="1" applyProtection="1"/>
    <xf numFmtId="166" fontId="11" fillId="0" borderId="24" xfId="0" applyNumberFormat="1" applyFont="1" applyFill="1" applyBorder="1" applyAlignment="1" applyProtection="1">
      <alignment horizontal="center" vertical="top" wrapText="1"/>
    </xf>
    <xf numFmtId="166" fontId="5" fillId="0" borderId="7" xfId="0" applyNumberFormat="1" applyFont="1" applyFill="1" applyBorder="1" applyAlignment="1" applyProtection="1">
      <alignment horizontal="center" vertical="top" wrapText="1"/>
    </xf>
    <xf numFmtId="49" fontId="5" fillId="0" borderId="7" xfId="0" applyNumberFormat="1" applyFont="1" applyFill="1" applyBorder="1" applyAlignment="1" applyProtection="1">
      <alignment horizontal="center" vertical="top" wrapText="1"/>
    </xf>
    <xf numFmtId="166" fontId="5" fillId="0" borderId="7" xfId="0" applyNumberFormat="1" applyFont="1" applyFill="1" applyBorder="1" applyAlignment="1" applyProtection="1">
      <alignment horizontal="centerContinuous" vertical="top" wrapText="1"/>
    </xf>
    <xf numFmtId="166" fontId="11" fillId="0" borderId="11" xfId="0" applyNumberFormat="1" applyFont="1" applyFill="1" applyBorder="1" applyAlignment="1" applyProtection="1">
      <alignment horizontal="center" vertical="top" wrapText="1"/>
    </xf>
    <xf numFmtId="166" fontId="11" fillId="0" borderId="19" xfId="0" applyNumberFormat="1" applyFont="1" applyFill="1" applyBorder="1" applyAlignment="1" applyProtection="1">
      <alignment horizontal="center" vertical="top" wrapText="1"/>
    </xf>
    <xf numFmtId="166" fontId="5" fillId="0" borderId="19" xfId="0" applyNumberFormat="1" applyFont="1" applyFill="1" applyBorder="1" applyAlignment="1" applyProtection="1">
      <alignment horizontal="center" vertical="top" wrapText="1"/>
    </xf>
    <xf numFmtId="166" fontId="11" fillId="0" borderId="24" xfId="0" applyNumberFormat="1" applyFont="1" applyFill="1" applyBorder="1" applyProtection="1"/>
    <xf numFmtId="0" fontId="5" fillId="0" borderId="11" xfId="0" applyNumberFormat="1" applyFont="1" applyFill="1" applyBorder="1" applyAlignment="1" applyProtection="1">
      <alignment horizontal="center"/>
    </xf>
    <xf numFmtId="166" fontId="11" fillId="0" borderId="11" xfId="0" applyNumberFormat="1" applyFont="1" applyFill="1" applyBorder="1" applyProtection="1"/>
    <xf numFmtId="166" fontId="11" fillId="0" borderId="11" xfId="0" applyNumberFormat="1" applyFont="1" applyFill="1" applyBorder="1" applyAlignment="1" applyProtection="1">
      <alignment horizontal="center"/>
    </xf>
    <xf numFmtId="0" fontId="13" fillId="0" borderId="11" xfId="0" applyNumberFormat="1" applyFont="1" applyFill="1" applyBorder="1" applyAlignment="1" applyProtection="1">
      <alignment horizontal="left"/>
    </xf>
    <xf numFmtId="0" fontId="5" fillId="0" borderId="11" xfId="0" applyNumberFormat="1" applyFont="1" applyFill="1" applyBorder="1" applyAlignment="1" applyProtection="1">
      <alignment horizontal="left"/>
    </xf>
    <xf numFmtId="165" fontId="5" fillId="0" borderId="0" xfId="0" applyNumberFormat="1" applyFont="1" applyBorder="1" applyProtection="1"/>
    <xf numFmtId="166" fontId="5" fillId="0" borderId="24" xfId="0" applyNumberFormat="1" applyFont="1" applyFill="1" applyBorder="1" applyProtection="1"/>
    <xf numFmtId="166" fontId="5" fillId="0" borderId="11" xfId="0" applyNumberFormat="1" applyFont="1" applyFill="1" applyBorder="1" applyAlignment="1" applyProtection="1">
      <alignment horizontal="right"/>
    </xf>
    <xf numFmtId="49" fontId="14" fillId="0" borderId="5" xfId="0" applyNumberFormat="1" applyFont="1" applyBorder="1" applyAlignment="1" applyProtection="1">
      <alignment horizontal="center"/>
    </xf>
    <xf numFmtId="165" fontId="11" fillId="0" borderId="0" xfId="0" applyNumberFormat="1" applyFont="1" applyFill="1" applyBorder="1" applyProtection="1"/>
    <xf numFmtId="166" fontId="11" fillId="0" borderId="24" xfId="0" applyNumberFormat="1" applyFont="1" applyFill="1" applyBorder="1" applyAlignment="1" applyProtection="1">
      <alignment horizontal="left"/>
    </xf>
    <xf numFmtId="0" fontId="11" fillId="0" borderId="11" xfId="0" applyNumberFormat="1" applyFont="1" applyFill="1" applyBorder="1" applyAlignment="1" applyProtection="1">
      <alignment horizontal="left" indent="1"/>
    </xf>
    <xf numFmtId="166" fontId="11" fillId="0" borderId="11" xfId="0" applyNumberFormat="1" applyFont="1" applyFill="1" applyBorder="1" applyAlignment="1" applyProtection="1">
      <alignment horizontal="right"/>
    </xf>
    <xf numFmtId="49" fontId="12" fillId="0" borderId="5" xfId="0" applyNumberFormat="1" applyFont="1" applyFill="1" applyBorder="1" applyAlignment="1" applyProtection="1">
      <alignment horizontal="center"/>
    </xf>
    <xf numFmtId="0" fontId="0" fillId="0" borderId="0" xfId="0" applyFill="1"/>
    <xf numFmtId="166" fontId="5" fillId="0" borderId="24" xfId="0" applyNumberFormat="1" applyFont="1" applyFill="1" applyBorder="1" applyAlignment="1" applyProtection="1">
      <alignment horizontal="left"/>
    </xf>
    <xf numFmtId="49" fontId="14" fillId="0" borderId="5" xfId="0" applyNumberFormat="1" applyFont="1" applyFill="1" applyBorder="1" applyAlignment="1" applyProtection="1">
      <alignment horizontal="center"/>
    </xf>
    <xf numFmtId="165" fontId="5" fillId="0" borderId="0" xfId="0" applyNumberFormat="1" applyFont="1" applyFill="1" applyBorder="1" applyProtection="1"/>
    <xf numFmtId="165" fontId="5" fillId="0" borderId="0" xfId="0" applyNumberFormat="1" applyFont="1" applyFill="1" applyProtection="1"/>
    <xf numFmtId="165" fontId="5" fillId="0" borderId="0" xfId="0" applyNumberFormat="1" applyFont="1" applyProtection="1"/>
    <xf numFmtId="166" fontId="9" fillId="0" borderId="24" xfId="0" applyNumberFormat="1" applyFont="1" applyFill="1" applyBorder="1" applyAlignment="1" applyProtection="1">
      <alignment horizontal="left"/>
    </xf>
    <xf numFmtId="166" fontId="9" fillId="0" borderId="11" xfId="0" applyNumberFormat="1" applyFont="1" applyFill="1" applyBorder="1" applyAlignment="1" applyProtection="1">
      <alignment horizontal="right"/>
    </xf>
    <xf numFmtId="49" fontId="15" fillId="0" borderId="5" xfId="0" applyNumberFormat="1" applyFont="1" applyFill="1" applyBorder="1" applyAlignment="1" applyProtection="1">
      <alignment horizontal="center"/>
    </xf>
    <xf numFmtId="165" fontId="9" fillId="0" borderId="0" xfId="0" applyNumberFormat="1" applyFont="1" applyFill="1" applyBorder="1" applyProtection="1"/>
    <xf numFmtId="0" fontId="8" fillId="0" borderId="0" xfId="0" applyFont="1"/>
    <xf numFmtId="165" fontId="9" fillId="0" borderId="0" xfId="0" applyNumberFormat="1" applyFont="1" applyBorder="1" applyProtection="1"/>
    <xf numFmtId="0" fontId="6" fillId="0" borderId="0" xfId="0" applyFont="1"/>
    <xf numFmtId="0" fontId="5" fillId="0" borderId="19" xfId="0" applyNumberFormat="1" applyFont="1" applyFill="1" applyBorder="1" applyProtection="1"/>
    <xf numFmtId="166" fontId="5" fillId="0" borderId="20" xfId="0" applyNumberFormat="1" applyFont="1" applyFill="1" applyBorder="1" applyProtection="1"/>
    <xf numFmtId="166" fontId="11" fillId="2" borderId="11" xfId="0" applyNumberFormat="1" applyFont="1" applyFill="1" applyBorder="1" applyAlignment="1" applyProtection="1">
      <alignment horizontal="right"/>
    </xf>
    <xf numFmtId="166" fontId="5" fillId="2" borderId="20" xfId="0" applyNumberFormat="1" applyFont="1" applyFill="1" applyBorder="1" applyProtection="1"/>
    <xf numFmtId="166" fontId="5" fillId="0" borderId="4" xfId="0" applyNumberFormat="1" applyFont="1" applyFill="1" applyBorder="1" applyProtection="1"/>
    <xf numFmtId="0" fontId="5" fillId="0" borderId="12" xfId="0" applyNumberFormat="1" applyFont="1" applyFill="1" applyBorder="1" applyProtection="1"/>
    <xf numFmtId="166" fontId="5" fillId="0" borderId="12" xfId="0" applyNumberFormat="1" applyFont="1" applyFill="1" applyBorder="1" applyProtection="1"/>
    <xf numFmtId="166" fontId="5" fillId="0" borderId="19" xfId="0" applyNumberFormat="1" applyFont="1" applyFill="1" applyBorder="1" applyProtection="1"/>
    <xf numFmtId="166" fontId="5" fillId="2" borderId="19" xfId="0" applyNumberFormat="1" applyFont="1" applyFill="1" applyBorder="1" applyProtection="1"/>
    <xf numFmtId="165" fontId="11" fillId="0" borderId="21" xfId="0" applyNumberFormat="1" applyFont="1" applyBorder="1" applyProtection="1"/>
    <xf numFmtId="165" fontId="11" fillId="0" borderId="22" xfId="0" applyNumberFormat="1" applyFont="1" applyFill="1" applyBorder="1" applyProtection="1"/>
    <xf numFmtId="49" fontId="12" fillId="0" borderId="23" xfId="0" applyNumberFormat="1" applyFont="1" applyBorder="1" applyAlignment="1" applyProtection="1">
      <alignment horizontal="center"/>
    </xf>
    <xf numFmtId="49" fontId="9" fillId="0" borderId="0" xfId="0" applyNumberFormat="1" applyFont="1" applyProtection="1"/>
    <xf numFmtId="49" fontId="9" fillId="0" borderId="0" xfId="0" applyNumberFormat="1" applyFont="1" applyFill="1" applyProtection="1"/>
    <xf numFmtId="49" fontId="11" fillId="0" borderId="0" xfId="0" applyNumberFormat="1" applyFont="1" applyFill="1" applyProtection="1"/>
    <xf numFmtId="49" fontId="11" fillId="0" borderId="0" xfId="0" applyNumberFormat="1" applyFont="1" applyAlignment="1" applyProtection="1">
      <alignment horizontal="center"/>
    </xf>
    <xf numFmtId="49" fontId="11" fillId="0" borderId="0" xfId="0" applyNumberFormat="1" applyFont="1" applyProtection="1"/>
    <xf numFmtId="165" fontId="3" fillId="0" borderId="0" xfId="0" applyNumberFormat="1" applyFont="1" applyFill="1" applyProtection="1"/>
    <xf numFmtId="166" fontId="5" fillId="0" borderId="8" xfId="0" applyNumberFormat="1" applyFont="1" applyFill="1" applyBorder="1" applyAlignment="1" applyProtection="1">
      <alignment horizontal="center" vertical="top" wrapText="1"/>
    </xf>
    <xf numFmtId="166" fontId="5" fillId="0" borderId="12" xfId="0" applyNumberFormat="1" applyFont="1" applyFill="1" applyBorder="1" applyAlignment="1" applyProtection="1">
      <alignment horizontal="center" vertical="top" wrapText="1"/>
    </xf>
    <xf numFmtId="166" fontId="11" fillId="0" borderId="18" xfId="0" applyNumberFormat="1" applyFont="1" applyFill="1" applyBorder="1" applyProtection="1"/>
    <xf numFmtId="166" fontId="5" fillId="0" borderId="18" xfId="0" applyNumberFormat="1" applyFont="1" applyFill="1" applyBorder="1" applyAlignment="1" applyProtection="1">
      <alignment horizontal="right"/>
    </xf>
    <xf numFmtId="166" fontId="11" fillId="0" borderId="18" xfId="0" applyNumberFormat="1" applyFont="1" applyFill="1" applyBorder="1" applyAlignment="1" applyProtection="1">
      <alignment horizontal="right"/>
    </xf>
    <xf numFmtId="166" fontId="9" fillId="0" borderId="18" xfId="0" applyNumberFormat="1" applyFont="1" applyFill="1" applyBorder="1" applyAlignment="1" applyProtection="1">
      <alignment horizontal="right"/>
    </xf>
    <xf numFmtId="166" fontId="5" fillId="0" borderId="14" xfId="0" applyNumberFormat="1" applyFont="1" applyFill="1" applyBorder="1" applyProtection="1"/>
    <xf numFmtId="49" fontId="5" fillId="0" borderId="25" xfId="0" applyNumberFormat="1" applyFont="1" applyFill="1" applyBorder="1" applyAlignment="1" applyProtection="1">
      <alignment horizontal="center" vertical="top" wrapText="1"/>
    </xf>
    <xf numFmtId="166" fontId="5" fillId="0" borderId="26" xfId="0" applyNumberFormat="1" applyFont="1" applyFill="1" applyBorder="1" applyAlignment="1" applyProtection="1">
      <alignment horizontal="center" vertical="top" wrapText="1"/>
    </xf>
    <xf numFmtId="166" fontId="5" fillId="0" borderId="24" xfId="0" applyNumberFormat="1" applyFont="1" applyFill="1" applyBorder="1" applyAlignment="1" applyProtection="1">
      <alignment horizontal="right"/>
    </xf>
    <xf numFmtId="166" fontId="11" fillId="0" borderId="24" xfId="0" applyNumberFormat="1" applyFont="1" applyFill="1" applyBorder="1" applyAlignment="1" applyProtection="1">
      <alignment horizontal="right"/>
    </xf>
    <xf numFmtId="166" fontId="9" fillId="0" borderId="24" xfId="0" applyNumberFormat="1" applyFont="1" applyFill="1" applyBorder="1" applyAlignment="1" applyProtection="1">
      <alignment horizontal="right"/>
    </xf>
    <xf numFmtId="166" fontId="5" fillId="0" borderId="27" xfId="0" applyNumberFormat="1" applyFont="1" applyFill="1" applyBorder="1" applyProtection="1"/>
    <xf numFmtId="166" fontId="11" fillId="3" borderId="24" xfId="0" applyNumberFormat="1" applyFont="1" applyFill="1" applyBorder="1" applyAlignment="1" applyProtection="1">
      <alignment horizontal="right"/>
    </xf>
    <xf numFmtId="166" fontId="5" fillId="0" borderId="26" xfId="0" applyNumberFormat="1" applyFont="1" applyFill="1" applyBorder="1" applyProtection="1"/>
    <xf numFmtId="166" fontId="5" fillId="0" borderId="14" xfId="0" quotePrefix="1" applyNumberFormat="1" applyFont="1" applyFill="1" applyBorder="1" applyAlignment="1" applyProtection="1">
      <alignment horizontal="centerContinuous" vertical="center" wrapText="1"/>
    </xf>
    <xf numFmtId="166" fontId="5" fillId="0" borderId="15" xfId="0" applyNumberFormat="1" applyFont="1" applyFill="1" applyBorder="1" applyAlignment="1" applyProtection="1">
      <alignment horizontal="centerContinuous" vertical="center" wrapText="1"/>
    </xf>
    <xf numFmtId="49" fontId="5" fillId="0" borderId="15" xfId="0" applyNumberFormat="1" applyFont="1" applyFill="1" applyBorder="1" applyAlignment="1" applyProtection="1">
      <alignment horizontal="centerContinuous" vertical="center" wrapText="1"/>
    </xf>
    <xf numFmtId="166" fontId="5" fillId="0" borderId="16" xfId="0" applyNumberFormat="1" applyFont="1" applyFill="1" applyBorder="1" applyAlignment="1" applyProtection="1">
      <alignment horizontal="centerContinuous" vertical="center" wrapText="1"/>
    </xf>
    <xf numFmtId="165" fontId="11" fillId="0" borderId="24" xfId="0" applyNumberFormat="1" applyFont="1" applyBorder="1"/>
    <xf numFmtId="165" fontId="5" fillId="0" borderId="15" xfId="1" quotePrefix="1" applyNumberFormat="1" applyFont="1" applyFill="1" applyBorder="1" applyAlignment="1">
      <alignment horizontal="centerContinuous" vertical="top"/>
    </xf>
    <xf numFmtId="165" fontId="11" fillId="0" borderId="15" xfId="1" applyNumberFormat="1" applyFont="1" applyBorder="1" applyAlignment="1">
      <alignment horizontal="centerContinuous" vertical="top"/>
    </xf>
    <xf numFmtId="165" fontId="11" fillId="0" borderId="9" xfId="1" applyNumberFormat="1" applyFont="1" applyBorder="1" applyAlignment="1">
      <alignment horizontal="centerContinuous"/>
    </xf>
    <xf numFmtId="165" fontId="5" fillId="0" borderId="15" xfId="1" quotePrefix="1" applyNumberFormat="1" applyFont="1" applyFill="1" applyBorder="1" applyAlignment="1">
      <alignment horizontal="centerContinuous"/>
    </xf>
    <xf numFmtId="165" fontId="11" fillId="0" borderId="16" xfId="1" applyNumberFormat="1" applyFont="1" applyBorder="1" applyAlignment="1">
      <alignment horizontal="centerContinuous"/>
    </xf>
    <xf numFmtId="165" fontId="5" fillId="0" borderId="5" xfId="1" applyNumberFormat="1" applyFont="1" applyFill="1" applyBorder="1" applyAlignment="1">
      <alignment horizontal="center"/>
    </xf>
    <xf numFmtId="0" fontId="11" fillId="0" borderId="0" xfId="0" applyFont="1"/>
    <xf numFmtId="165" fontId="11" fillId="0" borderId="4" xfId="0" applyNumberFormat="1" applyFont="1" applyBorder="1"/>
    <xf numFmtId="165" fontId="11" fillId="0" borderId="11" xfId="0" applyNumberFormat="1" applyFont="1" applyBorder="1"/>
    <xf numFmtId="49" fontId="5" fillId="0" borderId="15" xfId="1" applyNumberFormat="1" applyFont="1" applyFill="1" applyBorder="1" applyAlignment="1">
      <alignment horizontal="centerContinuous" vertical="center"/>
    </xf>
    <xf numFmtId="165" fontId="5" fillId="0" borderId="15" xfId="1" applyNumberFormat="1" applyFont="1" applyBorder="1" applyAlignment="1">
      <alignment horizontal="centerContinuous" vertical="center"/>
    </xf>
    <xf numFmtId="165" fontId="5" fillId="0" borderId="15" xfId="1" applyNumberFormat="1" applyFont="1" applyBorder="1" applyAlignment="1">
      <alignment horizontal="center" vertical="center"/>
    </xf>
    <xf numFmtId="0" fontId="5" fillId="0" borderId="16" xfId="1" applyNumberFormat="1" applyFont="1" applyFill="1" applyBorder="1" applyAlignment="1">
      <alignment horizontal="centerContinuous" vertical="center"/>
    </xf>
    <xf numFmtId="165" fontId="5" fillId="0" borderId="17" xfId="1" applyNumberFormat="1" applyFont="1" applyBorder="1" applyAlignment="1">
      <alignment horizontal="center" vertical="center"/>
    </xf>
    <xf numFmtId="165" fontId="5" fillId="0" borderId="14" xfId="1" applyNumberFormat="1" applyFont="1" applyFill="1" applyBorder="1" applyAlignment="1">
      <alignment horizontal="centerContinuous" vertical="center"/>
    </xf>
    <xf numFmtId="165" fontId="5" fillId="0" borderId="16" xfId="1" applyNumberFormat="1" applyFont="1" applyBorder="1" applyAlignment="1">
      <alignment horizontal="centerContinuous" vertical="center"/>
    </xf>
    <xf numFmtId="49" fontId="5" fillId="0" borderId="9" xfId="1" applyNumberFormat="1" applyFont="1" applyFill="1" applyBorder="1" applyAlignment="1">
      <alignment horizontal="centerContinuous" vertical="center" wrapText="1"/>
    </xf>
    <xf numFmtId="165" fontId="5" fillId="0" borderId="11" xfId="1" applyNumberFormat="1" applyFont="1" applyBorder="1" applyAlignment="1">
      <alignment horizontal="center" vertical="center" wrapText="1"/>
    </xf>
    <xf numFmtId="49" fontId="5" fillId="0" borderId="8" xfId="1" applyNumberFormat="1" applyFont="1" applyFill="1" applyBorder="1" applyAlignment="1">
      <alignment horizontal="centerContinuous" vertical="center" wrapText="1"/>
    </xf>
    <xf numFmtId="165" fontId="5" fillId="0" borderId="0" xfId="1" applyNumberFormat="1" applyFont="1" applyBorder="1" applyAlignment="1">
      <alignment horizontal="center"/>
    </xf>
    <xf numFmtId="0" fontId="5" fillId="0" borderId="25" xfId="1" applyNumberFormat="1" applyFont="1" applyFill="1" applyBorder="1" applyAlignment="1">
      <alignment horizontal="centerContinuous" vertical="center" wrapText="1"/>
    </xf>
    <xf numFmtId="0" fontId="5" fillId="0" borderId="7" xfId="1" applyNumberFormat="1" applyFont="1" applyFill="1" applyBorder="1" applyAlignment="1">
      <alignment horizontal="centerContinuous" vertical="center" wrapText="1"/>
    </xf>
    <xf numFmtId="165" fontId="5" fillId="0" borderId="17" xfId="1" applyNumberFormat="1" applyFont="1" applyBorder="1" applyAlignment="1">
      <alignment horizontal="center"/>
    </xf>
    <xf numFmtId="165" fontId="5" fillId="0" borderId="19" xfId="1" applyNumberFormat="1" applyFont="1" applyBorder="1" applyAlignment="1">
      <alignment horizontal="center"/>
    </xf>
    <xf numFmtId="165" fontId="5" fillId="0" borderId="12" xfId="1" applyNumberFormat="1" applyFont="1" applyBorder="1" applyAlignment="1">
      <alignment horizontal="center"/>
    </xf>
    <xf numFmtId="165" fontId="5" fillId="0" borderId="6" xfId="1" applyNumberFormat="1" applyFont="1" applyBorder="1" applyAlignment="1">
      <alignment horizontal="center"/>
    </xf>
    <xf numFmtId="165" fontId="5" fillId="0" borderId="26" xfId="1" applyNumberFormat="1" applyFont="1" applyBorder="1" applyAlignment="1">
      <alignment horizontal="center"/>
    </xf>
    <xf numFmtId="165" fontId="11" fillId="0" borderId="17" xfId="1" applyNumberFormat="1" applyFont="1" applyBorder="1"/>
    <xf numFmtId="165" fontId="11" fillId="0" borderId="11" xfId="1" applyNumberFormat="1" applyFont="1" applyBorder="1"/>
    <xf numFmtId="165" fontId="11" fillId="0" borderId="18" xfId="1" applyNumberFormat="1" applyFont="1" applyBorder="1"/>
    <xf numFmtId="165" fontId="11" fillId="0" borderId="0" xfId="1" applyNumberFormat="1" applyFont="1" applyBorder="1"/>
    <xf numFmtId="165" fontId="11" fillId="0" borderId="24" xfId="1" applyNumberFormat="1" applyFont="1" applyBorder="1"/>
    <xf numFmtId="165" fontId="11" fillId="0" borderId="5" xfId="1" applyNumberFormat="1" applyFont="1" applyFill="1" applyBorder="1"/>
    <xf numFmtId="165" fontId="5" fillId="0" borderId="11" xfId="0" applyNumberFormat="1" applyFont="1" applyBorder="1"/>
    <xf numFmtId="165" fontId="11" fillId="0" borderId="0" xfId="1" applyNumberFormat="1" applyFont="1" applyFill="1" applyBorder="1"/>
    <xf numFmtId="165" fontId="11" fillId="0" borderId="11" xfId="1" applyNumberFormat="1" applyFont="1" applyFill="1" applyBorder="1"/>
    <xf numFmtId="165" fontId="11" fillId="0" borderId="18" xfId="1" applyNumberFormat="1" applyFont="1" applyFill="1" applyBorder="1"/>
    <xf numFmtId="165" fontId="11" fillId="0" borderId="24" xfId="1" applyNumberFormat="1" applyFont="1" applyFill="1" applyBorder="1"/>
    <xf numFmtId="165" fontId="11" fillId="0" borderId="17" xfId="1" applyNumberFormat="1" applyFont="1" applyFill="1" applyBorder="1"/>
    <xf numFmtId="165" fontId="5" fillId="0" borderId="11" xfId="0" applyNumberFormat="1" applyFont="1" applyBorder="1" applyAlignment="1">
      <alignment horizontal="left" indent="1"/>
    </xf>
    <xf numFmtId="165" fontId="5" fillId="0" borderId="0" xfId="1" applyNumberFormat="1" applyFont="1" applyFill="1" applyBorder="1"/>
    <xf numFmtId="165" fontId="5" fillId="0" borderId="18" xfId="1" applyNumberFormat="1" applyFont="1" applyFill="1" applyBorder="1"/>
    <xf numFmtId="165" fontId="5" fillId="0" borderId="24" xfId="1" applyNumberFormat="1" applyFont="1" applyFill="1" applyBorder="1"/>
    <xf numFmtId="165" fontId="5" fillId="0" borderId="11" xfId="1" applyNumberFormat="1" applyFont="1" applyFill="1" applyBorder="1"/>
    <xf numFmtId="165" fontId="5" fillId="0" borderId="17" xfId="1" applyNumberFormat="1" applyFont="1" applyFill="1" applyBorder="1"/>
    <xf numFmtId="165" fontId="11" fillId="0" borderId="11" xfId="0" applyNumberFormat="1" applyFont="1" applyFill="1" applyBorder="1" applyAlignment="1">
      <alignment horizontal="left" indent="2"/>
    </xf>
    <xf numFmtId="165" fontId="5" fillId="0" borderId="5" xfId="1" applyNumberFormat="1" applyFont="1" applyFill="1" applyBorder="1"/>
    <xf numFmtId="49" fontId="11" fillId="0" borderId="4" xfId="0" applyNumberFormat="1" applyFont="1" applyBorder="1" applyAlignment="1">
      <alignment vertical="center"/>
    </xf>
    <xf numFmtId="165" fontId="11" fillId="0" borderId="11" xfId="0" quotePrefix="1" applyNumberFormat="1" applyFont="1" applyBorder="1" applyAlignment="1">
      <alignment horizontal="left" indent="2"/>
    </xf>
    <xf numFmtId="165" fontId="11" fillId="0" borderId="0" xfId="1" quotePrefix="1" applyNumberFormat="1" applyFont="1" applyFill="1" applyBorder="1" applyAlignment="1">
      <alignment horizontal="center" vertical="center"/>
    </xf>
    <xf numFmtId="165" fontId="12" fillId="0" borderId="17" xfId="1" applyNumberFormat="1" applyFont="1" applyFill="1" applyBorder="1" applyAlignment="1">
      <alignment horizontal="left"/>
    </xf>
    <xf numFmtId="49" fontId="11" fillId="0" borderId="5" xfId="1" applyNumberFormat="1" applyFont="1" applyFill="1" applyBorder="1" applyAlignment="1">
      <alignment vertical="center"/>
    </xf>
    <xf numFmtId="165" fontId="5" fillId="0" borderId="20" xfId="0" applyNumberFormat="1" applyFont="1" applyBorder="1"/>
    <xf numFmtId="165" fontId="5" fillId="0" borderId="15" xfId="1" applyNumberFormat="1" applyFont="1" applyFill="1" applyBorder="1"/>
    <xf numFmtId="165" fontId="5" fillId="0" borderId="14" xfId="1" applyNumberFormat="1" applyFont="1" applyFill="1" applyBorder="1"/>
    <xf numFmtId="165" fontId="5" fillId="0" borderId="27" xfId="1" applyNumberFormat="1" applyFont="1" applyFill="1" applyBorder="1"/>
    <xf numFmtId="165" fontId="5" fillId="0" borderId="20" xfId="1" applyNumberFormat="1" applyFont="1" applyFill="1" applyBorder="1"/>
    <xf numFmtId="0" fontId="5" fillId="0" borderId="5" xfId="1" applyNumberFormat="1" applyFont="1" applyFill="1" applyBorder="1"/>
    <xf numFmtId="165" fontId="11" fillId="0" borderId="11" xfId="0" applyNumberFormat="1" applyFont="1" applyFill="1" applyBorder="1" applyAlignment="1">
      <alignment horizontal="left" indent="1"/>
    </xf>
    <xf numFmtId="165" fontId="11" fillId="0" borderId="0" xfId="2" quotePrefix="1" applyNumberFormat="1" applyFont="1" applyFill="1" applyBorder="1" applyAlignment="1">
      <alignment horizontal="center" vertical="center"/>
    </xf>
    <xf numFmtId="167" fontId="11" fillId="0" borderId="11" xfId="1" applyNumberFormat="1" applyFont="1" applyFill="1" applyBorder="1"/>
    <xf numFmtId="165" fontId="12" fillId="0" borderId="0" xfId="1" applyNumberFormat="1" applyFont="1" applyFill="1" applyBorder="1"/>
    <xf numFmtId="165" fontId="12" fillId="0" borderId="17" xfId="1" applyNumberFormat="1" applyFont="1" applyFill="1" applyBorder="1"/>
    <xf numFmtId="49" fontId="11" fillId="0" borderId="4" xfId="0" applyNumberFormat="1" applyFont="1" applyBorder="1" applyAlignment="1">
      <alignment horizontal="center" vertical="center"/>
    </xf>
    <xf numFmtId="165" fontId="12" fillId="0" borderId="0" xfId="1" quotePrefix="1" applyNumberFormat="1" applyFont="1" applyFill="1" applyBorder="1"/>
    <xf numFmtId="49" fontId="11" fillId="0" borderId="5" xfId="1" applyNumberFormat="1" applyFont="1" applyFill="1" applyBorder="1" applyAlignment="1">
      <alignment horizontal="center" vertical="center"/>
    </xf>
    <xf numFmtId="165" fontId="11" fillId="0" borderId="11" xfId="0" applyNumberFormat="1" applyFont="1" applyBorder="1" applyAlignment="1">
      <alignment horizontal="left" indent="1"/>
    </xf>
    <xf numFmtId="165" fontId="5" fillId="0" borderId="16" xfId="1" applyNumberFormat="1" applyFont="1" applyFill="1" applyBorder="1"/>
    <xf numFmtId="167" fontId="5" fillId="0" borderId="20" xfId="1" applyNumberFormat="1" applyFont="1" applyFill="1" applyBorder="1"/>
    <xf numFmtId="0" fontId="11" fillId="0" borderId="0" xfId="0" applyFont="1" applyBorder="1"/>
    <xf numFmtId="165" fontId="5" fillId="0" borderId="11" xfId="0" applyNumberFormat="1" applyFont="1" applyFill="1" applyBorder="1" applyAlignment="1">
      <alignment horizontal="left" indent="1"/>
    </xf>
    <xf numFmtId="167" fontId="5" fillId="0" borderId="11" xfId="1" applyNumberFormat="1" applyFont="1" applyFill="1" applyBorder="1"/>
    <xf numFmtId="165" fontId="9" fillId="0" borderId="4" xfId="0" applyNumberFormat="1" applyFont="1" applyBorder="1"/>
    <xf numFmtId="165" fontId="9" fillId="0" borderId="0" xfId="0" applyNumberFormat="1" applyFont="1" applyFill="1" applyBorder="1"/>
    <xf numFmtId="165" fontId="9" fillId="0" borderId="0" xfId="1" applyNumberFormat="1" applyFont="1" applyBorder="1" applyAlignment="1">
      <alignment horizontal="left"/>
    </xf>
    <xf numFmtId="165" fontId="9" fillId="0" borderId="0" xfId="1" quotePrefix="1" applyNumberFormat="1" applyFont="1" applyBorder="1"/>
    <xf numFmtId="165" fontId="9" fillId="0" borderId="0" xfId="1" applyNumberFormat="1" applyFont="1" applyBorder="1"/>
    <xf numFmtId="165" fontId="16" fillId="0" borderId="5" xfId="1" applyNumberFormat="1" applyFont="1" applyFill="1" applyBorder="1"/>
    <xf numFmtId="165" fontId="11" fillId="0" borderId="21" xfId="0" applyNumberFormat="1" applyFont="1" applyBorder="1"/>
    <xf numFmtId="165" fontId="11" fillId="0" borderId="22" xfId="0" applyNumberFormat="1" applyFont="1" applyBorder="1"/>
    <xf numFmtId="165" fontId="11" fillId="0" borderId="23" xfId="0" applyNumberFormat="1" applyFont="1" applyFill="1" applyBorder="1"/>
    <xf numFmtId="165" fontId="5" fillId="0" borderId="17" xfId="1" applyNumberFormat="1" applyFont="1" applyBorder="1" applyAlignment="1">
      <alignment horizontal="center" vertical="center" wrapText="1"/>
    </xf>
    <xf numFmtId="165" fontId="5" fillId="0" borderId="13" xfId="1" applyNumberFormat="1" applyFont="1" applyBorder="1" applyAlignment="1">
      <alignment horizontal="center"/>
    </xf>
    <xf numFmtId="166" fontId="5" fillId="0" borderId="10" xfId="0" applyNumberFormat="1" applyFont="1" applyFill="1" applyBorder="1" applyAlignment="1" applyProtection="1">
      <alignment horizontal="center" vertical="top" wrapText="1"/>
    </xf>
    <xf numFmtId="166" fontId="5" fillId="0" borderId="13" xfId="0" applyNumberFormat="1" applyFont="1" applyFill="1" applyBorder="1" applyAlignment="1" applyProtection="1">
      <alignment horizontal="center" vertical="top" wrapText="1"/>
    </xf>
    <xf numFmtId="166" fontId="11" fillId="0" borderId="17" xfId="0" applyNumberFormat="1" applyFont="1" applyFill="1" applyBorder="1" applyProtection="1"/>
    <xf numFmtId="166" fontId="5" fillId="0" borderId="17" xfId="0" applyNumberFormat="1" applyFont="1" applyFill="1" applyBorder="1" applyAlignment="1" applyProtection="1">
      <alignment horizontal="right"/>
    </xf>
    <xf numFmtId="166" fontId="11" fillId="0" borderId="17" xfId="0" applyNumberFormat="1" applyFont="1" applyFill="1" applyBorder="1" applyAlignment="1" applyProtection="1">
      <alignment horizontal="right"/>
    </xf>
    <xf numFmtId="166" fontId="9" fillId="0" borderId="17" xfId="0" applyNumberFormat="1" applyFont="1" applyFill="1" applyBorder="1" applyAlignment="1" applyProtection="1">
      <alignment horizontal="right"/>
    </xf>
    <xf numFmtId="166" fontId="5" fillId="0" borderId="16" xfId="0" applyNumberFormat="1" applyFont="1" applyFill="1" applyBorder="1" applyProtection="1"/>
    <xf numFmtId="166" fontId="5" fillId="0" borderId="13" xfId="0" applyNumberFormat="1" applyFont="1" applyFill="1" applyBorder="1" applyProtection="1"/>
    <xf numFmtId="49" fontId="11" fillId="0" borderId="0" xfId="0" applyNumberFormat="1" applyFont="1" applyFill="1" applyBorder="1" applyProtection="1"/>
    <xf numFmtId="165" fontId="3" fillId="0" borderId="0" xfId="0" applyNumberFormat="1" applyFont="1" applyFill="1" applyBorder="1" applyProtection="1"/>
    <xf numFmtId="0" fontId="5" fillId="0" borderId="27" xfId="1" applyNumberFormat="1" applyFont="1" applyFill="1" applyBorder="1" applyAlignment="1">
      <alignment horizontal="centerContinuous" vertical="center"/>
    </xf>
    <xf numFmtId="0" fontId="5" fillId="0" borderId="20" xfId="1" applyNumberFormat="1" applyFont="1" applyFill="1" applyBorder="1" applyAlignment="1">
      <alignment horizontal="centerContinuous" vertical="center"/>
    </xf>
    <xf numFmtId="49" fontId="5" fillId="0" borderId="9" xfId="0" applyNumberFormat="1" applyFont="1" applyFill="1" applyBorder="1" applyAlignment="1" applyProtection="1">
      <alignment horizontal="centerContinuous" vertical="center" wrapText="1"/>
    </xf>
    <xf numFmtId="49" fontId="5" fillId="0" borderId="11" xfId="0" applyNumberFormat="1" applyFont="1" applyFill="1" applyBorder="1" applyAlignment="1" applyProtection="1">
      <alignment horizontal="center" vertical="top" wrapText="1"/>
    </xf>
    <xf numFmtId="166" fontId="5" fillId="0" borderId="11" xfId="0" applyNumberFormat="1" applyFont="1" applyFill="1" applyBorder="1" applyAlignment="1" applyProtection="1">
      <alignment horizontal="center" vertical="top" wrapText="1"/>
    </xf>
    <xf numFmtId="49" fontId="5" fillId="0" borderId="16" xfId="0" applyNumberFormat="1" applyFont="1" applyFill="1" applyBorder="1" applyAlignment="1" applyProtection="1">
      <alignment horizontal="centerContinuous" vertical="center" wrapText="1"/>
    </xf>
    <xf numFmtId="166" fontId="5" fillId="0" borderId="28" xfId="0" applyNumberFormat="1" applyFont="1" applyFill="1" applyBorder="1" applyAlignment="1" applyProtection="1">
      <alignment horizontal="centerContinuous" vertical="center" wrapText="1"/>
    </xf>
    <xf numFmtId="49" fontId="5" fillId="0" borderId="0" xfId="0" quotePrefix="1" applyNumberFormat="1" applyFont="1" applyFill="1" applyBorder="1" applyAlignment="1" applyProtection="1">
      <alignment horizontal="centerContinuous" vertical="center" wrapText="1"/>
    </xf>
    <xf numFmtId="166" fontId="5" fillId="0" borderId="9" xfId="0" applyNumberFormat="1" applyFont="1" applyFill="1" applyBorder="1" applyAlignment="1" applyProtection="1">
      <alignment horizontal="center" vertical="top" wrapText="1"/>
    </xf>
    <xf numFmtId="166" fontId="5" fillId="0" borderId="6" xfId="0" applyNumberFormat="1" applyFont="1" applyFill="1" applyBorder="1" applyAlignment="1" applyProtection="1">
      <alignment horizontal="center" vertical="top" wrapText="1"/>
    </xf>
    <xf numFmtId="166" fontId="11" fillId="0" borderId="0" xfId="0" applyNumberFormat="1" applyFont="1" applyFill="1" applyBorder="1" applyProtection="1"/>
    <xf numFmtId="166" fontId="5" fillId="0" borderId="0" xfId="0" applyNumberFormat="1" applyFont="1" applyFill="1" applyBorder="1" applyAlignment="1" applyProtection="1">
      <alignment horizontal="right"/>
    </xf>
    <xf numFmtId="166" fontId="11" fillId="0" borderId="0" xfId="0" applyNumberFormat="1" applyFont="1" applyFill="1" applyBorder="1" applyAlignment="1" applyProtection="1">
      <alignment horizontal="right"/>
    </xf>
    <xf numFmtId="166" fontId="9" fillId="0" borderId="0" xfId="0" applyNumberFormat="1" applyFont="1" applyFill="1" applyBorder="1" applyAlignment="1" applyProtection="1">
      <alignment horizontal="right"/>
    </xf>
    <xf numFmtId="166" fontId="5" fillId="0" borderId="15" xfId="0" applyNumberFormat="1" applyFont="1" applyFill="1" applyBorder="1" applyProtection="1"/>
    <xf numFmtId="166" fontId="5" fillId="0" borderId="6" xfId="0" applyNumberFormat="1" applyFont="1" applyFill="1" applyBorder="1" applyProtection="1"/>
    <xf numFmtId="166" fontId="5" fillId="0" borderId="29" xfId="0" applyNumberFormat="1" applyFont="1" applyFill="1" applyBorder="1" applyAlignment="1" applyProtection="1">
      <alignment horizontal="centerContinuous" vertical="center" wrapText="1"/>
    </xf>
    <xf numFmtId="166" fontId="11" fillId="0" borderId="22" xfId="0" applyNumberFormat="1" applyFont="1" applyFill="1" applyBorder="1" applyAlignment="1" applyProtection="1">
      <alignment horizontal="right"/>
    </xf>
    <xf numFmtId="165" fontId="5" fillId="0" borderId="7" xfId="0" applyNumberFormat="1" applyFont="1" applyBorder="1" applyAlignment="1">
      <alignment horizontal="center"/>
    </xf>
    <xf numFmtId="165" fontId="11" fillId="4" borderId="11" xfId="1" applyNumberFormat="1" applyFont="1" applyFill="1" applyBorder="1"/>
    <xf numFmtId="165" fontId="5" fillId="4" borderId="11" xfId="1" applyNumberFormat="1" applyFont="1" applyFill="1" applyBorder="1"/>
    <xf numFmtId="0" fontId="1" fillId="0" borderId="0" xfId="3"/>
    <xf numFmtId="165" fontId="17" fillId="0" borderId="0" xfId="0" applyNumberFormat="1" applyFont="1" applyProtection="1"/>
    <xf numFmtId="165" fontId="17" fillId="0" borderId="0" xfId="0" applyNumberFormat="1" applyFont="1" applyFill="1" applyProtection="1"/>
    <xf numFmtId="165" fontId="17" fillId="0" borderId="0" xfId="0" applyNumberFormat="1" applyFont="1" applyBorder="1" applyProtection="1"/>
    <xf numFmtId="165" fontId="17" fillId="0" borderId="0" xfId="0" applyNumberFormat="1" applyFont="1" applyAlignment="1" applyProtection="1">
      <alignment horizontal="center"/>
    </xf>
    <xf numFmtId="165" fontId="18" fillId="0" borderId="1" xfId="0" applyNumberFormat="1" applyFont="1" applyBorder="1"/>
    <xf numFmtId="165" fontId="18" fillId="0" borderId="2" xfId="0" applyNumberFormat="1" applyFont="1" applyBorder="1"/>
    <xf numFmtId="165" fontId="18" fillId="0" borderId="3" xfId="0" applyNumberFormat="1" applyFont="1" applyBorder="1"/>
    <xf numFmtId="165" fontId="18" fillId="0" borderId="4" xfId="0" applyNumberFormat="1" applyFont="1" applyBorder="1"/>
    <xf numFmtId="165" fontId="19" fillId="0" borderId="0" xfId="0" applyNumberFormat="1" applyFont="1" applyBorder="1"/>
    <xf numFmtId="165" fontId="18" fillId="0" borderId="0" xfId="1" applyNumberFormat="1" applyFont="1" applyBorder="1"/>
    <xf numFmtId="165" fontId="18" fillId="0" borderId="5" xfId="1" applyNumberFormat="1" applyFont="1" applyBorder="1"/>
    <xf numFmtId="165" fontId="20" fillId="0" borderId="0" xfId="0" applyNumberFormat="1" applyFont="1" applyBorder="1"/>
    <xf numFmtId="165" fontId="18" fillId="0" borderId="5" xfId="1" applyNumberFormat="1" applyFont="1" applyFill="1" applyBorder="1"/>
    <xf numFmtId="165" fontId="17" fillId="0" borderId="24" xfId="0" applyNumberFormat="1" applyFont="1" applyBorder="1"/>
    <xf numFmtId="165" fontId="20" fillId="0" borderId="7" xfId="0" applyNumberFormat="1" applyFont="1" applyBorder="1" applyAlignment="1">
      <alignment horizontal="center"/>
    </xf>
    <xf numFmtId="165" fontId="20" fillId="0" borderId="15" xfId="1" quotePrefix="1" applyNumberFormat="1" applyFont="1" applyFill="1" applyBorder="1" applyAlignment="1">
      <alignment horizontal="centerContinuous" vertical="top"/>
    </xf>
    <xf numFmtId="165" fontId="17" fillId="0" borderId="15" xfId="1" applyNumberFormat="1" applyFont="1" applyBorder="1" applyAlignment="1">
      <alignment horizontal="centerContinuous" vertical="top"/>
    </xf>
    <xf numFmtId="165" fontId="17" fillId="0" borderId="9" xfId="1" applyNumberFormat="1" applyFont="1" applyBorder="1" applyAlignment="1">
      <alignment horizontal="centerContinuous"/>
    </xf>
    <xf numFmtId="165" fontId="20" fillId="0" borderId="15" xfId="1" quotePrefix="1" applyNumberFormat="1" applyFont="1" applyFill="1" applyBorder="1" applyAlignment="1">
      <alignment horizontal="centerContinuous"/>
    </xf>
    <xf numFmtId="165" fontId="17" fillId="0" borderId="16" xfId="1" applyNumberFormat="1" applyFont="1" applyBorder="1" applyAlignment="1">
      <alignment horizontal="centerContinuous"/>
    </xf>
    <xf numFmtId="165" fontId="20" fillId="0" borderId="5" xfId="1" applyNumberFormat="1" applyFont="1" applyFill="1" applyBorder="1" applyAlignment="1">
      <alignment horizontal="center"/>
    </xf>
    <xf numFmtId="165" fontId="17" fillId="0" borderId="4" xfId="0" applyNumberFormat="1" applyFont="1" applyBorder="1"/>
    <xf numFmtId="165" fontId="17" fillId="0" borderId="11" xfId="0" applyNumberFormat="1" applyFont="1" applyBorder="1"/>
    <xf numFmtId="49" fontId="20" fillId="0" borderId="15" xfId="1" applyNumberFormat="1" applyFont="1" applyFill="1" applyBorder="1" applyAlignment="1">
      <alignment horizontal="centerContinuous" vertical="center"/>
    </xf>
    <xf numFmtId="165" fontId="20" fillId="0" borderId="15" xfId="1" applyNumberFormat="1" applyFont="1" applyBorder="1" applyAlignment="1">
      <alignment horizontal="centerContinuous" vertical="center"/>
    </xf>
    <xf numFmtId="165" fontId="20" fillId="0" borderId="15" xfId="1" applyNumberFormat="1" applyFont="1" applyBorder="1" applyAlignment="1">
      <alignment horizontal="center" vertical="center"/>
    </xf>
    <xf numFmtId="0" fontId="20" fillId="0" borderId="27" xfId="1" applyNumberFormat="1" applyFont="1" applyFill="1" applyBorder="1" applyAlignment="1">
      <alignment horizontal="centerContinuous" vertical="center"/>
    </xf>
    <xf numFmtId="0" fontId="20" fillId="0" borderId="20" xfId="1" applyNumberFormat="1" applyFont="1" applyFill="1" applyBorder="1" applyAlignment="1">
      <alignment horizontal="centerContinuous" vertical="center"/>
    </xf>
    <xf numFmtId="0" fontId="20" fillId="0" borderId="16" xfId="1" applyNumberFormat="1" applyFont="1" applyFill="1" applyBorder="1" applyAlignment="1">
      <alignment horizontal="centerContinuous" vertical="center"/>
    </xf>
    <xf numFmtId="165" fontId="20" fillId="0" borderId="17" xfId="1" applyNumberFormat="1" applyFont="1" applyBorder="1" applyAlignment="1">
      <alignment horizontal="center" vertical="center"/>
    </xf>
    <xf numFmtId="165" fontId="20" fillId="0" borderId="14" xfId="1" applyNumberFormat="1" applyFont="1" applyFill="1" applyBorder="1" applyAlignment="1">
      <alignment horizontal="centerContinuous" vertical="center"/>
    </xf>
    <xf numFmtId="165" fontId="20" fillId="0" borderId="16" xfId="1" applyNumberFormat="1" applyFont="1" applyBorder="1" applyAlignment="1">
      <alignment horizontal="centerContinuous" vertical="center"/>
    </xf>
    <xf numFmtId="49" fontId="20" fillId="0" borderId="9" xfId="1" applyNumberFormat="1" applyFont="1" applyFill="1" applyBorder="1" applyAlignment="1">
      <alignment horizontal="centerContinuous" vertical="center" wrapText="1"/>
    </xf>
    <xf numFmtId="165" fontId="20" fillId="0" borderId="17" xfId="1" applyNumberFormat="1" applyFont="1" applyBorder="1" applyAlignment="1">
      <alignment horizontal="center" vertical="center" wrapText="1"/>
    </xf>
    <xf numFmtId="49" fontId="20" fillId="0" borderId="8" xfId="1" applyNumberFormat="1" applyFont="1" applyFill="1" applyBorder="1" applyAlignment="1">
      <alignment horizontal="centerContinuous" vertical="center" wrapText="1"/>
    </xf>
    <xf numFmtId="165" fontId="20" fillId="0" borderId="0" xfId="1" applyNumberFormat="1" applyFont="1" applyBorder="1" applyAlignment="1">
      <alignment horizontal="center"/>
    </xf>
    <xf numFmtId="0" fontId="20" fillId="0" borderId="25" xfId="1" applyNumberFormat="1" applyFont="1" applyFill="1" applyBorder="1" applyAlignment="1">
      <alignment horizontal="centerContinuous" vertical="center" wrapText="1"/>
    </xf>
    <xf numFmtId="0" fontId="20" fillId="0" borderId="7" xfId="1" applyNumberFormat="1" applyFont="1" applyFill="1" applyBorder="1" applyAlignment="1">
      <alignment horizontal="centerContinuous" vertical="center" wrapText="1"/>
    </xf>
    <xf numFmtId="165" fontId="20" fillId="0" borderId="17" xfId="1" applyNumberFormat="1" applyFont="1" applyBorder="1" applyAlignment="1">
      <alignment horizontal="center"/>
    </xf>
    <xf numFmtId="165" fontId="20" fillId="0" borderId="11" xfId="1" applyNumberFormat="1" applyFont="1" applyBorder="1" applyAlignment="1">
      <alignment horizontal="center" vertical="center" wrapText="1"/>
    </xf>
    <xf numFmtId="165" fontId="20" fillId="0" borderId="19" xfId="1" applyNumberFormat="1" applyFont="1" applyBorder="1" applyAlignment="1">
      <alignment horizontal="center"/>
    </xf>
    <xf numFmtId="165" fontId="20" fillId="0" borderId="12" xfId="1" applyNumberFormat="1" applyFont="1" applyBorder="1" applyAlignment="1">
      <alignment horizontal="center"/>
    </xf>
    <xf numFmtId="165" fontId="20" fillId="0" borderId="13" xfId="1" applyNumberFormat="1" applyFont="1" applyBorder="1" applyAlignment="1">
      <alignment horizontal="center"/>
    </xf>
    <xf numFmtId="165" fontId="20" fillId="0" borderId="6" xfId="1" applyNumberFormat="1" applyFont="1" applyBorder="1" applyAlignment="1">
      <alignment horizontal="center"/>
    </xf>
    <xf numFmtId="165" fontId="20" fillId="0" borderId="26" xfId="1" applyNumberFormat="1" applyFont="1" applyBorder="1" applyAlignment="1">
      <alignment horizontal="center"/>
    </xf>
    <xf numFmtId="165" fontId="17" fillId="0" borderId="0" xfId="1" applyNumberFormat="1" applyFont="1" applyBorder="1"/>
    <xf numFmtId="165" fontId="17" fillId="0" borderId="17" xfId="1" applyNumberFormat="1" applyFont="1" applyBorder="1"/>
    <xf numFmtId="165" fontId="17" fillId="0" borderId="18" xfId="1" applyNumberFormat="1" applyFont="1" applyBorder="1"/>
    <xf numFmtId="165" fontId="17" fillId="0" borderId="24" xfId="1" applyNumberFormat="1" applyFont="1" applyBorder="1"/>
    <xf numFmtId="165" fontId="17" fillId="0" borderId="11" xfId="1" applyNumberFormat="1" applyFont="1" applyBorder="1"/>
    <xf numFmtId="165" fontId="17" fillId="0" borderId="5" xfId="1" applyNumberFormat="1" applyFont="1" applyFill="1" applyBorder="1"/>
    <xf numFmtId="165" fontId="20" fillId="0" borderId="11" xfId="0" applyNumberFormat="1" applyFont="1" applyBorder="1"/>
    <xf numFmtId="165" fontId="17" fillId="0" borderId="0" xfId="1" applyNumberFormat="1" applyFont="1" applyFill="1" applyBorder="1"/>
    <xf numFmtId="165" fontId="17" fillId="0" borderId="17" xfId="1" applyNumberFormat="1" applyFont="1" applyFill="1" applyBorder="1"/>
    <xf numFmtId="165" fontId="17" fillId="0" borderId="18" xfId="1" applyNumberFormat="1" applyFont="1" applyFill="1" applyBorder="1"/>
    <xf numFmtId="165" fontId="17" fillId="0" borderId="24" xfId="1" applyNumberFormat="1" applyFont="1" applyFill="1" applyBorder="1"/>
    <xf numFmtId="165" fontId="17" fillId="0" borderId="11" xfId="1" applyNumberFormat="1" applyFont="1" applyFill="1" applyBorder="1"/>
    <xf numFmtId="165" fontId="20" fillId="0" borderId="11" xfId="0" applyNumberFormat="1" applyFont="1" applyBorder="1" applyAlignment="1">
      <alignment horizontal="left" indent="1"/>
    </xf>
    <xf numFmtId="165" fontId="20" fillId="0" borderId="0" xfId="1" applyNumberFormat="1" applyFont="1" applyFill="1" applyBorder="1"/>
    <xf numFmtId="165" fontId="20" fillId="0" borderId="18" xfId="1" applyNumberFormat="1" applyFont="1" applyFill="1" applyBorder="1"/>
    <xf numFmtId="165" fontId="20" fillId="0" borderId="24" xfId="1" applyNumberFormat="1" applyFont="1" applyFill="1" applyBorder="1"/>
    <xf numFmtId="165" fontId="20" fillId="0" borderId="11" xfId="1" applyNumberFormat="1" applyFont="1" applyFill="1" applyBorder="1"/>
    <xf numFmtId="165" fontId="20" fillId="0" borderId="17" xfId="1" applyNumberFormat="1" applyFont="1" applyFill="1" applyBorder="1"/>
    <xf numFmtId="167" fontId="17" fillId="0" borderId="11" xfId="1" applyNumberFormat="1" applyFont="1" applyFill="1" applyBorder="1"/>
    <xf numFmtId="165" fontId="17" fillId="0" borderId="11" xfId="0" applyNumberFormat="1" applyFont="1" applyFill="1" applyBorder="1" applyAlignment="1">
      <alignment horizontal="left" indent="2"/>
    </xf>
    <xf numFmtId="165" fontId="20" fillId="0" borderId="5" xfId="1" applyNumberFormat="1" applyFont="1" applyFill="1" applyBorder="1"/>
    <xf numFmtId="49" fontId="17" fillId="0" borderId="4" xfId="0" applyNumberFormat="1" applyFont="1" applyBorder="1" applyAlignment="1">
      <alignment vertical="center"/>
    </xf>
    <xf numFmtId="165" fontId="17" fillId="0" borderId="11" xfId="0" quotePrefix="1" applyNumberFormat="1" applyFont="1" applyBorder="1" applyAlignment="1">
      <alignment horizontal="left" indent="2"/>
    </xf>
    <xf numFmtId="165" fontId="17" fillId="0" borderId="0" xfId="1" quotePrefix="1" applyNumberFormat="1" applyFont="1" applyFill="1" applyBorder="1" applyAlignment="1">
      <alignment horizontal="center" vertical="center"/>
    </xf>
    <xf numFmtId="165" fontId="22" fillId="0" borderId="17" xfId="1" applyNumberFormat="1" applyFont="1" applyFill="1" applyBorder="1" applyAlignment="1">
      <alignment horizontal="left"/>
    </xf>
    <xf numFmtId="49" fontId="17" fillId="0" borderId="5" xfId="1" applyNumberFormat="1" applyFont="1" applyFill="1" applyBorder="1" applyAlignment="1">
      <alignment vertical="center"/>
    </xf>
    <xf numFmtId="165" fontId="20" fillId="0" borderId="20" xfId="0" applyNumberFormat="1" applyFont="1" applyBorder="1"/>
    <xf numFmtId="165" fontId="20" fillId="0" borderId="15" xfId="1" applyNumberFormat="1" applyFont="1" applyFill="1" applyBorder="1"/>
    <xf numFmtId="165" fontId="20" fillId="0" borderId="14" xfId="1" applyNumberFormat="1" applyFont="1" applyFill="1" applyBorder="1"/>
    <xf numFmtId="165" fontId="20" fillId="0" borderId="27" xfId="1" applyNumberFormat="1" applyFont="1" applyFill="1" applyBorder="1"/>
    <xf numFmtId="165" fontId="20" fillId="0" borderId="20" xfId="1" applyNumberFormat="1" applyFont="1" applyFill="1" applyBorder="1"/>
    <xf numFmtId="167" fontId="20" fillId="0" borderId="20" xfId="1" applyNumberFormat="1" applyFont="1" applyFill="1" applyBorder="1"/>
    <xf numFmtId="0" fontId="20" fillId="0" borderId="5" xfId="1" applyNumberFormat="1" applyFont="1" applyFill="1" applyBorder="1"/>
    <xf numFmtId="165" fontId="17" fillId="0" borderId="11" xfId="0" applyNumberFormat="1" applyFont="1" applyFill="1" applyBorder="1" applyAlignment="1">
      <alignment horizontal="left" indent="1"/>
    </xf>
    <xf numFmtId="165" fontId="17" fillId="0" borderId="0" xfId="2" quotePrefix="1" applyNumberFormat="1" applyFont="1" applyFill="1" applyBorder="1" applyAlignment="1">
      <alignment horizontal="center" vertical="center"/>
    </xf>
    <xf numFmtId="165" fontId="22" fillId="0" borderId="0" xfId="1" applyNumberFormat="1" applyFont="1" applyFill="1" applyBorder="1"/>
    <xf numFmtId="165" fontId="22" fillId="0" borderId="17" xfId="1" applyNumberFormat="1" applyFont="1" applyFill="1" applyBorder="1"/>
    <xf numFmtId="49" fontId="17" fillId="0" borderId="4" xfId="0" applyNumberFormat="1" applyFont="1" applyBorder="1" applyAlignment="1">
      <alignment horizontal="center" vertical="center"/>
    </xf>
    <xf numFmtId="165" fontId="22" fillId="0" borderId="0" xfId="1" quotePrefix="1" applyNumberFormat="1" applyFont="1" applyFill="1" applyBorder="1"/>
    <xf numFmtId="49" fontId="17" fillId="0" borderId="5" xfId="1" applyNumberFormat="1" applyFont="1" applyFill="1" applyBorder="1" applyAlignment="1">
      <alignment horizontal="center" vertical="center"/>
    </xf>
    <xf numFmtId="165" fontId="17" fillId="0" borderId="11" xfId="0" applyNumberFormat="1" applyFont="1" applyBorder="1" applyAlignment="1">
      <alignment horizontal="left" indent="1"/>
    </xf>
    <xf numFmtId="165" fontId="20" fillId="0" borderId="16" xfId="1" applyNumberFormat="1" applyFont="1" applyFill="1" applyBorder="1"/>
    <xf numFmtId="165" fontId="20" fillId="0" borderId="11" xfId="0" applyNumberFormat="1" applyFont="1" applyFill="1" applyBorder="1" applyAlignment="1">
      <alignment horizontal="left" indent="1"/>
    </xf>
    <xf numFmtId="167" fontId="20" fillId="0" borderId="11" xfId="1" applyNumberFormat="1" applyFont="1" applyFill="1" applyBorder="1"/>
    <xf numFmtId="0" fontId="17" fillId="0" borderId="0" xfId="0" applyFont="1"/>
    <xf numFmtId="0" fontId="17" fillId="0" borderId="0" xfId="0" applyFont="1" applyBorder="1"/>
    <xf numFmtId="165" fontId="23" fillId="0" borderId="4" xfId="0" applyNumberFormat="1" applyFont="1" applyBorder="1"/>
    <xf numFmtId="165" fontId="23" fillId="0" borderId="0" xfId="0" applyNumberFormat="1" applyFont="1" applyFill="1" applyBorder="1"/>
    <xf numFmtId="165" fontId="23" fillId="0" borderId="0" xfId="1" applyNumberFormat="1" applyFont="1" applyBorder="1" applyAlignment="1">
      <alignment horizontal="left"/>
    </xf>
    <xf numFmtId="165" fontId="23" fillId="0" borderId="0" xfId="1" quotePrefix="1" applyNumberFormat="1" applyFont="1" applyBorder="1"/>
    <xf numFmtId="165" fontId="23" fillId="0" borderId="0" xfId="1" applyNumberFormat="1" applyFont="1" applyBorder="1"/>
    <xf numFmtId="165" fontId="24" fillId="0" borderId="5" xfId="1" applyNumberFormat="1" applyFont="1" applyFill="1" applyBorder="1"/>
    <xf numFmtId="165" fontId="17" fillId="0" borderId="21" xfId="0" applyNumberFormat="1" applyFont="1" applyBorder="1"/>
    <xf numFmtId="165" fontId="17" fillId="0" borderId="22" xfId="0" applyNumberFormat="1" applyFont="1" applyBorder="1"/>
    <xf numFmtId="165" fontId="17" fillId="0" borderId="23" xfId="0" applyNumberFormat="1" applyFont="1" applyFill="1" applyBorder="1"/>
    <xf numFmtId="49" fontId="23" fillId="0" borderId="0" xfId="0" applyNumberFormat="1" applyFont="1" applyProtection="1"/>
    <xf numFmtId="1" fontId="23" fillId="0" borderId="0" xfId="0" applyNumberFormat="1" applyFont="1" applyFill="1" applyAlignment="1"/>
    <xf numFmtId="1" fontId="23" fillId="0" borderId="0" xfId="0" quotePrefix="1" applyNumberFormat="1" applyFont="1" applyFill="1" applyAlignment="1" applyProtection="1">
      <alignment horizontal="justify" wrapText="1"/>
    </xf>
    <xf numFmtId="1" fontId="23" fillId="0" borderId="0" xfId="0" applyNumberFormat="1" applyFont="1" applyBorder="1" applyAlignment="1">
      <alignment vertical="center"/>
    </xf>
    <xf numFmtId="165" fontId="18" fillId="0" borderId="0" xfId="0" applyNumberFormat="1" applyFont="1" applyBorder="1"/>
    <xf numFmtId="165" fontId="18" fillId="0" borderId="0" xfId="0" applyNumberFormat="1" applyFont="1"/>
    <xf numFmtId="165" fontId="18" fillId="0" borderId="0" xfId="0" applyNumberFormat="1" applyFont="1" applyFill="1"/>
    <xf numFmtId="49" fontId="18" fillId="0" borderId="0" xfId="0" applyNumberFormat="1" applyFont="1" applyAlignment="1">
      <alignment horizontal="left" indent="1"/>
    </xf>
    <xf numFmtId="166" fontId="25" fillId="0" borderId="0" xfId="0" applyNumberFormat="1" applyFont="1" applyBorder="1"/>
    <xf numFmtId="0" fontId="18" fillId="0" borderId="0" xfId="0" applyFont="1"/>
    <xf numFmtId="0" fontId="18" fillId="0" borderId="0" xfId="0" applyFont="1" applyBorder="1"/>
    <xf numFmtId="165" fontId="26" fillId="0" borderId="0" xfId="1" applyNumberFormat="1" applyFont="1" applyFill="1" applyBorder="1"/>
    <xf numFmtId="165" fontId="17" fillId="0" borderId="1" xfId="0" applyNumberFormat="1" applyFont="1" applyBorder="1" applyProtection="1"/>
    <xf numFmtId="165" fontId="17" fillId="0" borderId="2" xfId="0" applyNumberFormat="1" applyFont="1" applyFill="1" applyBorder="1" applyProtection="1"/>
    <xf numFmtId="165" fontId="17" fillId="0" borderId="2" xfId="0" applyNumberFormat="1" applyFont="1" applyBorder="1" applyProtection="1"/>
    <xf numFmtId="49" fontId="22" fillId="0" borderId="3" xfId="0" applyNumberFormat="1" applyFont="1" applyBorder="1" applyAlignment="1" applyProtection="1">
      <alignment horizontal="center"/>
    </xf>
    <xf numFmtId="0" fontId="20" fillId="0" borderId="4" xfId="0" applyFont="1" applyBorder="1" applyAlignment="1" applyProtection="1">
      <alignment horizontal="centerContinuous" vertical="top" wrapText="1"/>
    </xf>
    <xf numFmtId="0" fontId="19" fillId="0" borderId="0" xfId="0" applyFont="1" applyFill="1" applyBorder="1" applyProtection="1"/>
    <xf numFmtId="0" fontId="17" fillId="0" borderId="0" xfId="0" applyFont="1" applyBorder="1" applyAlignment="1" applyProtection="1">
      <alignment horizontal="centerContinuous" vertical="top" wrapText="1"/>
    </xf>
    <xf numFmtId="0" fontId="17" fillId="0" borderId="0" xfId="0" applyFont="1" applyFill="1" applyBorder="1" applyAlignment="1" applyProtection="1">
      <alignment horizontal="centerContinuous" vertical="top" wrapText="1"/>
    </xf>
    <xf numFmtId="49" fontId="22" fillId="0" borderId="5" xfId="0" applyNumberFormat="1" applyFont="1" applyBorder="1" applyAlignment="1" applyProtection="1">
      <alignment horizontal="center"/>
    </xf>
    <xf numFmtId="0" fontId="20" fillId="0" borderId="4" xfId="0" applyFont="1" applyBorder="1" applyProtection="1"/>
    <xf numFmtId="0" fontId="20" fillId="0" borderId="0" xfId="0" applyFont="1" applyFill="1" applyBorder="1" applyProtection="1"/>
    <xf numFmtId="0" fontId="17" fillId="0" borderId="0" xfId="0" applyFont="1" applyFill="1" applyBorder="1" applyProtection="1"/>
    <xf numFmtId="0" fontId="17" fillId="0" borderId="0" xfId="0" applyFont="1" applyBorder="1" applyProtection="1"/>
    <xf numFmtId="166" fontId="17" fillId="0" borderId="24" xfId="0" applyNumberFormat="1" applyFont="1" applyFill="1" applyBorder="1" applyAlignment="1" applyProtection="1">
      <alignment horizontal="center" vertical="top" wrapText="1"/>
    </xf>
    <xf numFmtId="166" fontId="20" fillId="0" borderId="7" xfId="0" applyNumberFormat="1" applyFont="1" applyFill="1" applyBorder="1" applyAlignment="1" applyProtection="1">
      <alignment horizontal="center" vertical="top" wrapText="1"/>
    </xf>
    <xf numFmtId="166" fontId="20" fillId="0" borderId="14" xfId="0" quotePrefix="1" applyNumberFormat="1" applyFont="1" applyFill="1" applyBorder="1" applyAlignment="1" applyProtection="1">
      <alignment horizontal="centerContinuous" vertical="center" wrapText="1"/>
    </xf>
    <xf numFmtId="166" fontId="20" fillId="0" borderId="15" xfId="0" applyNumberFormat="1" applyFont="1" applyFill="1" applyBorder="1" applyAlignment="1" applyProtection="1">
      <alignment horizontal="centerContinuous" vertical="center" wrapText="1"/>
    </xf>
    <xf numFmtId="49" fontId="20" fillId="0" borderId="15" xfId="0" applyNumberFormat="1" applyFont="1" applyFill="1" applyBorder="1" applyAlignment="1" applyProtection="1">
      <alignment horizontal="centerContinuous" vertical="center" wrapText="1"/>
    </xf>
    <xf numFmtId="49" fontId="20" fillId="0" borderId="9" xfId="0" applyNumberFormat="1" applyFont="1" applyFill="1" applyBorder="1" applyAlignment="1" applyProtection="1">
      <alignment horizontal="centerContinuous" vertical="center" wrapText="1"/>
    </xf>
    <xf numFmtId="166" fontId="20" fillId="0" borderId="16" xfId="0" applyNumberFormat="1" applyFont="1" applyFill="1" applyBorder="1" applyAlignment="1" applyProtection="1">
      <alignment horizontal="centerContinuous" vertical="center" wrapText="1"/>
    </xf>
    <xf numFmtId="166" fontId="20" fillId="0" borderId="11" xfId="0" applyNumberFormat="1" applyFont="1" applyFill="1" applyBorder="1" applyAlignment="1" applyProtection="1">
      <alignment horizontal="center" vertical="top" wrapText="1"/>
    </xf>
    <xf numFmtId="166" fontId="20" fillId="0" borderId="28" xfId="0" applyNumberFormat="1" applyFont="1" applyFill="1" applyBorder="1" applyAlignment="1" applyProtection="1">
      <alignment horizontal="centerContinuous" vertical="center" wrapText="1"/>
    </xf>
    <xf numFmtId="166" fontId="20" fillId="0" borderId="29" xfId="0" applyNumberFormat="1" applyFont="1" applyFill="1" applyBorder="1" applyAlignment="1" applyProtection="1">
      <alignment horizontal="centerContinuous" vertical="center" wrapText="1"/>
    </xf>
    <xf numFmtId="49" fontId="20" fillId="0" borderId="16" xfId="0" applyNumberFormat="1" applyFont="1" applyFill="1" applyBorder="1" applyAlignment="1" applyProtection="1">
      <alignment horizontal="centerContinuous" vertical="center" wrapText="1"/>
    </xf>
    <xf numFmtId="49" fontId="20" fillId="0" borderId="0" xfId="0" quotePrefix="1" applyNumberFormat="1" applyFont="1" applyFill="1" applyBorder="1" applyAlignment="1" applyProtection="1">
      <alignment horizontal="centerContinuous" vertical="center" wrapText="1"/>
    </xf>
    <xf numFmtId="166" fontId="17" fillId="0" borderId="11" xfId="0" applyNumberFormat="1" applyFont="1" applyFill="1" applyBorder="1" applyAlignment="1" applyProtection="1">
      <alignment horizontal="center" vertical="top" wrapText="1"/>
    </xf>
    <xf numFmtId="166" fontId="20" fillId="0" borderId="8" xfId="0" applyNumberFormat="1" applyFont="1" applyFill="1" applyBorder="1" applyAlignment="1" applyProtection="1">
      <alignment horizontal="center" vertical="top" wrapText="1"/>
    </xf>
    <xf numFmtId="166" fontId="20" fillId="0" borderId="10" xfId="0" applyNumberFormat="1" applyFont="1" applyFill="1" applyBorder="1" applyAlignment="1" applyProtection="1">
      <alignment horizontal="center" vertical="top" wrapText="1"/>
    </xf>
    <xf numFmtId="166" fontId="20" fillId="0" borderId="9" xfId="0" applyNumberFormat="1" applyFont="1" applyFill="1" applyBorder="1" applyAlignment="1" applyProtection="1">
      <alignment horizontal="center" vertical="top" wrapText="1"/>
    </xf>
    <xf numFmtId="49" fontId="20" fillId="0" borderId="25" xfId="0" applyNumberFormat="1" applyFont="1" applyFill="1" applyBorder="1" applyAlignment="1" applyProtection="1">
      <alignment horizontal="center" vertical="top" wrapText="1"/>
    </xf>
    <xf numFmtId="49" fontId="20" fillId="0" borderId="7" xfId="0" applyNumberFormat="1" applyFont="1" applyFill="1" applyBorder="1" applyAlignment="1" applyProtection="1">
      <alignment horizontal="center" vertical="top" wrapText="1"/>
    </xf>
    <xf numFmtId="49" fontId="20" fillId="0" borderId="11" xfId="0" applyNumberFormat="1" applyFont="1" applyFill="1" applyBorder="1" applyAlignment="1" applyProtection="1">
      <alignment horizontal="center" vertical="top" wrapText="1"/>
    </xf>
    <xf numFmtId="166" fontId="20" fillId="0" borderId="7" xfId="0" applyNumberFormat="1" applyFont="1" applyFill="1" applyBorder="1" applyAlignment="1" applyProtection="1">
      <alignment horizontal="centerContinuous" vertical="top" wrapText="1"/>
    </xf>
    <xf numFmtId="166" fontId="17" fillId="0" borderId="19" xfId="0" applyNumberFormat="1" applyFont="1" applyFill="1" applyBorder="1" applyAlignment="1" applyProtection="1">
      <alignment horizontal="center" vertical="top" wrapText="1"/>
    </xf>
    <xf numFmtId="166" fontId="20" fillId="0" borderId="12" xfId="0" applyNumberFormat="1" applyFont="1" applyFill="1" applyBorder="1" applyAlignment="1" applyProtection="1">
      <alignment horizontal="center" vertical="top" wrapText="1"/>
    </xf>
    <xf numFmtId="166" fontId="20" fillId="0" borderId="13" xfId="0" applyNumberFormat="1" applyFont="1" applyFill="1" applyBorder="1" applyAlignment="1" applyProtection="1">
      <alignment horizontal="center" vertical="top" wrapText="1"/>
    </xf>
    <xf numFmtId="166" fontId="20" fillId="0" borderId="19" xfId="0" applyNumberFormat="1" applyFont="1" applyFill="1" applyBorder="1" applyAlignment="1" applyProtection="1">
      <alignment horizontal="center" vertical="top" wrapText="1"/>
    </xf>
    <xf numFmtId="166" fontId="20" fillId="0" borderId="6" xfId="0" applyNumberFormat="1" applyFont="1" applyFill="1" applyBorder="1" applyAlignment="1" applyProtection="1">
      <alignment horizontal="center" vertical="top" wrapText="1"/>
    </xf>
    <xf numFmtId="166" fontId="20" fillId="0" borderId="26" xfId="0" applyNumberFormat="1" applyFont="1" applyFill="1" applyBorder="1" applyAlignment="1" applyProtection="1">
      <alignment horizontal="center" vertical="top" wrapText="1"/>
    </xf>
    <xf numFmtId="166" fontId="17" fillId="0" borderId="24" xfId="0" applyNumberFormat="1" applyFont="1" applyFill="1" applyBorder="1" applyProtection="1"/>
    <xf numFmtId="0" fontId="20" fillId="0" borderId="11" xfId="0" applyNumberFormat="1" applyFont="1" applyFill="1" applyBorder="1" applyAlignment="1" applyProtection="1">
      <alignment horizontal="center"/>
    </xf>
    <xf numFmtId="166" fontId="17" fillId="0" borderId="18" xfId="0" applyNumberFormat="1" applyFont="1" applyFill="1" applyBorder="1" applyProtection="1"/>
    <xf numFmtId="166" fontId="17" fillId="0" borderId="17" xfId="0" applyNumberFormat="1" applyFont="1" applyFill="1" applyBorder="1" applyProtection="1"/>
    <xf numFmtId="166" fontId="17" fillId="0" borderId="11" xfId="0" applyNumberFormat="1" applyFont="1" applyFill="1" applyBorder="1" applyProtection="1"/>
    <xf numFmtId="166" fontId="17" fillId="0" borderId="0" xfId="0" applyNumberFormat="1" applyFont="1" applyFill="1" applyBorder="1" applyProtection="1"/>
    <xf numFmtId="166" fontId="17" fillId="0" borderId="11" xfId="0" applyNumberFormat="1" applyFont="1" applyFill="1" applyBorder="1" applyAlignment="1" applyProtection="1">
      <alignment horizontal="center"/>
    </xf>
    <xf numFmtId="0" fontId="27" fillId="0" borderId="11" xfId="0" applyNumberFormat="1" applyFont="1" applyFill="1" applyBorder="1" applyAlignment="1" applyProtection="1">
      <alignment horizontal="left"/>
    </xf>
    <xf numFmtId="0" fontId="20" fillId="0" borderId="11" xfId="0" applyNumberFormat="1" applyFont="1" applyFill="1" applyBorder="1" applyAlignment="1" applyProtection="1">
      <alignment horizontal="left"/>
    </xf>
    <xf numFmtId="166" fontId="20" fillId="0" borderId="24" xfId="0" applyNumberFormat="1" applyFont="1" applyFill="1" applyBorder="1" applyProtection="1"/>
    <xf numFmtId="166" fontId="20" fillId="0" borderId="18" xfId="0" applyNumberFormat="1" applyFont="1" applyFill="1" applyBorder="1" applyAlignment="1" applyProtection="1">
      <alignment horizontal="right"/>
    </xf>
    <xf numFmtId="166" fontId="20" fillId="0" borderId="17" xfId="0" applyNumberFormat="1" applyFont="1" applyFill="1" applyBorder="1" applyAlignment="1" applyProtection="1">
      <alignment horizontal="right"/>
    </xf>
    <xf numFmtId="166" fontId="20" fillId="0" borderId="11" xfId="0" applyNumberFormat="1" applyFont="1" applyFill="1" applyBorder="1" applyAlignment="1" applyProtection="1">
      <alignment horizontal="right"/>
    </xf>
    <xf numFmtId="166" fontId="20" fillId="0" borderId="0" xfId="0" applyNumberFormat="1" applyFont="1" applyFill="1" applyBorder="1" applyAlignment="1" applyProtection="1">
      <alignment horizontal="right"/>
    </xf>
    <xf numFmtId="166" fontId="20" fillId="0" borderId="24" xfId="0" applyNumberFormat="1" applyFont="1" applyFill="1" applyBorder="1" applyAlignment="1" applyProtection="1">
      <alignment horizontal="right"/>
    </xf>
    <xf numFmtId="49" fontId="21" fillId="0" borderId="5" xfId="0" applyNumberFormat="1" applyFont="1" applyBorder="1" applyAlignment="1" applyProtection="1">
      <alignment horizontal="center"/>
    </xf>
    <xf numFmtId="166" fontId="17" fillId="0" borderId="24" xfId="0" applyNumberFormat="1" applyFont="1" applyFill="1" applyBorder="1" applyAlignment="1" applyProtection="1">
      <alignment horizontal="left"/>
    </xf>
    <xf numFmtId="0" fontId="17" fillId="0" borderId="11" xfId="0" applyNumberFormat="1" applyFont="1" applyFill="1" applyBorder="1" applyAlignment="1" applyProtection="1">
      <alignment horizontal="left" indent="1"/>
    </xf>
    <xf numFmtId="166" fontId="17" fillId="0" borderId="18" xfId="0" applyNumberFormat="1" applyFont="1" applyFill="1" applyBorder="1" applyAlignment="1" applyProtection="1">
      <alignment horizontal="right"/>
    </xf>
    <xf numFmtId="166" fontId="17" fillId="0" borderId="17" xfId="0" applyNumberFormat="1" applyFont="1" applyFill="1" applyBorder="1" applyAlignment="1" applyProtection="1">
      <alignment horizontal="right"/>
    </xf>
    <xf numFmtId="166" fontId="17" fillId="0" borderId="11" xfId="0" applyNumberFormat="1" applyFont="1" applyFill="1" applyBorder="1" applyAlignment="1" applyProtection="1">
      <alignment horizontal="right"/>
    </xf>
    <xf numFmtId="166" fontId="17" fillId="0" borderId="0" xfId="0" applyNumberFormat="1" applyFont="1" applyFill="1" applyBorder="1" applyAlignment="1" applyProtection="1">
      <alignment horizontal="right"/>
    </xf>
    <xf numFmtId="166" fontId="17" fillId="0" borderId="24" xfId="0" applyNumberFormat="1" applyFont="1" applyFill="1" applyBorder="1" applyAlignment="1" applyProtection="1">
      <alignment horizontal="right"/>
    </xf>
    <xf numFmtId="49" fontId="22" fillId="0" borderId="5" xfId="0" applyNumberFormat="1" applyFont="1" applyFill="1" applyBorder="1" applyAlignment="1" applyProtection="1">
      <alignment horizontal="center"/>
    </xf>
    <xf numFmtId="166" fontId="20" fillId="0" borderId="24" xfId="0" applyNumberFormat="1" applyFont="1" applyFill="1" applyBorder="1" applyAlignment="1" applyProtection="1">
      <alignment horizontal="left"/>
    </xf>
    <xf numFmtId="49" fontId="21" fillId="0" borderId="5" xfId="0" applyNumberFormat="1" applyFont="1" applyFill="1" applyBorder="1" applyAlignment="1" applyProtection="1">
      <alignment horizontal="center"/>
    </xf>
    <xf numFmtId="166" fontId="23" fillId="0" borderId="24" xfId="0" applyNumberFormat="1" applyFont="1" applyFill="1" applyBorder="1" applyAlignment="1" applyProtection="1">
      <alignment horizontal="left"/>
    </xf>
    <xf numFmtId="166" fontId="23" fillId="0" borderId="18" xfId="0" applyNumberFormat="1" applyFont="1" applyFill="1" applyBorder="1" applyAlignment="1" applyProtection="1">
      <alignment horizontal="right"/>
    </xf>
    <xf numFmtId="166" fontId="23" fillId="0" borderId="17" xfId="0" applyNumberFormat="1" applyFont="1" applyFill="1" applyBorder="1" applyAlignment="1" applyProtection="1">
      <alignment horizontal="right"/>
    </xf>
    <xf numFmtId="166" fontId="23" fillId="0" borderId="11" xfId="0" applyNumberFormat="1" applyFont="1" applyFill="1" applyBorder="1" applyAlignment="1" applyProtection="1">
      <alignment horizontal="right"/>
    </xf>
    <xf numFmtId="166" fontId="23" fillId="0" borderId="0" xfId="0" applyNumberFormat="1" applyFont="1" applyFill="1" applyBorder="1" applyAlignment="1" applyProtection="1">
      <alignment horizontal="right"/>
    </xf>
    <xf numFmtId="166" fontId="23" fillId="0" borderId="24" xfId="0" applyNumberFormat="1" applyFont="1" applyFill="1" applyBorder="1" applyAlignment="1" applyProtection="1">
      <alignment horizontal="right"/>
    </xf>
    <xf numFmtId="49" fontId="29" fillId="0" borderId="5" xfId="0" applyNumberFormat="1" applyFont="1" applyFill="1" applyBorder="1" applyAlignment="1" applyProtection="1">
      <alignment horizontal="center"/>
    </xf>
    <xf numFmtId="0" fontId="20" fillId="0" borderId="19" xfId="0" applyNumberFormat="1" applyFont="1" applyFill="1" applyBorder="1" applyProtection="1"/>
    <xf numFmtId="166" fontId="20" fillId="0" borderId="14" xfId="0" applyNumberFormat="1" applyFont="1" applyFill="1" applyBorder="1" applyProtection="1"/>
    <xf numFmtId="166" fontId="20" fillId="0" borderId="16" xfId="0" applyNumberFormat="1" applyFont="1" applyFill="1" applyBorder="1" applyProtection="1"/>
    <xf numFmtId="166" fontId="20" fillId="0" borderId="20" xfId="0" applyNumberFormat="1" applyFont="1" applyFill="1" applyBorder="1" applyProtection="1"/>
    <xf numFmtId="166" fontId="20" fillId="0" borderId="15" xfId="0" applyNumberFormat="1" applyFont="1" applyFill="1" applyBorder="1" applyProtection="1"/>
    <xf numFmtId="166" fontId="20" fillId="0" borderId="27" xfId="0" applyNumberFormat="1" applyFont="1" applyFill="1" applyBorder="1" applyProtection="1"/>
    <xf numFmtId="166" fontId="17" fillId="2" borderId="11" xfId="0" applyNumberFormat="1" applyFont="1" applyFill="1" applyBorder="1" applyAlignment="1" applyProtection="1">
      <alignment horizontal="right"/>
    </xf>
    <xf numFmtId="166" fontId="20" fillId="2" borderId="20" xfId="0" applyNumberFormat="1" applyFont="1" applyFill="1" applyBorder="1" applyProtection="1"/>
    <xf numFmtId="166" fontId="17" fillId="3" borderId="24" xfId="0" applyNumberFormat="1" applyFont="1" applyFill="1" applyBorder="1" applyAlignment="1" applyProtection="1">
      <alignment horizontal="right"/>
    </xf>
    <xf numFmtId="166" fontId="20" fillId="0" borderId="4" xfId="0" applyNumberFormat="1" applyFont="1" applyFill="1" applyBorder="1" applyProtection="1"/>
    <xf numFmtId="0" fontId="20" fillId="0" borderId="12" xfId="0" applyNumberFormat="1" applyFont="1" applyFill="1" applyBorder="1" applyProtection="1"/>
    <xf numFmtId="166" fontId="20" fillId="0" borderId="12" xfId="0" applyNumberFormat="1" applyFont="1" applyFill="1" applyBorder="1" applyProtection="1"/>
    <xf numFmtId="166" fontId="20" fillId="0" borderId="13" xfId="0" applyNumberFormat="1" applyFont="1" applyFill="1" applyBorder="1" applyProtection="1"/>
    <xf numFmtId="166" fontId="20" fillId="0" borderId="19" xfId="0" applyNumberFormat="1" applyFont="1" applyFill="1" applyBorder="1" applyProtection="1"/>
    <xf numFmtId="166" fontId="20" fillId="0" borderId="6" xfId="0" applyNumberFormat="1" applyFont="1" applyFill="1" applyBorder="1" applyProtection="1"/>
    <xf numFmtId="166" fontId="20" fillId="0" borderId="26" xfId="0" applyNumberFormat="1" applyFont="1" applyFill="1" applyBorder="1" applyProtection="1"/>
    <xf numFmtId="166" fontId="20" fillId="2" borderId="19" xfId="0" applyNumberFormat="1" applyFont="1" applyFill="1" applyBorder="1" applyProtection="1"/>
    <xf numFmtId="165" fontId="17" fillId="0" borderId="21" xfId="0" applyNumberFormat="1" applyFont="1" applyBorder="1" applyProtection="1"/>
    <xf numFmtId="165" fontId="17" fillId="0" borderId="22" xfId="0" applyNumberFormat="1" applyFont="1" applyFill="1" applyBorder="1" applyProtection="1"/>
    <xf numFmtId="166" fontId="17" fillId="0" borderId="22" xfId="0" applyNumberFormat="1" applyFont="1" applyFill="1" applyBorder="1" applyAlignment="1" applyProtection="1">
      <alignment horizontal="right"/>
    </xf>
    <xf numFmtId="49" fontId="22" fillId="0" borderId="23" xfId="0" applyNumberFormat="1" applyFont="1" applyBorder="1" applyAlignment="1" applyProtection="1">
      <alignment horizontal="center"/>
    </xf>
    <xf numFmtId="166" fontId="5" fillId="2" borderId="16" xfId="0" applyNumberFormat="1" applyFont="1" applyFill="1" applyBorder="1" applyProtection="1"/>
    <xf numFmtId="166" fontId="5" fillId="0" borderId="28" xfId="0" applyNumberFormat="1" applyFont="1" applyFill="1" applyBorder="1" applyProtection="1"/>
    <xf numFmtId="166" fontId="20" fillId="0" borderId="28" xfId="0" applyNumberFormat="1" applyFont="1" applyFill="1" applyBorder="1" applyProtection="1"/>
    <xf numFmtId="49" fontId="1" fillId="0" borderId="0" xfId="3" applyNumberFormat="1"/>
    <xf numFmtId="165" fontId="5" fillId="0" borderId="30" xfId="1" applyNumberFormat="1" applyFont="1" applyFill="1" applyBorder="1"/>
    <xf numFmtId="165" fontId="5" fillId="3" borderId="20" xfId="1" applyNumberFormat="1" applyFont="1" applyFill="1" applyBorder="1"/>
    <xf numFmtId="165" fontId="5" fillId="3" borderId="16" xfId="1" applyNumberFormat="1" applyFont="1" applyFill="1" applyBorder="1"/>
    <xf numFmtId="167" fontId="11" fillId="3" borderId="11" xfId="1" applyNumberFormat="1" applyFont="1" applyFill="1" applyBorder="1"/>
    <xf numFmtId="167" fontId="5" fillId="3" borderId="20" xfId="1" applyNumberFormat="1" applyFont="1" applyFill="1" applyBorder="1"/>
    <xf numFmtId="49" fontId="12" fillId="0" borderId="0" xfId="0" applyNumberFormat="1" applyFont="1" applyBorder="1" applyAlignment="1" applyProtection="1">
      <alignment horizontal="center"/>
    </xf>
    <xf numFmtId="49" fontId="14" fillId="0" borderId="0" xfId="0" applyNumberFormat="1" applyFont="1" applyBorder="1" applyAlignment="1" applyProtection="1">
      <alignment horizontal="center"/>
    </xf>
    <xf numFmtId="49" fontId="12" fillId="0" borderId="0" xfId="0" applyNumberFormat="1" applyFont="1" applyFill="1" applyBorder="1" applyAlignment="1" applyProtection="1">
      <alignment horizontal="center"/>
    </xf>
    <xf numFmtId="49" fontId="14" fillId="0" borderId="0" xfId="0" applyNumberFormat="1" applyFont="1" applyFill="1" applyBorder="1" applyAlignment="1" applyProtection="1">
      <alignment horizontal="center"/>
    </xf>
    <xf numFmtId="49" fontId="15" fillId="0" borderId="0" xfId="0" applyNumberFormat="1" applyFont="1" applyFill="1" applyBorder="1" applyAlignment="1" applyProtection="1">
      <alignment horizontal="center"/>
    </xf>
    <xf numFmtId="0" fontId="0" fillId="0" borderId="0" xfId="0" applyAlignment="1">
      <alignment horizontal="center"/>
    </xf>
    <xf numFmtId="0" fontId="6" fillId="0" borderId="0" xfId="0" applyFont="1" applyAlignment="1">
      <alignment horizontal="center"/>
    </xf>
    <xf numFmtId="0" fontId="1" fillId="0" borderId="0" xfId="3" applyProtection="1">
      <protection locked="0"/>
    </xf>
    <xf numFmtId="49" fontId="1" fillId="0" borderId="0" xfId="3" applyNumberFormat="1" applyProtection="1">
      <protection locked="0"/>
    </xf>
    <xf numFmtId="0" fontId="1" fillId="0" borderId="0" xfId="3" applyAlignment="1" applyProtection="1">
      <alignment horizontal="left"/>
      <protection locked="0"/>
    </xf>
    <xf numFmtId="0" fontId="1" fillId="0" borderId="0" xfId="3" applyNumberFormat="1" applyProtection="1">
      <protection locked="0"/>
    </xf>
    <xf numFmtId="0" fontId="6" fillId="0" borderId="0" xfId="0" applyFont="1" applyAlignment="1" applyProtection="1">
      <alignment horizontal="centerContinuous" vertical="center"/>
      <protection locked="0"/>
    </xf>
    <xf numFmtId="0" fontId="0" fillId="0" borderId="0" xfId="0" applyAlignment="1" applyProtection="1">
      <alignment horizontal="centerContinuous" vertical="center"/>
      <protection locked="0"/>
    </xf>
    <xf numFmtId="0" fontId="0" fillId="0" borderId="0" xfId="0" applyProtection="1">
      <protection locked="0"/>
    </xf>
    <xf numFmtId="0" fontId="0" fillId="0" borderId="0" xfId="0" applyAlignment="1" applyProtection="1">
      <alignment horizontal="center" vertical="center"/>
      <protection locked="0"/>
    </xf>
    <xf numFmtId="0" fontId="0" fillId="7" borderId="31" xfId="0" applyFill="1" applyBorder="1"/>
    <xf numFmtId="0" fontId="0" fillId="7" borderId="32" xfId="0" applyFill="1" applyBorder="1"/>
    <xf numFmtId="0" fontId="0" fillId="7" borderId="33" xfId="0" applyFill="1" applyBorder="1"/>
    <xf numFmtId="0" fontId="6" fillId="0" borderId="0" xfId="0" applyFont="1" applyAlignment="1" applyProtection="1">
      <alignment horizontal="center" vertical="top" wrapText="1"/>
      <protection locked="0"/>
    </xf>
    <xf numFmtId="0" fontId="0" fillId="7" borderId="34" xfId="0" applyFill="1" applyBorder="1"/>
    <xf numFmtId="0" fontId="0" fillId="7" borderId="0" xfId="0" applyFill="1" applyBorder="1"/>
    <xf numFmtId="0" fontId="0" fillId="7" borderId="35" xfId="0" applyFill="1" applyBorder="1"/>
    <xf numFmtId="0" fontId="0" fillId="0" borderId="0" xfId="0" applyNumberFormat="1" applyProtection="1">
      <protection locked="0"/>
    </xf>
    <xf numFmtId="0" fontId="0" fillId="7" borderId="36" xfId="0" applyFill="1" applyBorder="1"/>
    <xf numFmtId="0" fontId="0" fillId="7" borderId="37" xfId="0" applyFill="1" applyBorder="1"/>
    <xf numFmtId="0" fontId="0" fillId="7" borderId="38" xfId="0" applyFill="1" applyBorder="1"/>
    <xf numFmtId="0" fontId="9" fillId="0" borderId="0" xfId="0" applyNumberFormat="1" applyFont="1" applyProtection="1"/>
    <xf numFmtId="49" fontId="11" fillId="0" borderId="0" xfId="0" applyNumberFormat="1" applyFont="1" applyAlignment="1">
      <alignment horizontal="left" indent="1"/>
    </xf>
    <xf numFmtId="165" fontId="11" fillId="0" borderId="0" xfId="0" applyNumberFormat="1" applyFont="1" applyFill="1" applyAlignment="1"/>
    <xf numFmtId="0" fontId="30" fillId="7" borderId="32" xfId="0" applyFont="1" applyFill="1" applyBorder="1"/>
    <xf numFmtId="0" fontId="6" fillId="7" borderId="0" xfId="0" applyFont="1" applyFill="1" applyBorder="1" applyAlignment="1">
      <alignment horizontal="center"/>
    </xf>
    <xf numFmtId="0" fontId="30" fillId="7" borderId="32" xfId="0" applyFont="1" applyFill="1" applyBorder="1" applyAlignment="1">
      <alignment vertical="top"/>
    </xf>
    <xf numFmtId="0" fontId="33" fillId="7" borderId="0" xfId="0" applyFont="1" applyFill="1" applyBorder="1" applyAlignment="1">
      <alignment horizontal="left" indent="1"/>
    </xf>
    <xf numFmtId="0" fontId="30" fillId="7" borderId="32" xfId="0" applyFont="1" applyFill="1" applyBorder="1" applyAlignment="1">
      <alignment horizontal="left"/>
    </xf>
    <xf numFmtId="0" fontId="33" fillId="7" borderId="0" xfId="0" applyFont="1" applyFill="1" applyBorder="1" applyAlignment="1" applyProtection="1">
      <alignment horizontal="left" indent="1"/>
      <protection locked="0"/>
    </xf>
    <xf numFmtId="0" fontId="0" fillId="0" borderId="0" xfId="0" applyAlignment="1" applyProtection="1">
      <alignment horizontal="left" vertical="center"/>
      <protection locked="0"/>
    </xf>
    <xf numFmtId="49" fontId="5" fillId="0" borderId="4" xfId="0" applyNumberFormat="1" applyFont="1" applyBorder="1" applyAlignment="1">
      <alignment vertical="center"/>
    </xf>
    <xf numFmtId="0" fontId="5" fillId="0" borderId="0" xfId="0" applyFont="1" applyBorder="1"/>
    <xf numFmtId="169" fontId="17" fillId="0" borderId="11" xfId="0" applyNumberFormat="1" applyFont="1" applyFill="1" applyBorder="1" applyAlignment="1" applyProtection="1">
      <alignment horizontal="left" indent="1"/>
    </xf>
    <xf numFmtId="169" fontId="20" fillId="0" borderId="11" xfId="0" applyNumberFormat="1" applyFont="1" applyFill="1" applyBorder="1" applyAlignment="1" applyProtection="1">
      <alignment horizontal="left"/>
    </xf>
    <xf numFmtId="169" fontId="35" fillId="0" borderId="11" xfId="0" applyNumberFormat="1" applyFont="1" applyFill="1" applyBorder="1" applyAlignment="1" applyProtection="1">
      <alignment horizontal="left"/>
    </xf>
    <xf numFmtId="165" fontId="11" fillId="0" borderId="0" xfId="1" applyNumberFormat="1" applyFont="1" applyFill="1" applyBorder="1" applyProtection="1">
      <protection locked="0"/>
    </xf>
    <xf numFmtId="165" fontId="11" fillId="0" borderId="18" xfId="1" applyNumberFormat="1" applyFont="1" applyFill="1" applyBorder="1" applyProtection="1">
      <protection locked="0"/>
    </xf>
    <xf numFmtId="165" fontId="11" fillId="0" borderId="24" xfId="1" applyNumberFormat="1" applyFont="1" applyFill="1" applyBorder="1" applyProtection="1">
      <protection locked="0"/>
    </xf>
    <xf numFmtId="165" fontId="11" fillId="4" borderId="11" xfId="1" applyNumberFormat="1" applyFont="1" applyFill="1" applyBorder="1" applyProtection="1">
      <protection locked="0"/>
    </xf>
    <xf numFmtId="165" fontId="11" fillId="0" borderId="0" xfId="1" quotePrefix="1" applyNumberFormat="1" applyFont="1" applyFill="1" applyBorder="1" applyAlignment="1" applyProtection="1">
      <alignment horizontal="center" vertical="center"/>
      <protection locked="0"/>
    </xf>
    <xf numFmtId="165" fontId="5" fillId="0" borderId="0" xfId="1" applyNumberFormat="1" applyFont="1" applyFill="1" applyBorder="1" applyProtection="1">
      <protection locked="0"/>
    </xf>
    <xf numFmtId="165" fontId="5" fillId="0" borderId="18" xfId="1" applyNumberFormat="1" applyFont="1" applyFill="1" applyBorder="1" applyProtection="1">
      <protection locked="0"/>
    </xf>
    <xf numFmtId="165" fontId="5" fillId="0" borderId="24" xfId="1" applyNumberFormat="1" applyFont="1" applyFill="1" applyBorder="1" applyProtection="1">
      <protection locked="0"/>
    </xf>
    <xf numFmtId="165" fontId="5" fillId="4" borderId="11" xfId="1" applyNumberFormat="1" applyFont="1" applyFill="1" applyBorder="1" applyProtection="1">
      <protection locked="0"/>
    </xf>
    <xf numFmtId="165" fontId="11" fillId="0" borderId="17" xfId="1" applyNumberFormat="1" applyFont="1" applyFill="1" applyBorder="1" applyProtection="1">
      <protection locked="0"/>
    </xf>
    <xf numFmtId="165" fontId="11" fillId="0" borderId="0" xfId="2" quotePrefix="1" applyNumberFormat="1" applyFont="1" applyFill="1" applyBorder="1" applyAlignment="1" applyProtection="1">
      <alignment horizontal="center" vertical="center"/>
      <protection locked="0"/>
    </xf>
    <xf numFmtId="165" fontId="12" fillId="0" borderId="0" xfId="1" applyNumberFormat="1" applyFont="1" applyFill="1" applyBorder="1" applyProtection="1">
      <protection locked="0"/>
    </xf>
    <xf numFmtId="165" fontId="12" fillId="0" borderId="0" xfId="1" quotePrefix="1" applyNumberFormat="1" applyFont="1" applyFill="1" applyBorder="1" applyProtection="1">
      <protection locked="0"/>
    </xf>
    <xf numFmtId="165" fontId="5" fillId="0" borderId="17" xfId="1" applyNumberFormat="1" applyFont="1" applyFill="1" applyBorder="1" applyProtection="1">
      <protection locked="0"/>
    </xf>
    <xf numFmtId="166" fontId="11" fillId="0" borderId="18" xfId="0" applyNumberFormat="1" applyFont="1" applyFill="1" applyBorder="1" applyAlignment="1" applyProtection="1">
      <alignment horizontal="right"/>
      <protection locked="0"/>
    </xf>
    <xf numFmtId="166" fontId="11" fillId="0" borderId="11" xfId="0" applyNumberFormat="1" applyFont="1" applyFill="1" applyBorder="1" applyAlignment="1" applyProtection="1">
      <alignment horizontal="right"/>
      <protection locked="0"/>
    </xf>
    <xf numFmtId="165" fontId="11" fillId="0" borderId="0" xfId="0" applyNumberFormat="1" applyFont="1" applyBorder="1" applyProtection="1">
      <protection locked="0"/>
    </xf>
    <xf numFmtId="166" fontId="11" fillId="0" borderId="24" xfId="0" applyNumberFormat="1" applyFont="1" applyFill="1" applyBorder="1" applyAlignment="1" applyProtection="1">
      <alignment horizontal="right"/>
      <protection locked="0"/>
    </xf>
    <xf numFmtId="165" fontId="11" fillId="0" borderId="11" xfId="0" applyNumberFormat="1" applyFont="1" applyFill="1" applyBorder="1" applyAlignment="1" applyProtection="1">
      <alignment horizontal="left" indent="1"/>
      <protection locked="0"/>
    </xf>
    <xf numFmtId="165" fontId="11" fillId="0" borderId="11" xfId="0" applyNumberFormat="1" applyFont="1" applyBorder="1" applyProtection="1">
      <protection locked="0"/>
    </xf>
    <xf numFmtId="0" fontId="5" fillId="0" borderId="11" xfId="0" applyNumberFormat="1" applyFont="1" applyBorder="1" applyAlignment="1">
      <alignment horizontal="left" indent="1"/>
    </xf>
    <xf numFmtId="165" fontId="11" fillId="0" borderId="17" xfId="0" applyNumberFormat="1" applyFont="1" applyBorder="1" applyProtection="1">
      <protection locked="0"/>
    </xf>
    <xf numFmtId="166" fontId="11" fillId="5" borderId="11" xfId="0" applyNumberFormat="1" applyFont="1" applyFill="1" applyBorder="1" applyAlignment="1" applyProtection="1">
      <alignment horizontal="right"/>
    </xf>
    <xf numFmtId="166" fontId="11" fillId="5" borderId="18" xfId="0" applyNumberFormat="1" applyFont="1" applyFill="1" applyBorder="1" applyAlignment="1" applyProtection="1">
      <alignment horizontal="right"/>
    </xf>
    <xf numFmtId="165" fontId="11" fillId="5" borderId="0" xfId="0" applyNumberFormat="1" applyFont="1" applyFill="1" applyBorder="1" applyProtection="1"/>
    <xf numFmtId="166" fontId="17" fillId="0" borderId="18" xfId="0" applyNumberFormat="1" applyFont="1" applyFill="1" applyBorder="1" applyAlignment="1" applyProtection="1">
      <alignment horizontal="right"/>
      <protection locked="0"/>
    </xf>
    <xf numFmtId="0" fontId="0" fillId="8" borderId="0" xfId="0" applyFill="1"/>
    <xf numFmtId="166" fontId="11" fillId="8" borderId="24" xfId="0" applyNumberFormat="1" applyFont="1" applyFill="1" applyBorder="1" applyAlignment="1" applyProtection="1">
      <alignment horizontal="left"/>
    </xf>
    <xf numFmtId="0" fontId="11" fillId="8" borderId="11" xfId="0" applyNumberFormat="1" applyFont="1" applyFill="1" applyBorder="1" applyAlignment="1" applyProtection="1">
      <alignment horizontal="left" indent="1"/>
    </xf>
    <xf numFmtId="166" fontId="11" fillId="8" borderId="18" xfId="0" applyNumberFormat="1" applyFont="1" applyFill="1" applyBorder="1" applyAlignment="1" applyProtection="1">
      <alignment horizontal="right"/>
    </xf>
    <xf numFmtId="166" fontId="11" fillId="8" borderId="17" xfId="0" applyNumberFormat="1" applyFont="1" applyFill="1" applyBorder="1" applyAlignment="1" applyProtection="1">
      <alignment horizontal="right"/>
    </xf>
    <xf numFmtId="166" fontId="11" fillId="8" borderId="11" xfId="0" applyNumberFormat="1" applyFont="1" applyFill="1" applyBorder="1" applyAlignment="1" applyProtection="1">
      <alignment horizontal="right"/>
    </xf>
    <xf numFmtId="166" fontId="11" fillId="8" borderId="0" xfId="0" applyNumberFormat="1" applyFont="1" applyFill="1" applyBorder="1" applyAlignment="1" applyProtection="1">
      <alignment horizontal="right"/>
    </xf>
    <xf numFmtId="166" fontId="11" fillId="8" borderId="24" xfId="0" applyNumberFormat="1" applyFont="1" applyFill="1" applyBorder="1" applyAlignment="1" applyProtection="1">
      <alignment horizontal="right"/>
    </xf>
    <xf numFmtId="167" fontId="11" fillId="8" borderId="11" xfId="1" applyNumberFormat="1" applyFont="1" applyFill="1" applyBorder="1"/>
    <xf numFmtId="49" fontId="12" fillId="8" borderId="5" xfId="0" applyNumberFormat="1" applyFont="1" applyFill="1" applyBorder="1" applyAlignment="1" applyProtection="1">
      <alignment horizontal="center"/>
    </xf>
    <xf numFmtId="165" fontId="11" fillId="8" borderId="0" xfId="0" applyNumberFormat="1" applyFont="1" applyFill="1" applyBorder="1" applyProtection="1"/>
    <xf numFmtId="49" fontId="12" fillId="8" borderId="0" xfId="0" applyNumberFormat="1" applyFont="1" applyFill="1" applyBorder="1" applyAlignment="1" applyProtection="1">
      <alignment horizontal="center"/>
    </xf>
    <xf numFmtId="166" fontId="17" fillId="8" borderId="24" xfId="0" applyNumberFormat="1" applyFont="1" applyFill="1" applyBorder="1" applyAlignment="1" applyProtection="1">
      <alignment horizontal="left"/>
    </xf>
    <xf numFmtId="169" fontId="17" fillId="8" borderId="11" xfId="0" applyNumberFormat="1" applyFont="1" applyFill="1" applyBorder="1" applyAlignment="1" applyProtection="1">
      <alignment horizontal="left" indent="1"/>
    </xf>
    <xf numFmtId="166" fontId="17" fillId="8" borderId="18" xfId="0" applyNumberFormat="1" applyFont="1" applyFill="1" applyBorder="1" applyAlignment="1" applyProtection="1">
      <alignment horizontal="right"/>
    </xf>
    <xf numFmtId="166" fontId="17" fillId="8" borderId="17" xfId="0" applyNumberFormat="1" applyFont="1" applyFill="1" applyBorder="1" applyAlignment="1" applyProtection="1">
      <alignment horizontal="right"/>
    </xf>
    <xf numFmtId="166" fontId="17" fillId="8" borderId="11" xfId="0" applyNumberFormat="1" applyFont="1" applyFill="1" applyBorder="1" applyAlignment="1" applyProtection="1">
      <alignment horizontal="right"/>
    </xf>
    <xf numFmtId="166" fontId="17" fillId="8" borderId="0" xfId="0" applyNumberFormat="1" applyFont="1" applyFill="1" applyBorder="1" applyAlignment="1" applyProtection="1">
      <alignment horizontal="right"/>
    </xf>
    <xf numFmtId="166" fontId="17" fillId="8" borderId="24" xfId="0" applyNumberFormat="1" applyFont="1" applyFill="1" applyBorder="1" applyAlignment="1" applyProtection="1">
      <alignment horizontal="right"/>
    </xf>
    <xf numFmtId="167" fontId="17" fillId="8" borderId="11" xfId="1" applyNumberFormat="1" applyFont="1" applyFill="1" applyBorder="1"/>
    <xf numFmtId="49" fontId="22" fillId="8" borderId="5" xfId="0" applyNumberFormat="1" applyFont="1" applyFill="1" applyBorder="1" applyAlignment="1" applyProtection="1">
      <alignment horizontal="center"/>
    </xf>
    <xf numFmtId="165" fontId="5" fillId="8" borderId="0" xfId="0" applyNumberFormat="1" applyFont="1" applyFill="1" applyBorder="1" applyProtection="1"/>
    <xf numFmtId="165" fontId="11" fillId="8" borderId="0" xfId="0" applyNumberFormat="1" applyFont="1" applyFill="1" applyProtection="1"/>
    <xf numFmtId="0" fontId="6" fillId="8" borderId="0" xfId="0" applyFont="1" applyFill="1"/>
    <xf numFmtId="166" fontId="5" fillId="8" borderId="24" xfId="0" applyNumberFormat="1" applyFont="1" applyFill="1" applyBorder="1" applyAlignment="1" applyProtection="1">
      <alignment horizontal="left"/>
    </xf>
    <xf numFmtId="0" fontId="5" fillId="8" borderId="11" xfId="0" applyNumberFormat="1" applyFont="1" applyFill="1" applyBorder="1" applyAlignment="1" applyProtection="1">
      <alignment horizontal="left"/>
    </xf>
    <xf numFmtId="166" fontId="5" fillId="8" borderId="18" xfId="0" applyNumberFormat="1" applyFont="1" applyFill="1" applyBorder="1" applyAlignment="1" applyProtection="1">
      <alignment horizontal="right"/>
    </xf>
    <xf numFmtId="166" fontId="5" fillId="8" borderId="17" xfId="0" applyNumberFormat="1" applyFont="1" applyFill="1" applyBorder="1" applyAlignment="1" applyProtection="1">
      <alignment horizontal="right"/>
    </xf>
    <xf numFmtId="166" fontId="5" fillId="8" borderId="11" xfId="0" applyNumberFormat="1" applyFont="1" applyFill="1" applyBorder="1" applyAlignment="1" applyProtection="1">
      <alignment horizontal="right"/>
    </xf>
    <xf numFmtId="166" fontId="5" fillId="8" borderId="0" xfId="0" applyNumberFormat="1" applyFont="1" applyFill="1" applyBorder="1" applyAlignment="1" applyProtection="1">
      <alignment horizontal="right"/>
    </xf>
    <xf numFmtId="166" fontId="5" fillId="8" borderId="24" xfId="0" applyNumberFormat="1" applyFont="1" applyFill="1" applyBorder="1" applyAlignment="1" applyProtection="1">
      <alignment horizontal="right"/>
    </xf>
    <xf numFmtId="49" fontId="14" fillId="8" borderId="5" xfId="0" applyNumberFormat="1" applyFont="1" applyFill="1" applyBorder="1" applyAlignment="1" applyProtection="1">
      <alignment horizontal="center"/>
    </xf>
    <xf numFmtId="49" fontId="14" fillId="8" borderId="0" xfId="0" applyNumberFormat="1" applyFont="1" applyFill="1" applyBorder="1" applyAlignment="1" applyProtection="1">
      <alignment horizontal="center"/>
    </xf>
    <xf numFmtId="166" fontId="20" fillId="8" borderId="24" xfId="0" applyNumberFormat="1" applyFont="1" applyFill="1" applyBorder="1" applyAlignment="1" applyProtection="1">
      <alignment horizontal="left"/>
    </xf>
    <xf numFmtId="169" fontId="20" fillId="8" borderId="11" xfId="0" applyNumberFormat="1" applyFont="1" applyFill="1" applyBorder="1" applyAlignment="1" applyProtection="1">
      <alignment horizontal="left"/>
    </xf>
    <xf numFmtId="166" fontId="20" fillId="8" borderId="18" xfId="0" applyNumberFormat="1" applyFont="1" applyFill="1" applyBorder="1" applyAlignment="1" applyProtection="1">
      <alignment horizontal="right"/>
    </xf>
    <xf numFmtId="166" fontId="20" fillId="8" borderId="17" xfId="0" applyNumberFormat="1" applyFont="1" applyFill="1" applyBorder="1" applyAlignment="1" applyProtection="1">
      <alignment horizontal="right"/>
    </xf>
    <xf numFmtId="166" fontId="20" fillId="8" borderId="11" xfId="0" applyNumberFormat="1" applyFont="1" applyFill="1" applyBorder="1" applyAlignment="1" applyProtection="1">
      <alignment horizontal="right"/>
    </xf>
    <xf numFmtId="166" fontId="20" fillId="8" borderId="0" xfId="0" applyNumberFormat="1" applyFont="1" applyFill="1" applyBorder="1" applyAlignment="1" applyProtection="1">
      <alignment horizontal="right"/>
    </xf>
    <xf numFmtId="166" fontId="20" fillId="8" borderId="24" xfId="0" applyNumberFormat="1" applyFont="1" applyFill="1" applyBorder="1" applyAlignment="1" applyProtection="1">
      <alignment horizontal="right"/>
    </xf>
    <xf numFmtId="49" fontId="21" fillId="8" borderId="5" xfId="0" applyNumberFormat="1" applyFont="1" applyFill="1" applyBorder="1" applyAlignment="1" applyProtection="1">
      <alignment horizontal="center"/>
    </xf>
    <xf numFmtId="165" fontId="5" fillId="8" borderId="0" xfId="0" applyNumberFormat="1" applyFont="1" applyFill="1" applyProtection="1"/>
    <xf numFmtId="166" fontId="11" fillId="8" borderId="24" xfId="0" applyNumberFormat="1" applyFont="1" applyFill="1" applyBorder="1" applyProtection="1"/>
    <xf numFmtId="166" fontId="11" fillId="8" borderId="18" xfId="0" applyNumberFormat="1" applyFont="1" applyFill="1" applyBorder="1" applyProtection="1"/>
    <xf numFmtId="166" fontId="11" fillId="8" borderId="17" xfId="0" applyNumberFormat="1" applyFont="1" applyFill="1" applyBorder="1" applyProtection="1"/>
    <xf numFmtId="166" fontId="11" fillId="8" borderId="11" xfId="0" applyNumberFormat="1" applyFont="1" applyFill="1" applyBorder="1" applyProtection="1"/>
    <xf numFmtId="166" fontId="11" fillId="8" borderId="0" xfId="0" applyNumberFormat="1" applyFont="1" applyFill="1" applyBorder="1" applyProtection="1"/>
    <xf numFmtId="166" fontId="11" fillId="8" borderId="11" xfId="0" applyNumberFormat="1" applyFont="1" applyFill="1" applyBorder="1" applyAlignment="1" applyProtection="1">
      <alignment horizontal="center"/>
    </xf>
    <xf numFmtId="166" fontId="17" fillId="8" borderId="24" xfId="0" applyNumberFormat="1" applyFont="1" applyFill="1" applyBorder="1" applyProtection="1"/>
    <xf numFmtId="0" fontId="20" fillId="8" borderId="11" xfId="0" applyNumberFormat="1" applyFont="1" applyFill="1" applyBorder="1" applyAlignment="1" applyProtection="1">
      <alignment horizontal="left"/>
    </xf>
    <xf numFmtId="166" fontId="17" fillId="8" borderId="18" xfId="0" applyNumberFormat="1" applyFont="1" applyFill="1" applyBorder="1" applyProtection="1"/>
    <xf numFmtId="166" fontId="17" fillId="8" borderId="17" xfId="0" applyNumberFormat="1" applyFont="1" applyFill="1" applyBorder="1" applyProtection="1"/>
    <xf numFmtId="166" fontId="17" fillId="8" borderId="11" xfId="0" applyNumberFormat="1" applyFont="1" applyFill="1" applyBorder="1" applyProtection="1"/>
    <xf numFmtId="166" fontId="17" fillId="8" borderId="0" xfId="0" applyNumberFormat="1" applyFont="1" applyFill="1" applyBorder="1" applyProtection="1"/>
    <xf numFmtId="166" fontId="17" fillId="8" borderId="11" xfId="0" applyNumberFormat="1" applyFont="1" applyFill="1" applyBorder="1" applyAlignment="1" applyProtection="1">
      <alignment horizontal="center"/>
    </xf>
    <xf numFmtId="0" fontId="5" fillId="8" borderId="11" xfId="0" applyNumberFormat="1" applyFont="1" applyFill="1" applyBorder="1" applyAlignment="1" applyProtection="1">
      <alignment horizontal="center"/>
    </xf>
    <xf numFmtId="0" fontId="20" fillId="8" borderId="11" xfId="0" applyNumberFormat="1" applyFont="1" applyFill="1" applyBorder="1" applyAlignment="1" applyProtection="1">
      <alignment horizontal="center"/>
    </xf>
    <xf numFmtId="49" fontId="11" fillId="8" borderId="0" xfId="0" applyNumberFormat="1" applyFont="1" applyFill="1" applyProtection="1"/>
    <xf numFmtId="166" fontId="5" fillId="8" borderId="4" xfId="0" applyNumberFormat="1" applyFont="1" applyFill="1" applyBorder="1" applyProtection="1"/>
    <xf numFmtId="0" fontId="5" fillId="8" borderId="12" xfId="0" applyNumberFormat="1" applyFont="1" applyFill="1" applyBorder="1" applyProtection="1"/>
    <xf numFmtId="166" fontId="5" fillId="8" borderId="12" xfId="0" applyNumberFormat="1" applyFont="1" applyFill="1" applyBorder="1" applyProtection="1"/>
    <xf numFmtId="166" fontId="5" fillId="8" borderId="13" xfId="0" applyNumberFormat="1" applyFont="1" applyFill="1" applyBorder="1" applyProtection="1"/>
    <xf numFmtId="166" fontId="5" fillId="8" borderId="19" xfId="0" applyNumberFormat="1" applyFont="1" applyFill="1" applyBorder="1" applyProtection="1"/>
    <xf numFmtId="166" fontId="5" fillId="8" borderId="6" xfId="0" applyNumberFormat="1" applyFont="1" applyFill="1" applyBorder="1" applyProtection="1"/>
    <xf numFmtId="166" fontId="5" fillId="8" borderId="26" xfId="0" applyNumberFormat="1" applyFont="1" applyFill="1" applyBorder="1" applyProtection="1"/>
    <xf numFmtId="166" fontId="20" fillId="8" borderId="4" xfId="0" applyNumberFormat="1" applyFont="1" applyFill="1" applyBorder="1" applyProtection="1"/>
    <xf numFmtId="0" fontId="20" fillId="8" borderId="12" xfId="0" applyNumberFormat="1" applyFont="1" applyFill="1" applyBorder="1" applyProtection="1"/>
    <xf numFmtId="166" fontId="20" fillId="8" borderId="12" xfId="0" applyNumberFormat="1" applyFont="1" applyFill="1" applyBorder="1" applyProtection="1"/>
    <xf numFmtId="166" fontId="20" fillId="8" borderId="13" xfId="0" applyNumberFormat="1" applyFont="1" applyFill="1" applyBorder="1" applyProtection="1"/>
    <xf numFmtId="166" fontId="20" fillId="8" borderId="19" xfId="0" applyNumberFormat="1" applyFont="1" applyFill="1" applyBorder="1" applyProtection="1"/>
    <xf numFmtId="166" fontId="20" fillId="8" borderId="6" xfId="0" applyNumberFormat="1" applyFont="1" applyFill="1" applyBorder="1" applyProtection="1"/>
    <xf numFmtId="166" fontId="20" fillId="8" borderId="26" xfId="0" applyNumberFormat="1" applyFont="1" applyFill="1" applyBorder="1" applyProtection="1"/>
    <xf numFmtId="170" fontId="17" fillId="0" borderId="17" xfId="0" applyNumberFormat="1" applyFont="1" applyFill="1" applyBorder="1" applyAlignment="1" applyProtection="1">
      <alignment horizontal="right"/>
    </xf>
    <xf numFmtId="170" fontId="17" fillId="0" borderId="11" xfId="0" applyNumberFormat="1" applyFont="1" applyFill="1" applyBorder="1" applyAlignment="1" applyProtection="1">
      <alignment horizontal="right"/>
      <protection locked="0"/>
    </xf>
    <xf numFmtId="170" fontId="17" fillId="0" borderId="18" xfId="0" applyNumberFormat="1" applyFont="1" applyFill="1" applyBorder="1" applyAlignment="1" applyProtection="1">
      <alignment horizontal="right"/>
    </xf>
    <xf numFmtId="170" fontId="17" fillId="0" borderId="0" xfId="0" applyNumberFormat="1" applyFont="1" applyFill="1" applyBorder="1" applyAlignment="1" applyProtection="1">
      <alignment horizontal="right"/>
    </xf>
    <xf numFmtId="170" fontId="17" fillId="0" borderId="24" xfId="0" applyNumberFormat="1" applyFont="1" applyFill="1" applyBorder="1" applyAlignment="1" applyProtection="1">
      <alignment horizontal="right"/>
      <protection locked="0"/>
    </xf>
    <xf numFmtId="170" fontId="17" fillId="0" borderId="11" xfId="0" applyNumberFormat="1" applyFont="1" applyFill="1" applyBorder="1" applyAlignment="1" applyProtection="1">
      <alignment horizontal="right"/>
    </xf>
    <xf numFmtId="170" fontId="17" fillId="0" borderId="11" xfId="1" applyNumberFormat="1" applyFont="1" applyFill="1" applyBorder="1"/>
    <xf numFmtId="170" fontId="22" fillId="0" borderId="5" xfId="0" applyNumberFormat="1" applyFont="1" applyBorder="1" applyAlignment="1" applyProtection="1">
      <alignment horizontal="center"/>
    </xf>
    <xf numFmtId="170" fontId="11" fillId="0" borderId="0" xfId="0" applyNumberFormat="1" applyFont="1" applyAlignment="1" applyProtection="1">
      <alignment horizontal="center"/>
    </xf>
    <xf numFmtId="166" fontId="5" fillId="2" borderId="11" xfId="0" applyNumberFormat="1" applyFont="1" applyFill="1" applyBorder="1" applyAlignment="1" applyProtection="1">
      <alignment horizontal="right"/>
    </xf>
    <xf numFmtId="167" fontId="5" fillId="3" borderId="11" xfId="1" applyNumberFormat="1" applyFont="1" applyFill="1" applyBorder="1"/>
    <xf numFmtId="166" fontId="5" fillId="3" borderId="11" xfId="0" applyNumberFormat="1" applyFont="1" applyFill="1" applyBorder="1" applyAlignment="1" applyProtection="1">
      <alignment horizontal="right"/>
    </xf>
    <xf numFmtId="166" fontId="11" fillId="9" borderId="11" xfId="0" applyNumberFormat="1" applyFont="1" applyFill="1" applyBorder="1" applyAlignment="1" applyProtection="1">
      <alignment horizontal="right"/>
    </xf>
    <xf numFmtId="165" fontId="5" fillId="0" borderId="4" xfId="0" applyNumberFormat="1" applyFont="1" applyBorder="1"/>
    <xf numFmtId="0" fontId="5" fillId="0" borderId="0" xfId="0" applyFont="1"/>
    <xf numFmtId="49" fontId="5" fillId="0" borderId="5" xfId="1" applyNumberFormat="1" applyFont="1" applyFill="1" applyBorder="1" applyAlignment="1">
      <alignment vertical="center"/>
    </xf>
    <xf numFmtId="165" fontId="5" fillId="5" borderId="11" xfId="1" applyNumberFormat="1" applyFont="1" applyFill="1" applyBorder="1" applyProtection="1">
      <protection locked="0"/>
    </xf>
    <xf numFmtId="165" fontId="17" fillId="4" borderId="11" xfId="1" applyNumberFormat="1" applyFont="1" applyFill="1" applyBorder="1"/>
    <xf numFmtId="165" fontId="20" fillId="4" borderId="11" xfId="1" applyNumberFormat="1" applyFont="1" applyFill="1" applyBorder="1"/>
    <xf numFmtId="165" fontId="20" fillId="3" borderId="20" xfId="1" applyNumberFormat="1" applyFont="1" applyFill="1" applyBorder="1"/>
    <xf numFmtId="165" fontId="20" fillId="0" borderId="30" xfId="1" applyNumberFormat="1" applyFont="1" applyFill="1" applyBorder="1"/>
    <xf numFmtId="165" fontId="20" fillId="3" borderId="16" xfId="1" applyNumberFormat="1" applyFont="1" applyFill="1" applyBorder="1"/>
    <xf numFmtId="171" fontId="20" fillId="0" borderId="0" xfId="1" applyNumberFormat="1" applyFont="1" applyFill="1" applyBorder="1"/>
    <xf numFmtId="171" fontId="20" fillId="0" borderId="18" xfId="1" applyNumberFormat="1" applyFont="1" applyFill="1" applyBorder="1"/>
    <xf numFmtId="171" fontId="17" fillId="0" borderId="0" xfId="1" applyNumberFormat="1" applyFont="1" applyFill="1" applyBorder="1"/>
    <xf numFmtId="171" fontId="17" fillId="0" borderId="18" xfId="1" applyNumberFormat="1" applyFont="1" applyFill="1" applyBorder="1"/>
    <xf numFmtId="171" fontId="20" fillId="0" borderId="15" xfId="1" applyNumberFormat="1" applyFont="1" applyFill="1" applyBorder="1"/>
    <xf numFmtId="171" fontId="20" fillId="0" borderId="14" xfId="1" applyNumberFormat="1" applyFont="1" applyFill="1" applyBorder="1"/>
    <xf numFmtId="171" fontId="17" fillId="0" borderId="17" xfId="1" applyNumberFormat="1" applyFont="1" applyFill="1" applyBorder="1"/>
    <xf numFmtId="171" fontId="20" fillId="0" borderId="16" xfId="1" applyNumberFormat="1" applyFont="1" applyFill="1" applyBorder="1"/>
    <xf numFmtId="171" fontId="20" fillId="0" borderId="17" xfId="1" applyNumberFormat="1" applyFont="1" applyFill="1" applyBorder="1"/>
    <xf numFmtId="0" fontId="32" fillId="6" borderId="31" xfId="0" applyFont="1" applyFill="1" applyBorder="1" applyAlignment="1" applyProtection="1">
      <alignment horizontal="left" vertical="center" wrapText="1"/>
      <protection locked="0"/>
    </xf>
    <xf numFmtId="0" fontId="32" fillId="6" borderId="32" xfId="0" applyFont="1" applyFill="1" applyBorder="1" applyAlignment="1" applyProtection="1">
      <alignment horizontal="left" vertical="center" wrapText="1"/>
      <protection locked="0"/>
    </xf>
    <xf numFmtId="0" fontId="32" fillId="6" borderId="33" xfId="0" applyFont="1" applyFill="1" applyBorder="1" applyAlignment="1" applyProtection="1">
      <alignment horizontal="left" vertical="center" wrapText="1"/>
      <protection locked="0"/>
    </xf>
    <xf numFmtId="0" fontId="32" fillId="6" borderId="36" xfId="0" applyFont="1" applyFill="1" applyBorder="1" applyAlignment="1" applyProtection="1">
      <alignment horizontal="left" vertical="center" wrapText="1"/>
      <protection locked="0"/>
    </xf>
    <xf numFmtId="0" fontId="32" fillId="6" borderId="37" xfId="0" applyFont="1" applyFill="1" applyBorder="1" applyAlignment="1" applyProtection="1">
      <alignment horizontal="left" vertical="center" wrapText="1"/>
      <protection locked="0"/>
    </xf>
    <xf numFmtId="0" fontId="32" fillId="6" borderId="38" xfId="0" applyFont="1" applyFill="1" applyBorder="1" applyAlignment="1" applyProtection="1">
      <alignment horizontal="left" vertical="center" wrapText="1"/>
      <protection locked="0"/>
    </xf>
    <xf numFmtId="0" fontId="0" fillId="7" borderId="32" xfId="0" applyFill="1" applyBorder="1" applyAlignment="1">
      <alignment horizontal="center"/>
    </xf>
    <xf numFmtId="1" fontId="23" fillId="0" borderId="2" xfId="0" applyNumberFormat="1" applyFont="1" applyFill="1" applyBorder="1" applyAlignment="1" applyProtection="1">
      <alignment horizontal="justify" wrapText="1"/>
    </xf>
    <xf numFmtId="0" fontId="17" fillId="0" borderId="2" xfId="0" applyFont="1" applyFill="1" applyBorder="1" applyAlignment="1">
      <alignment horizontal="justify" wrapText="1"/>
    </xf>
    <xf numFmtId="1" fontId="23" fillId="0" borderId="0" xfId="0" applyNumberFormat="1" applyFont="1" applyFill="1" applyBorder="1" applyAlignment="1" applyProtection="1">
      <alignment horizontal="justify" wrapText="1"/>
    </xf>
    <xf numFmtId="0" fontId="17" fillId="0" borderId="0" xfId="0" applyFont="1" applyFill="1" applyBorder="1" applyAlignment="1">
      <alignment horizontal="justify" wrapText="1"/>
    </xf>
    <xf numFmtId="1" fontId="23" fillId="0" borderId="0" xfId="0" applyNumberFormat="1" applyFont="1" applyFill="1" applyAlignment="1" applyProtection="1">
      <alignment wrapText="1"/>
    </xf>
    <xf numFmtId="0" fontId="23" fillId="0" borderId="0" xfId="0" applyFont="1" applyAlignment="1">
      <alignment wrapText="1"/>
    </xf>
    <xf numFmtId="1" fontId="9" fillId="0" borderId="2" xfId="0" applyNumberFormat="1" applyFont="1" applyFill="1" applyBorder="1" applyAlignment="1" applyProtection="1">
      <alignment horizontal="justify" wrapText="1"/>
    </xf>
    <xf numFmtId="0" fontId="11" fillId="0" borderId="2" xfId="0" applyFont="1" applyFill="1" applyBorder="1" applyAlignment="1">
      <alignment horizontal="justify" wrapText="1"/>
    </xf>
    <xf numFmtId="1" fontId="9" fillId="0" borderId="0" xfId="0" applyNumberFormat="1" applyFont="1" applyFill="1" applyBorder="1" applyAlignment="1" applyProtection="1">
      <alignment horizontal="justify" wrapText="1"/>
    </xf>
    <xf numFmtId="0" fontId="11" fillId="0" borderId="0" xfId="0" applyFont="1" applyFill="1" applyBorder="1" applyAlignment="1">
      <alignment horizontal="justify" wrapText="1"/>
    </xf>
    <xf numFmtId="1" fontId="9" fillId="0" borderId="0" xfId="0" applyNumberFormat="1" applyFont="1" applyFill="1" applyAlignment="1" applyProtection="1">
      <alignment wrapText="1"/>
    </xf>
    <xf numFmtId="0" fontId="9" fillId="0" borderId="0" xfId="0" applyFont="1" applyAlignment="1">
      <alignment wrapText="1"/>
    </xf>
    <xf numFmtId="0" fontId="4" fillId="0" borderId="0" xfId="0" applyFont="1" applyFill="1" applyBorder="1" applyAlignment="1" applyProtection="1">
      <alignment horizontal="left" wrapText="1"/>
    </xf>
  </cellXfs>
  <cellStyles count="4">
    <cellStyle name="Comma" xfId="1" builtinId="3"/>
    <cellStyle name="Comma 2" xfId="2" xr:uid="{00000000-0005-0000-0000-000001000000}"/>
    <cellStyle name="Normal" xfId="0" builtinId="0"/>
    <cellStyle name="Normal 2" xfId="3" xr:uid="{00000000-0005-0000-0000-000003000000}"/>
  </cellStyles>
  <dxfs count="8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0000FF"/>
      <color rgb="FF339933"/>
      <color rgb="FF006600"/>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Drop" dropStyle="combo" dx="22" fmlaLink="$T$6" fmlaRange="$T$8:$T$11" noThreeD="1" sel="4" val="0"/>
</file>

<file path=xl/ctrlProps/ctrlProp2.xml><?xml version="1.0" encoding="utf-8"?>
<formControlPr xmlns="http://schemas.microsoft.com/office/spreadsheetml/2009/9/main" objectType="Drop" dropStyle="combo" dx="22" fmlaLink="$R$6" fmlaRange="$R$8:$R$17" noThreeD="1" sel="5" val="2"/>
</file>

<file path=xl/ctrlProps/ctrlProp3.xml><?xml version="1.0" encoding="utf-8"?>
<formControlPr xmlns="http://schemas.microsoft.com/office/spreadsheetml/2009/9/main" objectType="Drop" dropStyle="combo" dx="22" fmlaLink="$V$6" fmlaRange="$V$8:$V$17" noThreeD="1" sel="10" val="2"/>
</file>

<file path=xl/ctrlProps/ctrlProp4.xml><?xml version="1.0" encoding="utf-8"?>
<formControlPr xmlns="http://schemas.microsoft.com/office/spreadsheetml/2009/9/main" objectType="Radio" firstButton="1" fmlaLink="$S$6" lockText="1" noThreeD="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Q$5" lockText="1" noThreeD="1"/>
</file>

<file path=xl/ctrlProps/ctrlProp7.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51</xdr:col>
      <xdr:colOff>542925</xdr:colOff>
      <xdr:row>99</xdr:row>
      <xdr:rowOff>161925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525" y="0"/>
          <a:ext cx="31623000" cy="19021425"/>
        </a:xfrm>
        <a:prstGeom prst="rect">
          <a:avLst/>
        </a:prstGeom>
        <a:blipFill>
          <a:blip xmlns:r="http://schemas.openxmlformats.org/officeDocument/2006/relationships" r:embed="rId1"/>
          <a:tile tx="0" ty="0" sx="100000" sy="100000" flip="none" algn="tl"/>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sz="1100"/>
        </a:p>
      </xdr:txBody>
    </xdr:sp>
    <xdr:clientData/>
  </xdr:twoCellAnchor>
  <xdr:oneCellAnchor>
    <xdr:from>
      <xdr:col>0</xdr:col>
      <xdr:colOff>523875</xdr:colOff>
      <xdr:row>0</xdr:row>
      <xdr:rowOff>180975</xdr:rowOff>
    </xdr:from>
    <xdr:ext cx="7924799" cy="1435602"/>
    <xdr:sp macro="" textlink="">
      <xdr:nvSpPr>
        <xdr:cNvPr id="3" name="Rectangle 2">
          <a:extLst>
            <a:ext uri="{FF2B5EF4-FFF2-40B4-BE49-F238E27FC236}">
              <a16:creationId xmlns:a16="http://schemas.microsoft.com/office/drawing/2014/main" id="{00000000-0008-0000-0000-000003000000}"/>
            </a:ext>
          </a:extLst>
        </xdr:cNvPr>
        <xdr:cNvSpPr/>
      </xdr:nvSpPr>
      <xdr:spPr>
        <a:xfrm>
          <a:off x="523875" y="180975"/>
          <a:ext cx="7924799" cy="1435602"/>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40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Section 32 of</a:t>
          </a:r>
          <a:r>
            <a:rPr lang="en-US" sz="4000" b="1" cap="none" spc="50" baseline="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 the PFMA</a:t>
          </a:r>
        </a:p>
        <a:p>
          <a:pPr algn="ctr"/>
          <a:r>
            <a:rPr lang="en-US" sz="4000" b="1" cap="none" spc="50" baseline="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Quarterly Publication</a:t>
          </a:r>
        </a:p>
        <a:p>
          <a:pPr algn="ctr"/>
          <a:r>
            <a:rPr lang="en-US" sz="4000" b="1" cap="none" spc="50" baseline="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2019/20</a:t>
          </a:r>
        </a:p>
      </xdr:txBody>
    </xdr:sp>
    <xdr:clientData/>
  </xdr:oneCellAnchor>
  <xdr:twoCellAnchor>
    <xdr:from>
      <xdr:col>2</xdr:col>
      <xdr:colOff>380998</xdr:colOff>
      <xdr:row>11</xdr:row>
      <xdr:rowOff>152400</xdr:rowOff>
    </xdr:from>
    <xdr:to>
      <xdr:col>11</xdr:col>
      <xdr:colOff>371473</xdr:colOff>
      <xdr:row>31</xdr:row>
      <xdr:rowOff>47626</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600198" y="2247900"/>
          <a:ext cx="5476875" cy="3705226"/>
        </a:xfrm>
        <a:prstGeom prst="rect">
          <a:avLst/>
        </a:prstGeom>
        <a:solidFill>
          <a:schemeClr val="lt1">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a:p>
      </xdr:txBody>
    </xdr:sp>
    <xdr:clientData/>
  </xdr:twoCellAnchor>
  <xdr:twoCellAnchor>
    <xdr:from>
      <xdr:col>5</xdr:col>
      <xdr:colOff>349248</xdr:colOff>
      <xdr:row>18</xdr:row>
      <xdr:rowOff>50799</xdr:rowOff>
    </xdr:from>
    <xdr:to>
      <xdr:col>9</xdr:col>
      <xdr:colOff>234950</xdr:colOff>
      <xdr:row>25</xdr:row>
      <xdr:rowOff>12699</xdr:rowOff>
    </xdr:to>
    <xdr:sp macro="" textlink="">
      <xdr:nvSpPr>
        <xdr:cNvPr id="5" name="Text Box 14">
          <a:extLst>
            <a:ext uri="{FF2B5EF4-FFF2-40B4-BE49-F238E27FC236}">
              <a16:creationId xmlns:a16="http://schemas.microsoft.com/office/drawing/2014/main" id="{00000000-0008-0000-0000-000005000000}"/>
            </a:ext>
          </a:extLst>
        </xdr:cNvPr>
        <xdr:cNvSpPr txBox="1">
          <a:spLocks noChangeArrowheads="1"/>
        </xdr:cNvSpPr>
      </xdr:nvSpPr>
      <xdr:spPr bwMode="auto">
        <a:xfrm>
          <a:off x="3524248" y="3365499"/>
          <a:ext cx="2425702" cy="1250950"/>
        </a:xfrm>
        <a:prstGeom prst="rect">
          <a:avLst/>
        </a:prstGeom>
        <a:noFill/>
        <a:ln>
          <a:noFill/>
        </a:ln>
        <a:scene3d>
          <a:camera prst="orthographicFront"/>
          <a:lightRig rig="balanced" dir="t"/>
        </a:scene3d>
      </xdr:spPr>
      <xdr:txBody>
        <a:bodyPr vertOverflow="clip" wrap="square" lIns="27432" tIns="27432" rIns="0" bIns="0" anchor="t" upright="1"/>
        <a:lstStyle/>
        <a:p>
          <a:pPr algn="l" rtl="0">
            <a:defRPr sz="1000"/>
          </a:pPr>
          <a:endParaRPr lang="en-ZA" sz="800" b="1" i="0" u="none" strike="noStrike" baseline="0">
            <a:solidFill>
              <a:srgbClr val="000000"/>
            </a:solidFill>
            <a:latin typeface="Arial Narrow"/>
          </a:endParaRPr>
        </a:p>
        <a:p>
          <a:pPr algn="l" rtl="0">
            <a:defRPr sz="1000"/>
          </a:pPr>
          <a:r>
            <a:rPr lang="en-ZA" sz="1000" b="1" i="0" u="none" strike="noStrike" baseline="0">
              <a:solidFill>
                <a:srgbClr val="000000"/>
              </a:solidFill>
              <a:latin typeface="Arial Narrow"/>
            </a:rPr>
            <a:t>Contacts:</a:t>
          </a:r>
        </a:p>
        <a:p>
          <a:pPr algn="l" rtl="0">
            <a:defRPr sz="1000"/>
          </a:pPr>
          <a:endParaRPr lang="en-ZA" sz="1000" b="0" i="0" u="none" strike="noStrike" baseline="0">
            <a:solidFill>
              <a:srgbClr val="000000"/>
            </a:solidFill>
            <a:latin typeface="Arial Narrow"/>
          </a:endParaRPr>
        </a:p>
        <a:p>
          <a:pPr algn="l" rtl="0">
            <a:defRPr sz="1000"/>
          </a:pPr>
          <a:r>
            <a:rPr lang="en-ZA" sz="1000" b="0" i="0" u="none" strike="noStrike" baseline="0">
              <a:solidFill>
                <a:srgbClr val="000000"/>
              </a:solidFill>
              <a:latin typeface="Arial Narrow"/>
            </a:rPr>
            <a:t> Rigard Lemmer</a:t>
          </a:r>
        </a:p>
        <a:p>
          <a:pPr algn="l" rtl="0">
            <a:defRPr sz="1000"/>
          </a:pPr>
          <a:r>
            <a:rPr lang="en-ZA" sz="1000" b="0" i="0" u="none" strike="noStrike" baseline="0">
              <a:solidFill>
                <a:srgbClr val="000000"/>
              </a:solidFill>
              <a:latin typeface="Arial Narrow"/>
            </a:rPr>
            <a:t> E-mail: Rigard.Lemmer@treasury.gov.za</a:t>
          </a:r>
        </a:p>
        <a:p>
          <a:pPr algn="l" rtl="0">
            <a:defRPr sz="1000"/>
          </a:pPr>
          <a:endParaRPr lang="en-ZA" sz="800" b="0" i="0" u="none" strike="noStrike" baseline="0">
            <a:solidFill>
              <a:srgbClr val="000000"/>
            </a:solidFill>
            <a:latin typeface="Arial Narrow"/>
          </a:endParaRPr>
        </a:p>
        <a:p>
          <a:pPr algn="l" rtl="0">
            <a:defRPr sz="1000"/>
          </a:pPr>
          <a:r>
            <a:rPr lang="en-ZA" sz="900" b="0" i="0" u="none" strike="noStrike" baseline="0">
              <a:solidFill>
                <a:srgbClr val="000000"/>
              </a:solidFill>
              <a:latin typeface="Arial"/>
              <a:cs typeface="Arial"/>
            </a:rPr>
            <a:t> Gobuiwang Rankane</a:t>
          </a:r>
        </a:p>
        <a:p>
          <a:pPr algn="l" rtl="0">
            <a:defRPr sz="1000"/>
          </a:pPr>
          <a:r>
            <a:rPr lang="en-ZA" sz="900" b="0" i="0" u="none" strike="noStrike" baseline="0">
              <a:solidFill>
                <a:srgbClr val="000000"/>
              </a:solidFill>
              <a:latin typeface="Arial"/>
              <a:cs typeface="Arial"/>
            </a:rPr>
            <a:t> E-mail: Gobuiwang.Rankane@treasury.gov.za</a:t>
          </a:r>
        </a:p>
        <a:p>
          <a:pPr algn="l" rtl="0">
            <a:defRPr sz="1000"/>
          </a:pPr>
          <a:endParaRPr lang="en-ZA" sz="900" b="0" i="0" u="none" strike="noStrike" baseline="0">
            <a:solidFill>
              <a:srgbClr val="000000"/>
            </a:solidFill>
            <a:latin typeface="Arial"/>
            <a:cs typeface="Arial"/>
          </a:endParaRPr>
        </a:p>
      </xdr:txBody>
    </xdr:sp>
    <xdr:clientData/>
  </xdr:twoCellAnchor>
  <xdr:twoCellAnchor>
    <xdr:from>
      <xdr:col>5</xdr:col>
      <xdr:colOff>76198</xdr:colOff>
      <xdr:row>13</xdr:row>
      <xdr:rowOff>47624</xdr:rowOff>
    </xdr:from>
    <xdr:to>
      <xdr:col>8</xdr:col>
      <xdr:colOff>609598</xdr:colOff>
      <xdr:row>17</xdr:row>
      <xdr:rowOff>119580</xdr:rowOff>
    </xdr:to>
    <xdr:pic>
      <xdr:nvPicPr>
        <xdr:cNvPr id="6" name="Picture 17" descr="Letter Head">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lum bright="-12000" contrast="30000"/>
          <a:extLst>
            <a:ext uri="{28A0092B-C50C-407E-A947-70E740481C1C}">
              <a14:useLocalDpi xmlns:a14="http://schemas.microsoft.com/office/drawing/2010/main" val="0"/>
            </a:ext>
          </a:extLst>
        </a:blip>
        <a:srcRect l="8064" t="29109" r="4839" b="29453"/>
        <a:stretch>
          <a:fillRect/>
        </a:stretch>
      </xdr:blipFill>
      <xdr:spPr bwMode="auto">
        <a:xfrm>
          <a:off x="3124198" y="2524124"/>
          <a:ext cx="2362200" cy="833956"/>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E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22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26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609598</xdr:colOff>
      <xdr:row>2</xdr:row>
      <xdr:rowOff>0</xdr:rowOff>
    </xdr:from>
    <xdr:ext cx="10725151" cy="657225"/>
    <xdr:sp macro="" textlink="">
      <xdr:nvSpPr>
        <xdr:cNvPr id="2" name="Rectangle 1">
          <a:extLst>
            <a:ext uri="{FF2B5EF4-FFF2-40B4-BE49-F238E27FC236}">
              <a16:creationId xmlns:a16="http://schemas.microsoft.com/office/drawing/2014/main" id="{00000000-0008-0000-0100-000002000000}"/>
            </a:ext>
          </a:extLst>
        </xdr:cNvPr>
        <xdr:cNvSpPr/>
      </xdr:nvSpPr>
      <xdr:spPr>
        <a:xfrm>
          <a:off x="609598" y="323850"/>
          <a:ext cx="10725151" cy="657225"/>
        </a:xfrm>
        <a:prstGeom prst="rect">
          <a:avLst/>
        </a:prstGeom>
        <a:solidFill>
          <a:schemeClr val="bg1">
            <a:lumMod val="95000"/>
          </a:schemeClr>
        </a:solidFill>
        <a:ln w="12700">
          <a:solidFill>
            <a:schemeClr val="tx1">
              <a:lumMod val="50000"/>
              <a:lumOff val="50000"/>
            </a:schemeClr>
          </a:solidFill>
          <a:prstDash val="sysDot"/>
        </a:ln>
      </xdr:spPr>
      <xdr:txBody>
        <a:bodyPr wrap="square" lIns="91440" tIns="45720" rIns="91440" bIns="45720" anchor="t">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l"/>
          <a:r>
            <a:rPr lang="en-US" sz="32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Settings</a:t>
          </a:r>
        </a:p>
      </xdr:txBody>
    </xdr:sp>
    <xdr:clientData/>
  </xdr:oneCellAnchor>
  <xdr:twoCellAnchor>
    <xdr:from>
      <xdr:col>1</xdr:col>
      <xdr:colOff>304799</xdr:colOff>
      <xdr:row>10</xdr:row>
      <xdr:rowOff>28575</xdr:rowOff>
    </xdr:from>
    <xdr:to>
      <xdr:col>5</xdr:col>
      <xdr:colOff>561975</xdr:colOff>
      <xdr:row>11</xdr:row>
      <xdr:rowOff>118650</xdr:rowOff>
    </xdr:to>
    <xdr:sp macro="" textlink="">
      <xdr:nvSpPr>
        <xdr:cNvPr id="3" name="TxtProvince">
          <a:extLst>
            <a:ext uri="{FF2B5EF4-FFF2-40B4-BE49-F238E27FC236}">
              <a16:creationId xmlns:a16="http://schemas.microsoft.com/office/drawing/2014/main" id="{00000000-0008-0000-0100-000003000000}"/>
            </a:ext>
          </a:extLst>
        </xdr:cNvPr>
        <xdr:cNvSpPr txBox="1">
          <a:spLocks noChangeArrowheads="1"/>
        </xdr:cNvSpPr>
      </xdr:nvSpPr>
      <xdr:spPr bwMode="auto">
        <a:xfrm>
          <a:off x="914399" y="2028825"/>
          <a:ext cx="2695576" cy="252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xdr:spPr>
      <xdr:txBody>
        <a:bodyPr vertOverflow="clip" wrap="square" lIns="27432" tIns="22860" rIns="0" bIns="22860" anchor="ctr" upright="1"/>
        <a:lstStyle/>
        <a:p>
          <a:pPr algn="l" rtl="0">
            <a:defRPr sz="1000"/>
          </a:pPr>
          <a:r>
            <a:rPr lang="en-ZA" sz="900" b="1" i="0" u="none" strike="noStrike" baseline="0">
              <a:solidFill>
                <a:srgbClr val="FFFFFF"/>
              </a:solidFill>
              <a:latin typeface="Arial"/>
              <a:cs typeface="Arial"/>
            </a:rPr>
            <a:t>Reporting Quarter ...</a:t>
          </a:r>
        </a:p>
      </xdr:txBody>
    </xdr:sp>
    <xdr:clientData/>
  </xdr:twoCellAnchor>
  <mc:AlternateContent xmlns:mc="http://schemas.openxmlformats.org/markup-compatibility/2006">
    <mc:Choice xmlns:a14="http://schemas.microsoft.com/office/drawing/2010/main" Requires="a14">
      <xdr:twoCellAnchor editAs="oneCell">
        <xdr:from>
          <xdr:col>1</xdr:col>
          <xdr:colOff>304800</xdr:colOff>
          <xdr:row>11</xdr:row>
          <xdr:rowOff>139700</xdr:rowOff>
        </xdr:from>
        <xdr:to>
          <xdr:col>5</xdr:col>
          <xdr:colOff>571500</xdr:colOff>
          <xdr:row>13</xdr:row>
          <xdr:rowOff>6350</xdr:rowOff>
        </xdr:to>
        <xdr:sp macro="" textlink="">
          <xdr:nvSpPr>
            <xdr:cNvPr id="7169" name="DropDownQuarter"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314323</xdr:colOff>
      <xdr:row>6</xdr:row>
      <xdr:rowOff>314325</xdr:rowOff>
    </xdr:from>
    <xdr:to>
      <xdr:col>5</xdr:col>
      <xdr:colOff>554652</xdr:colOff>
      <xdr:row>8</xdr:row>
      <xdr:rowOff>61500</xdr:rowOff>
    </xdr:to>
    <xdr:sp macro="" textlink="">
      <xdr:nvSpPr>
        <xdr:cNvPr id="5" name="TxtFinYear">
          <a:extLst>
            <a:ext uri="{FF2B5EF4-FFF2-40B4-BE49-F238E27FC236}">
              <a16:creationId xmlns:a16="http://schemas.microsoft.com/office/drawing/2014/main" id="{00000000-0008-0000-0100-000005000000}"/>
            </a:ext>
          </a:extLst>
        </xdr:cNvPr>
        <xdr:cNvSpPr txBox="1">
          <a:spLocks noChangeArrowheads="1"/>
        </xdr:cNvSpPr>
      </xdr:nvSpPr>
      <xdr:spPr bwMode="auto">
        <a:xfrm>
          <a:off x="923923" y="1504950"/>
          <a:ext cx="2678729" cy="23295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xdr:spPr>
      <xdr:txBody>
        <a:bodyPr vertOverflow="clip" wrap="square" lIns="27432" tIns="22860" rIns="0" bIns="22860" anchor="ctr" upright="1"/>
        <a:lstStyle/>
        <a:p>
          <a:pPr algn="l" rtl="0">
            <a:defRPr sz="1000"/>
          </a:pPr>
          <a:r>
            <a:rPr lang="en-ZA" sz="900" b="1" i="0" u="none" strike="noStrike" baseline="0">
              <a:solidFill>
                <a:srgbClr val="FFFFFF"/>
              </a:solidFill>
              <a:latin typeface="Arial"/>
              <a:cs typeface="Arial"/>
            </a:rPr>
            <a:t>Financial year ...</a:t>
          </a:r>
        </a:p>
      </xdr:txBody>
    </xdr:sp>
    <xdr:clientData/>
  </xdr:twoCellAnchor>
  <mc:AlternateContent xmlns:mc="http://schemas.openxmlformats.org/markup-compatibility/2006">
    <mc:Choice xmlns:a14="http://schemas.microsoft.com/office/drawing/2010/main" Requires="a14">
      <xdr:twoCellAnchor editAs="oneCell">
        <xdr:from>
          <xdr:col>1</xdr:col>
          <xdr:colOff>311150</xdr:colOff>
          <xdr:row>8</xdr:row>
          <xdr:rowOff>82550</xdr:rowOff>
        </xdr:from>
        <xdr:to>
          <xdr:col>5</xdr:col>
          <xdr:colOff>565150</xdr:colOff>
          <xdr:row>9</xdr:row>
          <xdr:rowOff>146050</xdr:rowOff>
        </xdr:to>
        <xdr:sp macro="" textlink="">
          <xdr:nvSpPr>
            <xdr:cNvPr id="7170" name="DropDownFinYear"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8</xdr:col>
      <xdr:colOff>171450</xdr:colOff>
      <xdr:row>5</xdr:row>
      <xdr:rowOff>85725</xdr:rowOff>
    </xdr:from>
    <xdr:to>
      <xdr:col>10</xdr:col>
      <xdr:colOff>180975</xdr:colOff>
      <xdr:row>18</xdr:row>
      <xdr:rowOff>28575</xdr:rowOff>
    </xdr:to>
    <xdr:pic>
      <xdr:nvPicPr>
        <xdr:cNvPr id="9" name="Picture 17" descr="Letter Head">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12000" contrast="30000"/>
          <a:extLst>
            <a:ext uri="{28A0092B-C50C-407E-A947-70E740481C1C}">
              <a14:useLocalDpi xmlns:a14="http://schemas.microsoft.com/office/drawing/2010/main" val="0"/>
            </a:ext>
          </a:extLst>
        </a:blip>
        <a:srcRect/>
        <a:stretch>
          <a:fillRect/>
        </a:stretch>
      </xdr:blipFill>
      <xdr:spPr bwMode="auto">
        <a:xfrm>
          <a:off x="5153025" y="1114425"/>
          <a:ext cx="30384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13</xdr:row>
      <xdr:rowOff>47625</xdr:rowOff>
    </xdr:from>
    <xdr:to>
      <xdr:col>5</xdr:col>
      <xdr:colOff>561976</xdr:colOff>
      <xdr:row>14</xdr:row>
      <xdr:rowOff>137700</xdr:rowOff>
    </xdr:to>
    <xdr:sp macro="" textlink="">
      <xdr:nvSpPr>
        <xdr:cNvPr id="31" name="TxtProvince">
          <a:extLst>
            <a:ext uri="{FF2B5EF4-FFF2-40B4-BE49-F238E27FC236}">
              <a16:creationId xmlns:a16="http://schemas.microsoft.com/office/drawing/2014/main" id="{00000000-0008-0000-0100-00001F000000}"/>
            </a:ext>
          </a:extLst>
        </xdr:cNvPr>
        <xdr:cNvSpPr txBox="1">
          <a:spLocks noChangeArrowheads="1"/>
        </xdr:cNvSpPr>
      </xdr:nvSpPr>
      <xdr:spPr bwMode="auto">
        <a:xfrm>
          <a:off x="914400" y="2533650"/>
          <a:ext cx="2695576" cy="252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xdr:spPr>
      <xdr:txBody>
        <a:bodyPr vertOverflow="clip" wrap="square" lIns="27432" tIns="22860" rIns="0" bIns="22860" anchor="ctr" upright="1"/>
        <a:lstStyle/>
        <a:p>
          <a:pPr algn="l" rtl="0">
            <a:defRPr sz="1000"/>
          </a:pPr>
          <a:r>
            <a:rPr lang="en-ZA" sz="900" b="1" i="0" u="none" strike="noStrike" baseline="0">
              <a:solidFill>
                <a:srgbClr val="FFFFFF"/>
              </a:solidFill>
              <a:latin typeface="Arial"/>
              <a:cs typeface="Arial"/>
            </a:rPr>
            <a:t>Province...</a:t>
          </a:r>
        </a:p>
      </xdr:txBody>
    </xdr:sp>
    <xdr:clientData/>
  </xdr:twoCellAnchor>
  <mc:AlternateContent xmlns:mc="http://schemas.openxmlformats.org/markup-compatibility/2006">
    <mc:Choice xmlns:a14="http://schemas.microsoft.com/office/drawing/2010/main" Requires="a14">
      <xdr:twoCellAnchor editAs="oneCell">
        <xdr:from>
          <xdr:col>1</xdr:col>
          <xdr:colOff>304800</xdr:colOff>
          <xdr:row>14</xdr:row>
          <xdr:rowOff>152400</xdr:rowOff>
        </xdr:from>
        <xdr:to>
          <xdr:col>5</xdr:col>
          <xdr:colOff>571500</xdr:colOff>
          <xdr:row>16</xdr:row>
          <xdr:rowOff>31750</xdr:rowOff>
        </xdr:to>
        <xdr:sp macro="" textlink="">
          <xdr:nvSpPr>
            <xdr:cNvPr id="7190" name="DropDownProvince" hidden="1">
              <a:extLst>
                <a:ext uri="{63B3BB69-23CF-44E3-9099-C40C66FF867C}">
                  <a14:compatExt spid="_x0000_s7190"/>
                </a:ext>
                <a:ext uri="{FF2B5EF4-FFF2-40B4-BE49-F238E27FC236}">
                  <a16:creationId xmlns:a16="http://schemas.microsoft.com/office/drawing/2014/main" id="{00000000-0008-0000-0100-00001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723900</xdr:colOff>
      <xdr:row>8</xdr:row>
      <xdr:rowOff>28575</xdr:rowOff>
    </xdr:from>
    <xdr:to>
      <xdr:col>12</xdr:col>
      <xdr:colOff>399825</xdr:colOff>
      <xdr:row>11</xdr:row>
      <xdr:rowOff>10800</xdr:rowOff>
    </xdr:to>
    <xdr:sp macro="[0]!IYMImport" textlink="">
      <xdr:nvSpPr>
        <xdr:cNvPr id="10" name="TxtRefresh">
          <a:extLst>
            <a:ext uri="{FF2B5EF4-FFF2-40B4-BE49-F238E27FC236}">
              <a16:creationId xmlns:a16="http://schemas.microsoft.com/office/drawing/2014/main" id="{00000000-0008-0000-0100-00000A000000}"/>
            </a:ext>
          </a:extLst>
        </xdr:cNvPr>
        <xdr:cNvSpPr txBox="1">
          <a:spLocks noChangeArrowheads="1"/>
        </xdr:cNvSpPr>
      </xdr:nvSpPr>
      <xdr:spPr bwMode="auto">
        <a:xfrm>
          <a:off x="8734425" y="1704975"/>
          <a:ext cx="1800000" cy="468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Import IYM ...</a:t>
          </a:r>
        </a:p>
      </xdr:txBody>
    </xdr:sp>
    <xdr:clientData/>
  </xdr:twoCellAnchor>
  <xdr:twoCellAnchor>
    <xdr:from>
      <xdr:col>6</xdr:col>
      <xdr:colOff>371475</xdr:colOff>
      <xdr:row>21</xdr:row>
      <xdr:rowOff>66675</xdr:rowOff>
    </xdr:from>
    <xdr:to>
      <xdr:col>8</xdr:col>
      <xdr:colOff>847500</xdr:colOff>
      <xdr:row>24</xdr:row>
      <xdr:rowOff>48900</xdr:rowOff>
    </xdr:to>
    <xdr:sp macro="[0]!PrintPublication" textlink="">
      <xdr:nvSpPr>
        <xdr:cNvPr id="11" name="TxtRefresh">
          <a:extLst>
            <a:ext uri="{FF2B5EF4-FFF2-40B4-BE49-F238E27FC236}">
              <a16:creationId xmlns:a16="http://schemas.microsoft.com/office/drawing/2014/main" id="{00000000-0008-0000-0100-00000B000000}"/>
            </a:ext>
          </a:extLst>
        </xdr:cNvPr>
        <xdr:cNvSpPr txBox="1">
          <a:spLocks noChangeArrowheads="1"/>
        </xdr:cNvSpPr>
      </xdr:nvSpPr>
      <xdr:spPr bwMode="auto">
        <a:xfrm>
          <a:off x="4029075" y="3848100"/>
          <a:ext cx="1800000" cy="468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Print Publication ...</a:t>
          </a:r>
        </a:p>
      </xdr:txBody>
    </xdr:sp>
    <xdr:clientData/>
  </xdr:twoCellAnchor>
  <mc:AlternateContent xmlns:mc="http://schemas.openxmlformats.org/markup-compatibility/2006">
    <mc:Choice xmlns:a14="http://schemas.microsoft.com/office/drawing/2010/main" Requires="a14">
      <xdr:twoCellAnchor editAs="oneCell">
        <xdr:from>
          <xdr:col>1</xdr:col>
          <xdr:colOff>539750</xdr:colOff>
          <xdr:row>21</xdr:row>
          <xdr:rowOff>82550</xdr:rowOff>
        </xdr:from>
        <xdr:to>
          <xdr:col>4</xdr:col>
          <xdr:colOff>501650</xdr:colOff>
          <xdr:row>23</xdr:row>
          <xdr:rowOff>31750</xdr:rowOff>
        </xdr:to>
        <xdr:sp macro="" textlink="">
          <xdr:nvSpPr>
            <xdr:cNvPr id="7191" name="Option Button 23" hidden="1">
              <a:extLst>
                <a:ext uri="{63B3BB69-23CF-44E3-9099-C40C66FF867C}">
                  <a14:compatExt spid="_x0000_s7191"/>
                </a:ext>
                <a:ext uri="{FF2B5EF4-FFF2-40B4-BE49-F238E27FC236}">
                  <a16:creationId xmlns:a16="http://schemas.microsoft.com/office/drawing/2014/main" id="{00000000-0008-0000-01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ZA" sz="800" b="0" i="0" u="none" strike="noStrike" baseline="0">
                  <a:solidFill>
                    <a:srgbClr val="000000"/>
                  </a:solidFill>
                  <a:latin typeface="Segoe UI"/>
                  <a:cs typeface="Segoe UI"/>
                </a:rPr>
                <a:t>All Provinces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25400</xdr:colOff>
          <xdr:row>22</xdr:row>
          <xdr:rowOff>31750</xdr:rowOff>
        </xdr:from>
        <xdr:to>
          <xdr:col>12</xdr:col>
          <xdr:colOff>596900</xdr:colOff>
          <xdr:row>23</xdr:row>
          <xdr:rowOff>158750</xdr:rowOff>
        </xdr:to>
        <xdr:sp macro="" textlink="">
          <xdr:nvSpPr>
            <xdr:cNvPr id="7212" name="DirButton"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0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1479550</xdr:colOff>
          <xdr:row>23</xdr:row>
          <xdr:rowOff>184150</xdr:rowOff>
        </xdr:from>
        <xdr:to>
          <xdr:col>13</xdr:col>
          <xdr:colOff>463550</xdr:colOff>
          <xdr:row>25</xdr:row>
          <xdr:rowOff>63500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ZA" sz="800" b="0" i="0" u="none" strike="noStrike" baseline="0">
                  <a:solidFill>
                    <a:srgbClr val="000000"/>
                  </a:solidFill>
                  <a:latin typeface="Segoe UI"/>
                  <a:cs typeface="Segoe UI"/>
                </a:rPr>
                <a:t>Use the default directory which is the directory of this workbook path. </a:t>
              </a:r>
            </a:p>
          </xdr:txBody>
        </xdr:sp>
        <xdr:clientData/>
      </xdr:twoCellAnchor>
    </mc:Choice>
    <mc:Fallback/>
  </mc:AlternateContent>
  <xdr:twoCellAnchor>
    <xdr:from>
      <xdr:col>10</xdr:col>
      <xdr:colOff>723900</xdr:colOff>
      <xdr:row>11</xdr:row>
      <xdr:rowOff>123825</xdr:rowOff>
    </xdr:from>
    <xdr:to>
      <xdr:col>12</xdr:col>
      <xdr:colOff>399825</xdr:colOff>
      <xdr:row>14</xdr:row>
      <xdr:rowOff>106050</xdr:rowOff>
    </xdr:to>
    <xdr:sp macro="[0]!ClearSheets" textlink="">
      <xdr:nvSpPr>
        <xdr:cNvPr id="35" name="TxtRefresh">
          <a:extLst>
            <a:ext uri="{FF2B5EF4-FFF2-40B4-BE49-F238E27FC236}">
              <a16:creationId xmlns:a16="http://schemas.microsoft.com/office/drawing/2014/main" id="{00000000-0008-0000-0100-000023000000}"/>
            </a:ext>
          </a:extLst>
        </xdr:cNvPr>
        <xdr:cNvSpPr txBox="1">
          <a:spLocks noChangeArrowheads="1"/>
        </xdr:cNvSpPr>
      </xdr:nvSpPr>
      <xdr:spPr bwMode="auto">
        <a:xfrm>
          <a:off x="8734425" y="2286000"/>
          <a:ext cx="1800000" cy="468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Clear Contents ...</a:t>
          </a:r>
        </a:p>
      </xdr:txBody>
    </xdr:sp>
    <xdr:clientData/>
  </xdr:twoCellAnchor>
  <mc:AlternateContent xmlns:mc="http://schemas.openxmlformats.org/markup-compatibility/2006">
    <mc:Choice xmlns:a14="http://schemas.microsoft.com/office/drawing/2010/main" Requires="a14">
      <xdr:twoCellAnchor editAs="oneCell">
        <xdr:from>
          <xdr:col>1</xdr:col>
          <xdr:colOff>539750</xdr:colOff>
          <xdr:row>22</xdr:row>
          <xdr:rowOff>114300</xdr:rowOff>
        </xdr:from>
        <xdr:to>
          <xdr:col>4</xdr:col>
          <xdr:colOff>501650</xdr:colOff>
          <xdr:row>24</xdr:row>
          <xdr:rowOff>63500</xdr:rowOff>
        </xdr:to>
        <xdr:sp macro="" textlink="">
          <xdr:nvSpPr>
            <xdr:cNvPr id="7215" name="Option Button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200-000002000000}"/>
            </a:ext>
          </a:extLst>
        </xdr:cNvPr>
        <xdr:cNvSpPr txBox="1">
          <a:spLocks noChangeArrowheads="1"/>
        </xdr:cNvSpPr>
      </xdr:nvSpPr>
      <xdr:spPr bwMode="auto">
        <a:xfrm>
          <a:off x="101600" y="1536700"/>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6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A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E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2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6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A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A1:BF21"/>
  <sheetViews>
    <sheetView showGridLines="0" tabSelected="1" workbookViewId="0"/>
  </sheetViews>
  <sheetFormatPr defaultColWidth="9.08984375" defaultRowHeight="14.5" x14ac:dyDescent="0.35"/>
  <cols>
    <col min="1" max="52" width="9.08984375" style="226"/>
    <col min="53" max="53" width="9.08984375" style="226" hidden="1" customWidth="1"/>
    <col min="54" max="55" width="15.6328125" style="226" hidden="1" customWidth="1"/>
    <col min="56" max="56" width="41.90625" style="435" hidden="1" customWidth="1"/>
    <col min="57" max="58" width="9.08984375" style="226" hidden="1" customWidth="1"/>
    <col min="59" max="59" width="72.90625" style="226" bestFit="1" customWidth="1"/>
    <col min="60" max="16384" width="9.08984375" style="226"/>
  </cols>
  <sheetData>
    <row r="1" spans="53:57" x14ac:dyDescent="0.35">
      <c r="BA1" s="448" t="s">
        <v>98</v>
      </c>
      <c r="BB1" s="448"/>
      <c r="BC1" s="448" t="s">
        <v>187</v>
      </c>
      <c r="BD1" s="449" t="s">
        <v>99</v>
      </c>
      <c r="BE1" s="448">
        <f>Settings!$T$6</f>
        <v>4</v>
      </c>
    </row>
    <row r="2" spans="53:57" x14ac:dyDescent="0.35">
      <c r="BA2" s="450">
        <v>1</v>
      </c>
      <c r="BB2" s="448"/>
      <c r="BC2" s="448"/>
      <c r="BD2" s="449" t="s">
        <v>192</v>
      </c>
      <c r="BE2" s="448"/>
    </row>
    <row r="3" spans="53:57" x14ac:dyDescent="0.35">
      <c r="BA3" s="450">
        <v>2</v>
      </c>
      <c r="BB3" s="448"/>
      <c r="BC3" s="448"/>
      <c r="BD3" s="449" t="s">
        <v>193</v>
      </c>
      <c r="BE3" s="448"/>
    </row>
    <row r="4" spans="53:57" x14ac:dyDescent="0.35">
      <c r="BA4" s="450">
        <v>3</v>
      </c>
      <c r="BB4" s="448"/>
      <c r="BC4" s="448"/>
      <c r="BD4" s="449" t="s">
        <v>212</v>
      </c>
      <c r="BE4" s="448"/>
    </row>
    <row r="5" spans="53:57" x14ac:dyDescent="0.35">
      <c r="BA5" s="450">
        <v>4</v>
      </c>
      <c r="BB5" s="448"/>
      <c r="BC5" s="448"/>
      <c r="BD5" s="449" t="s">
        <v>194</v>
      </c>
      <c r="BE5" s="448"/>
    </row>
    <row r="6" spans="53:57" x14ac:dyDescent="0.35">
      <c r="BA6" s="450">
        <v>5</v>
      </c>
      <c r="BB6" s="448"/>
      <c r="BC6" s="448"/>
      <c r="BD6" s="449"/>
      <c r="BE6" s="448"/>
    </row>
    <row r="7" spans="53:57" x14ac:dyDescent="0.35">
      <c r="BA7" s="450">
        <v>6</v>
      </c>
      <c r="BB7" s="448"/>
      <c r="BC7" s="448"/>
      <c r="BD7" s="451" t="str">
        <f>INDEX($BD$2:$BD$5,BE1)</f>
        <v>FOURTH QUARTER ENDED 31 MARCH 2020</v>
      </c>
      <c r="BE7" s="448"/>
    </row>
    <row r="8" spans="53:57" x14ac:dyDescent="0.35">
      <c r="BA8" s="450">
        <v>7</v>
      </c>
      <c r="BB8" s="448"/>
      <c r="BC8" s="448"/>
      <c r="BD8" s="449"/>
      <c r="BE8" s="448"/>
    </row>
    <row r="9" spans="53:57" x14ac:dyDescent="0.35">
      <c r="BA9" s="450">
        <v>8</v>
      </c>
      <c r="BB9" s="448"/>
      <c r="BC9" s="448"/>
      <c r="BD9" s="449"/>
      <c r="BE9" s="448"/>
    </row>
    <row r="10" spans="53:57" x14ac:dyDescent="0.35">
      <c r="BA10" s="450">
        <v>9</v>
      </c>
      <c r="BB10" s="448"/>
      <c r="BC10" s="448"/>
      <c r="BD10" s="449"/>
      <c r="BE10" s="448"/>
    </row>
    <row r="11" spans="53:57" x14ac:dyDescent="0.35">
      <c r="BA11" s="450">
        <v>10</v>
      </c>
      <c r="BB11" s="448"/>
      <c r="BC11" s="448"/>
      <c r="BD11" s="449"/>
      <c r="BE11" s="448"/>
    </row>
    <row r="12" spans="53:57" x14ac:dyDescent="0.35">
      <c r="BA12" s="450">
        <v>11</v>
      </c>
      <c r="BB12" s="448"/>
      <c r="BC12" s="448"/>
      <c r="BD12" s="449"/>
      <c r="BE12" s="448"/>
    </row>
    <row r="13" spans="53:57" x14ac:dyDescent="0.35">
      <c r="BA13" s="450">
        <v>12</v>
      </c>
      <c r="BB13" s="448"/>
      <c r="BC13" s="448"/>
      <c r="BD13" s="449"/>
      <c r="BE13" s="448"/>
    </row>
    <row r="14" spans="53:57" x14ac:dyDescent="0.35">
      <c r="BA14" s="450">
        <v>13</v>
      </c>
      <c r="BB14" s="448"/>
      <c r="BC14" s="448"/>
      <c r="BD14" s="449"/>
      <c r="BE14" s="448"/>
    </row>
    <row r="15" spans="53:57" x14ac:dyDescent="0.35">
      <c r="BA15" s="450">
        <v>14</v>
      </c>
      <c r="BB15" s="448"/>
      <c r="BC15" s="448"/>
      <c r="BD15" s="449"/>
      <c r="BE15" s="448"/>
    </row>
    <row r="16" spans="53:57" x14ac:dyDescent="0.35">
      <c r="BA16" s="450">
        <v>15</v>
      </c>
      <c r="BB16" s="448"/>
      <c r="BC16" s="448"/>
      <c r="BD16" s="449"/>
      <c r="BE16" s="448"/>
    </row>
    <row r="17" spans="53:57" x14ac:dyDescent="0.35">
      <c r="BA17" s="450">
        <v>16</v>
      </c>
      <c r="BB17" s="448"/>
      <c r="BC17" s="448"/>
      <c r="BD17" s="449"/>
      <c r="BE17" s="448"/>
    </row>
    <row r="18" spans="53:57" x14ac:dyDescent="0.35">
      <c r="BA18" s="450">
        <v>17</v>
      </c>
      <c r="BB18" s="448"/>
      <c r="BC18" s="448"/>
      <c r="BD18" s="449"/>
      <c r="BE18" s="448"/>
    </row>
    <row r="19" spans="53:57" x14ac:dyDescent="0.35">
      <c r="BA19" s="450">
        <v>18</v>
      </c>
      <c r="BB19" s="448"/>
      <c r="BC19" s="448"/>
      <c r="BD19" s="449"/>
      <c r="BE19" s="448"/>
    </row>
    <row r="20" spans="53:57" x14ac:dyDescent="0.35">
      <c r="BA20" s="450">
        <v>19</v>
      </c>
      <c r="BB20" s="448"/>
      <c r="BC20" s="448"/>
      <c r="BD20" s="449"/>
      <c r="BE20" s="448"/>
    </row>
    <row r="21" spans="53:57" x14ac:dyDescent="0.35">
      <c r="BA21" s="450">
        <v>20</v>
      </c>
      <c r="BB21" s="448"/>
      <c r="BC21" s="448"/>
      <c r="BD21" s="449"/>
      <c r="BE21" s="448"/>
    </row>
  </sheetData>
  <sheetProtection algorithmName="SHA-512" hashValue="W03eLutjfW6vHOXa0NTsIJH/cD1WdXefZ7WL99dDIzBN9mlmzNfeAmzCRZ4yzPonmCBEkarKYfsFMh+Jab6JAA==" saltValue="VfUSU4GqZbFx6JLgIxRA5Q==" spinCount="100000" sheet="1" objects="1" scenarios="1"/>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171</v>
      </c>
      <c r="D4" s="37"/>
      <c r="E4" s="37"/>
      <c r="F4" s="37"/>
      <c r="G4" s="37"/>
      <c r="H4" s="37"/>
      <c r="I4" s="37"/>
      <c r="J4" s="38"/>
      <c r="K4" s="38"/>
      <c r="L4" s="38"/>
      <c r="M4" s="38"/>
      <c r="N4" s="38"/>
      <c r="O4" s="33"/>
      <c r="R4"/>
      <c r="S4" s="36"/>
      <c r="T4" s="34" t="str">
        <f>C4</f>
        <v>GAUTENG PROVINCE</v>
      </c>
      <c r="U4" s="37"/>
      <c r="V4" s="37"/>
      <c r="W4" s="37"/>
      <c r="X4" s="37"/>
      <c r="Y4" s="37"/>
      <c r="Z4" s="37"/>
      <c r="AA4" s="38"/>
      <c r="AB4" s="38"/>
      <c r="AC4" s="38"/>
      <c r="AD4" s="38"/>
      <c r="AE4" s="38"/>
      <c r="AF4" s="33"/>
      <c r="AG4" s="441"/>
      <c r="AH4" s="441"/>
      <c r="AI4"/>
      <c r="AJ4" s="348"/>
      <c r="AK4" s="349" t="str">
        <f>C4</f>
        <v>GAUTENG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GT_1!D6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128955</v>
      </c>
      <c r="E13" s="198">
        <f t="shared" ref="E13:K13" si="2">SUM(E14+E15+E16)</f>
        <v>-1651</v>
      </c>
      <c r="F13" s="54">
        <f t="shared" si="2"/>
        <v>127304</v>
      </c>
      <c r="G13" s="54">
        <f t="shared" si="2"/>
        <v>1585</v>
      </c>
      <c r="H13" s="95">
        <f t="shared" si="2"/>
        <v>128889</v>
      </c>
      <c r="I13" s="216">
        <f t="shared" si="2"/>
        <v>0</v>
      </c>
      <c r="J13" s="101">
        <f t="shared" si="2"/>
        <v>127304</v>
      </c>
      <c r="K13" s="54">
        <f t="shared" si="2"/>
        <v>126169</v>
      </c>
      <c r="L13" s="54"/>
      <c r="M13" s="54">
        <f>SUM(M14+M15+M16)</f>
        <v>103771</v>
      </c>
      <c r="N13" s="183">
        <f>IFERROR(M13/H13,0)</f>
        <v>0.80511913351798836</v>
      </c>
      <c r="O13" s="55"/>
      <c r="R13"/>
      <c r="S13" s="53"/>
      <c r="T13" s="51" t="str">
        <f>C13</f>
        <v>Agriculture, Forestry and Fisheries (Vote 24)</v>
      </c>
      <c r="U13" s="95">
        <v>128955</v>
      </c>
      <c r="V13" s="198">
        <v>0</v>
      </c>
      <c r="W13" s="54">
        <v>128955</v>
      </c>
      <c r="X13" s="54">
        <v>0</v>
      </c>
      <c r="Y13" s="95">
        <v>128955</v>
      </c>
      <c r="Z13" s="216"/>
      <c r="AA13" s="101">
        <v>54150</v>
      </c>
      <c r="AB13" s="54">
        <v>54150</v>
      </c>
      <c r="AC13" s="54"/>
      <c r="AD13" s="54">
        <v>49392</v>
      </c>
      <c r="AE13" s="183">
        <v>0.38301733162731183</v>
      </c>
      <c r="AF13" s="55"/>
      <c r="AG13" s="442"/>
      <c r="AH13" s="442"/>
      <c r="AI13"/>
      <c r="AJ13" s="387"/>
      <c r="AK13" s="481" t="str">
        <f t="shared" ref="AK13" si="3">C13</f>
        <v>Agriculture, Forestry and Fisheries (Vote 24)</v>
      </c>
      <c r="AL13" s="388">
        <f>SUM(AL14:AL16)</f>
        <v>0</v>
      </c>
      <c r="AM13" s="389">
        <f t="shared" ref="AM13:AP13" si="4">SUM(AM14:AM16)</f>
        <v>1651</v>
      </c>
      <c r="AN13" s="390">
        <f t="shared" si="4"/>
        <v>1651</v>
      </c>
      <c r="AO13" s="390">
        <f t="shared" si="4"/>
        <v>-1585</v>
      </c>
      <c r="AP13" s="388">
        <f t="shared" si="4"/>
        <v>66</v>
      </c>
      <c r="AQ13" s="391"/>
      <c r="AR13" s="392">
        <f t="shared" ref="AR13:AS13" si="5">SUM(AR14:AR16)</f>
        <v>-73154</v>
      </c>
      <c r="AS13" s="390">
        <f t="shared" si="5"/>
        <v>-72019</v>
      </c>
      <c r="AT13" s="390"/>
      <c r="AU13" s="390">
        <f>SUM(AU14:AU16)</f>
        <v>-54379</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91306</v>
      </c>
      <c r="E14" s="199">
        <f>SUM(F14-D14)</f>
        <v>0</v>
      </c>
      <c r="F14" s="497">
        <v>91306</v>
      </c>
      <c r="G14" s="497">
        <v>1585</v>
      </c>
      <c r="H14" s="96">
        <f>SUM(F14:G14)</f>
        <v>92891</v>
      </c>
      <c r="I14" s="217"/>
      <c r="J14" s="499">
        <v>91306</v>
      </c>
      <c r="K14" s="497">
        <v>91306</v>
      </c>
      <c r="L14" s="59"/>
      <c r="M14" s="497">
        <v>68940</v>
      </c>
      <c r="N14" s="172">
        <f t="shared" ref="N14:N16" si="6">IFERROR(M14/H14,0)</f>
        <v>0.74216016621631808</v>
      </c>
      <c r="O14" s="60"/>
      <c r="R14"/>
      <c r="S14" s="57"/>
      <c r="T14" s="58" t="str">
        <f t="shared" ref="T14:T18" si="7">C14</f>
        <v>(a) Comprehensive Agricultural Support Programme Grant</v>
      </c>
      <c r="U14" s="96">
        <v>91306</v>
      </c>
      <c r="V14" s="199">
        <v>0</v>
      </c>
      <c r="W14" s="59">
        <v>91306</v>
      </c>
      <c r="X14" s="59">
        <v>0</v>
      </c>
      <c r="Y14" s="96">
        <v>91306</v>
      </c>
      <c r="Z14" s="217"/>
      <c r="AA14" s="102">
        <v>35609</v>
      </c>
      <c r="AB14" s="59">
        <v>35609</v>
      </c>
      <c r="AC14" s="59"/>
      <c r="AD14" s="59">
        <v>29623</v>
      </c>
      <c r="AE14" s="172">
        <v>0.32443651019648218</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-1585</v>
      </c>
      <c r="AP14" s="396">
        <f t="shared" si="8"/>
        <v>-1585</v>
      </c>
      <c r="AQ14" s="399"/>
      <c r="AR14" s="400">
        <f t="shared" ref="AR14:AS15" si="9">IFERROR(AA14-J14,0)</f>
        <v>-55697</v>
      </c>
      <c r="AS14" s="398">
        <f t="shared" si="9"/>
        <v>-55697</v>
      </c>
      <c r="AT14" s="398"/>
      <c r="AU14" s="398">
        <f>IFERROR(AD14-M14,0)</f>
        <v>-39317</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31974</v>
      </c>
      <c r="E15" s="199">
        <f t="shared" ref="E15:E16" si="10">SUM(F15-D15)</f>
        <v>-1651</v>
      </c>
      <c r="F15" s="497">
        <v>30323</v>
      </c>
      <c r="G15" s="497">
        <v>0</v>
      </c>
      <c r="H15" s="96">
        <f t="shared" ref="H15:H16" si="11">SUM(F15:G15)</f>
        <v>30323</v>
      </c>
      <c r="I15" s="217"/>
      <c r="J15" s="499">
        <v>30323</v>
      </c>
      <c r="K15" s="497">
        <v>30323</v>
      </c>
      <c r="L15" s="59"/>
      <c r="M15" s="497">
        <v>30301</v>
      </c>
      <c r="N15" s="172">
        <f t="shared" si="6"/>
        <v>0.99927447811891967</v>
      </c>
      <c r="O15" s="60"/>
      <c r="P15" s="56"/>
      <c r="Q15" s="56"/>
      <c r="R15"/>
      <c r="S15" s="57"/>
      <c r="T15" s="58" t="str">
        <f t="shared" si="7"/>
        <v>(b) Ilima/Letsema Projects Grant</v>
      </c>
      <c r="U15" s="96">
        <v>31974</v>
      </c>
      <c r="V15" s="199">
        <v>0</v>
      </c>
      <c r="W15" s="59">
        <v>31974</v>
      </c>
      <c r="X15" s="59">
        <v>0</v>
      </c>
      <c r="Y15" s="96">
        <v>31974</v>
      </c>
      <c r="Z15" s="217"/>
      <c r="AA15" s="102">
        <v>15987</v>
      </c>
      <c r="AB15" s="59">
        <v>15987</v>
      </c>
      <c r="AC15" s="59"/>
      <c r="AD15" s="59">
        <v>18426</v>
      </c>
      <c r="AE15" s="172">
        <v>0.57628072809157438</v>
      </c>
      <c r="AF15" s="60"/>
      <c r="AG15" s="443"/>
      <c r="AH15" s="443"/>
      <c r="AI15"/>
      <c r="AJ15" s="394"/>
      <c r="AK15" s="479" t="str">
        <f t="shared" ref="AK15" si="12">C15</f>
        <v>(b) Ilima/Letsema Projects Grant</v>
      </c>
      <c r="AL15" s="396">
        <f t="shared" ref="AL15" si="13">IFERROR(U15-D15,0)</f>
        <v>0</v>
      </c>
      <c r="AM15" s="397">
        <f t="shared" si="8"/>
        <v>1651</v>
      </c>
      <c r="AN15" s="398">
        <f t="shared" si="8"/>
        <v>1651</v>
      </c>
      <c r="AO15" s="398">
        <f t="shared" si="8"/>
        <v>0</v>
      </c>
      <c r="AP15" s="396">
        <f t="shared" si="8"/>
        <v>1651</v>
      </c>
      <c r="AQ15" s="399"/>
      <c r="AR15" s="400">
        <f t="shared" si="9"/>
        <v>-14336</v>
      </c>
      <c r="AS15" s="398">
        <f t="shared" si="9"/>
        <v>-14336</v>
      </c>
      <c r="AT15" s="398"/>
      <c r="AU15" s="398">
        <f t="shared" ref="AU15" si="14">IFERROR(AD15-M15,0)</f>
        <v>-11875</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5675</v>
      </c>
      <c r="E16" s="199">
        <f t="shared" si="10"/>
        <v>0</v>
      </c>
      <c r="F16" s="497">
        <v>5675</v>
      </c>
      <c r="G16" s="497">
        <v>0</v>
      </c>
      <c r="H16" s="96">
        <f t="shared" si="11"/>
        <v>5675</v>
      </c>
      <c r="I16" s="217"/>
      <c r="J16" s="499">
        <v>5675</v>
      </c>
      <c r="K16" s="497">
        <v>4540</v>
      </c>
      <c r="L16" s="59"/>
      <c r="M16" s="497">
        <v>4530</v>
      </c>
      <c r="N16" s="172">
        <f t="shared" si="6"/>
        <v>0.79823788546255503</v>
      </c>
      <c r="O16" s="60"/>
      <c r="P16" s="56"/>
      <c r="Q16" s="56"/>
      <c r="R16"/>
      <c r="S16" s="57"/>
      <c r="T16" s="58" t="str">
        <f t="shared" si="7"/>
        <v>(c) Land Care Programme Grant: Poverty Relief and Infrastructure Development</v>
      </c>
      <c r="U16" s="96">
        <v>5675</v>
      </c>
      <c r="V16" s="199">
        <v>0</v>
      </c>
      <c r="W16" s="59">
        <v>5675</v>
      </c>
      <c r="X16" s="59">
        <v>0</v>
      </c>
      <c r="Y16" s="96">
        <v>5675</v>
      </c>
      <c r="Z16" s="217"/>
      <c r="AA16" s="102">
        <v>2554</v>
      </c>
      <c r="AB16" s="59">
        <v>2554</v>
      </c>
      <c r="AC16" s="59"/>
      <c r="AD16" s="59">
        <v>1343</v>
      </c>
      <c r="AE16" s="172">
        <v>0.23665198237885463</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-3121</v>
      </c>
      <c r="AS16" s="398">
        <f t="shared" ref="AS16:AS83" si="22">IFERROR(AB16-K16,0)</f>
        <v>-1986</v>
      </c>
      <c r="AT16" s="398"/>
      <c r="AU16" s="398">
        <f t="shared" ref="AU16:AU83" si="23">IFERROR(AD16-M16,0)</f>
        <v>-3187</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167784</v>
      </c>
      <c r="E20" s="198">
        <f t="shared" ref="E20:K20" si="27">SUM(E21)</f>
        <v>0</v>
      </c>
      <c r="F20" s="54">
        <f t="shared" si="27"/>
        <v>167784</v>
      </c>
      <c r="G20" s="54">
        <f t="shared" si="27"/>
        <v>0</v>
      </c>
      <c r="H20" s="95">
        <f t="shared" si="27"/>
        <v>167784</v>
      </c>
      <c r="I20" s="216">
        <f t="shared" si="27"/>
        <v>0</v>
      </c>
      <c r="J20" s="101">
        <f t="shared" si="27"/>
        <v>167784</v>
      </c>
      <c r="K20" s="54">
        <f t="shared" si="27"/>
        <v>167784</v>
      </c>
      <c r="L20" s="54"/>
      <c r="M20" s="54">
        <f>SUM(M21)</f>
        <v>163688</v>
      </c>
      <c r="N20" s="183">
        <f t="shared" ref="N20:N21" si="28">IFERROR(M20/H20,0)</f>
        <v>0.97558766032517996</v>
      </c>
      <c r="O20" s="63"/>
      <c r="P20" s="64"/>
      <c r="Q20" s="64"/>
      <c r="R20"/>
      <c r="S20" s="62"/>
      <c r="T20" s="51" t="str">
        <f>C20</f>
        <v>Arts and Culture (Vote 37)</v>
      </c>
      <c r="U20" s="95">
        <v>167784</v>
      </c>
      <c r="V20" s="198">
        <v>0</v>
      </c>
      <c r="W20" s="54">
        <v>167784</v>
      </c>
      <c r="X20" s="54">
        <v>0</v>
      </c>
      <c r="Y20" s="95">
        <v>167784</v>
      </c>
      <c r="Z20" s="216"/>
      <c r="AA20" s="101">
        <v>110926</v>
      </c>
      <c r="AB20" s="54">
        <v>110926</v>
      </c>
      <c r="AC20" s="54"/>
      <c r="AD20" s="54">
        <v>81175</v>
      </c>
      <c r="AE20" s="172">
        <v>0.48380656081628759</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-56858</v>
      </c>
      <c r="AS20" s="390">
        <f t="shared" si="22"/>
        <v>-56858</v>
      </c>
      <c r="AT20" s="390"/>
      <c r="AU20" s="390">
        <f t="shared" si="23"/>
        <v>-82513</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167784</v>
      </c>
      <c r="E21" s="199">
        <f>SUM(F21-D21)</f>
        <v>0</v>
      </c>
      <c r="F21" s="497">
        <v>167784</v>
      </c>
      <c r="G21" s="497">
        <v>0</v>
      </c>
      <c r="H21" s="96">
        <f>SUM(F21:G21)</f>
        <v>167784</v>
      </c>
      <c r="I21" s="217"/>
      <c r="J21" s="499">
        <v>167784</v>
      </c>
      <c r="K21" s="497">
        <v>167784</v>
      </c>
      <c r="L21" s="59"/>
      <c r="M21" s="497">
        <v>163688</v>
      </c>
      <c r="N21" s="172">
        <f t="shared" si="28"/>
        <v>0.97558766032517996</v>
      </c>
      <c r="O21" s="60"/>
      <c r="P21" s="56"/>
      <c r="Q21" s="56"/>
      <c r="R21"/>
      <c r="S21" s="57"/>
      <c r="T21" s="58" t="str">
        <f t="shared" ref="T21:T25" si="29">C21</f>
        <v>Community Library Services Grant</v>
      </c>
      <c r="U21" s="96">
        <v>167784</v>
      </c>
      <c r="V21" s="199">
        <v>0</v>
      </c>
      <c r="W21" s="59">
        <v>167784</v>
      </c>
      <c r="X21" s="59">
        <v>0</v>
      </c>
      <c r="Y21" s="96">
        <v>167784</v>
      </c>
      <c r="Z21" s="217"/>
      <c r="AA21" s="102">
        <v>110926</v>
      </c>
      <c r="AB21" s="59">
        <v>110926</v>
      </c>
      <c r="AC21" s="59"/>
      <c r="AD21" s="59">
        <v>81175</v>
      </c>
      <c r="AE21" s="172">
        <v>0.48380656081628759</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-56858</v>
      </c>
      <c r="AS21" s="398">
        <f t="shared" si="22"/>
        <v>-56858</v>
      </c>
      <c r="AT21" s="398"/>
      <c r="AU21" s="398">
        <f t="shared" si="23"/>
        <v>-82513</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974283</v>
      </c>
      <c r="E27" s="198">
        <f t="shared" ref="E27:K27" si="33">SUM(E28+E29+E30+E31)</f>
        <v>0</v>
      </c>
      <c r="F27" s="54">
        <f t="shared" si="33"/>
        <v>974283</v>
      </c>
      <c r="G27" s="54">
        <f t="shared" si="33"/>
        <v>0</v>
      </c>
      <c r="H27" s="95">
        <f t="shared" si="33"/>
        <v>974283</v>
      </c>
      <c r="I27" s="216">
        <f t="shared" si="33"/>
        <v>0</v>
      </c>
      <c r="J27" s="101">
        <f t="shared" si="33"/>
        <v>974283</v>
      </c>
      <c r="K27" s="54">
        <f t="shared" si="33"/>
        <v>974283</v>
      </c>
      <c r="L27" s="54"/>
      <c r="M27" s="54">
        <f>SUM(M28+M29+M30+M31)</f>
        <v>916086</v>
      </c>
      <c r="N27" s="183">
        <f t="shared" ref="N27:N31" si="34">IFERROR(M27/H27,0)</f>
        <v>0.9402668423856313</v>
      </c>
      <c r="O27" s="63"/>
      <c r="P27" s="65"/>
      <c r="Q27" s="65"/>
      <c r="R27"/>
      <c r="S27" s="62"/>
      <c r="T27" s="51" t="str">
        <f>C27</f>
        <v>Basic Education (Vote 14)</v>
      </c>
      <c r="U27" s="95">
        <v>974283</v>
      </c>
      <c r="V27" s="198">
        <v>0</v>
      </c>
      <c r="W27" s="54">
        <v>974283</v>
      </c>
      <c r="X27" s="54">
        <v>0</v>
      </c>
      <c r="Y27" s="95">
        <v>974283</v>
      </c>
      <c r="Z27" s="216"/>
      <c r="AA27" s="101">
        <v>514637</v>
      </c>
      <c r="AB27" s="54">
        <v>514637</v>
      </c>
      <c r="AC27" s="54"/>
      <c r="AD27" s="54">
        <v>429477</v>
      </c>
      <c r="AE27" s="183">
        <v>0.44081339816049342</v>
      </c>
      <c r="AF27" s="63"/>
      <c r="AG27" s="444"/>
      <c r="AH27" s="444"/>
      <c r="AI27"/>
      <c r="AJ27" s="402"/>
      <c r="AK27" s="481" t="str">
        <f t="shared" si="15"/>
        <v>Basic Education (Vote 14)</v>
      </c>
      <c r="AL27" s="388">
        <f t="shared" si="16"/>
        <v>0</v>
      </c>
      <c r="AM27" s="389">
        <f t="shared" si="17"/>
        <v>0</v>
      </c>
      <c r="AN27" s="390">
        <f t="shared" si="18"/>
        <v>0</v>
      </c>
      <c r="AO27" s="390">
        <f t="shared" si="19"/>
        <v>0</v>
      </c>
      <c r="AP27" s="388">
        <f t="shared" si="20"/>
        <v>0</v>
      </c>
      <c r="AQ27" s="391"/>
      <c r="AR27" s="392">
        <f t="shared" si="21"/>
        <v>-459646</v>
      </c>
      <c r="AS27" s="390">
        <f t="shared" si="22"/>
        <v>-459646</v>
      </c>
      <c r="AT27" s="390"/>
      <c r="AU27" s="390">
        <f t="shared" si="23"/>
        <v>-486609</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37907</v>
      </c>
      <c r="E28" s="199">
        <f t="shared" ref="E28:E31" si="35">SUM(F28-D28)</f>
        <v>0</v>
      </c>
      <c r="F28" s="497">
        <v>37907</v>
      </c>
      <c r="G28" s="497">
        <v>0</v>
      </c>
      <c r="H28" s="96">
        <f t="shared" ref="H28:H31" si="36">SUM(F28:G28)</f>
        <v>37907</v>
      </c>
      <c r="I28" s="217"/>
      <c r="J28" s="499">
        <v>37907</v>
      </c>
      <c r="K28" s="497">
        <v>37907</v>
      </c>
      <c r="L28" s="59"/>
      <c r="M28" s="497">
        <v>37180</v>
      </c>
      <c r="N28" s="172">
        <f t="shared" si="34"/>
        <v>0.98082148415859871</v>
      </c>
      <c r="O28" s="60"/>
      <c r="P28" s="22"/>
      <c r="Q28" s="22"/>
      <c r="S28" s="57"/>
      <c r="T28" s="58" t="str">
        <f t="shared" ref="T28:T32" si="37">C28</f>
        <v>(a) HIV and AIDS (Life Skills Education) Grant</v>
      </c>
      <c r="U28" s="96">
        <v>37907</v>
      </c>
      <c r="V28" s="199">
        <v>0</v>
      </c>
      <c r="W28" s="59">
        <v>37907</v>
      </c>
      <c r="X28" s="59">
        <v>0</v>
      </c>
      <c r="Y28" s="96">
        <v>37907</v>
      </c>
      <c r="Z28" s="217"/>
      <c r="AA28" s="102">
        <v>15163</v>
      </c>
      <c r="AB28" s="59">
        <v>15163</v>
      </c>
      <c r="AC28" s="59"/>
      <c r="AD28" s="59">
        <v>6954</v>
      </c>
      <c r="AE28" s="172">
        <v>0.18344896720922257</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-22744</v>
      </c>
      <c r="AS28" s="398">
        <f t="shared" si="22"/>
        <v>-22744</v>
      </c>
      <c r="AT28" s="398"/>
      <c r="AU28" s="398">
        <f t="shared" si="23"/>
        <v>-30226</v>
      </c>
      <c r="AV28" s="290"/>
      <c r="AW28" s="401"/>
    </row>
    <row r="29" spans="1:82" ht="15.75" customHeight="1" x14ac:dyDescent="0.3">
      <c r="B29" s="57"/>
      <c r="C29" s="58" t="s">
        <v>24</v>
      </c>
      <c r="D29" s="496">
        <v>31259</v>
      </c>
      <c r="E29" s="199">
        <f t="shared" si="35"/>
        <v>0</v>
      </c>
      <c r="F29" s="497">
        <v>31259</v>
      </c>
      <c r="G29" s="497">
        <v>0</v>
      </c>
      <c r="H29" s="96">
        <f t="shared" si="36"/>
        <v>31259</v>
      </c>
      <c r="I29" s="217"/>
      <c r="J29" s="499">
        <v>31259</v>
      </c>
      <c r="K29" s="497">
        <v>31259</v>
      </c>
      <c r="L29" s="59"/>
      <c r="M29" s="497">
        <v>31179</v>
      </c>
      <c r="N29" s="172">
        <f t="shared" si="34"/>
        <v>0.99744073706772451</v>
      </c>
      <c r="O29" s="60"/>
      <c r="P29" s="22"/>
      <c r="Q29" s="22"/>
      <c r="S29" s="57"/>
      <c r="T29" s="58" t="str">
        <f t="shared" si="37"/>
        <v>(b) Learners with Profound Intellectual Disabilities Grant</v>
      </c>
      <c r="U29" s="96">
        <v>31259</v>
      </c>
      <c r="V29" s="199">
        <v>0</v>
      </c>
      <c r="W29" s="59">
        <v>31259</v>
      </c>
      <c r="X29" s="59">
        <v>0</v>
      </c>
      <c r="Y29" s="96">
        <v>31259</v>
      </c>
      <c r="Z29" s="217"/>
      <c r="AA29" s="102">
        <v>20810</v>
      </c>
      <c r="AB29" s="59">
        <v>20810</v>
      </c>
      <c r="AC29" s="59"/>
      <c r="AD29" s="59">
        <v>16859</v>
      </c>
      <c r="AE29" s="172">
        <v>0.53933267219040915</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0</v>
      </c>
      <c r="AP29" s="396">
        <f t="shared" si="20"/>
        <v>0</v>
      </c>
      <c r="AQ29" s="399"/>
      <c r="AR29" s="400">
        <f t="shared" si="21"/>
        <v>-10449</v>
      </c>
      <c r="AS29" s="398">
        <f t="shared" si="22"/>
        <v>-10449</v>
      </c>
      <c r="AT29" s="398"/>
      <c r="AU29" s="398">
        <f t="shared" si="23"/>
        <v>-14320</v>
      </c>
      <c r="AV29" s="290"/>
      <c r="AW29" s="401"/>
    </row>
    <row r="30" spans="1:82" ht="15.75" customHeight="1" x14ac:dyDescent="0.3">
      <c r="B30" s="57"/>
      <c r="C30" s="58" t="s">
        <v>25</v>
      </c>
      <c r="D30" s="496">
        <v>56042</v>
      </c>
      <c r="E30" s="199">
        <f t="shared" si="35"/>
        <v>0</v>
      </c>
      <c r="F30" s="497">
        <v>56042</v>
      </c>
      <c r="G30" s="497">
        <v>0</v>
      </c>
      <c r="H30" s="96">
        <f t="shared" si="36"/>
        <v>56042</v>
      </c>
      <c r="I30" s="217"/>
      <c r="J30" s="499">
        <v>56042</v>
      </c>
      <c r="K30" s="497">
        <v>56042</v>
      </c>
      <c r="L30" s="59"/>
      <c r="M30" s="497">
        <v>51653</v>
      </c>
      <c r="N30" s="172">
        <f t="shared" si="34"/>
        <v>0.92168373719710217</v>
      </c>
      <c r="O30" s="60"/>
      <c r="P30" s="22"/>
      <c r="Q30" s="22"/>
      <c r="S30" s="57"/>
      <c r="T30" s="58" t="str">
        <f t="shared" si="37"/>
        <v>(c) Maths, Science and Technology Grant</v>
      </c>
      <c r="U30" s="96">
        <v>56042</v>
      </c>
      <c r="V30" s="199">
        <v>0</v>
      </c>
      <c r="W30" s="59">
        <v>56042</v>
      </c>
      <c r="X30" s="59">
        <v>0</v>
      </c>
      <c r="Y30" s="96">
        <v>56042</v>
      </c>
      <c r="Z30" s="217"/>
      <c r="AA30" s="102">
        <v>28020</v>
      </c>
      <c r="AB30" s="59">
        <v>28020</v>
      </c>
      <c r="AC30" s="59"/>
      <c r="AD30" s="59">
        <v>17454</v>
      </c>
      <c r="AE30" s="172">
        <v>0.3114449876878056</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-28022</v>
      </c>
      <c r="AS30" s="398">
        <f t="shared" si="22"/>
        <v>-28022</v>
      </c>
      <c r="AT30" s="398"/>
      <c r="AU30" s="398">
        <f t="shared" si="23"/>
        <v>-34199</v>
      </c>
      <c r="AV30" s="290"/>
      <c r="AW30" s="401"/>
    </row>
    <row r="31" spans="1:82" ht="15.75" customHeight="1" x14ac:dyDescent="0.3">
      <c r="B31" s="57"/>
      <c r="C31" s="58" t="s">
        <v>26</v>
      </c>
      <c r="D31" s="496">
        <v>849075</v>
      </c>
      <c r="E31" s="199">
        <f t="shared" si="35"/>
        <v>0</v>
      </c>
      <c r="F31" s="497">
        <v>849075</v>
      </c>
      <c r="G31" s="497">
        <v>0</v>
      </c>
      <c r="H31" s="96">
        <f t="shared" si="36"/>
        <v>849075</v>
      </c>
      <c r="I31" s="217"/>
      <c r="J31" s="499">
        <v>849075</v>
      </c>
      <c r="K31" s="497">
        <v>849075</v>
      </c>
      <c r="L31" s="59"/>
      <c r="M31" s="497">
        <v>796074</v>
      </c>
      <c r="N31" s="172">
        <f t="shared" si="34"/>
        <v>0.93757795247769626</v>
      </c>
      <c r="O31" s="60"/>
      <c r="P31" s="22"/>
      <c r="Q31" s="22"/>
      <c r="S31" s="57"/>
      <c r="T31" s="58" t="str">
        <f t="shared" si="37"/>
        <v>(d) National School Nutrition Programme Grant</v>
      </c>
      <c r="U31" s="96">
        <v>849075</v>
      </c>
      <c r="V31" s="199">
        <v>0</v>
      </c>
      <c r="W31" s="59">
        <v>849075</v>
      </c>
      <c r="X31" s="59">
        <v>0</v>
      </c>
      <c r="Y31" s="96">
        <v>849075</v>
      </c>
      <c r="Z31" s="217"/>
      <c r="AA31" s="102">
        <v>450644</v>
      </c>
      <c r="AB31" s="59">
        <v>450644</v>
      </c>
      <c r="AC31" s="59"/>
      <c r="AD31" s="59">
        <v>388210</v>
      </c>
      <c r="AE31" s="172">
        <v>0.45721520478167416</v>
      </c>
      <c r="AF31" s="60"/>
      <c r="AG31" s="443"/>
      <c r="AH31" s="443"/>
      <c r="AJ31" s="394"/>
      <c r="AK31" s="479" t="str">
        <f t="shared" si="15"/>
        <v>(d) National School Nutrition Programme Grant</v>
      </c>
      <c r="AL31" s="396">
        <f t="shared" si="16"/>
        <v>0</v>
      </c>
      <c r="AM31" s="397">
        <f t="shared" si="17"/>
        <v>0</v>
      </c>
      <c r="AN31" s="398">
        <f t="shared" si="18"/>
        <v>0</v>
      </c>
      <c r="AO31" s="398">
        <f t="shared" si="19"/>
        <v>0</v>
      </c>
      <c r="AP31" s="396">
        <f t="shared" si="20"/>
        <v>0</v>
      </c>
      <c r="AQ31" s="399"/>
      <c r="AR31" s="400">
        <f t="shared" si="21"/>
        <v>-398431</v>
      </c>
      <c r="AS31" s="398">
        <f t="shared" si="22"/>
        <v>-398431</v>
      </c>
      <c r="AT31" s="398"/>
      <c r="AU31" s="398">
        <f t="shared" si="23"/>
        <v>-407864</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5789838</v>
      </c>
      <c r="E41" s="198">
        <f t="shared" ref="E41:K41" si="58">SUM(E42+E43+E44+E45+E46)</f>
        <v>132699</v>
      </c>
      <c r="F41" s="54">
        <f t="shared" si="58"/>
        <v>5922537</v>
      </c>
      <c r="G41" s="54">
        <f t="shared" si="58"/>
        <v>14310</v>
      </c>
      <c r="H41" s="95">
        <f t="shared" si="58"/>
        <v>5936847</v>
      </c>
      <c r="I41" s="216">
        <f t="shared" si="58"/>
        <v>0</v>
      </c>
      <c r="J41" s="101">
        <f t="shared" si="58"/>
        <v>5922537</v>
      </c>
      <c r="K41" s="54">
        <f t="shared" si="58"/>
        <v>5922537</v>
      </c>
      <c r="L41" s="54"/>
      <c r="M41" s="54">
        <f>SUM(M42+M43+M44+M45+M46)</f>
        <v>5758397</v>
      </c>
      <c r="N41" s="183">
        <f t="shared" ref="N41:N45" si="59">IFERROR(M41/H41,0)</f>
        <v>0.9699419574060103</v>
      </c>
      <c r="O41" s="63"/>
      <c r="P41" s="65"/>
      <c r="Q41" s="65"/>
      <c r="R41"/>
      <c r="S41" s="62"/>
      <c r="T41" s="51" t="str">
        <f>C41</f>
        <v>Health (Vote 16)</v>
      </c>
      <c r="U41" s="95">
        <v>5789838</v>
      </c>
      <c r="V41" s="198">
        <v>0</v>
      </c>
      <c r="W41" s="54">
        <v>5789838</v>
      </c>
      <c r="X41" s="54">
        <v>0</v>
      </c>
      <c r="Y41" s="95">
        <v>5789838</v>
      </c>
      <c r="Z41" s="216"/>
      <c r="AA41" s="101">
        <v>2894909</v>
      </c>
      <c r="AB41" s="54">
        <v>2894909</v>
      </c>
      <c r="AC41" s="54"/>
      <c r="AD41" s="54">
        <v>2660830</v>
      </c>
      <c r="AE41" s="183">
        <v>0.45956898966775928</v>
      </c>
      <c r="AF41" s="63"/>
      <c r="AG41" s="444"/>
      <c r="AH41" s="444"/>
      <c r="AI41"/>
      <c r="AJ41" s="402"/>
      <c r="AK41" s="481" t="str">
        <f t="shared" si="15"/>
        <v>Health (Vote 16)</v>
      </c>
      <c r="AL41" s="388">
        <f t="shared" si="16"/>
        <v>0</v>
      </c>
      <c r="AM41" s="389">
        <f t="shared" si="17"/>
        <v>-132699</v>
      </c>
      <c r="AN41" s="390">
        <f t="shared" si="18"/>
        <v>-132699</v>
      </c>
      <c r="AO41" s="390">
        <f t="shared" si="19"/>
        <v>-14310</v>
      </c>
      <c r="AP41" s="388">
        <f t="shared" si="20"/>
        <v>-147009</v>
      </c>
      <c r="AQ41" s="391"/>
      <c r="AR41" s="392">
        <f t="shared" si="21"/>
        <v>-3027628</v>
      </c>
      <c r="AS41" s="390">
        <f t="shared" si="22"/>
        <v>-3027628</v>
      </c>
      <c r="AT41" s="390"/>
      <c r="AU41" s="390">
        <f t="shared" si="23"/>
        <v>-3097567</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4766734</v>
      </c>
      <c r="E42" s="199">
        <f t="shared" ref="E42:E46" si="60">SUM(F42-D42)</f>
        <v>0</v>
      </c>
      <c r="F42" s="497">
        <v>4766734</v>
      </c>
      <c r="G42" s="497">
        <v>8951</v>
      </c>
      <c r="H42" s="96">
        <f t="shared" ref="H42:H45" si="61">SUM(F42:G42)</f>
        <v>4775685</v>
      </c>
      <c r="I42" s="217"/>
      <c r="J42" s="499">
        <v>4766734</v>
      </c>
      <c r="K42" s="497">
        <v>4766734</v>
      </c>
      <c r="L42" s="59"/>
      <c r="M42" s="497">
        <v>4597351</v>
      </c>
      <c r="N42" s="172">
        <f t="shared" si="59"/>
        <v>0.96265792237134573</v>
      </c>
      <c r="O42" s="60"/>
      <c r="P42" s="56"/>
      <c r="Q42" s="56"/>
      <c r="S42" s="57"/>
      <c r="T42" s="58" t="str">
        <f t="shared" ref="T42:T46" si="62">C42</f>
        <v>(a) HIV, TB, Malaria and Community Outreach Grant</v>
      </c>
      <c r="U42" s="96">
        <v>4766734</v>
      </c>
      <c r="V42" s="199">
        <v>0</v>
      </c>
      <c r="W42" s="59">
        <v>4766734</v>
      </c>
      <c r="X42" s="59">
        <v>0</v>
      </c>
      <c r="Y42" s="96">
        <v>4766734</v>
      </c>
      <c r="Z42" s="217"/>
      <c r="AA42" s="102">
        <v>2383362</v>
      </c>
      <c r="AB42" s="59">
        <v>2383362</v>
      </c>
      <c r="AC42" s="59"/>
      <c r="AD42" s="59">
        <v>2025105</v>
      </c>
      <c r="AE42" s="172">
        <v>0.42484120154386629</v>
      </c>
      <c r="AF42" s="60"/>
      <c r="AG42" s="443"/>
      <c r="AH42" s="443"/>
      <c r="AJ42" s="394"/>
      <c r="AK42" s="479" t="str">
        <f t="shared" si="15"/>
        <v>(a) HIV, TB, Malaria and Community Outreach Grant</v>
      </c>
      <c r="AL42" s="396">
        <f t="shared" si="16"/>
        <v>0</v>
      </c>
      <c r="AM42" s="397">
        <f t="shared" si="17"/>
        <v>0</v>
      </c>
      <c r="AN42" s="398">
        <f t="shared" si="18"/>
        <v>0</v>
      </c>
      <c r="AO42" s="398">
        <f t="shared" si="19"/>
        <v>-8951</v>
      </c>
      <c r="AP42" s="396">
        <f t="shared" si="20"/>
        <v>-8951</v>
      </c>
      <c r="AQ42" s="399"/>
      <c r="AR42" s="400">
        <f t="shared" si="21"/>
        <v>-2383372</v>
      </c>
      <c r="AS42" s="398">
        <f t="shared" si="22"/>
        <v>-2383372</v>
      </c>
      <c r="AT42" s="398"/>
      <c r="AU42" s="398">
        <f t="shared" si="23"/>
        <v>-2572246</v>
      </c>
      <c r="AV42" s="290"/>
      <c r="AW42" s="401"/>
    </row>
    <row r="43" spans="1:82" s="35" customFormat="1" ht="15.75" customHeight="1" x14ac:dyDescent="0.3">
      <c r="A43"/>
      <c r="B43" s="57"/>
      <c r="C43" s="58" t="s">
        <v>28</v>
      </c>
      <c r="D43" s="496">
        <v>859028</v>
      </c>
      <c r="E43" s="199">
        <f t="shared" si="60"/>
        <v>0</v>
      </c>
      <c r="F43" s="497">
        <v>859028</v>
      </c>
      <c r="G43" s="497">
        <v>0</v>
      </c>
      <c r="H43" s="96">
        <f t="shared" si="61"/>
        <v>859028</v>
      </c>
      <c r="I43" s="217"/>
      <c r="J43" s="499">
        <v>859028</v>
      </c>
      <c r="K43" s="497">
        <v>859028</v>
      </c>
      <c r="L43" s="59"/>
      <c r="M43" s="497">
        <v>859464</v>
      </c>
      <c r="N43" s="172">
        <f t="shared" si="59"/>
        <v>1.0005075503941665</v>
      </c>
      <c r="O43" s="60"/>
      <c r="P43" s="56"/>
      <c r="Q43" s="56"/>
      <c r="R43"/>
      <c r="S43" s="57"/>
      <c r="T43" s="58" t="str">
        <f t="shared" si="62"/>
        <v>(b) Health Facility Revitalisation Grant</v>
      </c>
      <c r="U43" s="96">
        <v>859028</v>
      </c>
      <c r="V43" s="199">
        <v>0</v>
      </c>
      <c r="W43" s="59">
        <v>859028</v>
      </c>
      <c r="X43" s="59">
        <v>0</v>
      </c>
      <c r="Y43" s="96">
        <v>859028</v>
      </c>
      <c r="Z43" s="217"/>
      <c r="AA43" s="102">
        <v>429514</v>
      </c>
      <c r="AB43" s="59">
        <v>429514</v>
      </c>
      <c r="AC43" s="59"/>
      <c r="AD43" s="59">
        <v>547537</v>
      </c>
      <c r="AE43" s="172">
        <v>0.63739133066675357</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-429514</v>
      </c>
      <c r="AS43" s="398">
        <f t="shared" si="22"/>
        <v>-429514</v>
      </c>
      <c r="AT43" s="398"/>
      <c r="AU43" s="398">
        <f t="shared" si="23"/>
        <v>-311927</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28841</v>
      </c>
      <c r="E44" s="199">
        <f t="shared" si="60"/>
        <v>-9116</v>
      </c>
      <c r="F44" s="497">
        <v>19725</v>
      </c>
      <c r="G44" s="497">
        <v>5359</v>
      </c>
      <c r="H44" s="96">
        <f t="shared" si="61"/>
        <v>25084</v>
      </c>
      <c r="I44" s="217"/>
      <c r="J44" s="499">
        <v>19725</v>
      </c>
      <c r="K44" s="497">
        <v>19725</v>
      </c>
      <c r="L44" s="59"/>
      <c r="M44" s="497">
        <v>23483</v>
      </c>
      <c r="N44" s="172">
        <f t="shared" si="59"/>
        <v>0.936174453835114</v>
      </c>
      <c r="O44" s="69"/>
      <c r="P44" s="70"/>
      <c r="Q44" s="70"/>
      <c r="R44"/>
      <c r="S44" s="67"/>
      <c r="T44" s="58" t="str">
        <f t="shared" si="62"/>
        <v>(c) Human Papillomavirus Vaccine Grant</v>
      </c>
      <c r="U44" s="97">
        <v>28841</v>
      </c>
      <c r="V44" s="200">
        <v>0</v>
      </c>
      <c r="W44" s="68">
        <v>28841</v>
      </c>
      <c r="X44" s="68">
        <v>0</v>
      </c>
      <c r="Y44" s="97">
        <v>28841</v>
      </c>
      <c r="Z44" s="218"/>
      <c r="AA44" s="103">
        <v>14418</v>
      </c>
      <c r="AB44" s="68">
        <v>14418</v>
      </c>
      <c r="AC44" s="68"/>
      <c r="AD44" s="68">
        <v>8170</v>
      </c>
      <c r="AE44" s="172">
        <v>0.28327727887382548</v>
      </c>
      <c r="AF44" s="69"/>
      <c r="AG44" s="445"/>
      <c r="AH44" s="445"/>
      <c r="AI44" s="71"/>
      <c r="AJ44" s="404"/>
      <c r="AK44" s="479" t="str">
        <f t="shared" si="15"/>
        <v>(c) Human Papillomavirus Vaccine Grant</v>
      </c>
      <c r="AL44" s="405">
        <f t="shared" si="16"/>
        <v>0</v>
      </c>
      <c r="AM44" s="406">
        <f t="shared" si="17"/>
        <v>9116</v>
      </c>
      <c r="AN44" s="407">
        <f t="shared" si="18"/>
        <v>9116</v>
      </c>
      <c r="AO44" s="407">
        <f t="shared" si="19"/>
        <v>-5359</v>
      </c>
      <c r="AP44" s="405">
        <f t="shared" si="20"/>
        <v>3757</v>
      </c>
      <c r="AQ44" s="408"/>
      <c r="AR44" s="409">
        <f t="shared" si="21"/>
        <v>-5307</v>
      </c>
      <c r="AS44" s="407">
        <f t="shared" si="22"/>
        <v>-5307</v>
      </c>
      <c r="AT44" s="407"/>
      <c r="AU44" s="407">
        <f t="shared" si="23"/>
        <v>-15313</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135235</v>
      </c>
      <c r="E45" s="199">
        <f t="shared" si="60"/>
        <v>88057</v>
      </c>
      <c r="F45" s="497">
        <v>223292</v>
      </c>
      <c r="G45" s="497">
        <v>0</v>
      </c>
      <c r="H45" s="96">
        <f t="shared" si="61"/>
        <v>223292</v>
      </c>
      <c r="I45" s="217"/>
      <c r="J45" s="499">
        <v>223292</v>
      </c>
      <c r="K45" s="497">
        <v>223292</v>
      </c>
      <c r="L45" s="59"/>
      <c r="M45" s="497">
        <v>224520</v>
      </c>
      <c r="N45" s="172">
        <f t="shared" si="59"/>
        <v>1.0054995252852768</v>
      </c>
      <c r="O45" s="60"/>
      <c r="P45" s="56"/>
      <c r="Q45" s="56"/>
      <c r="R45"/>
      <c r="S45" s="57"/>
      <c r="T45" s="58" t="str">
        <f t="shared" si="62"/>
        <v>(d) Human Resources Capacitation Grant</v>
      </c>
      <c r="U45" s="96">
        <v>135235</v>
      </c>
      <c r="V45" s="199">
        <v>0</v>
      </c>
      <c r="W45" s="59">
        <v>135235</v>
      </c>
      <c r="X45" s="59">
        <v>0</v>
      </c>
      <c r="Y45" s="96">
        <v>135235</v>
      </c>
      <c r="Z45" s="217"/>
      <c r="AA45" s="102">
        <v>67615</v>
      </c>
      <c r="AB45" s="59">
        <v>67615</v>
      </c>
      <c r="AC45" s="59"/>
      <c r="AD45" s="59">
        <v>80018</v>
      </c>
      <c r="AE45" s="172">
        <v>0.59169593670277665</v>
      </c>
      <c r="AF45" s="60"/>
      <c r="AG45" s="443"/>
      <c r="AH45" s="443"/>
      <c r="AI45"/>
      <c r="AJ45" s="394"/>
      <c r="AK45" s="479" t="str">
        <f t="shared" si="15"/>
        <v>(d) Human Resources Capacitation Grant</v>
      </c>
      <c r="AL45" s="396">
        <f t="shared" si="16"/>
        <v>0</v>
      </c>
      <c r="AM45" s="397">
        <f t="shared" si="17"/>
        <v>-88057</v>
      </c>
      <c r="AN45" s="398">
        <f t="shared" si="18"/>
        <v>-88057</v>
      </c>
      <c r="AO45" s="398">
        <f t="shared" si="19"/>
        <v>0</v>
      </c>
      <c r="AP45" s="396">
        <f t="shared" si="20"/>
        <v>-88057</v>
      </c>
      <c r="AQ45" s="399"/>
      <c r="AR45" s="400">
        <f t="shared" si="21"/>
        <v>-155677</v>
      </c>
      <c r="AS45" s="398">
        <f t="shared" si="22"/>
        <v>-155677</v>
      </c>
      <c r="AT45" s="398"/>
      <c r="AU45" s="398">
        <f t="shared" si="23"/>
        <v>-144502</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53758</v>
      </c>
      <c r="F46" s="497">
        <v>53758</v>
      </c>
      <c r="G46" s="497">
        <v>0</v>
      </c>
      <c r="H46" s="96">
        <f t="shared" ref="H46" si="63">SUM(F46:G46)</f>
        <v>53758</v>
      </c>
      <c r="I46" s="217"/>
      <c r="J46" s="499">
        <v>53758</v>
      </c>
      <c r="K46" s="497">
        <v>53758</v>
      </c>
      <c r="L46" s="59"/>
      <c r="M46" s="497">
        <v>53579</v>
      </c>
      <c r="N46" s="172">
        <f>IFERROR(M46/H46,0)</f>
        <v>0.99667026303061867</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-53758</v>
      </c>
      <c r="AN46" s="398">
        <f t="shared" si="18"/>
        <v>-53758</v>
      </c>
      <c r="AO46" s="398">
        <f t="shared" si="19"/>
        <v>0</v>
      </c>
      <c r="AP46" s="396">
        <f t="shared" si="20"/>
        <v>-53758</v>
      </c>
      <c r="AQ46" s="399"/>
      <c r="AR46" s="400">
        <f t="shared" si="21"/>
        <v>-53758</v>
      </c>
      <c r="AS46" s="398">
        <f t="shared" si="22"/>
        <v>-53758</v>
      </c>
      <c r="AT46" s="398"/>
      <c r="AU46" s="398">
        <f t="shared" si="23"/>
        <v>-53579</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5320613</v>
      </c>
      <c r="E48" s="198">
        <f t="shared" ref="E48:K48" si="64">SUM(E49+E50)</f>
        <v>-250000</v>
      </c>
      <c r="F48" s="54">
        <f t="shared" si="64"/>
        <v>5070613</v>
      </c>
      <c r="G48" s="54">
        <f t="shared" si="64"/>
        <v>53716</v>
      </c>
      <c r="H48" s="95">
        <f t="shared" si="64"/>
        <v>5124329</v>
      </c>
      <c r="I48" s="216">
        <f t="shared" si="64"/>
        <v>0</v>
      </c>
      <c r="J48" s="101">
        <f t="shared" si="64"/>
        <v>5070613</v>
      </c>
      <c r="K48" s="54">
        <f t="shared" si="64"/>
        <v>5070613</v>
      </c>
      <c r="L48" s="54"/>
      <c r="M48" s="54">
        <f>SUM(M49+M50)</f>
        <v>4933446</v>
      </c>
      <c r="N48" s="183">
        <f t="shared" ref="N48:N50" si="65">IFERROR(M48/H48,0)</f>
        <v>0.96274965951639713</v>
      </c>
      <c r="O48" s="63"/>
      <c r="P48" s="64"/>
      <c r="Q48" s="64"/>
      <c r="R48"/>
      <c r="S48" s="62"/>
      <c r="T48" s="51" t="str">
        <f>C48</f>
        <v>Human Settlements (Vote 38)</v>
      </c>
      <c r="U48" s="95">
        <v>5320613</v>
      </c>
      <c r="V48" s="198">
        <v>0</v>
      </c>
      <c r="W48" s="54">
        <v>5320613</v>
      </c>
      <c r="X48" s="54">
        <v>0</v>
      </c>
      <c r="Y48" s="95">
        <v>5320613</v>
      </c>
      <c r="Z48" s="216"/>
      <c r="AA48" s="101">
        <v>2114589</v>
      </c>
      <c r="AB48" s="54">
        <v>2114589.1749999998</v>
      </c>
      <c r="AC48" s="54"/>
      <c r="AD48" s="54">
        <v>2118830</v>
      </c>
      <c r="AE48" s="183">
        <v>0.39823042946367271</v>
      </c>
      <c r="AF48" s="63"/>
      <c r="AG48" s="444"/>
      <c r="AH48" s="444"/>
      <c r="AI48" s="73"/>
      <c r="AJ48" s="402"/>
      <c r="AK48" s="481" t="str">
        <f t="shared" si="15"/>
        <v>Human Settlements (Vote 38)</v>
      </c>
      <c r="AL48" s="388">
        <f t="shared" si="16"/>
        <v>0</v>
      </c>
      <c r="AM48" s="389">
        <f t="shared" si="17"/>
        <v>250000</v>
      </c>
      <c r="AN48" s="390">
        <f t="shared" si="18"/>
        <v>250000</v>
      </c>
      <c r="AO48" s="390">
        <f t="shared" si="19"/>
        <v>-53716</v>
      </c>
      <c r="AP48" s="388">
        <f t="shared" si="20"/>
        <v>196284</v>
      </c>
      <c r="AQ48" s="391"/>
      <c r="AR48" s="392">
        <f t="shared" si="21"/>
        <v>-2956024</v>
      </c>
      <c r="AS48" s="390">
        <f t="shared" si="22"/>
        <v>-2956023.8250000002</v>
      </c>
      <c r="AT48" s="390"/>
      <c r="AU48" s="390">
        <f t="shared" si="23"/>
        <v>-2814616</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5164409</v>
      </c>
      <c r="E49" s="199">
        <f t="shared" ref="E49:E50" si="66">SUM(F49-D49)</f>
        <v>-250000</v>
      </c>
      <c r="F49" s="497">
        <v>4914409</v>
      </c>
      <c r="G49" s="497">
        <v>49371</v>
      </c>
      <c r="H49" s="96">
        <f t="shared" ref="H49:H50" si="67">SUM(F49:G49)</f>
        <v>4963780</v>
      </c>
      <c r="I49" s="217"/>
      <c r="J49" s="499">
        <v>4914409</v>
      </c>
      <c r="K49" s="497">
        <v>4914409</v>
      </c>
      <c r="L49" s="59"/>
      <c r="M49" s="497">
        <v>4857246</v>
      </c>
      <c r="N49" s="172">
        <f t="shared" si="65"/>
        <v>0.9785377272965361</v>
      </c>
      <c r="O49" s="60"/>
      <c r="R49"/>
      <c r="S49" s="57"/>
      <c r="T49" s="58" t="str">
        <f t="shared" ref="T49:T53" si="68">C49</f>
        <v>(a) Human Settlements Development Grant</v>
      </c>
      <c r="U49" s="96">
        <v>5164409</v>
      </c>
      <c r="V49" s="199">
        <v>0</v>
      </c>
      <c r="W49" s="59">
        <v>5164409</v>
      </c>
      <c r="X49" s="59">
        <v>0</v>
      </c>
      <c r="Y49" s="96">
        <v>5164409</v>
      </c>
      <c r="Z49" s="217"/>
      <c r="AA49" s="102">
        <v>2053479</v>
      </c>
      <c r="AB49" s="59">
        <v>2053479.175</v>
      </c>
      <c r="AC49" s="59"/>
      <c r="AD49" s="59">
        <v>2091228</v>
      </c>
      <c r="AE49" s="172">
        <v>0.4049307481262619</v>
      </c>
      <c r="AF49" s="60"/>
      <c r="AG49" s="443"/>
      <c r="AH49" s="443"/>
      <c r="AI49" s="61"/>
      <c r="AJ49" s="394"/>
      <c r="AK49" s="479" t="str">
        <f t="shared" si="15"/>
        <v>(a) Human Settlements Development Grant</v>
      </c>
      <c r="AL49" s="396">
        <f t="shared" si="16"/>
        <v>0</v>
      </c>
      <c r="AM49" s="397">
        <f t="shared" si="17"/>
        <v>250000</v>
      </c>
      <c r="AN49" s="398">
        <f t="shared" si="18"/>
        <v>250000</v>
      </c>
      <c r="AO49" s="398">
        <f t="shared" si="19"/>
        <v>-49371</v>
      </c>
      <c r="AP49" s="396">
        <f t="shared" si="20"/>
        <v>200629</v>
      </c>
      <c r="AQ49" s="399"/>
      <c r="AR49" s="400">
        <f t="shared" si="21"/>
        <v>-2860930</v>
      </c>
      <c r="AS49" s="398">
        <f t="shared" si="22"/>
        <v>-2860929.8250000002</v>
      </c>
      <c r="AT49" s="398"/>
      <c r="AU49" s="398">
        <f t="shared" si="23"/>
        <v>-2766018</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156204</v>
      </c>
      <c r="E50" s="199">
        <f t="shared" si="66"/>
        <v>0</v>
      </c>
      <c r="F50" s="497">
        <v>156204</v>
      </c>
      <c r="G50" s="497">
        <v>4345</v>
      </c>
      <c r="H50" s="96">
        <f t="shared" si="67"/>
        <v>160549</v>
      </c>
      <c r="I50" s="217"/>
      <c r="J50" s="499">
        <v>156204</v>
      </c>
      <c r="K50" s="497">
        <v>156204</v>
      </c>
      <c r="L50" s="59"/>
      <c r="M50" s="497">
        <v>76200</v>
      </c>
      <c r="N50" s="172">
        <f t="shared" si="65"/>
        <v>0.47462145513207804</v>
      </c>
      <c r="O50" s="60"/>
      <c r="P50" s="56"/>
      <c r="Q50" s="56"/>
      <c r="R50"/>
      <c r="S50" s="57"/>
      <c r="T50" s="58" t="str">
        <f t="shared" si="68"/>
        <v>(b) Title Deeds Restoriation Grant</v>
      </c>
      <c r="U50" s="96">
        <v>156204</v>
      </c>
      <c r="V50" s="199">
        <v>0</v>
      </c>
      <c r="W50" s="59">
        <v>156204</v>
      </c>
      <c r="X50" s="59">
        <v>0</v>
      </c>
      <c r="Y50" s="96">
        <v>156204</v>
      </c>
      <c r="Z50" s="217"/>
      <c r="AA50" s="102">
        <v>61110</v>
      </c>
      <c r="AB50" s="59">
        <v>61110</v>
      </c>
      <c r="AC50" s="59"/>
      <c r="AD50" s="59">
        <v>27602</v>
      </c>
      <c r="AE50" s="172">
        <v>0.17670482189956724</v>
      </c>
      <c r="AF50" s="60"/>
      <c r="AG50" s="443"/>
      <c r="AH50" s="443"/>
      <c r="AI50"/>
      <c r="AJ50" s="394"/>
      <c r="AK50" s="479" t="str">
        <f t="shared" si="15"/>
        <v>(b) Title Deeds Restoriation Grant</v>
      </c>
      <c r="AL50" s="396">
        <f t="shared" si="16"/>
        <v>0</v>
      </c>
      <c r="AM50" s="397">
        <f t="shared" si="17"/>
        <v>0</v>
      </c>
      <c r="AN50" s="398">
        <f t="shared" si="18"/>
        <v>0</v>
      </c>
      <c r="AO50" s="398">
        <f t="shared" si="19"/>
        <v>-4345</v>
      </c>
      <c r="AP50" s="396">
        <f t="shared" si="20"/>
        <v>-4345</v>
      </c>
      <c r="AQ50" s="399"/>
      <c r="AR50" s="400">
        <f t="shared" si="21"/>
        <v>-95094</v>
      </c>
      <c r="AS50" s="398">
        <f t="shared" si="22"/>
        <v>-95094</v>
      </c>
      <c r="AT50" s="398"/>
      <c r="AU50" s="398">
        <f t="shared" si="23"/>
        <v>-48598</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104864</v>
      </c>
      <c r="E55" s="198">
        <f t="shared" ref="E55:K55" si="72">SUM(E56+E57)</f>
        <v>0</v>
      </c>
      <c r="F55" s="54">
        <f t="shared" si="72"/>
        <v>104864</v>
      </c>
      <c r="G55" s="54">
        <f t="shared" si="72"/>
        <v>0</v>
      </c>
      <c r="H55" s="95">
        <f t="shared" si="72"/>
        <v>104864</v>
      </c>
      <c r="I55" s="216">
        <f t="shared" si="72"/>
        <v>0</v>
      </c>
      <c r="J55" s="101">
        <f t="shared" si="72"/>
        <v>104864</v>
      </c>
      <c r="K55" s="54">
        <f t="shared" si="72"/>
        <v>104864</v>
      </c>
      <c r="L55" s="54"/>
      <c r="M55" s="54">
        <f>SUM(M56+M57)</f>
        <v>102867</v>
      </c>
      <c r="N55" s="183">
        <f t="shared" ref="N55:N57" si="73">IFERROR(M55/H55,0)</f>
        <v>0.98095628623741227</v>
      </c>
      <c r="O55" s="63"/>
      <c r="P55" s="64"/>
      <c r="Q55" s="64"/>
      <c r="R55"/>
      <c r="S55" s="62"/>
      <c r="T55" s="51" t="str">
        <f>C55</f>
        <v>Public Works (Vote 11)</v>
      </c>
      <c r="U55" s="95">
        <v>104864</v>
      </c>
      <c r="V55" s="198">
        <v>0</v>
      </c>
      <c r="W55" s="54">
        <v>104864</v>
      </c>
      <c r="X55" s="54">
        <v>0</v>
      </c>
      <c r="Y55" s="95">
        <v>104864</v>
      </c>
      <c r="Z55" s="216"/>
      <c r="AA55" s="101">
        <v>73405</v>
      </c>
      <c r="AB55" s="54">
        <v>58702</v>
      </c>
      <c r="AC55" s="54"/>
      <c r="AD55" s="54">
        <v>46607</v>
      </c>
      <c r="AE55" s="183">
        <v>0.44445186145865123</v>
      </c>
      <c r="AF55" s="63"/>
      <c r="AG55" s="444"/>
      <c r="AH55" s="444"/>
      <c r="AI55"/>
      <c r="AJ55" s="402"/>
      <c r="AK55" s="481" t="str">
        <f t="shared" si="15"/>
        <v>Public Works (Vote 11)</v>
      </c>
      <c r="AL55" s="388">
        <f t="shared" si="16"/>
        <v>0</v>
      </c>
      <c r="AM55" s="389">
        <f t="shared" si="17"/>
        <v>0</v>
      </c>
      <c r="AN55" s="390">
        <f t="shared" si="18"/>
        <v>0</v>
      </c>
      <c r="AO55" s="390">
        <f t="shared" si="19"/>
        <v>0</v>
      </c>
      <c r="AP55" s="388">
        <f t="shared" si="20"/>
        <v>0</v>
      </c>
      <c r="AQ55" s="391"/>
      <c r="AR55" s="392">
        <f t="shared" si="21"/>
        <v>-31459</v>
      </c>
      <c r="AS55" s="390">
        <f t="shared" si="22"/>
        <v>-46162</v>
      </c>
      <c r="AT55" s="390"/>
      <c r="AU55" s="390">
        <f t="shared" si="23"/>
        <v>-56260</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51518</v>
      </c>
      <c r="E56" s="199">
        <f t="shared" ref="E56:E57" si="74">SUM(F56-D56)</f>
        <v>0</v>
      </c>
      <c r="F56" s="497">
        <v>51518</v>
      </c>
      <c r="G56" s="497">
        <v>0</v>
      </c>
      <c r="H56" s="96">
        <f t="shared" ref="H56:H57" si="75">SUM(F56:G56)</f>
        <v>51518</v>
      </c>
      <c r="I56" s="217"/>
      <c r="J56" s="499">
        <v>51518</v>
      </c>
      <c r="K56" s="497">
        <v>51518</v>
      </c>
      <c r="L56" s="59"/>
      <c r="M56" s="497">
        <v>50821</v>
      </c>
      <c r="N56" s="172">
        <f t="shared" si="73"/>
        <v>0.98647074808804691</v>
      </c>
      <c r="O56" s="60"/>
      <c r="P56" s="56"/>
      <c r="Q56" s="56"/>
      <c r="R56"/>
      <c r="S56" s="57"/>
      <c r="T56" s="58" t="str">
        <f t="shared" ref="T56:T60" si="76">C56</f>
        <v>(a) Expanded Public Works Programme Integrated Grant for Provinces</v>
      </c>
      <c r="U56" s="96">
        <v>51518</v>
      </c>
      <c r="V56" s="199">
        <v>0</v>
      </c>
      <c r="W56" s="59">
        <v>51518</v>
      </c>
      <c r="X56" s="59">
        <v>0</v>
      </c>
      <c r="Y56" s="96">
        <v>51518</v>
      </c>
      <c r="Z56" s="217"/>
      <c r="AA56" s="102">
        <v>36063</v>
      </c>
      <c r="AB56" s="59">
        <v>21360</v>
      </c>
      <c r="AC56" s="59"/>
      <c r="AD56" s="59">
        <v>20364</v>
      </c>
      <c r="AE56" s="172">
        <v>0.39527931984937303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-15455</v>
      </c>
      <c r="AS56" s="398">
        <f t="shared" si="22"/>
        <v>-30158</v>
      </c>
      <c r="AT56" s="398"/>
      <c r="AU56" s="398">
        <f t="shared" si="23"/>
        <v>-30457</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53346</v>
      </c>
      <c r="E57" s="199">
        <f t="shared" si="74"/>
        <v>0</v>
      </c>
      <c r="F57" s="497">
        <v>53346</v>
      </c>
      <c r="G57" s="497">
        <v>0</v>
      </c>
      <c r="H57" s="96">
        <f t="shared" si="75"/>
        <v>53346</v>
      </c>
      <c r="I57" s="217"/>
      <c r="J57" s="499">
        <v>53346</v>
      </c>
      <c r="K57" s="497">
        <v>53346</v>
      </c>
      <c r="L57" s="59"/>
      <c r="M57" s="497">
        <v>52046</v>
      </c>
      <c r="N57" s="172">
        <f t="shared" si="73"/>
        <v>0.97563078768792411</v>
      </c>
      <c r="O57" s="60"/>
      <c r="P57" s="56"/>
      <c r="Q57" s="56"/>
      <c r="R57"/>
      <c r="S57" s="57"/>
      <c r="T57" s="58" t="str">
        <f t="shared" si="76"/>
        <v>(b) Social Sector Expanded Public Works Programme Incentive Grant for Provinces</v>
      </c>
      <c r="U57" s="96">
        <v>53346</v>
      </c>
      <c r="V57" s="199">
        <v>0</v>
      </c>
      <c r="W57" s="59">
        <v>53346</v>
      </c>
      <c r="X57" s="59">
        <v>0</v>
      </c>
      <c r="Y57" s="96">
        <v>53346</v>
      </c>
      <c r="Z57" s="217"/>
      <c r="AA57" s="102">
        <v>37342</v>
      </c>
      <c r="AB57" s="59">
        <v>37342</v>
      </c>
      <c r="AC57" s="59"/>
      <c r="AD57" s="59">
        <v>26243</v>
      </c>
      <c r="AE57" s="172">
        <v>0.49193941438908262</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-16004</v>
      </c>
      <c r="AS57" s="398">
        <f t="shared" si="22"/>
        <v>-16004</v>
      </c>
      <c r="AT57" s="398"/>
      <c r="AU57" s="398">
        <f t="shared" si="23"/>
        <v>-25803</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68097</v>
      </c>
      <c r="E62" s="198">
        <f t="shared" ref="E62:K62" si="79">SUM(E63)</f>
        <v>0</v>
      </c>
      <c r="F62" s="54">
        <f t="shared" si="79"/>
        <v>68097</v>
      </c>
      <c r="G62" s="54">
        <f t="shared" si="79"/>
        <v>0</v>
      </c>
      <c r="H62" s="95">
        <f t="shared" si="79"/>
        <v>68097</v>
      </c>
      <c r="I62" s="216">
        <f t="shared" si="79"/>
        <v>0</v>
      </c>
      <c r="J62" s="101">
        <f t="shared" si="79"/>
        <v>68097</v>
      </c>
      <c r="K62" s="54">
        <f t="shared" si="79"/>
        <v>68097</v>
      </c>
      <c r="L62" s="54"/>
      <c r="M62" s="54">
        <f>SUM(M63)</f>
        <v>62766</v>
      </c>
      <c r="N62" s="183">
        <f t="shared" ref="N62:N63" si="80">IFERROR(M62/H62,0)</f>
        <v>0.92171461297854529</v>
      </c>
      <c r="O62" s="63"/>
      <c r="P62" s="64"/>
      <c r="Q62" s="64"/>
      <c r="R62"/>
      <c r="S62" s="62"/>
      <c r="T62" s="51" t="str">
        <f>C62</f>
        <v>Social Development (Vote 17)</v>
      </c>
      <c r="U62" s="95">
        <v>68097</v>
      </c>
      <c r="V62" s="198">
        <v>0</v>
      </c>
      <c r="W62" s="54">
        <v>68097</v>
      </c>
      <c r="X62" s="54">
        <v>0</v>
      </c>
      <c r="Y62" s="95">
        <v>68097</v>
      </c>
      <c r="Z62" s="216"/>
      <c r="AA62" s="101">
        <v>32896</v>
      </c>
      <c r="AB62" s="54">
        <v>32896</v>
      </c>
      <c r="AC62" s="54"/>
      <c r="AD62" s="54">
        <v>28118</v>
      </c>
      <c r="AE62" s="183">
        <v>0.41291099461062897</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-35201</v>
      </c>
      <c r="AS62" s="390">
        <f t="shared" si="22"/>
        <v>-35201</v>
      </c>
      <c r="AT62" s="390"/>
      <c r="AU62" s="390">
        <f t="shared" si="23"/>
        <v>-34648</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68097</v>
      </c>
      <c r="E63" s="199">
        <f>SUM(F63-D63)</f>
        <v>0</v>
      </c>
      <c r="F63" s="497">
        <v>68097</v>
      </c>
      <c r="G63" s="497">
        <v>0</v>
      </c>
      <c r="H63" s="96">
        <f>SUM(F63:G63)</f>
        <v>68097</v>
      </c>
      <c r="I63" s="217"/>
      <c r="J63" s="499">
        <v>68097</v>
      </c>
      <c r="K63" s="497">
        <v>68097</v>
      </c>
      <c r="L63" s="59"/>
      <c r="M63" s="497">
        <v>62766</v>
      </c>
      <c r="N63" s="172">
        <f t="shared" si="80"/>
        <v>0.92171461297854529</v>
      </c>
      <c r="O63" s="33"/>
      <c r="P63" s="21"/>
      <c r="Q63" s="21"/>
      <c r="R63"/>
      <c r="S63" s="57"/>
      <c r="T63" s="58" t="str">
        <f t="shared" ref="T63:T67" si="81">C63</f>
        <v>Early Childhood Development Grant</v>
      </c>
      <c r="U63" s="96">
        <v>68097</v>
      </c>
      <c r="V63" s="199">
        <v>0</v>
      </c>
      <c r="W63" s="59">
        <v>68097</v>
      </c>
      <c r="X63" s="59">
        <v>0</v>
      </c>
      <c r="Y63" s="96">
        <v>68097</v>
      </c>
      <c r="Z63" s="217"/>
      <c r="AA63" s="102">
        <v>32896</v>
      </c>
      <c r="AB63" s="59">
        <v>32896</v>
      </c>
      <c r="AC63" s="59"/>
      <c r="AD63" s="59">
        <v>28118</v>
      </c>
      <c r="AE63" s="172">
        <v>0.41291099461062897</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-35201</v>
      </c>
      <c r="AS63" s="398">
        <f t="shared" si="22"/>
        <v>-35201</v>
      </c>
      <c r="AT63" s="398"/>
      <c r="AU63" s="398">
        <f t="shared" si="23"/>
        <v>-34648</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92223</v>
      </c>
      <c r="E69" s="198">
        <f t="shared" ref="E69:K69" si="85">SUM(E70)</f>
        <v>0</v>
      </c>
      <c r="F69" s="54">
        <f t="shared" si="85"/>
        <v>92223</v>
      </c>
      <c r="G69" s="54">
        <f t="shared" si="85"/>
        <v>0</v>
      </c>
      <c r="H69" s="95">
        <f t="shared" si="85"/>
        <v>92223</v>
      </c>
      <c r="I69" s="216">
        <f t="shared" si="85"/>
        <v>0</v>
      </c>
      <c r="J69" s="101">
        <f t="shared" si="85"/>
        <v>92223</v>
      </c>
      <c r="K69" s="54">
        <f t="shared" si="85"/>
        <v>92223</v>
      </c>
      <c r="L69" s="54"/>
      <c r="M69" s="54">
        <f>SUM(M70)</f>
        <v>82755</v>
      </c>
      <c r="N69" s="183">
        <f t="shared" ref="N69:N70" si="86">IFERROR(M69/H69,0)</f>
        <v>0.8973358056016395</v>
      </c>
      <c r="O69" s="63"/>
      <c r="P69" s="64"/>
      <c r="Q69" s="64"/>
      <c r="R69"/>
      <c r="S69" s="62"/>
      <c r="T69" s="51" t="str">
        <f>C69</f>
        <v>Sport and Recreation South Africa (Vote 40)</v>
      </c>
      <c r="U69" s="95">
        <v>92223</v>
      </c>
      <c r="V69" s="198">
        <v>0</v>
      </c>
      <c r="W69" s="54">
        <v>92223</v>
      </c>
      <c r="X69" s="54">
        <v>0</v>
      </c>
      <c r="Y69" s="95">
        <v>92223</v>
      </c>
      <c r="Z69" s="216"/>
      <c r="AA69" s="101">
        <v>46112</v>
      </c>
      <c r="AB69" s="54">
        <v>46112</v>
      </c>
      <c r="AC69" s="59"/>
      <c r="AD69" s="54">
        <v>34914</v>
      </c>
      <c r="AE69" s="172">
        <v>0.37858234930548779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-46111</v>
      </c>
      <c r="AS69" s="390">
        <f t="shared" si="22"/>
        <v>-46111</v>
      </c>
      <c r="AT69" s="398"/>
      <c r="AU69" s="390">
        <f t="shared" si="23"/>
        <v>-47841</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92223</v>
      </c>
      <c r="E70" s="199">
        <f>SUM(F70-D70)</f>
        <v>0</v>
      </c>
      <c r="F70" s="497">
        <v>92223</v>
      </c>
      <c r="G70" s="497">
        <v>0</v>
      </c>
      <c r="H70" s="96">
        <f>SUM(F70:G70)</f>
        <v>92223</v>
      </c>
      <c r="I70" s="217"/>
      <c r="J70" s="499">
        <v>92223</v>
      </c>
      <c r="K70" s="497">
        <v>92223</v>
      </c>
      <c r="L70" s="59"/>
      <c r="M70" s="497">
        <v>82755</v>
      </c>
      <c r="N70" s="172">
        <f t="shared" si="86"/>
        <v>0.8973358056016395</v>
      </c>
      <c r="O70" s="60"/>
      <c r="P70" s="56"/>
      <c r="Q70" s="56"/>
      <c r="R70"/>
      <c r="S70" s="57"/>
      <c r="T70" s="58" t="str">
        <f t="shared" ref="T70:T74" si="87">C70</f>
        <v>Mass Participation and Sport Development Grant</v>
      </c>
      <c r="U70" s="96">
        <v>92223</v>
      </c>
      <c r="V70" s="199">
        <v>0</v>
      </c>
      <c r="W70" s="59">
        <v>92223</v>
      </c>
      <c r="X70" s="59">
        <v>0</v>
      </c>
      <c r="Y70" s="96">
        <v>92223</v>
      </c>
      <c r="Z70" s="217"/>
      <c r="AA70" s="102">
        <v>46112</v>
      </c>
      <c r="AB70" s="59">
        <v>46112</v>
      </c>
      <c r="AC70" s="59"/>
      <c r="AD70" s="59">
        <v>34914</v>
      </c>
      <c r="AE70" s="183">
        <v>0.37858234930548779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-46111</v>
      </c>
      <c r="AS70" s="398">
        <f t="shared" si="22"/>
        <v>-46111</v>
      </c>
      <c r="AT70" s="398"/>
      <c r="AU70" s="398">
        <f t="shared" si="23"/>
        <v>-47841</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12646657</v>
      </c>
      <c r="E76" s="201">
        <f t="shared" ref="E76:K76" si="90">SUM(E13+E20+E27+E34+E41+E48+E55+E62+E69)</f>
        <v>-118952</v>
      </c>
      <c r="F76" s="75">
        <f t="shared" si="90"/>
        <v>12527705</v>
      </c>
      <c r="G76" s="75">
        <f t="shared" si="90"/>
        <v>69611</v>
      </c>
      <c r="H76" s="98">
        <f t="shared" si="90"/>
        <v>12597316</v>
      </c>
      <c r="I76" s="219">
        <f t="shared" si="90"/>
        <v>0</v>
      </c>
      <c r="J76" s="104">
        <f t="shared" si="90"/>
        <v>12527705</v>
      </c>
      <c r="K76" s="75">
        <f t="shared" si="90"/>
        <v>12526570</v>
      </c>
      <c r="L76" s="59"/>
      <c r="M76" s="75">
        <f>SUM(M13+M20+M27+M34+M41+M48+M55+M62+M69)</f>
        <v>12123776</v>
      </c>
      <c r="N76" s="180">
        <f>IFERROR(M76/H76,0)</f>
        <v>0.96240945293425995</v>
      </c>
      <c r="O76" s="60"/>
      <c r="P76" s="65"/>
      <c r="Q76" s="65"/>
      <c r="R76"/>
      <c r="S76" s="53"/>
      <c r="T76" s="74" t="s">
        <v>37</v>
      </c>
      <c r="U76" s="98">
        <v>12646657</v>
      </c>
      <c r="V76" s="201">
        <v>0</v>
      </c>
      <c r="W76" s="75">
        <v>12646657</v>
      </c>
      <c r="X76" s="75">
        <v>0</v>
      </c>
      <c r="Y76" s="98">
        <v>12646657</v>
      </c>
      <c r="Z76" s="219">
        <v>0</v>
      </c>
      <c r="AA76" s="104">
        <v>5841624</v>
      </c>
      <c r="AB76" s="75">
        <v>5826921.1749999998</v>
      </c>
      <c r="AC76" s="59"/>
      <c r="AD76" s="75">
        <v>5449343</v>
      </c>
      <c r="AE76" s="180">
        <v>0.43089197406081309</v>
      </c>
      <c r="AF76" s="60"/>
      <c r="AG76" s="443"/>
      <c r="AH76" s="443"/>
      <c r="AI76"/>
      <c r="AJ76" s="387"/>
      <c r="AK76" s="411" t="str">
        <f t="shared" si="15"/>
        <v>Sub-Total</v>
      </c>
      <c r="AL76" s="412">
        <f t="shared" si="16"/>
        <v>0</v>
      </c>
      <c r="AM76" s="413">
        <f t="shared" si="17"/>
        <v>118952</v>
      </c>
      <c r="AN76" s="414">
        <f t="shared" si="18"/>
        <v>118952</v>
      </c>
      <c r="AO76" s="414">
        <f t="shared" si="19"/>
        <v>-69611</v>
      </c>
      <c r="AP76" s="412">
        <f t="shared" si="20"/>
        <v>49341</v>
      </c>
      <c r="AQ76" s="415"/>
      <c r="AR76" s="416">
        <f t="shared" si="21"/>
        <v>-6686081</v>
      </c>
      <c r="AS76" s="414">
        <f t="shared" si="22"/>
        <v>-6699648.8250000002</v>
      </c>
      <c r="AT76" s="398"/>
      <c r="AU76" s="414">
        <f t="shared" si="23"/>
        <v>-6674433</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1474715</v>
      </c>
      <c r="E80" s="198">
        <f t="shared" ref="E80:K80" si="91">SUM(E81)</f>
        <v>-184339</v>
      </c>
      <c r="F80" s="54">
        <f t="shared" si="91"/>
        <v>1290376</v>
      </c>
      <c r="G80" s="54">
        <f t="shared" si="91"/>
        <v>0</v>
      </c>
      <c r="H80" s="95">
        <f t="shared" si="91"/>
        <v>1290376</v>
      </c>
      <c r="I80" s="216">
        <f t="shared" si="91"/>
        <v>0</v>
      </c>
      <c r="J80" s="101">
        <f t="shared" si="91"/>
        <v>1290376</v>
      </c>
      <c r="K80" s="54">
        <f t="shared" si="91"/>
        <v>1290376</v>
      </c>
      <c r="L80" s="54"/>
      <c r="M80" s="76"/>
      <c r="N80" s="439"/>
      <c r="O80" s="55"/>
      <c r="R80"/>
      <c r="S80" s="62"/>
      <c r="T80" s="51" t="str">
        <f>C80</f>
        <v>Basic Education (Vote 14)</v>
      </c>
      <c r="U80" s="95">
        <v>1474715</v>
      </c>
      <c r="V80" s="198">
        <v>0</v>
      </c>
      <c r="W80" s="54">
        <v>1474715</v>
      </c>
      <c r="X80" s="54">
        <v>0</v>
      </c>
      <c r="Y80" s="95">
        <v>1474715</v>
      </c>
      <c r="Z80" s="216"/>
      <c r="AA80" s="101">
        <v>921697</v>
      </c>
      <c r="AB80" s="54">
        <v>921697</v>
      </c>
      <c r="AC80" s="59"/>
      <c r="AD80" s="54"/>
      <c r="AE80" s="54"/>
      <c r="AF80" s="55"/>
      <c r="AG80" s="442"/>
      <c r="AH80" s="442"/>
      <c r="AI80"/>
      <c r="AJ80" s="402"/>
      <c r="AK80" s="481" t="str">
        <f t="shared" si="15"/>
        <v>Basic Education (Vote 14)</v>
      </c>
      <c r="AL80" s="388">
        <f t="shared" si="16"/>
        <v>0</v>
      </c>
      <c r="AM80" s="389">
        <f t="shared" si="17"/>
        <v>184339</v>
      </c>
      <c r="AN80" s="390">
        <f t="shared" si="18"/>
        <v>184339</v>
      </c>
      <c r="AO80" s="390">
        <f t="shared" si="19"/>
        <v>0</v>
      </c>
      <c r="AP80" s="388">
        <f t="shared" si="20"/>
        <v>184339</v>
      </c>
      <c r="AQ80" s="391"/>
      <c r="AR80" s="392">
        <f t="shared" si="21"/>
        <v>-368679</v>
      </c>
      <c r="AS80" s="390">
        <f t="shared" si="22"/>
        <v>-368679</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1474715</v>
      </c>
      <c r="E81" s="199">
        <f>SUM(F81-D81)</f>
        <v>-184339</v>
      </c>
      <c r="F81" s="497">
        <v>1290376</v>
      </c>
      <c r="G81" s="497">
        <v>0</v>
      </c>
      <c r="H81" s="96">
        <f>SUM(F81:G81)</f>
        <v>1290376</v>
      </c>
      <c r="I81" s="217"/>
      <c r="J81" s="499">
        <v>1290376</v>
      </c>
      <c r="K81" s="497">
        <v>1290376</v>
      </c>
      <c r="L81" s="59"/>
      <c r="M81" s="76"/>
      <c r="N81" s="439"/>
      <c r="O81" s="33"/>
      <c r="R81"/>
      <c r="S81" s="57"/>
      <c r="T81" s="58" t="str">
        <f t="shared" ref="T81:T85" si="92">C81</f>
        <v>Education Infrastructure Grant</v>
      </c>
      <c r="U81" s="96">
        <v>1474715</v>
      </c>
      <c r="V81" s="199">
        <v>0</v>
      </c>
      <c r="W81" s="59">
        <v>1474715</v>
      </c>
      <c r="X81" s="59">
        <v>0</v>
      </c>
      <c r="Y81" s="96">
        <v>1474715</v>
      </c>
      <c r="Z81" s="217"/>
      <c r="AA81" s="102">
        <v>921697</v>
      </c>
      <c r="AB81" s="59">
        <v>921697</v>
      </c>
      <c r="AC81" s="59"/>
      <c r="AD81" s="76"/>
      <c r="AE81" s="76"/>
      <c r="AF81" s="33"/>
      <c r="AG81" s="441"/>
      <c r="AH81" s="441"/>
      <c r="AI81"/>
      <c r="AJ81" s="394"/>
      <c r="AK81" s="479" t="str">
        <f t="shared" si="15"/>
        <v>Education Infrastructure Grant</v>
      </c>
      <c r="AL81" s="396">
        <f t="shared" si="16"/>
        <v>0</v>
      </c>
      <c r="AM81" s="397">
        <f t="shared" si="17"/>
        <v>184339</v>
      </c>
      <c r="AN81" s="398">
        <f t="shared" si="18"/>
        <v>184339</v>
      </c>
      <c r="AO81" s="398">
        <f t="shared" si="19"/>
        <v>0</v>
      </c>
      <c r="AP81" s="396">
        <f t="shared" si="20"/>
        <v>184339</v>
      </c>
      <c r="AQ81" s="399"/>
      <c r="AR81" s="400">
        <f t="shared" si="21"/>
        <v>-368679</v>
      </c>
      <c r="AS81" s="398">
        <f t="shared" si="22"/>
        <v>-368679</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5752083</v>
      </c>
      <c r="E87" s="198">
        <f t="shared" ref="E87:K87" si="104">SUM(E88+E89)</f>
        <v>0</v>
      </c>
      <c r="F87" s="54">
        <f t="shared" si="104"/>
        <v>5752083</v>
      </c>
      <c r="G87" s="54">
        <f t="shared" si="104"/>
        <v>285444</v>
      </c>
      <c r="H87" s="95">
        <f t="shared" si="104"/>
        <v>6037527</v>
      </c>
      <c r="I87" s="216">
        <f t="shared" si="104"/>
        <v>0</v>
      </c>
      <c r="J87" s="101">
        <f t="shared" si="104"/>
        <v>5752083</v>
      </c>
      <c r="K87" s="54">
        <f t="shared" si="104"/>
        <v>5752083</v>
      </c>
      <c r="L87" s="59"/>
      <c r="M87" s="591"/>
      <c r="N87" s="439"/>
      <c r="O87" s="55"/>
      <c r="R87"/>
      <c r="S87" s="62"/>
      <c r="T87" s="51" t="str">
        <f>C87</f>
        <v>Health (Vote 16)</v>
      </c>
      <c r="U87" s="95">
        <v>5752083</v>
      </c>
      <c r="V87" s="198">
        <v>0</v>
      </c>
      <c r="W87" s="54">
        <v>5752083</v>
      </c>
      <c r="X87" s="54">
        <v>0</v>
      </c>
      <c r="Y87" s="95">
        <v>5752083</v>
      </c>
      <c r="Z87" s="216"/>
      <c r="AA87" s="101">
        <v>3076034</v>
      </c>
      <c r="AB87" s="54">
        <v>3076034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-285444</v>
      </c>
      <c r="AP87" s="388">
        <f t="shared" si="100"/>
        <v>-285444</v>
      </c>
      <c r="AQ87" s="391"/>
      <c r="AR87" s="392">
        <f t="shared" si="101"/>
        <v>-2676049</v>
      </c>
      <c r="AS87" s="390">
        <f t="shared" si="102"/>
        <v>-2676049</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1027240</v>
      </c>
      <c r="E88" s="199">
        <f t="shared" ref="E88:E89" si="105">SUM(F88-D88)</f>
        <v>0</v>
      </c>
      <c r="F88" s="497">
        <v>1027240</v>
      </c>
      <c r="G88" s="497">
        <v>33239</v>
      </c>
      <c r="H88" s="96">
        <f t="shared" ref="H88:H89" si="106">SUM(F88:G88)</f>
        <v>1060479</v>
      </c>
      <c r="I88" s="217"/>
      <c r="J88" s="499">
        <v>1027240</v>
      </c>
      <c r="K88" s="497">
        <v>1027240</v>
      </c>
      <c r="L88" s="59"/>
      <c r="M88" s="76"/>
      <c r="N88" s="439"/>
      <c r="O88" s="33"/>
      <c r="P88" s="21"/>
      <c r="Q88" s="21"/>
      <c r="R88"/>
      <c r="S88" s="57"/>
      <c r="T88" s="58" t="str">
        <f t="shared" ref="T88:T92" si="107">C88</f>
        <v>(a) Health Professions Training and Development Grant</v>
      </c>
      <c r="U88" s="96">
        <v>1027240</v>
      </c>
      <c r="V88" s="199">
        <v>0</v>
      </c>
      <c r="W88" s="59">
        <v>1027240</v>
      </c>
      <c r="X88" s="59">
        <v>0</v>
      </c>
      <c r="Y88" s="96">
        <v>1027240</v>
      </c>
      <c r="Z88" s="217"/>
      <c r="AA88" s="102">
        <v>513618</v>
      </c>
      <c r="AB88" s="59">
        <v>513618</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-33239</v>
      </c>
      <c r="AP88" s="396">
        <f t="shared" si="100"/>
        <v>-33239</v>
      </c>
      <c r="AQ88" s="399"/>
      <c r="AR88" s="400">
        <f t="shared" si="101"/>
        <v>-513622</v>
      </c>
      <c r="AS88" s="398">
        <f t="shared" si="102"/>
        <v>-513622</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4724843</v>
      </c>
      <c r="E89" s="199">
        <f t="shared" si="105"/>
        <v>0</v>
      </c>
      <c r="F89" s="497">
        <v>4724843</v>
      </c>
      <c r="G89" s="497">
        <v>252205</v>
      </c>
      <c r="H89" s="96">
        <f t="shared" si="106"/>
        <v>4977048</v>
      </c>
      <c r="I89" s="217"/>
      <c r="J89" s="499">
        <v>4724843</v>
      </c>
      <c r="K89" s="497">
        <v>4724843</v>
      </c>
      <c r="L89" s="59"/>
      <c r="M89" s="76"/>
      <c r="N89" s="439"/>
      <c r="O89" s="33"/>
      <c r="S89" s="57"/>
      <c r="T89" s="58" t="str">
        <f t="shared" si="107"/>
        <v>(b) National Tertiary Services Grant</v>
      </c>
      <c r="U89" s="96">
        <v>4724843</v>
      </c>
      <c r="V89" s="199">
        <v>0</v>
      </c>
      <c r="W89" s="59">
        <v>4724843</v>
      </c>
      <c r="X89" s="59">
        <v>0</v>
      </c>
      <c r="Y89" s="96">
        <v>4724843</v>
      </c>
      <c r="Z89" s="217"/>
      <c r="AA89" s="102">
        <v>2562416</v>
      </c>
      <c r="AB89" s="59">
        <v>2562416</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-252205</v>
      </c>
      <c r="AP89" s="396">
        <f t="shared" si="100"/>
        <v>-252205</v>
      </c>
      <c r="AQ89" s="399"/>
      <c r="AR89" s="400">
        <f t="shared" si="101"/>
        <v>-2162427</v>
      </c>
      <c r="AS89" s="398">
        <f t="shared" si="102"/>
        <v>-2162427</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3203580</v>
      </c>
      <c r="E101" s="198">
        <f t="shared" ref="E101:K101" si="113">SUM(E102+E103)</f>
        <v>0</v>
      </c>
      <c r="F101" s="54">
        <f t="shared" si="113"/>
        <v>3203580</v>
      </c>
      <c r="G101" s="54">
        <f t="shared" si="113"/>
        <v>0</v>
      </c>
      <c r="H101" s="95">
        <f t="shared" si="113"/>
        <v>3203580</v>
      </c>
      <c r="I101" s="216">
        <f t="shared" si="113"/>
        <v>0</v>
      </c>
      <c r="J101" s="101">
        <f t="shared" si="113"/>
        <v>3203580</v>
      </c>
      <c r="K101" s="54">
        <f t="shared" si="113"/>
        <v>3203580</v>
      </c>
      <c r="L101" s="59"/>
      <c r="M101" s="591"/>
      <c r="N101" s="439"/>
      <c r="O101" s="55"/>
      <c r="R101"/>
      <c r="S101" s="62"/>
      <c r="T101" s="51" t="str">
        <f>C101</f>
        <v>Transport (Vote 35)</v>
      </c>
      <c r="U101" s="95">
        <v>3203580</v>
      </c>
      <c r="V101" s="198">
        <v>0</v>
      </c>
      <c r="W101" s="54">
        <v>3203580</v>
      </c>
      <c r="X101" s="54">
        <v>0</v>
      </c>
      <c r="Y101" s="95">
        <v>3203580</v>
      </c>
      <c r="Z101" s="216"/>
      <c r="AA101" s="101">
        <v>1127392</v>
      </c>
      <c r="AB101" s="54">
        <v>1337848</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-2076188</v>
      </c>
      <c r="AS101" s="390">
        <f t="shared" si="102"/>
        <v>-1865732</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767506</v>
      </c>
      <c r="E102" s="199">
        <f t="shared" ref="E102:E103" si="114">SUM(F102-D102)</f>
        <v>0</v>
      </c>
      <c r="F102" s="497">
        <v>767506</v>
      </c>
      <c r="G102" s="497">
        <v>0</v>
      </c>
      <c r="H102" s="96">
        <f t="shared" ref="H102:H103" si="115">SUM(F102:G102)</f>
        <v>767506</v>
      </c>
      <c r="I102" s="217"/>
      <c r="J102" s="499">
        <v>767506</v>
      </c>
      <c r="K102" s="497">
        <v>767506</v>
      </c>
      <c r="L102" s="59"/>
      <c r="M102" s="76"/>
      <c r="N102" s="439"/>
      <c r="O102" s="33"/>
      <c r="S102" s="57"/>
      <c r="T102" s="58" t="str">
        <f t="shared" ref="T102:T106" si="116">C102</f>
        <v>(a) Provincial Roads Maintenance Grant</v>
      </c>
      <c r="U102" s="96">
        <v>767506</v>
      </c>
      <c r="V102" s="199">
        <v>0</v>
      </c>
      <c r="W102" s="59">
        <v>767506</v>
      </c>
      <c r="X102" s="59">
        <v>0</v>
      </c>
      <c r="Y102" s="96">
        <v>767506</v>
      </c>
      <c r="Z102" s="217"/>
      <c r="AA102" s="102">
        <v>446625</v>
      </c>
      <c r="AB102" s="59">
        <v>446625</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-320881</v>
      </c>
      <c r="AS102" s="398">
        <f t="shared" si="102"/>
        <v>-320881</v>
      </c>
      <c r="AT102" s="398"/>
      <c r="AU102" s="417">
        <f t="shared" si="103"/>
        <v>0</v>
      </c>
      <c r="AV102" s="417"/>
      <c r="AW102" s="347"/>
    </row>
    <row r="103" spans="1:82" ht="15.75" customHeight="1" x14ac:dyDescent="0.3">
      <c r="B103" s="57"/>
      <c r="C103" s="58" t="s">
        <v>44</v>
      </c>
      <c r="D103" s="496">
        <v>2436074</v>
      </c>
      <c r="E103" s="199">
        <f t="shared" si="114"/>
        <v>0</v>
      </c>
      <c r="F103" s="497">
        <v>2436074</v>
      </c>
      <c r="G103" s="497">
        <v>0</v>
      </c>
      <c r="H103" s="96">
        <f t="shared" si="115"/>
        <v>2436074</v>
      </c>
      <c r="I103" s="217"/>
      <c r="J103" s="499">
        <v>2436074</v>
      </c>
      <c r="K103" s="497">
        <v>2436074</v>
      </c>
      <c r="L103" s="59"/>
      <c r="M103" s="76"/>
      <c r="N103" s="439"/>
      <c r="O103" s="33"/>
      <c r="S103" s="57"/>
      <c r="T103" s="58" t="str">
        <f t="shared" si="116"/>
        <v>(b) Public Transport Operations Grant</v>
      </c>
      <c r="U103" s="96">
        <v>2436074</v>
      </c>
      <c r="V103" s="199">
        <v>0</v>
      </c>
      <c r="W103" s="59">
        <v>2436074</v>
      </c>
      <c r="X103" s="59">
        <v>0</v>
      </c>
      <c r="Y103" s="96">
        <v>2436074</v>
      </c>
      <c r="Z103" s="217"/>
      <c r="AA103" s="102">
        <v>680767</v>
      </c>
      <c r="AB103" s="59">
        <v>891223</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-1755307</v>
      </c>
      <c r="AS103" s="398">
        <f t="shared" si="102"/>
        <v>-1544851</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10430378</v>
      </c>
      <c r="E108" s="201">
        <f t="shared" ref="E108:K108" si="119">SUM(E80+E87+E101)</f>
        <v>-184339</v>
      </c>
      <c r="F108" s="75">
        <f t="shared" si="119"/>
        <v>10246039</v>
      </c>
      <c r="G108" s="75">
        <f t="shared" si="119"/>
        <v>285444</v>
      </c>
      <c r="H108" s="98">
        <f t="shared" si="119"/>
        <v>10531483</v>
      </c>
      <c r="I108" s="219">
        <f t="shared" si="119"/>
        <v>0</v>
      </c>
      <c r="J108" s="104">
        <f t="shared" si="119"/>
        <v>10246039</v>
      </c>
      <c r="K108" s="75">
        <f t="shared" si="119"/>
        <v>10246039</v>
      </c>
      <c r="L108" s="59"/>
      <c r="M108" s="77"/>
      <c r="N108" s="440"/>
      <c r="O108" s="55"/>
      <c r="R108"/>
      <c r="S108" s="53"/>
      <c r="T108" s="74" t="s">
        <v>37</v>
      </c>
      <c r="U108" s="98">
        <v>10430378</v>
      </c>
      <c r="V108" s="201">
        <v>0</v>
      </c>
      <c r="W108" s="75">
        <v>10430378</v>
      </c>
      <c r="X108" s="75">
        <v>0</v>
      </c>
      <c r="Y108" s="98">
        <v>10430378</v>
      </c>
      <c r="Z108" s="219"/>
      <c r="AA108" s="104">
        <v>5125123</v>
      </c>
      <c r="AB108" s="75">
        <v>5335579</v>
      </c>
      <c r="AC108" s="59"/>
      <c r="AD108" s="77"/>
      <c r="AE108" s="77"/>
      <c r="AF108" s="55"/>
      <c r="AG108" s="442"/>
      <c r="AH108" s="442"/>
      <c r="AI108"/>
      <c r="AJ108" s="387"/>
      <c r="AK108" s="411" t="str">
        <f t="shared" si="95"/>
        <v>Sub-Total</v>
      </c>
      <c r="AL108" s="412">
        <f t="shared" si="96"/>
        <v>0</v>
      </c>
      <c r="AM108" s="413">
        <f t="shared" si="97"/>
        <v>184339</v>
      </c>
      <c r="AN108" s="414">
        <f t="shared" si="98"/>
        <v>184339</v>
      </c>
      <c r="AO108" s="414">
        <f t="shared" si="99"/>
        <v>-285444</v>
      </c>
      <c r="AP108" s="412">
        <f t="shared" si="100"/>
        <v>-101105</v>
      </c>
      <c r="AQ108" s="415"/>
      <c r="AR108" s="416">
        <f t="shared" si="101"/>
        <v>-5120916</v>
      </c>
      <c r="AS108" s="414">
        <f t="shared" si="102"/>
        <v>-4910460</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23077035</v>
      </c>
      <c r="E124" s="202">
        <f t="shared" ref="E124:K124" si="127">SUM(E76+E108+E122)</f>
        <v>-303291</v>
      </c>
      <c r="F124" s="81">
        <f t="shared" si="127"/>
        <v>22773744</v>
      </c>
      <c r="G124" s="81">
        <f t="shared" si="127"/>
        <v>355055</v>
      </c>
      <c r="H124" s="80">
        <f t="shared" si="127"/>
        <v>23128799</v>
      </c>
      <c r="I124" s="220">
        <f t="shared" si="127"/>
        <v>0</v>
      </c>
      <c r="J124" s="106">
        <f t="shared" si="127"/>
        <v>22773744</v>
      </c>
      <c r="K124" s="81">
        <f t="shared" si="127"/>
        <v>22772609</v>
      </c>
      <c r="L124" s="59"/>
      <c r="M124" s="82"/>
      <c r="N124" s="440"/>
      <c r="O124" s="55"/>
      <c r="R124"/>
      <c r="S124" s="78"/>
      <c r="T124" s="79" t="s">
        <v>4</v>
      </c>
      <c r="U124" s="80">
        <v>23077035</v>
      </c>
      <c r="V124" s="202">
        <v>0</v>
      </c>
      <c r="W124" s="81">
        <v>23077035</v>
      </c>
      <c r="X124" s="81">
        <v>0</v>
      </c>
      <c r="Y124" s="80">
        <v>23077035</v>
      </c>
      <c r="Z124" s="220"/>
      <c r="AA124" s="106">
        <v>10966747</v>
      </c>
      <c r="AB124" s="81">
        <v>11162500.175000001</v>
      </c>
      <c r="AC124" s="59"/>
      <c r="AD124" s="82"/>
      <c r="AE124" s="82"/>
      <c r="AF124" s="55"/>
      <c r="AG124" s="442"/>
      <c r="AH124" s="442"/>
      <c r="AI124"/>
      <c r="AJ124" s="420"/>
      <c r="AK124" s="421" t="str">
        <f t="shared" si="95"/>
        <v>Total</v>
      </c>
      <c r="AL124" s="422">
        <f t="shared" si="96"/>
        <v>0</v>
      </c>
      <c r="AM124" s="423">
        <f t="shared" si="97"/>
        <v>303291</v>
      </c>
      <c r="AN124" s="424">
        <f t="shared" si="98"/>
        <v>303291</v>
      </c>
      <c r="AO124" s="424">
        <f t="shared" si="99"/>
        <v>-355055</v>
      </c>
      <c r="AP124" s="422">
        <f t="shared" si="100"/>
        <v>-51764</v>
      </c>
      <c r="AQ124" s="425"/>
      <c r="AR124" s="426">
        <f t="shared" si="101"/>
        <v>-11806997</v>
      </c>
      <c r="AS124" s="424">
        <f t="shared" si="102"/>
        <v>-11610108.824999999</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hZ76i/ICH7Vabe1ccgGTWoPhZsGbbKLxn+Lz2kQcDOiR9r/0pyDXcAdZ53KfoUH6YuPVjxFUNs8o2fXba/KQrw==" saltValue="5c5bvGCaV1wKy0C5fbpuKg=="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170</v>
      </c>
      <c r="D4" s="8"/>
      <c r="E4" s="8"/>
      <c r="F4" s="8"/>
      <c r="G4" s="8"/>
      <c r="H4" s="8"/>
      <c r="I4" s="8"/>
      <c r="J4" s="8"/>
      <c r="K4" s="8"/>
      <c r="L4" s="8"/>
      <c r="M4" s="8"/>
      <c r="N4" s="8"/>
      <c r="O4" s="11"/>
      <c r="P4"/>
      <c r="Q4"/>
      <c r="R4"/>
      <c r="S4" s="6"/>
      <c r="T4" s="10" t="str">
        <f>C4</f>
        <v>KWAZULU-NATAL PROVINCE</v>
      </c>
      <c r="U4" s="8"/>
      <c r="V4" s="8"/>
      <c r="W4" s="8"/>
      <c r="X4" s="8"/>
      <c r="Y4" s="8"/>
      <c r="Z4" s="8"/>
      <c r="AA4" s="8"/>
      <c r="AB4" s="8"/>
      <c r="AC4" s="8"/>
      <c r="AD4" s="8"/>
      <c r="AE4" s="8"/>
      <c r="AF4" s="11"/>
      <c r="AG4"/>
      <c r="AH4"/>
      <c r="AI4"/>
      <c r="AJ4" s="234"/>
      <c r="AK4" s="238" t="str">
        <f>C4</f>
        <v>KWAZULU-NATAL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127151161</v>
      </c>
      <c r="E12" s="152">
        <f>SUM(E13:E14)</f>
        <v>455890</v>
      </c>
      <c r="F12" s="153">
        <f>SUM(F13:F14)</f>
        <v>127607051</v>
      </c>
      <c r="G12" s="152"/>
      <c r="H12" s="154">
        <f>SUM(H13:H14)</f>
        <v>31840845</v>
      </c>
      <c r="I12" s="155">
        <f>SUM(I13:I14)</f>
        <v>31996835</v>
      </c>
      <c r="J12" s="155">
        <f>SUM(J13:J14)</f>
        <v>31975665</v>
      </c>
      <c r="K12" s="155">
        <f>SUM(K13:K14)</f>
        <v>31793706</v>
      </c>
      <c r="L12" s="156"/>
      <c r="M12" s="155">
        <f t="shared" ref="M12" si="0">SUM(M13:M14)</f>
        <v>127607051</v>
      </c>
      <c r="N12" s="183">
        <f>IFERROR(M12/F12,0)</f>
        <v>1</v>
      </c>
      <c r="O12" s="158"/>
      <c r="P12" s="594"/>
      <c r="Q12"/>
      <c r="R12"/>
      <c r="S12" s="119"/>
      <c r="T12" s="151" t="str">
        <f>C12</f>
        <v>Transfers from National Revenue Fund</v>
      </c>
      <c r="U12" s="152">
        <v>127151161</v>
      </c>
      <c r="V12" s="152">
        <v>0</v>
      </c>
      <c r="W12" s="153">
        <v>127151161</v>
      </c>
      <c r="X12" s="152"/>
      <c r="Y12" s="154">
        <v>31992088.156999998</v>
      </c>
      <c r="Z12" s="155">
        <v>31996835</v>
      </c>
      <c r="AA12" s="155">
        <v>0</v>
      </c>
      <c r="AB12" s="155">
        <v>0</v>
      </c>
      <c r="AC12" s="156"/>
      <c r="AD12" s="155">
        <v>63988923.156999998</v>
      </c>
      <c r="AE12" s="172">
        <v>0.5032507973482051</v>
      </c>
      <c r="AF12" s="144"/>
      <c r="AG12" s="118"/>
      <c r="AH12"/>
      <c r="AI12"/>
      <c r="AJ12" s="248"/>
      <c r="AK12" s="284" t="s">
        <v>8</v>
      </c>
      <c r="AL12" s="285">
        <f>SUM(AL13:AL14)</f>
        <v>0</v>
      </c>
      <c r="AM12" s="285">
        <f>SUM(AM13:AM14)</f>
        <v>-455890</v>
      </c>
      <c r="AN12" s="286">
        <f>SUM(AN13:AN14)</f>
        <v>-455890</v>
      </c>
      <c r="AO12" s="285"/>
      <c r="AP12" s="287">
        <f>SUM(AP13:AP14)</f>
        <v>151243.15699999966</v>
      </c>
      <c r="AQ12" s="288">
        <f t="shared" ref="AQ12:AS12" si="1">SUM(AQ13:AQ14)</f>
        <v>0</v>
      </c>
      <c r="AR12" s="288">
        <f t="shared" si="1"/>
        <v>-31975665</v>
      </c>
      <c r="AS12" s="288">
        <f t="shared" si="1"/>
        <v>-31793706</v>
      </c>
      <c r="AT12" s="289"/>
      <c r="AU12" s="288">
        <f t="shared" ref="AU12" si="2">SUM(AU13:AU14)</f>
        <v>-63618127.843000002</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106014289</v>
      </c>
      <c r="E13" s="482">
        <f>F13-D13</f>
        <v>0</v>
      </c>
      <c r="F13" s="483">
        <v>106014289</v>
      </c>
      <c r="G13" s="482"/>
      <c r="H13" s="484">
        <v>26503573</v>
      </c>
      <c r="I13" s="485">
        <v>26503572</v>
      </c>
      <c r="J13" s="485">
        <v>26503572</v>
      </c>
      <c r="K13" s="485">
        <v>26503572</v>
      </c>
      <c r="L13" s="150"/>
      <c r="M13" s="147">
        <f>SUM(H13:K13)</f>
        <v>106014289</v>
      </c>
      <c r="N13" s="172">
        <f t="shared" ref="N13:N14" si="3">IFERROR(M13/F13,0)</f>
        <v>1</v>
      </c>
      <c r="O13" s="158"/>
      <c r="P13" s="118"/>
      <c r="Q13"/>
      <c r="R13"/>
      <c r="S13" s="119"/>
      <c r="T13" s="157" t="str">
        <f t="shared" ref="T13:T15" si="4">C13</f>
        <v>Equitable share of revenue</v>
      </c>
      <c r="U13" s="146">
        <v>106014289</v>
      </c>
      <c r="V13" s="146">
        <v>0</v>
      </c>
      <c r="W13" s="148">
        <v>106014289</v>
      </c>
      <c r="X13" s="146"/>
      <c r="Y13" s="149">
        <v>26503573</v>
      </c>
      <c r="Z13" s="224">
        <v>26503572</v>
      </c>
      <c r="AA13" s="224"/>
      <c r="AB13" s="224"/>
      <c r="AC13" s="150"/>
      <c r="AD13" s="147">
        <v>53007145</v>
      </c>
      <c r="AE13" s="172">
        <v>0.50000000471634531</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-26503572</v>
      </c>
      <c r="AS13" s="283">
        <f t="shared" si="6"/>
        <v>-26503572</v>
      </c>
      <c r="AT13" s="280"/>
      <c r="AU13" s="283">
        <f t="shared" ref="AU13:AU15" si="7">IFERROR(AD13-M13,0)</f>
        <v>-53007144</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21136872</v>
      </c>
      <c r="E14" s="482">
        <f t="shared" ref="E14:E15" si="8">F14-D14</f>
        <v>455890</v>
      </c>
      <c r="F14" s="483">
        <v>21592762</v>
      </c>
      <c r="G14" s="486"/>
      <c r="H14" s="484">
        <v>5337272</v>
      </c>
      <c r="I14" s="485">
        <v>5493263</v>
      </c>
      <c r="J14" s="485">
        <v>5472093</v>
      </c>
      <c r="K14" s="485">
        <v>5290134</v>
      </c>
      <c r="L14" s="162"/>
      <c r="M14" s="147">
        <f t="shared" ref="M14:M15" si="9">SUM(H14:K14)</f>
        <v>21592762</v>
      </c>
      <c r="N14" s="172">
        <f t="shared" si="3"/>
        <v>1</v>
      </c>
      <c r="O14" s="163"/>
      <c r="P14" s="118"/>
      <c r="Q14"/>
      <c r="R14"/>
      <c r="S14" s="159"/>
      <c r="T14" s="160" t="str">
        <f t="shared" si="4"/>
        <v>Conditional grants</v>
      </c>
      <c r="U14" s="146">
        <v>21136872</v>
      </c>
      <c r="V14" s="146">
        <v>0</v>
      </c>
      <c r="W14" s="148">
        <v>21136872</v>
      </c>
      <c r="X14" s="161"/>
      <c r="Y14" s="149">
        <v>5488515.1569999997</v>
      </c>
      <c r="Z14" s="224">
        <v>5493263</v>
      </c>
      <c r="AA14" s="224"/>
      <c r="AB14" s="224"/>
      <c r="AC14" s="162"/>
      <c r="AD14" s="147">
        <v>10981778.157</v>
      </c>
      <c r="AE14" s="172">
        <v>0.51955550267797423</v>
      </c>
      <c r="AF14" s="163"/>
      <c r="AG14" s="118"/>
      <c r="AH14" s="61"/>
      <c r="AI14"/>
      <c r="AJ14" s="293"/>
      <c r="AK14" s="294" t="s">
        <v>72</v>
      </c>
      <c r="AL14" s="279">
        <f t="shared" si="5"/>
        <v>0</v>
      </c>
      <c r="AM14" s="279">
        <f t="shared" si="5"/>
        <v>-455890</v>
      </c>
      <c r="AN14" s="281">
        <f t="shared" si="5"/>
        <v>-455890</v>
      </c>
      <c r="AO14" s="295"/>
      <c r="AP14" s="282">
        <f t="shared" ref="AP14:AP15" si="10">IFERROR(Y14-H14,0)</f>
        <v>151243.15699999966</v>
      </c>
      <c r="AQ14" s="283">
        <f t="shared" si="6"/>
        <v>0</v>
      </c>
      <c r="AR14" s="283">
        <f t="shared" si="6"/>
        <v>-5472093</v>
      </c>
      <c r="AS14" s="283">
        <f t="shared" si="6"/>
        <v>-5290134</v>
      </c>
      <c r="AT14" s="296"/>
      <c r="AU14" s="283">
        <f t="shared" si="7"/>
        <v>-10610983.843</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3395167.9799999995</v>
      </c>
      <c r="E15" s="487">
        <f t="shared" si="8"/>
        <v>0</v>
      </c>
      <c r="F15" s="488">
        <v>3395167.9799999995</v>
      </c>
      <c r="G15" s="487"/>
      <c r="H15" s="489">
        <v>845179.84691000008</v>
      </c>
      <c r="I15" s="490">
        <v>1014344.0954199999</v>
      </c>
      <c r="J15" s="490">
        <v>973786.91450000019</v>
      </c>
      <c r="K15" s="490">
        <v>971901.30540999991</v>
      </c>
      <c r="L15" s="156"/>
      <c r="M15" s="155">
        <f t="shared" si="9"/>
        <v>3805212.16224</v>
      </c>
      <c r="N15" s="183">
        <f>IFERROR(M15/F15,0)</f>
        <v>1.1207728703426334</v>
      </c>
      <c r="O15" s="158"/>
      <c r="P15" s="594"/>
      <c r="Q15"/>
      <c r="R15"/>
      <c r="S15" s="119"/>
      <c r="T15" s="151" t="str">
        <f t="shared" si="4"/>
        <v>Provincial own receipts</v>
      </c>
      <c r="U15" s="152">
        <v>3395167.9799999995</v>
      </c>
      <c r="V15" s="152">
        <v>0</v>
      </c>
      <c r="W15" s="153">
        <v>3395167.9799999995</v>
      </c>
      <c r="X15" s="152"/>
      <c r="Y15" s="154">
        <v>845060.84691000008</v>
      </c>
      <c r="Z15" s="225">
        <v>1014346.0954199999</v>
      </c>
      <c r="AA15" s="225"/>
      <c r="AB15" s="225"/>
      <c r="AC15" s="156"/>
      <c r="AD15" s="155">
        <v>1859406.94233</v>
      </c>
      <c r="AE15" s="172">
        <v>0.54766272340080213</v>
      </c>
      <c r="AF15" s="158"/>
      <c r="AG15" s="118"/>
      <c r="AH15"/>
      <c r="AI15"/>
      <c r="AJ15" s="248"/>
      <c r="AK15" s="284" t="s">
        <v>9</v>
      </c>
      <c r="AL15" s="285">
        <f t="shared" si="5"/>
        <v>0</v>
      </c>
      <c r="AM15" s="285">
        <f t="shared" si="5"/>
        <v>0</v>
      </c>
      <c r="AN15" s="286">
        <f t="shared" si="5"/>
        <v>0</v>
      </c>
      <c r="AO15" s="285"/>
      <c r="AP15" s="287">
        <f t="shared" si="10"/>
        <v>-119</v>
      </c>
      <c r="AQ15" s="288">
        <f t="shared" si="6"/>
        <v>2</v>
      </c>
      <c r="AR15" s="288">
        <f t="shared" si="6"/>
        <v>-973786.91450000019</v>
      </c>
      <c r="AS15" s="288">
        <f t="shared" si="6"/>
        <v>-971901.30540999991</v>
      </c>
      <c r="AT15" s="289"/>
      <c r="AU15" s="288">
        <f t="shared" si="7"/>
        <v>-1945805.21991</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130546328.98</v>
      </c>
      <c r="E17" s="165">
        <f>E12+E15</f>
        <v>455890</v>
      </c>
      <c r="F17" s="166">
        <f t="shared" ref="F17:H17" si="12">F12+F15</f>
        <v>131002218.98</v>
      </c>
      <c r="G17" s="165">
        <f t="shared" si="12"/>
        <v>0</v>
      </c>
      <c r="H17" s="167">
        <f t="shared" si="12"/>
        <v>32686024.84691</v>
      </c>
      <c r="I17" s="437">
        <f t="shared" ref="I17" si="13">I12+I15</f>
        <v>33011179.095419999</v>
      </c>
      <c r="J17" s="437">
        <f t="shared" ref="J17:K17" si="14">J12+J15</f>
        <v>32949451.914500002</v>
      </c>
      <c r="K17" s="437">
        <f t="shared" si="14"/>
        <v>32765607.305410001</v>
      </c>
      <c r="L17" s="156"/>
      <c r="M17" s="168">
        <f t="shared" ref="M17" si="15">M12+M15</f>
        <v>131412263.16224</v>
      </c>
      <c r="N17" s="180">
        <f>IFERROR(M17/F17,0)</f>
        <v>1.0031300552420612</v>
      </c>
      <c r="O17" s="158"/>
      <c r="P17" s="594"/>
      <c r="Q17"/>
      <c r="R17"/>
      <c r="S17" s="119"/>
      <c r="T17" s="164" t="s">
        <v>10</v>
      </c>
      <c r="U17" s="165">
        <v>130546328.98</v>
      </c>
      <c r="V17" s="165">
        <v>0</v>
      </c>
      <c r="W17" s="166">
        <v>130546328.98</v>
      </c>
      <c r="X17" s="165">
        <v>0</v>
      </c>
      <c r="Y17" s="167">
        <v>32837149.003909998</v>
      </c>
      <c r="Z17" s="437">
        <v>33011181.095419999</v>
      </c>
      <c r="AA17" s="437">
        <v>0</v>
      </c>
      <c r="AB17" s="437" t="s">
        <v>52</v>
      </c>
      <c r="AC17" s="156"/>
      <c r="AD17" s="168">
        <v>65848330.099330001</v>
      </c>
      <c r="AE17" s="180">
        <v>0.50440583518375393</v>
      </c>
      <c r="AF17" s="158"/>
      <c r="AG17" s="118"/>
      <c r="AH17"/>
      <c r="AI17"/>
      <c r="AJ17" s="248"/>
      <c r="AK17" s="298" t="s">
        <v>10</v>
      </c>
      <c r="AL17" s="299">
        <f t="shared" ref="AL17:AS17" si="16">AL12+AL15</f>
        <v>0</v>
      </c>
      <c r="AM17" s="299">
        <f>AM12+AM15</f>
        <v>-455890</v>
      </c>
      <c r="AN17" s="300">
        <f t="shared" si="16"/>
        <v>-455890</v>
      </c>
      <c r="AO17" s="299">
        <f t="shared" si="16"/>
        <v>0</v>
      </c>
      <c r="AP17" s="301">
        <f t="shared" si="16"/>
        <v>151124.15699999966</v>
      </c>
      <c r="AQ17" s="302">
        <f t="shared" si="16"/>
        <v>2</v>
      </c>
      <c r="AR17" s="302">
        <f t="shared" si="16"/>
        <v>-32949451.914500002</v>
      </c>
      <c r="AS17" s="302">
        <f t="shared" si="16"/>
        <v>-32765607.305410001</v>
      </c>
      <c r="AT17" s="289"/>
      <c r="AU17" s="302">
        <f t="shared" ref="AU17" si="17">AU12+AU15</f>
        <v>-65563933.062910005</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54021515</v>
      </c>
      <c r="E20" s="491">
        <f t="shared" ref="E20:E39" si="18">F20-D20</f>
        <v>166837</v>
      </c>
      <c r="F20" s="483">
        <v>54188352</v>
      </c>
      <c r="G20" s="492"/>
      <c r="H20" s="484">
        <v>12587417</v>
      </c>
      <c r="I20" s="485">
        <v>14011834</v>
      </c>
      <c r="J20" s="485">
        <v>14295956</v>
      </c>
      <c r="K20" s="485">
        <v>13519379</v>
      </c>
      <c r="L20" s="156"/>
      <c r="M20" s="147">
        <f t="shared" ref="M20:M39" si="19">SUM(H20:K20)</f>
        <v>54414586</v>
      </c>
      <c r="N20" s="172">
        <f>IFERROR(M20/F20,0)</f>
        <v>1.0041749562710451</v>
      </c>
      <c r="O20" s="163"/>
      <c r="P20" s="118"/>
      <c r="Q20"/>
      <c r="R20"/>
      <c r="S20" s="159"/>
      <c r="T20" s="170" t="str">
        <f t="shared" ref="T20:T39" si="20">C20</f>
        <v>Education</v>
      </c>
      <c r="U20" s="146">
        <v>54021515</v>
      </c>
      <c r="V20" s="150">
        <v>0</v>
      </c>
      <c r="W20" s="148">
        <v>54021515</v>
      </c>
      <c r="X20" s="171"/>
      <c r="Y20" s="149">
        <v>12587417</v>
      </c>
      <c r="Z20" s="224">
        <v>14011834</v>
      </c>
      <c r="AA20" s="224"/>
      <c r="AB20" s="224"/>
      <c r="AC20" s="156"/>
      <c r="AD20" s="147">
        <v>26599251</v>
      </c>
      <c r="AE20" s="172">
        <v>0.49238254425111921</v>
      </c>
      <c r="AF20" s="163"/>
      <c r="AG20" s="118"/>
      <c r="AH20"/>
      <c r="AI20"/>
      <c r="AJ20" s="293"/>
      <c r="AK20" s="305" t="str">
        <f>C20</f>
        <v>Education</v>
      </c>
      <c r="AL20" s="279">
        <f t="shared" ref="AL20:AN33" si="21">IFERROR(U20-D20,0)</f>
        <v>0</v>
      </c>
      <c r="AM20" s="280">
        <f t="shared" si="21"/>
        <v>-166837</v>
      </c>
      <c r="AN20" s="281">
        <f t="shared" si="21"/>
        <v>-166837</v>
      </c>
      <c r="AO20" s="306"/>
      <c r="AP20" s="282">
        <f t="shared" ref="AP20:AS33" si="22">IFERROR(Y20-H20,0)</f>
        <v>0</v>
      </c>
      <c r="AQ20" s="283">
        <f t="shared" si="22"/>
        <v>0</v>
      </c>
      <c r="AR20" s="283">
        <f t="shared" si="22"/>
        <v>-14295956</v>
      </c>
      <c r="AS20" s="283">
        <f t="shared" si="22"/>
        <v>-13519379</v>
      </c>
      <c r="AT20" s="289"/>
      <c r="AU20" s="283">
        <f t="shared" ref="AU20:AU33" si="23">IFERROR(AD20-M20,0)</f>
        <v>-27815335</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45036978</v>
      </c>
      <c r="E21" s="491">
        <f t="shared" si="18"/>
        <v>114858</v>
      </c>
      <c r="F21" s="483">
        <v>45151836</v>
      </c>
      <c r="G21" s="487"/>
      <c r="H21" s="484">
        <v>10902238</v>
      </c>
      <c r="I21" s="485">
        <v>11017371</v>
      </c>
      <c r="J21" s="485">
        <v>11300781</v>
      </c>
      <c r="K21" s="485">
        <v>12011899</v>
      </c>
      <c r="L21" s="156"/>
      <c r="M21" s="147">
        <f t="shared" si="19"/>
        <v>45232289</v>
      </c>
      <c r="N21" s="172">
        <f t="shared" ref="N21:N39" si="25">IFERROR(M21/F21,0)</f>
        <v>1.0017818323046708</v>
      </c>
      <c r="O21" s="163"/>
      <c r="P21" s="118"/>
      <c r="Q21"/>
      <c r="R21"/>
      <c r="S21" s="159"/>
      <c r="T21" s="170" t="str">
        <f t="shared" si="20"/>
        <v>Health</v>
      </c>
      <c r="U21" s="146">
        <v>45036978</v>
      </c>
      <c r="V21" s="150">
        <v>0</v>
      </c>
      <c r="W21" s="148">
        <v>45036978</v>
      </c>
      <c r="X21" s="152"/>
      <c r="Y21" s="149">
        <v>10901079</v>
      </c>
      <c r="Z21" s="224">
        <v>11017371</v>
      </c>
      <c r="AA21" s="224"/>
      <c r="AB21" s="224"/>
      <c r="AC21" s="156"/>
      <c r="AD21" s="147">
        <v>21918450</v>
      </c>
      <c r="AE21" s="172">
        <v>0.48667674816014522</v>
      </c>
      <c r="AF21" s="163"/>
      <c r="AG21" s="118"/>
      <c r="AH21"/>
      <c r="AI21"/>
      <c r="AJ21" s="293"/>
      <c r="AK21" s="305" t="str">
        <f t="shared" ref="AK21:AK39" si="26">C21</f>
        <v>Health</v>
      </c>
      <c r="AL21" s="279">
        <f t="shared" si="21"/>
        <v>0</v>
      </c>
      <c r="AM21" s="280">
        <f t="shared" si="21"/>
        <v>-114858</v>
      </c>
      <c r="AN21" s="281">
        <f t="shared" si="21"/>
        <v>-114858</v>
      </c>
      <c r="AO21" s="285"/>
      <c r="AP21" s="282">
        <f t="shared" si="22"/>
        <v>-1159</v>
      </c>
      <c r="AQ21" s="283">
        <f t="shared" si="22"/>
        <v>0</v>
      </c>
      <c r="AR21" s="283">
        <f t="shared" si="22"/>
        <v>-11300781</v>
      </c>
      <c r="AS21" s="283">
        <f t="shared" si="22"/>
        <v>-12011899</v>
      </c>
      <c r="AT21" s="289"/>
      <c r="AU21" s="283">
        <f t="shared" si="23"/>
        <v>-23313839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3519143</v>
      </c>
      <c r="E22" s="491">
        <f t="shared" si="18"/>
        <v>56504</v>
      </c>
      <c r="F22" s="483">
        <v>3575647</v>
      </c>
      <c r="G22" s="492"/>
      <c r="H22" s="484">
        <v>831196</v>
      </c>
      <c r="I22" s="485">
        <v>856451</v>
      </c>
      <c r="J22" s="485">
        <v>908130</v>
      </c>
      <c r="K22" s="485">
        <v>946488</v>
      </c>
      <c r="L22" s="156"/>
      <c r="M22" s="147">
        <f t="shared" si="19"/>
        <v>3542265</v>
      </c>
      <c r="N22" s="172">
        <f t="shared" si="25"/>
        <v>0.99066406723035016</v>
      </c>
      <c r="O22" s="163"/>
      <c r="P22" s="118"/>
      <c r="S22" s="159"/>
      <c r="T22" s="170" t="str">
        <f t="shared" si="20"/>
        <v>Social Development</v>
      </c>
      <c r="U22" s="146">
        <v>3519143</v>
      </c>
      <c r="V22" s="150">
        <v>0</v>
      </c>
      <c r="W22" s="148">
        <v>3519143</v>
      </c>
      <c r="X22" s="171"/>
      <c r="Y22" s="149">
        <v>831248</v>
      </c>
      <c r="Z22" s="224">
        <v>856447</v>
      </c>
      <c r="AA22" s="224"/>
      <c r="AB22" s="224"/>
      <c r="AC22" s="156"/>
      <c r="AD22" s="147">
        <v>1687695</v>
      </c>
      <c r="AE22" s="172">
        <v>0.47957556711960836</v>
      </c>
      <c r="AF22" s="163"/>
      <c r="AG22" s="118"/>
      <c r="AJ22" s="293"/>
      <c r="AK22" s="305" t="str">
        <f t="shared" si="26"/>
        <v>Social Development</v>
      </c>
      <c r="AL22" s="279">
        <f t="shared" si="21"/>
        <v>0</v>
      </c>
      <c r="AM22" s="280">
        <f t="shared" si="21"/>
        <v>-56504</v>
      </c>
      <c r="AN22" s="281">
        <f t="shared" si="21"/>
        <v>-56504</v>
      </c>
      <c r="AO22" s="306"/>
      <c r="AP22" s="282">
        <f t="shared" si="22"/>
        <v>52</v>
      </c>
      <c r="AQ22" s="283">
        <f t="shared" si="22"/>
        <v>-4</v>
      </c>
      <c r="AR22" s="283">
        <f t="shared" si="22"/>
        <v>-908130</v>
      </c>
      <c r="AS22" s="283">
        <f t="shared" si="22"/>
        <v>-946488</v>
      </c>
      <c r="AT22" s="289"/>
      <c r="AU22" s="283">
        <f t="shared" si="23"/>
        <v>-1854570</v>
      </c>
      <c r="AV22" s="290"/>
      <c r="AW22" s="297"/>
      <c r="AX22" s="118"/>
    </row>
    <row r="23" spans="1:79" ht="15.75" customHeight="1" x14ac:dyDescent="0.3">
      <c r="A23" s="446">
        <f t="shared" si="24"/>
        <v>1</v>
      </c>
      <c r="B23" s="159"/>
      <c r="C23" s="500" t="str">
        <f>PROPER("OFFICE OF THE PREMIER")</f>
        <v>Office Of The Premier</v>
      </c>
      <c r="D23" s="482">
        <v>714004</v>
      </c>
      <c r="E23" s="491">
        <f t="shared" si="18"/>
        <v>968</v>
      </c>
      <c r="F23" s="483">
        <v>714972</v>
      </c>
      <c r="G23" s="493"/>
      <c r="H23" s="484">
        <v>187374</v>
      </c>
      <c r="I23" s="485">
        <v>157034</v>
      </c>
      <c r="J23" s="485">
        <v>151256</v>
      </c>
      <c r="K23" s="485">
        <v>177897</v>
      </c>
      <c r="L23" s="174"/>
      <c r="M23" s="147">
        <f t="shared" si="19"/>
        <v>673561</v>
      </c>
      <c r="N23" s="172">
        <f t="shared" si="25"/>
        <v>0.94208024929647594</v>
      </c>
      <c r="O23" s="163"/>
      <c r="P23" s="118"/>
      <c r="S23" s="159"/>
      <c r="T23" s="170" t="str">
        <f t="shared" si="20"/>
        <v>Office Of The Premier</v>
      </c>
      <c r="U23" s="146">
        <v>714004</v>
      </c>
      <c r="V23" s="150">
        <v>0</v>
      </c>
      <c r="W23" s="148">
        <v>714004</v>
      </c>
      <c r="X23" s="173"/>
      <c r="Y23" s="149">
        <v>187374</v>
      </c>
      <c r="Z23" s="224">
        <v>157034</v>
      </c>
      <c r="AA23" s="224"/>
      <c r="AB23" s="224"/>
      <c r="AC23" s="174"/>
      <c r="AD23" s="147">
        <v>344408</v>
      </c>
      <c r="AE23" s="172">
        <v>0.48236144335325853</v>
      </c>
      <c r="AF23" s="163"/>
      <c r="AG23" s="118"/>
      <c r="AJ23" s="293"/>
      <c r="AK23" s="305" t="str">
        <f t="shared" si="26"/>
        <v>Office Of The Premier</v>
      </c>
      <c r="AL23" s="279">
        <f t="shared" si="21"/>
        <v>0</v>
      </c>
      <c r="AM23" s="280">
        <f t="shared" si="21"/>
        <v>-968</v>
      </c>
      <c r="AN23" s="281">
        <f t="shared" si="21"/>
        <v>-968</v>
      </c>
      <c r="AO23" s="307"/>
      <c r="AP23" s="282">
        <f t="shared" si="22"/>
        <v>0</v>
      </c>
      <c r="AQ23" s="283">
        <f t="shared" si="22"/>
        <v>0</v>
      </c>
      <c r="AR23" s="283">
        <f t="shared" si="22"/>
        <v>-151256</v>
      </c>
      <c r="AS23" s="283">
        <f t="shared" si="22"/>
        <v>-177897</v>
      </c>
      <c r="AT23" s="308"/>
      <c r="AU23" s="283">
        <f t="shared" si="23"/>
        <v>-329153</v>
      </c>
      <c r="AV23" s="290"/>
      <c r="AW23" s="297"/>
      <c r="AX23" s="118"/>
    </row>
    <row r="24" spans="1:79" ht="15.75" customHeight="1" x14ac:dyDescent="0.3">
      <c r="A24" s="446">
        <f t="shared" si="24"/>
        <v>1</v>
      </c>
      <c r="B24" s="159"/>
      <c r="C24" s="500" t="str">
        <f>PROPER("PROVINCIAL LEGISLATURE")</f>
        <v>Provincial Legislature</v>
      </c>
      <c r="D24" s="482">
        <v>598756</v>
      </c>
      <c r="E24" s="491">
        <f t="shared" si="18"/>
        <v>72544</v>
      </c>
      <c r="F24" s="483">
        <v>671300</v>
      </c>
      <c r="G24" s="487"/>
      <c r="H24" s="484">
        <v>140009</v>
      </c>
      <c r="I24" s="485">
        <v>152763</v>
      </c>
      <c r="J24" s="485">
        <v>168146</v>
      </c>
      <c r="K24" s="485">
        <v>170113</v>
      </c>
      <c r="L24" s="156"/>
      <c r="M24" s="147">
        <f t="shared" si="19"/>
        <v>631031</v>
      </c>
      <c r="N24" s="172">
        <f t="shared" si="25"/>
        <v>0.94001340682258305</v>
      </c>
      <c r="O24" s="163"/>
      <c r="P24" s="118"/>
      <c r="S24" s="159"/>
      <c r="T24" s="170" t="str">
        <f t="shared" si="20"/>
        <v>Provincial Legislature</v>
      </c>
      <c r="U24" s="146">
        <v>598756</v>
      </c>
      <c r="V24" s="150">
        <v>0</v>
      </c>
      <c r="W24" s="148">
        <v>598756</v>
      </c>
      <c r="X24" s="152"/>
      <c r="Y24" s="149">
        <v>140009</v>
      </c>
      <c r="Z24" s="224">
        <v>152808</v>
      </c>
      <c r="AA24" s="224"/>
      <c r="AB24" s="224"/>
      <c r="AC24" s="156"/>
      <c r="AD24" s="147">
        <v>292817</v>
      </c>
      <c r="AE24" s="172">
        <v>0.48904228099593156</v>
      </c>
      <c r="AF24" s="163"/>
      <c r="AG24" s="118"/>
      <c r="AJ24" s="293"/>
      <c r="AK24" s="305" t="str">
        <f t="shared" si="26"/>
        <v>Provincial Legislature</v>
      </c>
      <c r="AL24" s="279">
        <f t="shared" si="21"/>
        <v>0</v>
      </c>
      <c r="AM24" s="280">
        <f t="shared" si="21"/>
        <v>-72544</v>
      </c>
      <c r="AN24" s="281">
        <f t="shared" si="21"/>
        <v>-72544</v>
      </c>
      <c r="AO24" s="285"/>
      <c r="AP24" s="282">
        <f t="shared" si="22"/>
        <v>0</v>
      </c>
      <c r="AQ24" s="283">
        <f t="shared" si="22"/>
        <v>45</v>
      </c>
      <c r="AR24" s="283">
        <f t="shared" si="22"/>
        <v>-168146</v>
      </c>
      <c r="AS24" s="283">
        <f t="shared" si="22"/>
        <v>-170113</v>
      </c>
      <c r="AT24" s="289"/>
      <c r="AU24" s="283">
        <f t="shared" si="23"/>
        <v>-338214</v>
      </c>
      <c r="AV24" s="290"/>
      <c r="AW24" s="297"/>
      <c r="AX24" s="118"/>
    </row>
    <row r="25" spans="1:79" ht="15.75" customHeight="1" x14ac:dyDescent="0.3">
      <c r="A25" s="446">
        <f t="shared" si="24"/>
        <v>1</v>
      </c>
      <c r="B25" s="159"/>
      <c r="C25" s="500" t="str">
        <f>PROPER("AGRICULTURE AND RURAL DEVELOPMENT")</f>
        <v>Agriculture And Rural Development</v>
      </c>
      <c r="D25" s="482">
        <v>2426941</v>
      </c>
      <c r="E25" s="491">
        <f t="shared" si="18"/>
        <v>161605</v>
      </c>
      <c r="F25" s="483">
        <v>2588546</v>
      </c>
      <c r="G25" s="487"/>
      <c r="H25" s="484">
        <v>488599</v>
      </c>
      <c r="I25" s="485">
        <v>518916</v>
      </c>
      <c r="J25" s="485">
        <v>586855</v>
      </c>
      <c r="K25" s="485">
        <v>894754</v>
      </c>
      <c r="L25" s="156"/>
      <c r="M25" s="147">
        <f t="shared" si="19"/>
        <v>2489124</v>
      </c>
      <c r="N25" s="172">
        <f t="shared" si="25"/>
        <v>0.96159156530345602</v>
      </c>
      <c r="O25" s="163"/>
      <c r="P25" s="118"/>
      <c r="S25" s="159"/>
      <c r="T25" s="170" t="str">
        <f t="shared" si="20"/>
        <v>Agriculture And Rural Development</v>
      </c>
      <c r="U25" s="146">
        <v>2426941</v>
      </c>
      <c r="V25" s="150">
        <v>0</v>
      </c>
      <c r="W25" s="148">
        <v>2426941</v>
      </c>
      <c r="X25" s="152"/>
      <c r="Y25" s="149">
        <v>488549</v>
      </c>
      <c r="Z25" s="224">
        <v>518916</v>
      </c>
      <c r="AA25" s="224"/>
      <c r="AB25" s="224"/>
      <c r="AC25" s="156"/>
      <c r="AD25" s="147">
        <v>1007465</v>
      </c>
      <c r="AE25" s="172">
        <v>0.41511721957806141</v>
      </c>
      <c r="AF25" s="163"/>
      <c r="AG25" s="118"/>
      <c r="AJ25" s="293"/>
      <c r="AK25" s="305" t="str">
        <f t="shared" si="26"/>
        <v>Agriculture And Rural Development</v>
      </c>
      <c r="AL25" s="279">
        <f t="shared" si="21"/>
        <v>0</v>
      </c>
      <c r="AM25" s="280">
        <f t="shared" si="21"/>
        <v>-161605</v>
      </c>
      <c r="AN25" s="281">
        <f t="shared" si="21"/>
        <v>-161605</v>
      </c>
      <c r="AO25" s="285"/>
      <c r="AP25" s="282">
        <f t="shared" si="22"/>
        <v>-50</v>
      </c>
      <c r="AQ25" s="283">
        <f t="shared" si="22"/>
        <v>0</v>
      </c>
      <c r="AR25" s="283">
        <f t="shared" si="22"/>
        <v>-586855</v>
      </c>
      <c r="AS25" s="283">
        <f t="shared" si="22"/>
        <v>-894754</v>
      </c>
      <c r="AT25" s="289"/>
      <c r="AU25" s="283">
        <f t="shared" si="23"/>
        <v>-1481659</v>
      </c>
      <c r="AV25" s="290"/>
      <c r="AW25" s="297"/>
      <c r="AX25" s="118"/>
    </row>
    <row r="26" spans="1:79" ht="15.75" customHeight="1" x14ac:dyDescent="0.3">
      <c r="A26" s="446">
        <f t="shared" si="24"/>
        <v>1</v>
      </c>
      <c r="B26" s="175"/>
      <c r="C26" s="500" t="str">
        <f>PROPER("ECONOMIC DEVELOPMENT, TOURISM AND ENVIRONMENTAL AFFAIRS")</f>
        <v>Economic Development, Tourism And Environmental Affairs</v>
      </c>
      <c r="D26" s="482">
        <v>3235092</v>
      </c>
      <c r="E26" s="491">
        <f t="shared" si="18"/>
        <v>10293</v>
      </c>
      <c r="F26" s="483">
        <v>3245385</v>
      </c>
      <c r="G26" s="494"/>
      <c r="H26" s="484">
        <v>677078</v>
      </c>
      <c r="I26" s="485">
        <v>643872</v>
      </c>
      <c r="J26" s="485">
        <v>1005857</v>
      </c>
      <c r="K26" s="485">
        <v>897544</v>
      </c>
      <c r="L26" s="174"/>
      <c r="M26" s="147">
        <f t="shared" si="19"/>
        <v>3224351</v>
      </c>
      <c r="N26" s="172">
        <f t="shared" si="25"/>
        <v>0.99351879669130161</v>
      </c>
      <c r="O26" s="177"/>
      <c r="P26" s="118"/>
      <c r="S26" s="175"/>
      <c r="T26" s="170" t="str">
        <f t="shared" si="20"/>
        <v>Economic Development, Tourism And Environmental Affairs</v>
      </c>
      <c r="U26" s="146">
        <v>3235092</v>
      </c>
      <c r="V26" s="150">
        <v>0</v>
      </c>
      <c r="W26" s="148">
        <v>3235092</v>
      </c>
      <c r="X26" s="176"/>
      <c r="Y26" s="149">
        <v>677078</v>
      </c>
      <c r="Z26" s="224">
        <v>643872</v>
      </c>
      <c r="AA26" s="224"/>
      <c r="AB26" s="224"/>
      <c r="AC26" s="174"/>
      <c r="AD26" s="147">
        <v>1320950</v>
      </c>
      <c r="AE26" s="172">
        <v>0.40831914517423307</v>
      </c>
      <c r="AF26" s="177"/>
      <c r="AG26" s="118"/>
      <c r="AJ26" s="309"/>
      <c r="AK26" s="305" t="str">
        <f t="shared" si="26"/>
        <v>Economic Development, Tourism And Environmental Affairs</v>
      </c>
      <c r="AL26" s="279">
        <f t="shared" si="21"/>
        <v>0</v>
      </c>
      <c r="AM26" s="280">
        <f t="shared" si="21"/>
        <v>-10293</v>
      </c>
      <c r="AN26" s="281">
        <f t="shared" si="21"/>
        <v>-10293</v>
      </c>
      <c r="AO26" s="310"/>
      <c r="AP26" s="282">
        <f t="shared" si="22"/>
        <v>0</v>
      </c>
      <c r="AQ26" s="283">
        <f t="shared" si="22"/>
        <v>0</v>
      </c>
      <c r="AR26" s="283">
        <f t="shared" si="22"/>
        <v>-1005857</v>
      </c>
      <c r="AS26" s="283">
        <f t="shared" si="22"/>
        <v>-897544</v>
      </c>
      <c r="AT26" s="308"/>
      <c r="AU26" s="283">
        <f t="shared" si="23"/>
        <v>-1903401</v>
      </c>
      <c r="AV26" s="290"/>
      <c r="AW26" s="311"/>
      <c r="AX26" s="118"/>
    </row>
    <row r="27" spans="1:79" s="22" customFormat="1" ht="15.75" customHeight="1" x14ac:dyDescent="0.3">
      <c r="A27" s="446">
        <f t="shared" si="24"/>
        <v>1</v>
      </c>
      <c r="B27" s="159"/>
      <c r="C27" s="500" t="str">
        <f>PROPER("PROVINCIAL TREASURY")</f>
        <v>Provincial Treasury</v>
      </c>
      <c r="D27" s="482">
        <v>721629</v>
      </c>
      <c r="E27" s="491">
        <f t="shared" si="18"/>
        <v>6025</v>
      </c>
      <c r="F27" s="483">
        <v>727654</v>
      </c>
      <c r="G27" s="487"/>
      <c r="H27" s="484">
        <v>139312</v>
      </c>
      <c r="I27" s="485">
        <v>172962</v>
      </c>
      <c r="J27" s="485">
        <v>165028</v>
      </c>
      <c r="K27" s="485">
        <v>194439</v>
      </c>
      <c r="L27" s="156"/>
      <c r="M27" s="147">
        <f t="shared" si="19"/>
        <v>671741</v>
      </c>
      <c r="N27" s="172">
        <f t="shared" si="25"/>
        <v>0.92315990841801188</v>
      </c>
      <c r="O27" s="163"/>
      <c r="P27" s="118"/>
      <c r="Q27"/>
      <c r="R27"/>
      <c r="S27" s="159"/>
      <c r="T27" s="170" t="str">
        <f t="shared" si="20"/>
        <v>Provincial Treasury</v>
      </c>
      <c r="U27" s="146">
        <v>721629</v>
      </c>
      <c r="V27" s="150">
        <v>0</v>
      </c>
      <c r="W27" s="148">
        <v>721629</v>
      </c>
      <c r="X27" s="152"/>
      <c r="Y27" s="149">
        <v>139312</v>
      </c>
      <c r="Z27" s="224">
        <v>172962</v>
      </c>
      <c r="AA27" s="224"/>
      <c r="AB27" s="224"/>
      <c r="AC27" s="156"/>
      <c r="AD27" s="147">
        <v>312274</v>
      </c>
      <c r="AE27" s="172">
        <v>0.43273482634428495</v>
      </c>
      <c r="AF27" s="163"/>
      <c r="AG27" s="118"/>
      <c r="AH27" s="61"/>
      <c r="AI27"/>
      <c r="AJ27" s="293"/>
      <c r="AK27" s="305" t="str">
        <f t="shared" si="26"/>
        <v>Provincial Treasury</v>
      </c>
      <c r="AL27" s="279">
        <f t="shared" si="21"/>
        <v>0</v>
      </c>
      <c r="AM27" s="280">
        <f t="shared" si="21"/>
        <v>-6025</v>
      </c>
      <c r="AN27" s="281">
        <f t="shared" si="21"/>
        <v>-6025</v>
      </c>
      <c r="AO27" s="285"/>
      <c r="AP27" s="282">
        <f t="shared" si="22"/>
        <v>0</v>
      </c>
      <c r="AQ27" s="283">
        <f t="shared" si="22"/>
        <v>0</v>
      </c>
      <c r="AR27" s="283">
        <f t="shared" si="22"/>
        <v>-165028</v>
      </c>
      <c r="AS27" s="283">
        <f t="shared" si="22"/>
        <v>-194439</v>
      </c>
      <c r="AT27" s="289"/>
      <c r="AU27" s="283">
        <f t="shared" si="23"/>
        <v>-359467</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PROPER("HUMAN SETTLEMENTS")</f>
        <v>Human Settlements</v>
      </c>
      <c r="D28" s="482">
        <v>4006642</v>
      </c>
      <c r="E28" s="491">
        <f t="shared" si="18"/>
        <v>341190</v>
      </c>
      <c r="F28" s="483">
        <v>4347832</v>
      </c>
      <c r="G28" s="487"/>
      <c r="H28" s="484">
        <v>878488</v>
      </c>
      <c r="I28" s="485">
        <v>843897</v>
      </c>
      <c r="J28" s="485">
        <v>1251906</v>
      </c>
      <c r="K28" s="485">
        <v>1286969</v>
      </c>
      <c r="L28" s="156"/>
      <c r="M28" s="147">
        <f t="shared" si="19"/>
        <v>4261260</v>
      </c>
      <c r="N28" s="172">
        <f t="shared" si="25"/>
        <v>0.98008846707968478</v>
      </c>
      <c r="O28" s="163"/>
      <c r="P28" s="118"/>
      <c r="Q28"/>
      <c r="R28"/>
      <c r="S28" s="159"/>
      <c r="T28" s="170" t="str">
        <f t="shared" si="20"/>
        <v>Human Settlements</v>
      </c>
      <c r="U28" s="146">
        <v>4006642</v>
      </c>
      <c r="V28" s="150">
        <v>0</v>
      </c>
      <c r="W28" s="148">
        <v>4006642</v>
      </c>
      <c r="X28" s="152"/>
      <c r="Y28" s="149">
        <v>878490</v>
      </c>
      <c r="Z28" s="224">
        <v>843879</v>
      </c>
      <c r="AA28" s="224"/>
      <c r="AB28" s="224"/>
      <c r="AC28" s="156"/>
      <c r="AD28" s="147">
        <v>1722369</v>
      </c>
      <c r="AE28" s="172">
        <v>0.42987843685560129</v>
      </c>
      <c r="AF28" s="163"/>
      <c r="AG28" s="118"/>
      <c r="AH28" s="61"/>
      <c r="AI28"/>
      <c r="AJ28" s="293"/>
      <c r="AK28" s="305" t="str">
        <f t="shared" si="26"/>
        <v>Human Settlements</v>
      </c>
      <c r="AL28" s="279">
        <f t="shared" si="21"/>
        <v>0</v>
      </c>
      <c r="AM28" s="280">
        <f t="shared" si="21"/>
        <v>-341190</v>
      </c>
      <c r="AN28" s="281">
        <f t="shared" si="21"/>
        <v>-341190</v>
      </c>
      <c r="AO28" s="285"/>
      <c r="AP28" s="282">
        <f t="shared" si="22"/>
        <v>2</v>
      </c>
      <c r="AQ28" s="283">
        <f t="shared" si="22"/>
        <v>-18</v>
      </c>
      <c r="AR28" s="283">
        <f t="shared" si="22"/>
        <v>-1251906</v>
      </c>
      <c r="AS28" s="283">
        <f t="shared" si="22"/>
        <v>-1286969</v>
      </c>
      <c r="AT28" s="289"/>
      <c r="AU28" s="283">
        <f t="shared" si="23"/>
        <v>-2538891</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PROPER("COMMUNITY SAFETY AND LIAISON")</f>
        <v>Community Safety And Liaison</v>
      </c>
      <c r="D29" s="482">
        <v>235054</v>
      </c>
      <c r="E29" s="491">
        <f t="shared" si="18"/>
        <v>0</v>
      </c>
      <c r="F29" s="483">
        <v>235054</v>
      </c>
      <c r="G29" s="487"/>
      <c r="H29" s="484">
        <v>46311</v>
      </c>
      <c r="I29" s="485">
        <v>53887</v>
      </c>
      <c r="J29" s="485">
        <v>62911</v>
      </c>
      <c r="K29" s="485">
        <v>70683</v>
      </c>
      <c r="L29" s="156"/>
      <c r="M29" s="147">
        <f t="shared" si="19"/>
        <v>233792</v>
      </c>
      <c r="N29" s="172">
        <f t="shared" si="25"/>
        <v>0.99463102095688649</v>
      </c>
      <c r="O29" s="163"/>
      <c r="P29" s="118"/>
      <c r="Q29"/>
      <c r="R29"/>
      <c r="S29" s="159"/>
      <c r="T29" s="170" t="str">
        <f t="shared" si="20"/>
        <v>Community Safety And Liaison</v>
      </c>
      <c r="U29" s="146">
        <v>235054</v>
      </c>
      <c r="V29" s="150">
        <v>0</v>
      </c>
      <c r="W29" s="148">
        <v>235054</v>
      </c>
      <c r="X29" s="152"/>
      <c r="Y29" s="149">
        <v>46311</v>
      </c>
      <c r="Z29" s="224">
        <v>53354</v>
      </c>
      <c r="AA29" s="224"/>
      <c r="AB29" s="224"/>
      <c r="AC29" s="156"/>
      <c r="AD29" s="147">
        <v>99665</v>
      </c>
      <c r="AE29" s="172">
        <v>0.42400895113463288</v>
      </c>
      <c r="AF29" s="163"/>
      <c r="AG29" s="118"/>
      <c r="AH29" s="61"/>
      <c r="AI29"/>
      <c r="AJ29" s="293"/>
      <c r="AK29" s="305" t="str">
        <f t="shared" si="26"/>
        <v>Community Safety And Liaison</v>
      </c>
      <c r="AL29" s="279">
        <f t="shared" si="21"/>
        <v>0</v>
      </c>
      <c r="AM29" s="280">
        <f t="shared" si="21"/>
        <v>0</v>
      </c>
      <c r="AN29" s="281">
        <f t="shared" si="21"/>
        <v>0</v>
      </c>
      <c r="AO29" s="285"/>
      <c r="AP29" s="282">
        <f t="shared" si="22"/>
        <v>0</v>
      </c>
      <c r="AQ29" s="283">
        <f t="shared" si="22"/>
        <v>-533</v>
      </c>
      <c r="AR29" s="283">
        <f t="shared" si="22"/>
        <v>-62911</v>
      </c>
      <c r="AS29" s="283">
        <f t="shared" si="22"/>
        <v>-70683</v>
      </c>
      <c r="AT29" s="289"/>
      <c r="AU29" s="283">
        <f t="shared" si="23"/>
        <v>-134127</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PROPER("CO-OPERATIVE GOVERNANCE AND TRADITIONAL AFFAIRS")</f>
        <v>Co-Operative Governance And Traditional Affairs</v>
      </c>
      <c r="D30" s="482">
        <v>1824879</v>
      </c>
      <c r="E30" s="491">
        <f t="shared" si="18"/>
        <v>166571</v>
      </c>
      <c r="F30" s="483">
        <v>1991450</v>
      </c>
      <c r="G30" s="492"/>
      <c r="H30" s="484">
        <v>389476</v>
      </c>
      <c r="I30" s="485">
        <v>450599</v>
      </c>
      <c r="J30" s="485">
        <v>610368</v>
      </c>
      <c r="K30" s="485">
        <v>516352</v>
      </c>
      <c r="L30" s="156"/>
      <c r="M30" s="147">
        <f t="shared" si="19"/>
        <v>1966795</v>
      </c>
      <c r="N30" s="172">
        <f t="shared" si="25"/>
        <v>0.98761957367747122</v>
      </c>
      <c r="O30" s="177"/>
      <c r="P30" s="118"/>
      <c r="Q30"/>
      <c r="R30"/>
      <c r="S30" s="175"/>
      <c r="T30" s="170" t="str">
        <f t="shared" si="20"/>
        <v>Co-Operative Governance And Traditional Affairs</v>
      </c>
      <c r="U30" s="146">
        <v>1824879</v>
      </c>
      <c r="V30" s="150">
        <v>0</v>
      </c>
      <c r="W30" s="148">
        <v>1824879</v>
      </c>
      <c r="X30" s="171"/>
      <c r="Y30" s="149">
        <v>389476</v>
      </c>
      <c r="Z30" s="224">
        <v>450599</v>
      </c>
      <c r="AA30" s="224"/>
      <c r="AB30" s="224"/>
      <c r="AC30" s="156"/>
      <c r="AD30" s="147">
        <v>840075</v>
      </c>
      <c r="AE30" s="172">
        <v>0.46034559003638048</v>
      </c>
      <c r="AF30" s="177"/>
      <c r="AG30" s="118"/>
      <c r="AH30"/>
      <c r="AI30"/>
      <c r="AJ30" s="309"/>
      <c r="AK30" s="305" t="str">
        <f t="shared" si="26"/>
        <v>Co-Operative Governance And Traditional Affairs</v>
      </c>
      <c r="AL30" s="279">
        <f t="shared" si="21"/>
        <v>0</v>
      </c>
      <c r="AM30" s="280">
        <f t="shared" si="21"/>
        <v>-166571</v>
      </c>
      <c r="AN30" s="281">
        <f t="shared" si="21"/>
        <v>-166571</v>
      </c>
      <c r="AO30" s="306"/>
      <c r="AP30" s="282">
        <f t="shared" si="22"/>
        <v>0</v>
      </c>
      <c r="AQ30" s="283">
        <f t="shared" si="22"/>
        <v>0</v>
      </c>
      <c r="AR30" s="283">
        <f t="shared" si="22"/>
        <v>-610368</v>
      </c>
      <c r="AS30" s="283">
        <f t="shared" si="22"/>
        <v>-516352</v>
      </c>
      <c r="AT30" s="289"/>
      <c r="AU30" s="283">
        <f t="shared" si="23"/>
        <v>-1126720</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PROPER("TRANSPORT")</f>
        <v>Transport</v>
      </c>
      <c r="D31" s="482">
        <v>10837076</v>
      </c>
      <c r="E31" s="491">
        <f t="shared" si="18"/>
        <v>132469</v>
      </c>
      <c r="F31" s="483">
        <v>10969545</v>
      </c>
      <c r="G31" s="487"/>
      <c r="H31" s="484">
        <v>2047568</v>
      </c>
      <c r="I31" s="485">
        <v>2108309</v>
      </c>
      <c r="J31" s="485">
        <v>2241925</v>
      </c>
      <c r="K31" s="485">
        <v>2872535</v>
      </c>
      <c r="L31" s="156"/>
      <c r="M31" s="147">
        <f t="shared" si="19"/>
        <v>9270337</v>
      </c>
      <c r="N31" s="172">
        <f t="shared" si="25"/>
        <v>0.84509767725097074</v>
      </c>
      <c r="O31" s="163"/>
      <c r="P31" s="118"/>
      <c r="Q31"/>
      <c r="R31"/>
      <c r="S31" s="159"/>
      <c r="T31" s="170" t="str">
        <f t="shared" si="20"/>
        <v>Transport</v>
      </c>
      <c r="U31" s="146">
        <v>10837076</v>
      </c>
      <c r="V31" s="150">
        <v>0</v>
      </c>
      <c r="W31" s="148">
        <v>10837076</v>
      </c>
      <c r="X31" s="152"/>
      <c r="Y31" s="149">
        <v>2047566</v>
      </c>
      <c r="Z31" s="224">
        <v>2108309</v>
      </c>
      <c r="AA31" s="224"/>
      <c r="AB31" s="224"/>
      <c r="AC31" s="156"/>
      <c r="AD31" s="147">
        <v>4155875</v>
      </c>
      <c r="AE31" s="172">
        <v>0.38348674494854518</v>
      </c>
      <c r="AF31" s="163"/>
      <c r="AG31" s="118"/>
      <c r="AH31"/>
      <c r="AI31"/>
      <c r="AJ31" s="293"/>
      <c r="AK31" s="305" t="str">
        <f t="shared" si="26"/>
        <v>Transport</v>
      </c>
      <c r="AL31" s="279">
        <f t="shared" si="21"/>
        <v>0</v>
      </c>
      <c r="AM31" s="280">
        <f t="shared" si="21"/>
        <v>-132469</v>
      </c>
      <c r="AN31" s="281">
        <f t="shared" si="21"/>
        <v>-132469</v>
      </c>
      <c r="AO31" s="285"/>
      <c r="AP31" s="282">
        <f t="shared" si="22"/>
        <v>-2</v>
      </c>
      <c r="AQ31" s="283">
        <f t="shared" si="22"/>
        <v>0</v>
      </c>
      <c r="AR31" s="283">
        <f t="shared" si="22"/>
        <v>-2241925</v>
      </c>
      <c r="AS31" s="283">
        <f t="shared" si="22"/>
        <v>-2872535</v>
      </c>
      <c r="AT31" s="289"/>
      <c r="AU31" s="283">
        <f t="shared" si="23"/>
        <v>-5114462</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PROPER("PUBLIC WORKS")</f>
        <v>Public Works</v>
      </c>
      <c r="D32" s="482">
        <v>1685317</v>
      </c>
      <c r="E32" s="491">
        <f t="shared" si="18"/>
        <v>380624</v>
      </c>
      <c r="F32" s="483">
        <v>2065941</v>
      </c>
      <c r="G32" s="487"/>
      <c r="H32" s="484">
        <v>326008</v>
      </c>
      <c r="I32" s="485">
        <v>422486</v>
      </c>
      <c r="J32" s="485">
        <v>743513</v>
      </c>
      <c r="K32" s="485">
        <v>516518</v>
      </c>
      <c r="L32" s="156"/>
      <c r="M32" s="147">
        <f t="shared" si="19"/>
        <v>2008525</v>
      </c>
      <c r="N32" s="172">
        <f t="shared" si="25"/>
        <v>0.97220830604552599</v>
      </c>
      <c r="O32" s="163"/>
      <c r="P32" s="118"/>
      <c r="S32" s="159"/>
      <c r="T32" s="170" t="str">
        <f t="shared" si="20"/>
        <v>Public Works</v>
      </c>
      <c r="U32" s="146">
        <v>1685317</v>
      </c>
      <c r="V32" s="150">
        <v>0</v>
      </c>
      <c r="W32" s="148">
        <v>1685317</v>
      </c>
      <c r="X32" s="152"/>
      <c r="Y32" s="149">
        <v>326008</v>
      </c>
      <c r="Z32" s="224">
        <v>422486</v>
      </c>
      <c r="AA32" s="224"/>
      <c r="AB32" s="224"/>
      <c r="AC32" s="156"/>
      <c r="AD32" s="147">
        <v>748494</v>
      </c>
      <c r="AE32" s="172">
        <v>0.44412653524529805</v>
      </c>
      <c r="AF32" s="163"/>
      <c r="AG32" s="118"/>
      <c r="AJ32" s="293"/>
      <c r="AK32" s="305" t="str">
        <f t="shared" si="26"/>
        <v>Public Works</v>
      </c>
      <c r="AL32" s="279">
        <f t="shared" si="21"/>
        <v>0</v>
      </c>
      <c r="AM32" s="280">
        <f t="shared" si="21"/>
        <v>-380624</v>
      </c>
      <c r="AN32" s="281">
        <f t="shared" si="21"/>
        <v>-380624</v>
      </c>
      <c r="AO32" s="285"/>
      <c r="AP32" s="282">
        <f t="shared" si="22"/>
        <v>0</v>
      </c>
      <c r="AQ32" s="283">
        <f t="shared" si="22"/>
        <v>0</v>
      </c>
      <c r="AR32" s="283">
        <f t="shared" si="22"/>
        <v>-743513</v>
      </c>
      <c r="AS32" s="283">
        <f t="shared" si="22"/>
        <v>-516518</v>
      </c>
      <c r="AT32" s="289"/>
      <c r="AU32" s="283">
        <f t="shared" si="23"/>
        <v>-1260031</v>
      </c>
      <c r="AV32" s="290"/>
      <c r="AW32" s="297"/>
      <c r="AX32" s="118"/>
    </row>
    <row r="33" spans="1:79" s="35" customFormat="1" ht="15.75" customHeight="1" x14ac:dyDescent="0.3">
      <c r="A33" s="446">
        <f t="shared" si="24"/>
        <v>1</v>
      </c>
      <c r="B33" s="159"/>
      <c r="C33" s="500" t="str">
        <f>PROPER("ARTS AND CULTURE")</f>
        <v>Arts And Culture</v>
      </c>
      <c r="D33" s="482">
        <v>1132237</v>
      </c>
      <c r="E33" s="491">
        <f t="shared" si="18"/>
        <v>-144865</v>
      </c>
      <c r="F33" s="483">
        <v>987372</v>
      </c>
      <c r="G33" s="487"/>
      <c r="H33" s="484">
        <v>164547</v>
      </c>
      <c r="I33" s="485">
        <v>170808</v>
      </c>
      <c r="J33" s="485">
        <v>351479</v>
      </c>
      <c r="K33" s="485">
        <v>265289</v>
      </c>
      <c r="L33" s="156"/>
      <c r="M33" s="147">
        <f t="shared" si="19"/>
        <v>952123</v>
      </c>
      <c r="N33" s="172">
        <f t="shared" si="25"/>
        <v>0.96430018270722684</v>
      </c>
      <c r="O33" s="163"/>
      <c r="P33" s="118"/>
      <c r="Q33"/>
      <c r="R33"/>
      <c r="S33" s="159"/>
      <c r="T33" s="170" t="str">
        <f t="shared" si="20"/>
        <v>Arts And Culture</v>
      </c>
      <c r="U33" s="146">
        <v>1132237</v>
      </c>
      <c r="V33" s="150">
        <v>0</v>
      </c>
      <c r="W33" s="148">
        <v>1132237</v>
      </c>
      <c r="X33" s="152"/>
      <c r="Y33" s="149">
        <v>164547</v>
      </c>
      <c r="Z33" s="224">
        <v>170808</v>
      </c>
      <c r="AA33" s="224"/>
      <c r="AB33" s="224"/>
      <c r="AC33" s="156"/>
      <c r="AD33" s="147">
        <v>335355</v>
      </c>
      <c r="AE33" s="172">
        <v>0.29618798891044895</v>
      </c>
      <c r="AF33" s="163"/>
      <c r="AG33" s="118"/>
      <c r="AH33"/>
      <c r="AI33"/>
      <c r="AJ33" s="293"/>
      <c r="AK33" s="305" t="str">
        <f t="shared" si="26"/>
        <v>Arts And Culture</v>
      </c>
      <c r="AL33" s="279">
        <f t="shared" si="21"/>
        <v>0</v>
      </c>
      <c r="AM33" s="280">
        <f t="shared" si="21"/>
        <v>144865</v>
      </c>
      <c r="AN33" s="281">
        <f t="shared" si="21"/>
        <v>144865</v>
      </c>
      <c r="AO33" s="285"/>
      <c r="AP33" s="282">
        <f t="shared" si="22"/>
        <v>0</v>
      </c>
      <c r="AQ33" s="283">
        <f t="shared" si="22"/>
        <v>0</v>
      </c>
      <c r="AR33" s="283">
        <f t="shared" si="22"/>
        <v>-351479</v>
      </c>
      <c r="AS33" s="283">
        <f t="shared" si="22"/>
        <v>-265289</v>
      </c>
      <c r="AT33" s="289"/>
      <c r="AU33" s="283">
        <f t="shared" si="23"/>
        <v>-616768</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customHeight="1" x14ac:dyDescent="0.35">
      <c r="A34" s="446">
        <f t="shared" si="24"/>
        <v>1</v>
      </c>
      <c r="B34" s="159"/>
      <c r="C34" s="500" t="str">
        <f>PROPER("SPORT AND RECREATION")</f>
        <v>Sport And Recreation</v>
      </c>
      <c r="D34" s="482">
        <v>478958</v>
      </c>
      <c r="E34" s="491">
        <f t="shared" si="18"/>
        <v>3566</v>
      </c>
      <c r="F34" s="483">
        <v>482524</v>
      </c>
      <c r="G34" s="487"/>
      <c r="H34" s="484">
        <v>62219</v>
      </c>
      <c r="I34" s="485">
        <v>113521</v>
      </c>
      <c r="J34" s="485">
        <v>167172</v>
      </c>
      <c r="K34" s="485">
        <v>138212</v>
      </c>
      <c r="L34" s="156"/>
      <c r="M34" s="147">
        <f t="shared" si="19"/>
        <v>481124</v>
      </c>
      <c r="N34" s="172">
        <f t="shared" si="25"/>
        <v>0.99709858991469857</v>
      </c>
      <c r="O34" s="163"/>
      <c r="P34" s="118"/>
      <c r="Q34"/>
      <c r="R34"/>
      <c r="S34" s="159"/>
      <c r="T34" s="170" t="str">
        <f t="shared" si="20"/>
        <v>Sport And Recreation</v>
      </c>
      <c r="U34" s="146">
        <v>478958</v>
      </c>
      <c r="V34" s="150">
        <v>0</v>
      </c>
      <c r="W34" s="148">
        <v>478958</v>
      </c>
      <c r="X34" s="152"/>
      <c r="Y34" s="149">
        <v>62219</v>
      </c>
      <c r="Z34" s="224">
        <v>113521</v>
      </c>
      <c r="AA34" s="224"/>
      <c r="AB34" s="224"/>
      <c r="AC34" s="156"/>
      <c r="AD34" s="147">
        <v>175740</v>
      </c>
      <c r="AE34" s="172">
        <v>0.36692152547822565</v>
      </c>
      <c r="AF34" s="163"/>
      <c r="AG34" s="118"/>
      <c r="AH34" s="71"/>
      <c r="AI34"/>
      <c r="AJ34" s="293"/>
      <c r="AK34" s="305" t="str">
        <f t="shared" si="26"/>
        <v>Sport And Recreation</v>
      </c>
      <c r="AL34" s="279">
        <f t="shared" ref="AL34:AS39" si="27">U34-D34</f>
        <v>0</v>
      </c>
      <c r="AM34" s="280">
        <f t="shared" ref="AM34:AM39" si="28">AN34-AL34</f>
        <v>-3566</v>
      </c>
      <c r="AN34" s="281">
        <f t="shared" si="27"/>
        <v>-3566</v>
      </c>
      <c r="AO34" s="285"/>
      <c r="AP34" s="282">
        <f t="shared" si="27"/>
        <v>0</v>
      </c>
      <c r="AQ34" s="283">
        <f t="shared" si="27"/>
        <v>0</v>
      </c>
      <c r="AR34" s="283">
        <f t="shared" si="27"/>
        <v>-167172</v>
      </c>
      <c r="AS34" s="283">
        <f t="shared" si="27"/>
        <v>-138212</v>
      </c>
      <c r="AT34" s="289"/>
      <c r="AU34" s="283">
        <f t="shared" ref="AU34:AU39" si="29">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PROPER("")</f>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7"/>
        <v>0</v>
      </c>
      <c r="AM35" s="280">
        <f t="shared" si="28"/>
        <v>0</v>
      </c>
      <c r="AN35" s="281">
        <f t="shared" si="27"/>
        <v>0</v>
      </c>
      <c r="AO35" s="285"/>
      <c r="AP35" s="282">
        <f t="shared" si="27"/>
        <v>0</v>
      </c>
      <c r="AQ35" s="283">
        <f t="shared" si="27"/>
        <v>0</v>
      </c>
      <c r="AR35" s="283">
        <f t="shared" si="27"/>
        <v>0</v>
      </c>
      <c r="AS35" s="283">
        <f t="shared" si="27"/>
        <v>0</v>
      </c>
      <c r="AT35" s="289"/>
      <c r="AU35" s="283">
        <f t="shared" si="29"/>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PROPER("")</f>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7"/>
        <v>0</v>
      </c>
      <c r="AM36" s="280">
        <f t="shared" si="28"/>
        <v>0</v>
      </c>
      <c r="AN36" s="281">
        <f t="shared" si="27"/>
        <v>0</v>
      </c>
      <c r="AO36" s="285"/>
      <c r="AP36" s="282">
        <f t="shared" si="27"/>
        <v>0</v>
      </c>
      <c r="AQ36" s="283">
        <f t="shared" si="27"/>
        <v>0</v>
      </c>
      <c r="AR36" s="283">
        <f t="shared" si="27"/>
        <v>0</v>
      </c>
      <c r="AS36" s="283">
        <f t="shared" si="27"/>
        <v>0</v>
      </c>
      <c r="AT36" s="289"/>
      <c r="AU36" s="283">
        <f t="shared" si="29"/>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PROPER("")</f>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7"/>
        <v>0</v>
      </c>
      <c r="AM37" s="280">
        <f t="shared" si="28"/>
        <v>0</v>
      </c>
      <c r="AN37" s="281">
        <f t="shared" si="27"/>
        <v>0</v>
      </c>
      <c r="AO37" s="285"/>
      <c r="AP37" s="282">
        <f t="shared" si="27"/>
        <v>0</v>
      </c>
      <c r="AQ37" s="283">
        <f t="shared" si="27"/>
        <v>0</v>
      </c>
      <c r="AR37" s="283">
        <f t="shared" si="27"/>
        <v>0</v>
      </c>
      <c r="AS37" s="283">
        <f t="shared" si="27"/>
        <v>0</v>
      </c>
      <c r="AT37" s="289"/>
      <c r="AU37" s="283">
        <f t="shared" si="29"/>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PROPER("")</f>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7"/>
        <v>0</v>
      </c>
      <c r="AM38" s="280">
        <f t="shared" si="28"/>
        <v>0</v>
      </c>
      <c r="AN38" s="281">
        <f t="shared" si="27"/>
        <v>0</v>
      </c>
      <c r="AO38" s="285"/>
      <c r="AP38" s="282">
        <f t="shared" si="27"/>
        <v>0</v>
      </c>
      <c r="AQ38" s="283">
        <f t="shared" si="27"/>
        <v>0</v>
      </c>
      <c r="AR38" s="283">
        <f t="shared" si="27"/>
        <v>0</v>
      </c>
      <c r="AS38" s="283">
        <f t="shared" si="27"/>
        <v>0</v>
      </c>
      <c r="AT38" s="289"/>
      <c r="AU38" s="283">
        <f t="shared" si="29"/>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PROPER("")</f>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7"/>
        <v>0</v>
      </c>
      <c r="AM39" s="280">
        <f t="shared" si="28"/>
        <v>0</v>
      </c>
      <c r="AN39" s="281">
        <f t="shared" si="27"/>
        <v>0</v>
      </c>
      <c r="AO39" s="285"/>
      <c r="AP39" s="282">
        <f t="shared" si="27"/>
        <v>0</v>
      </c>
      <c r="AQ39" s="283">
        <f t="shared" si="27"/>
        <v>0</v>
      </c>
      <c r="AR39" s="283">
        <f t="shared" si="27"/>
        <v>0</v>
      </c>
      <c r="AS39" s="283">
        <f t="shared" si="27"/>
        <v>0</v>
      </c>
      <c r="AT39" s="289"/>
      <c r="AU39" s="283">
        <f t="shared" si="29"/>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130474221</v>
      </c>
      <c r="E41" s="179">
        <f t="shared" ref="E41:F41" si="30">SUM(E20:E39)</f>
        <v>1469189</v>
      </c>
      <c r="F41" s="166">
        <f t="shared" si="30"/>
        <v>131943410</v>
      </c>
      <c r="G41" s="165"/>
      <c r="H41" s="436">
        <f t="shared" ref="H41:I41" si="31">SUM(H20:H39)</f>
        <v>29867840</v>
      </c>
      <c r="I41" s="437">
        <f t="shared" si="31"/>
        <v>31694710</v>
      </c>
      <c r="J41" s="437">
        <f t="shared" ref="J41:K41" si="32">SUM(J20:J39)</f>
        <v>34011283</v>
      </c>
      <c r="K41" s="438">
        <f t="shared" si="32"/>
        <v>34479071</v>
      </c>
      <c r="L41" s="156"/>
      <c r="M41" s="168">
        <f>SUM(M20:M39)</f>
        <v>130052904</v>
      </c>
      <c r="N41" s="180">
        <f>IFERROR(M41/F41,0)</f>
        <v>0.98567184219355863</v>
      </c>
      <c r="O41" s="595"/>
      <c r="P41" s="594"/>
      <c r="Q41"/>
      <c r="R41"/>
      <c r="S41" s="119"/>
      <c r="T41" s="164" t="s">
        <v>12</v>
      </c>
      <c r="U41" s="165">
        <v>130474221</v>
      </c>
      <c r="V41" s="179">
        <v>0</v>
      </c>
      <c r="W41" s="166">
        <v>130474221</v>
      </c>
      <c r="X41" s="165"/>
      <c r="Y41" s="436">
        <v>29866683</v>
      </c>
      <c r="Z41" s="437">
        <v>31694200</v>
      </c>
      <c r="AA41" s="437">
        <v>0</v>
      </c>
      <c r="AB41" s="438" t="s">
        <v>52</v>
      </c>
      <c r="AC41" s="156"/>
      <c r="AD41" s="168">
        <v>61560883</v>
      </c>
      <c r="AE41" s="180">
        <v>0.47182410845740935</v>
      </c>
      <c r="AF41" s="163"/>
      <c r="AG41" s="118"/>
      <c r="AH41"/>
      <c r="AI41"/>
      <c r="AJ41" s="248"/>
      <c r="AK41" s="298" t="s">
        <v>12</v>
      </c>
      <c r="AL41" s="299">
        <f>SUM(AL20:AL39)</f>
        <v>0</v>
      </c>
      <c r="AM41" s="313">
        <f t="shared" ref="AM41" si="33">SUM(AM20:AM39)</f>
        <v>-1469189</v>
      </c>
      <c r="AN41" s="300">
        <f>SUM(AN20:AN39)</f>
        <v>-1469189</v>
      </c>
      <c r="AO41" s="299"/>
      <c r="AP41" s="301">
        <f>SUM(AP20:AP39)</f>
        <v>-1157</v>
      </c>
      <c r="AQ41" s="302">
        <f t="shared" ref="AQ41:AS41" si="34">SUM(AQ20:AQ39)</f>
        <v>-510</v>
      </c>
      <c r="AR41" s="302">
        <f t="shared" si="34"/>
        <v>-34011283</v>
      </c>
      <c r="AS41" s="302">
        <f t="shared" si="34"/>
        <v>-34479071</v>
      </c>
      <c r="AT41" s="289"/>
      <c r="AU41" s="302">
        <f>SUM(AU20:AU39)</f>
        <v>-68186637</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109940294</v>
      </c>
      <c r="E44" s="156">
        <f t="shared" ref="E44:M44" si="35">SUM(E45:E47)</f>
        <v>400478</v>
      </c>
      <c r="F44" s="153">
        <f t="shared" si="35"/>
        <v>110340772</v>
      </c>
      <c r="G44" s="152">
        <f t="shared" si="35"/>
        <v>0</v>
      </c>
      <c r="H44" s="154">
        <f t="shared" si="35"/>
        <v>25698970</v>
      </c>
      <c r="I44" s="155">
        <f t="shared" ref="I44" si="36">SUM(I45:I47)</f>
        <v>27292554</v>
      </c>
      <c r="J44" s="155">
        <f t="shared" ref="J44:K44" si="37">SUM(J45:J47)</f>
        <v>28081111.5</v>
      </c>
      <c r="K44" s="155">
        <f t="shared" si="37"/>
        <v>28430659</v>
      </c>
      <c r="L44" s="156"/>
      <c r="M44" s="155">
        <f t="shared" si="35"/>
        <v>109503294.5</v>
      </c>
      <c r="N44" s="183">
        <f t="shared" ref="N44:N64" si="38">IFERROR(M44/F44,0)</f>
        <v>0.99241008119827179</v>
      </c>
      <c r="O44" s="595"/>
      <c r="P44" s="478"/>
      <c r="Q44"/>
      <c r="R44"/>
      <c r="S44" s="159"/>
      <c r="T44" s="182" t="str">
        <f t="shared" ref="T44:T64" si="39">C44</f>
        <v>Current payments</v>
      </c>
      <c r="U44" s="152">
        <v>109940294</v>
      </c>
      <c r="V44" s="156">
        <v>0</v>
      </c>
      <c r="W44" s="153">
        <v>109940294</v>
      </c>
      <c r="X44" s="152">
        <v>0</v>
      </c>
      <c r="Y44" s="154">
        <v>25698786</v>
      </c>
      <c r="Z44" s="155">
        <v>27292019</v>
      </c>
      <c r="AA44" s="155">
        <v>0</v>
      </c>
      <c r="AB44" s="155">
        <v>0</v>
      </c>
      <c r="AC44" s="156"/>
      <c r="AD44" s="155">
        <v>52990805</v>
      </c>
      <c r="AE44" s="172">
        <v>0.48199620968814216</v>
      </c>
      <c r="AF44" s="163"/>
      <c r="AG44" s="181"/>
      <c r="AH44"/>
      <c r="AI44"/>
      <c r="AJ44" s="293"/>
      <c r="AK44" s="314" t="s">
        <v>0</v>
      </c>
      <c r="AL44" s="285">
        <f>SUM(AL45:AL47)</f>
        <v>0</v>
      </c>
      <c r="AM44" s="289">
        <f t="shared" ref="AM44:AO44" si="40">SUM(AM45:AM47)</f>
        <v>-400478</v>
      </c>
      <c r="AN44" s="286">
        <f>SUM(AN45:AN47)</f>
        <v>-400478</v>
      </c>
      <c r="AO44" s="285">
        <f t="shared" si="40"/>
        <v>0</v>
      </c>
      <c r="AP44" s="287">
        <f>SUM(AP45:AP47)</f>
        <v>-184</v>
      </c>
      <c r="AQ44" s="288">
        <f t="shared" ref="AQ44:AS44" si="41">SUM(AQ45:AQ47)</f>
        <v>-535</v>
      </c>
      <c r="AR44" s="288">
        <f t="shared" si="41"/>
        <v>-28081111.5</v>
      </c>
      <c r="AS44" s="288">
        <f t="shared" si="41"/>
        <v>-28430659</v>
      </c>
      <c r="AT44" s="289"/>
      <c r="AU44" s="288">
        <f t="shared" ref="AU44" si="42">SUM(AU45:AU47)</f>
        <v>-56512489.5</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83204290</v>
      </c>
      <c r="E45" s="491">
        <f t="shared" ref="E45:E47" si="43">F45-D45</f>
        <v>-1360896</v>
      </c>
      <c r="F45" s="483">
        <v>81843394</v>
      </c>
      <c r="G45" s="482"/>
      <c r="H45" s="484">
        <v>19855308</v>
      </c>
      <c r="I45" s="485">
        <v>20289740</v>
      </c>
      <c r="J45" s="485">
        <v>20911246.800000001</v>
      </c>
      <c r="K45" s="485">
        <v>20250480</v>
      </c>
      <c r="L45" s="156"/>
      <c r="M45" s="147">
        <f t="shared" ref="M45:M47" si="44">SUM(H45:K45)</f>
        <v>81306774.799999997</v>
      </c>
      <c r="N45" s="172">
        <f t="shared" si="38"/>
        <v>0.99344334131597711</v>
      </c>
      <c r="O45" s="163"/>
      <c r="P45" s="181"/>
      <c r="Q45"/>
      <c r="R45"/>
      <c r="S45" s="159"/>
      <c r="T45" s="157" t="str">
        <f t="shared" si="39"/>
        <v>Compensation of employees</v>
      </c>
      <c r="U45" s="146">
        <v>83204290</v>
      </c>
      <c r="V45" s="150">
        <v>0</v>
      </c>
      <c r="W45" s="148">
        <v>83204290</v>
      </c>
      <c r="X45" s="146"/>
      <c r="Y45" s="149">
        <v>19855303</v>
      </c>
      <c r="Z45" s="224">
        <v>20289734</v>
      </c>
      <c r="AA45" s="224"/>
      <c r="AB45" s="224"/>
      <c r="AC45" s="156"/>
      <c r="AD45" s="147">
        <v>40145037</v>
      </c>
      <c r="AE45" s="172">
        <v>0.48248758567617128</v>
      </c>
      <c r="AF45" s="163"/>
      <c r="AG45" s="181"/>
      <c r="AH45"/>
      <c r="AI45"/>
      <c r="AJ45" s="293"/>
      <c r="AK45" s="291" t="s">
        <v>54</v>
      </c>
      <c r="AL45" s="279">
        <f t="shared" ref="AL45:AN47" si="45">IFERROR(U45-D45,0)</f>
        <v>0</v>
      </c>
      <c r="AM45" s="280">
        <f t="shared" si="45"/>
        <v>1360896</v>
      </c>
      <c r="AN45" s="281">
        <f t="shared" si="45"/>
        <v>1360896</v>
      </c>
      <c r="AO45" s="279"/>
      <c r="AP45" s="282">
        <f t="shared" ref="AP45:AS47" si="46">IFERROR(Y45-H45,0)</f>
        <v>-5</v>
      </c>
      <c r="AQ45" s="283">
        <f t="shared" si="46"/>
        <v>-6</v>
      </c>
      <c r="AR45" s="283">
        <f t="shared" si="46"/>
        <v>-20911246.800000001</v>
      </c>
      <c r="AS45" s="283">
        <f t="shared" si="46"/>
        <v>-20250480</v>
      </c>
      <c r="AT45" s="289"/>
      <c r="AU45" s="283">
        <f t="shared" ref="AU45:AU47" si="47">IFERROR(AD45-M45,0)</f>
        <v>-41161737.799999997</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26733987</v>
      </c>
      <c r="E46" s="491">
        <f t="shared" si="43"/>
        <v>1762229</v>
      </c>
      <c r="F46" s="483">
        <v>28496216</v>
      </c>
      <c r="G46" s="482"/>
      <c r="H46" s="484">
        <v>5842979</v>
      </c>
      <c r="I46" s="485">
        <v>7002634</v>
      </c>
      <c r="J46" s="485">
        <v>7162595.7000000002</v>
      </c>
      <c r="K46" s="485">
        <v>8179572</v>
      </c>
      <c r="L46" s="156"/>
      <c r="M46" s="147">
        <f t="shared" si="44"/>
        <v>28187780.699999999</v>
      </c>
      <c r="N46" s="172">
        <f t="shared" si="38"/>
        <v>0.98917627168463351</v>
      </c>
      <c r="O46" s="163"/>
      <c r="P46" s="181"/>
      <c r="Q46"/>
      <c r="R46"/>
      <c r="S46" s="159"/>
      <c r="T46" s="157" t="str">
        <f t="shared" si="39"/>
        <v>Goods and services</v>
      </c>
      <c r="U46" s="146">
        <v>26733987</v>
      </c>
      <c r="V46" s="150">
        <v>0</v>
      </c>
      <c r="W46" s="148">
        <v>26733987</v>
      </c>
      <c r="X46" s="146"/>
      <c r="Y46" s="149">
        <v>5842800</v>
      </c>
      <c r="Z46" s="224">
        <v>7002105</v>
      </c>
      <c r="AA46" s="224"/>
      <c r="AB46" s="224"/>
      <c r="AC46" s="156"/>
      <c r="AD46" s="147">
        <v>12844905</v>
      </c>
      <c r="AE46" s="172">
        <v>0.4804709824987945</v>
      </c>
      <c r="AF46" s="163"/>
      <c r="AG46" s="181"/>
      <c r="AH46"/>
      <c r="AI46"/>
      <c r="AJ46" s="293"/>
      <c r="AK46" s="291" t="s">
        <v>55</v>
      </c>
      <c r="AL46" s="279">
        <f t="shared" si="45"/>
        <v>0</v>
      </c>
      <c r="AM46" s="280">
        <f t="shared" si="45"/>
        <v>-1762229</v>
      </c>
      <c r="AN46" s="281">
        <f t="shared" si="45"/>
        <v>-1762229</v>
      </c>
      <c r="AO46" s="279"/>
      <c r="AP46" s="282">
        <f t="shared" si="46"/>
        <v>-179</v>
      </c>
      <c r="AQ46" s="283">
        <f t="shared" si="46"/>
        <v>-529</v>
      </c>
      <c r="AR46" s="283">
        <f t="shared" si="46"/>
        <v>-7162595.7000000002</v>
      </c>
      <c r="AS46" s="283">
        <f t="shared" si="46"/>
        <v>-8179572</v>
      </c>
      <c r="AT46" s="289"/>
      <c r="AU46" s="283">
        <f t="shared" si="47"/>
        <v>-15342875.699999999</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2017</v>
      </c>
      <c r="E47" s="491">
        <f t="shared" si="43"/>
        <v>-855</v>
      </c>
      <c r="F47" s="483">
        <v>1162</v>
      </c>
      <c r="G47" s="482"/>
      <c r="H47" s="484">
        <v>683</v>
      </c>
      <c r="I47" s="485">
        <v>180</v>
      </c>
      <c r="J47" s="485">
        <v>7269</v>
      </c>
      <c r="K47" s="485">
        <v>607</v>
      </c>
      <c r="L47" s="156"/>
      <c r="M47" s="147">
        <f t="shared" si="44"/>
        <v>8739</v>
      </c>
      <c r="N47" s="172">
        <f t="shared" si="38"/>
        <v>7.5206540447504304</v>
      </c>
      <c r="O47" s="163"/>
      <c r="P47" s="181"/>
      <c r="Q47"/>
      <c r="R47"/>
      <c r="S47" s="159"/>
      <c r="T47" s="157" t="str">
        <f t="shared" si="39"/>
        <v>Interest and rent on land</v>
      </c>
      <c r="U47" s="146">
        <v>2017</v>
      </c>
      <c r="V47" s="150">
        <v>0</v>
      </c>
      <c r="W47" s="148">
        <v>2017</v>
      </c>
      <c r="X47" s="146"/>
      <c r="Y47" s="149">
        <v>683</v>
      </c>
      <c r="Z47" s="224">
        <v>180</v>
      </c>
      <c r="AA47" s="224"/>
      <c r="AB47" s="224"/>
      <c r="AC47" s="156"/>
      <c r="AD47" s="147">
        <v>863</v>
      </c>
      <c r="AE47" s="172">
        <v>0.42786316311353495</v>
      </c>
      <c r="AF47" s="163"/>
      <c r="AG47" s="181"/>
      <c r="AH47"/>
      <c r="AI47"/>
      <c r="AJ47" s="293"/>
      <c r="AK47" s="291" t="s">
        <v>56</v>
      </c>
      <c r="AL47" s="279">
        <f t="shared" si="45"/>
        <v>0</v>
      </c>
      <c r="AM47" s="280">
        <f t="shared" si="45"/>
        <v>855</v>
      </c>
      <c r="AN47" s="281">
        <f t="shared" si="45"/>
        <v>855</v>
      </c>
      <c r="AO47" s="279"/>
      <c r="AP47" s="282">
        <f t="shared" si="46"/>
        <v>0</v>
      </c>
      <c r="AQ47" s="283">
        <f t="shared" si="46"/>
        <v>0</v>
      </c>
      <c r="AR47" s="283">
        <f t="shared" si="46"/>
        <v>-7269</v>
      </c>
      <c r="AS47" s="283">
        <f t="shared" si="46"/>
        <v>-607</v>
      </c>
      <c r="AT47" s="289"/>
      <c r="AU47" s="283">
        <f t="shared" si="47"/>
        <v>-7876</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12130184</v>
      </c>
      <c r="E48" s="156">
        <f t="shared" ref="E48:M48" si="48">SUM(E49:E55)</f>
        <v>1076830</v>
      </c>
      <c r="F48" s="153">
        <f t="shared" si="48"/>
        <v>13207014</v>
      </c>
      <c r="G48" s="152">
        <f t="shared" si="48"/>
        <v>0</v>
      </c>
      <c r="H48" s="154">
        <f t="shared" si="48"/>
        <v>2882395</v>
      </c>
      <c r="I48" s="155">
        <f t="shared" ref="I48" si="49">SUM(I49:I55)</f>
        <v>2721676</v>
      </c>
      <c r="J48" s="155">
        <f t="shared" ref="J48:K48" si="50">SUM(J49:J55)</f>
        <v>4173027.3</v>
      </c>
      <c r="K48" s="155">
        <f t="shared" si="50"/>
        <v>3807937</v>
      </c>
      <c r="L48" s="156"/>
      <c r="M48" s="155">
        <f t="shared" si="48"/>
        <v>13585035.300000001</v>
      </c>
      <c r="N48" s="183">
        <f t="shared" si="38"/>
        <v>1.0286227681745472</v>
      </c>
      <c r="O48" s="595"/>
      <c r="P48" s="478"/>
      <c r="Q48"/>
      <c r="R48"/>
      <c r="S48" s="159"/>
      <c r="T48" s="182" t="str">
        <f t="shared" si="39"/>
        <v>Transfers and subsidies</v>
      </c>
      <c r="U48" s="152">
        <v>12130184</v>
      </c>
      <c r="V48" s="156">
        <v>0</v>
      </c>
      <c r="W48" s="153">
        <v>12130184</v>
      </c>
      <c r="X48" s="152">
        <v>0</v>
      </c>
      <c r="Y48" s="154">
        <v>2882533</v>
      </c>
      <c r="Z48" s="155">
        <v>2721702</v>
      </c>
      <c r="AA48" s="155">
        <v>0</v>
      </c>
      <c r="AB48" s="155">
        <v>0</v>
      </c>
      <c r="AC48" s="156"/>
      <c r="AD48" s="155">
        <v>5604235</v>
      </c>
      <c r="AE48" s="183">
        <v>0.46200741884871654</v>
      </c>
      <c r="AF48" s="163"/>
      <c r="AG48" s="181"/>
      <c r="AH48"/>
      <c r="AI48"/>
      <c r="AJ48" s="293"/>
      <c r="AK48" s="314" t="s">
        <v>1</v>
      </c>
      <c r="AL48" s="285">
        <f>SUM(AL49:AL55)</f>
        <v>0</v>
      </c>
      <c r="AM48" s="289">
        <f t="shared" ref="AM48:AO48" si="51">SUM(AM49:AM55)</f>
        <v>-1076830</v>
      </c>
      <c r="AN48" s="286">
        <f>SUM(AN49:AN55)</f>
        <v>-1076830</v>
      </c>
      <c r="AO48" s="285">
        <f t="shared" si="51"/>
        <v>0</v>
      </c>
      <c r="AP48" s="287">
        <f>SUM(AP49:AP55)</f>
        <v>138</v>
      </c>
      <c r="AQ48" s="288">
        <f t="shared" ref="AQ48:AS48" si="52">SUM(AQ49:AQ55)</f>
        <v>26</v>
      </c>
      <c r="AR48" s="288">
        <f t="shared" si="52"/>
        <v>-4173027.3</v>
      </c>
      <c r="AS48" s="288">
        <f t="shared" si="52"/>
        <v>-3807937</v>
      </c>
      <c r="AT48" s="289"/>
      <c r="AU48" s="288">
        <f t="shared" ref="AU48" si="53">SUM(AU49:AU55)</f>
        <v>-7980800.2999999998</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1290583</v>
      </c>
      <c r="E49" s="491">
        <f t="shared" ref="E49:E55" si="54">F49-D49</f>
        <v>572425</v>
      </c>
      <c r="F49" s="483">
        <v>1863008</v>
      </c>
      <c r="G49" s="482"/>
      <c r="H49" s="484">
        <v>159854</v>
      </c>
      <c r="I49" s="485">
        <v>251283</v>
      </c>
      <c r="J49" s="485">
        <v>889316</v>
      </c>
      <c r="K49" s="485">
        <v>723429</v>
      </c>
      <c r="L49" s="156"/>
      <c r="M49" s="147">
        <f t="shared" ref="M49:M55" si="55">SUM(H49:K49)</f>
        <v>2023882</v>
      </c>
      <c r="N49" s="172">
        <f t="shared" si="38"/>
        <v>1.0863517494288806</v>
      </c>
      <c r="O49" s="163"/>
      <c r="P49" s="181"/>
      <c r="Q49"/>
      <c r="R49"/>
      <c r="S49" s="159"/>
      <c r="T49" s="157" t="str">
        <f t="shared" si="39"/>
        <v>Provinces and municipalities</v>
      </c>
      <c r="U49" s="146">
        <v>1290583</v>
      </c>
      <c r="V49" s="150">
        <v>0</v>
      </c>
      <c r="W49" s="148">
        <v>1290583</v>
      </c>
      <c r="X49" s="146"/>
      <c r="Y49" s="149">
        <v>159876</v>
      </c>
      <c r="Z49" s="224">
        <v>251283</v>
      </c>
      <c r="AA49" s="224"/>
      <c r="AB49" s="224"/>
      <c r="AC49" s="156"/>
      <c r="AD49" s="147">
        <v>411159</v>
      </c>
      <c r="AE49" s="172">
        <v>0.31858392679897379</v>
      </c>
      <c r="AF49" s="163"/>
      <c r="AG49" s="181"/>
      <c r="AH49"/>
      <c r="AI49"/>
      <c r="AJ49" s="293"/>
      <c r="AK49" s="291" t="s">
        <v>57</v>
      </c>
      <c r="AL49" s="279">
        <f t="shared" ref="AL49:AN55" si="56">IFERROR(U49-D49,0)</f>
        <v>0</v>
      </c>
      <c r="AM49" s="280">
        <f t="shared" si="56"/>
        <v>-572425</v>
      </c>
      <c r="AN49" s="281">
        <f t="shared" si="56"/>
        <v>-572425</v>
      </c>
      <c r="AO49" s="279"/>
      <c r="AP49" s="282">
        <f t="shared" ref="AP49:AS55" si="57">IFERROR(Y49-H49,0)</f>
        <v>22</v>
      </c>
      <c r="AQ49" s="283">
        <f t="shared" si="57"/>
        <v>0</v>
      </c>
      <c r="AR49" s="283">
        <f t="shared" si="57"/>
        <v>-889316</v>
      </c>
      <c r="AS49" s="283">
        <f t="shared" si="57"/>
        <v>-723429</v>
      </c>
      <c r="AT49" s="289"/>
      <c r="AU49" s="283">
        <f t="shared" ref="AU49:AU55" si="58">IFERROR(AD49-M49,0)</f>
        <v>-1612723</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2126866</v>
      </c>
      <c r="E50" s="491">
        <f t="shared" si="54"/>
        <v>161929</v>
      </c>
      <c r="F50" s="483">
        <v>2288795</v>
      </c>
      <c r="G50" s="482"/>
      <c r="H50" s="484">
        <v>503813</v>
      </c>
      <c r="I50" s="485">
        <v>467872</v>
      </c>
      <c r="J50" s="485">
        <v>671954.3</v>
      </c>
      <c r="K50" s="485">
        <v>454358</v>
      </c>
      <c r="L50" s="156"/>
      <c r="M50" s="147">
        <f t="shared" si="55"/>
        <v>2097997.2999999998</v>
      </c>
      <c r="N50" s="172">
        <f t="shared" si="38"/>
        <v>0.91663836210757177</v>
      </c>
      <c r="O50" s="163"/>
      <c r="P50" s="181"/>
      <c r="Q50"/>
      <c r="R50"/>
      <c r="S50" s="159"/>
      <c r="T50" s="157" t="str">
        <f t="shared" si="39"/>
        <v>Departmental agencies and accounts</v>
      </c>
      <c r="U50" s="146">
        <v>2126866</v>
      </c>
      <c r="V50" s="150">
        <v>0</v>
      </c>
      <c r="W50" s="148">
        <v>2126866</v>
      </c>
      <c r="X50" s="146"/>
      <c r="Y50" s="149">
        <v>503813</v>
      </c>
      <c r="Z50" s="224">
        <v>467872</v>
      </c>
      <c r="AA50" s="224"/>
      <c r="AB50" s="224"/>
      <c r="AC50" s="156"/>
      <c r="AD50" s="147">
        <v>971685</v>
      </c>
      <c r="AE50" s="172">
        <v>0.45686235051949675</v>
      </c>
      <c r="AF50" s="163"/>
      <c r="AG50" s="181"/>
      <c r="AH50"/>
      <c r="AI50"/>
      <c r="AJ50" s="293"/>
      <c r="AK50" s="291" t="s">
        <v>58</v>
      </c>
      <c r="AL50" s="279">
        <f t="shared" si="56"/>
        <v>0</v>
      </c>
      <c r="AM50" s="280">
        <f t="shared" si="56"/>
        <v>-161929</v>
      </c>
      <c r="AN50" s="281">
        <f t="shared" si="56"/>
        <v>-161929</v>
      </c>
      <c r="AO50" s="279"/>
      <c r="AP50" s="282">
        <f t="shared" si="57"/>
        <v>0</v>
      </c>
      <c r="AQ50" s="283">
        <f t="shared" si="57"/>
        <v>0</v>
      </c>
      <c r="AR50" s="283">
        <f t="shared" si="57"/>
        <v>-671954.3</v>
      </c>
      <c r="AS50" s="283">
        <f t="shared" si="57"/>
        <v>-454358</v>
      </c>
      <c r="AT50" s="289"/>
      <c r="AU50" s="283">
        <f t="shared" si="58"/>
        <v>-1126312.2999999998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5100</v>
      </c>
      <c r="E51" s="491">
        <f t="shared" si="54"/>
        <v>-5000</v>
      </c>
      <c r="F51" s="483">
        <v>100</v>
      </c>
      <c r="G51" s="482"/>
      <c r="H51" s="484">
        <v>0</v>
      </c>
      <c r="I51" s="485">
        <v>0</v>
      </c>
      <c r="J51" s="485">
        <v>100</v>
      </c>
      <c r="K51" s="485">
        <v>0</v>
      </c>
      <c r="L51" s="156"/>
      <c r="M51" s="147">
        <f t="shared" si="55"/>
        <v>100</v>
      </c>
      <c r="N51" s="172">
        <f t="shared" si="38"/>
        <v>1</v>
      </c>
      <c r="O51" s="163"/>
      <c r="P51" s="181"/>
      <c r="Q51"/>
      <c r="R51"/>
      <c r="S51" s="159"/>
      <c r="T51" s="157" t="str">
        <f t="shared" si="39"/>
        <v>Higher education and institutions</v>
      </c>
      <c r="U51" s="146">
        <v>5100</v>
      </c>
      <c r="V51" s="150">
        <v>0</v>
      </c>
      <c r="W51" s="148">
        <v>5100</v>
      </c>
      <c r="X51" s="146"/>
      <c r="Y51" s="149">
        <v>0</v>
      </c>
      <c r="Z51" s="224">
        <v>0</v>
      </c>
      <c r="AA51" s="224"/>
      <c r="AB51" s="224"/>
      <c r="AC51" s="156"/>
      <c r="AD51" s="147">
        <v>0</v>
      </c>
      <c r="AE51" s="172">
        <v>0</v>
      </c>
      <c r="AF51" s="163"/>
      <c r="AG51" s="181"/>
      <c r="AH51"/>
      <c r="AI51"/>
      <c r="AJ51" s="293"/>
      <c r="AK51" s="291" t="s">
        <v>59</v>
      </c>
      <c r="AL51" s="279">
        <f t="shared" si="56"/>
        <v>0</v>
      </c>
      <c r="AM51" s="280">
        <f t="shared" si="56"/>
        <v>5000</v>
      </c>
      <c r="AN51" s="281">
        <f t="shared" si="56"/>
        <v>5000</v>
      </c>
      <c r="AO51" s="279"/>
      <c r="AP51" s="282">
        <f t="shared" si="57"/>
        <v>0</v>
      </c>
      <c r="AQ51" s="283">
        <f t="shared" si="57"/>
        <v>0</v>
      </c>
      <c r="AR51" s="283">
        <f t="shared" si="57"/>
        <v>-100</v>
      </c>
      <c r="AS51" s="283">
        <f t="shared" si="57"/>
        <v>0</v>
      </c>
      <c r="AT51" s="289"/>
      <c r="AU51" s="283">
        <f t="shared" si="58"/>
        <v>-100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255</v>
      </c>
      <c r="E52" s="491">
        <f t="shared" si="54"/>
        <v>0</v>
      </c>
      <c r="F52" s="483">
        <v>255</v>
      </c>
      <c r="G52" s="482"/>
      <c r="H52" s="484">
        <v>0</v>
      </c>
      <c r="I52" s="485">
        <v>0</v>
      </c>
      <c r="J52" s="485">
        <v>0</v>
      </c>
      <c r="K52" s="485">
        <v>0</v>
      </c>
      <c r="L52" s="156"/>
      <c r="M52" s="147">
        <f t="shared" si="55"/>
        <v>0</v>
      </c>
      <c r="N52" s="172">
        <f t="shared" si="38"/>
        <v>0</v>
      </c>
      <c r="O52" s="163"/>
      <c r="P52" s="181"/>
      <c r="Q52"/>
      <c r="R52"/>
      <c r="S52" s="159"/>
      <c r="T52" s="157" t="str">
        <f t="shared" si="39"/>
        <v>Foreign governments and international organisations</v>
      </c>
      <c r="U52" s="146">
        <v>255</v>
      </c>
      <c r="V52" s="150">
        <v>0</v>
      </c>
      <c r="W52" s="148">
        <v>255</v>
      </c>
      <c r="X52" s="146"/>
      <c r="Y52" s="149">
        <v>0</v>
      </c>
      <c r="Z52" s="224">
        <v>0</v>
      </c>
      <c r="AA52" s="224"/>
      <c r="AB52" s="224"/>
      <c r="AC52" s="156"/>
      <c r="AD52" s="147">
        <v>0</v>
      </c>
      <c r="AE52" s="172">
        <v>0</v>
      </c>
      <c r="AF52" s="163"/>
      <c r="AG52" s="181"/>
      <c r="AH52" s="61"/>
      <c r="AI52"/>
      <c r="AJ52" s="293"/>
      <c r="AK52" s="291" t="s">
        <v>60</v>
      </c>
      <c r="AL52" s="279">
        <f t="shared" si="56"/>
        <v>0</v>
      </c>
      <c r="AM52" s="280">
        <f t="shared" si="56"/>
        <v>0</v>
      </c>
      <c r="AN52" s="281">
        <f t="shared" si="56"/>
        <v>0</v>
      </c>
      <c r="AO52" s="279"/>
      <c r="AP52" s="282">
        <f t="shared" si="57"/>
        <v>0</v>
      </c>
      <c r="AQ52" s="283">
        <f t="shared" si="57"/>
        <v>0</v>
      </c>
      <c r="AR52" s="283">
        <f t="shared" si="57"/>
        <v>0</v>
      </c>
      <c r="AS52" s="283">
        <f t="shared" si="57"/>
        <v>0</v>
      </c>
      <c r="AT52" s="289"/>
      <c r="AU52" s="283">
        <f t="shared" si="58"/>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1507296</v>
      </c>
      <c r="E53" s="491">
        <f t="shared" si="54"/>
        <v>269047</v>
      </c>
      <c r="F53" s="483">
        <v>1776343</v>
      </c>
      <c r="G53" s="482"/>
      <c r="H53" s="484">
        <v>272359</v>
      </c>
      <c r="I53" s="485">
        <v>398734</v>
      </c>
      <c r="J53" s="485">
        <v>545253</v>
      </c>
      <c r="K53" s="485">
        <v>818579</v>
      </c>
      <c r="L53" s="156"/>
      <c r="M53" s="147">
        <f t="shared" si="55"/>
        <v>2034925</v>
      </c>
      <c r="N53" s="172">
        <f t="shared" si="38"/>
        <v>1.1455698589743084</v>
      </c>
      <c r="O53" s="163"/>
      <c r="P53" s="181"/>
      <c r="Q53"/>
      <c r="R53"/>
      <c r="S53" s="159"/>
      <c r="T53" s="157" t="str">
        <f t="shared" si="39"/>
        <v>Public corporations and private enterprises</v>
      </c>
      <c r="U53" s="146">
        <v>1507296</v>
      </c>
      <c r="V53" s="150">
        <v>0</v>
      </c>
      <c r="W53" s="148">
        <v>1507296</v>
      </c>
      <c r="X53" s="146"/>
      <c r="Y53" s="149">
        <v>272358</v>
      </c>
      <c r="Z53" s="224">
        <v>398735</v>
      </c>
      <c r="AA53" s="224"/>
      <c r="AB53" s="224"/>
      <c r="AC53" s="156"/>
      <c r="AD53" s="147">
        <v>671093</v>
      </c>
      <c r="AE53" s="172">
        <v>0.4452297358979258</v>
      </c>
      <c r="AF53" s="163"/>
      <c r="AG53" s="181"/>
      <c r="AH53" s="61"/>
      <c r="AI53"/>
      <c r="AJ53" s="293"/>
      <c r="AK53" s="291" t="s">
        <v>61</v>
      </c>
      <c r="AL53" s="279">
        <f t="shared" si="56"/>
        <v>0</v>
      </c>
      <c r="AM53" s="280">
        <f t="shared" si="56"/>
        <v>-269047</v>
      </c>
      <c r="AN53" s="281">
        <f t="shared" si="56"/>
        <v>-269047</v>
      </c>
      <c r="AO53" s="279"/>
      <c r="AP53" s="282">
        <f t="shared" si="57"/>
        <v>-1</v>
      </c>
      <c r="AQ53" s="283">
        <f t="shared" si="57"/>
        <v>1</v>
      </c>
      <c r="AR53" s="283">
        <f t="shared" si="57"/>
        <v>-545253</v>
      </c>
      <c r="AS53" s="283">
        <f t="shared" si="57"/>
        <v>-818579</v>
      </c>
      <c r="AT53" s="289"/>
      <c r="AU53" s="283">
        <f t="shared" si="58"/>
        <v>-1363832</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3361423</v>
      </c>
      <c r="E54" s="491">
        <f t="shared" si="54"/>
        <v>-269744</v>
      </c>
      <c r="F54" s="483">
        <v>3091679</v>
      </c>
      <c r="G54" s="482"/>
      <c r="H54" s="484">
        <v>1084113</v>
      </c>
      <c r="I54" s="485">
        <v>672067</v>
      </c>
      <c r="J54" s="485">
        <v>809213</v>
      </c>
      <c r="K54" s="485">
        <v>517072</v>
      </c>
      <c r="L54" s="156"/>
      <c r="M54" s="147">
        <f t="shared" si="55"/>
        <v>3082465</v>
      </c>
      <c r="N54" s="172">
        <f t="shared" si="38"/>
        <v>0.99701974234711943</v>
      </c>
      <c r="O54" s="163"/>
      <c r="P54" s="181"/>
      <c r="Q54"/>
      <c r="R54"/>
      <c r="S54" s="159"/>
      <c r="T54" s="157" t="str">
        <f t="shared" si="39"/>
        <v>Non profit institutions</v>
      </c>
      <c r="U54" s="146">
        <v>3361423</v>
      </c>
      <c r="V54" s="150">
        <v>0</v>
      </c>
      <c r="W54" s="148">
        <v>3361423</v>
      </c>
      <c r="X54" s="146"/>
      <c r="Y54" s="149">
        <v>1084232</v>
      </c>
      <c r="Z54" s="224">
        <v>672067</v>
      </c>
      <c r="AA54" s="224"/>
      <c r="AB54" s="224"/>
      <c r="AC54" s="156"/>
      <c r="AD54" s="147">
        <v>1756299</v>
      </c>
      <c r="AE54" s="172">
        <v>0.52248675635288988</v>
      </c>
      <c r="AF54" s="163"/>
      <c r="AG54" s="181"/>
      <c r="AH54" s="61"/>
      <c r="AI54"/>
      <c r="AJ54" s="293"/>
      <c r="AK54" s="291" t="s">
        <v>62</v>
      </c>
      <c r="AL54" s="279">
        <f t="shared" si="56"/>
        <v>0</v>
      </c>
      <c r="AM54" s="280">
        <f t="shared" si="56"/>
        <v>269744</v>
      </c>
      <c r="AN54" s="281">
        <f t="shared" si="56"/>
        <v>269744</v>
      </c>
      <c r="AO54" s="279"/>
      <c r="AP54" s="282">
        <f t="shared" si="57"/>
        <v>119</v>
      </c>
      <c r="AQ54" s="283">
        <f t="shared" si="57"/>
        <v>0</v>
      </c>
      <c r="AR54" s="283">
        <f t="shared" si="57"/>
        <v>-809213</v>
      </c>
      <c r="AS54" s="283">
        <f t="shared" si="57"/>
        <v>-517072</v>
      </c>
      <c r="AT54" s="289"/>
      <c r="AU54" s="283">
        <f t="shared" si="58"/>
        <v>-1326166</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3838661</v>
      </c>
      <c r="E55" s="491">
        <f t="shared" si="54"/>
        <v>348173</v>
      </c>
      <c r="F55" s="483">
        <v>4186834</v>
      </c>
      <c r="G55" s="482"/>
      <c r="H55" s="484">
        <v>862256</v>
      </c>
      <c r="I55" s="485">
        <v>931720</v>
      </c>
      <c r="J55" s="485">
        <v>1257191</v>
      </c>
      <c r="K55" s="485">
        <v>1294499</v>
      </c>
      <c r="L55" s="156"/>
      <c r="M55" s="147">
        <f t="shared" si="55"/>
        <v>4345666</v>
      </c>
      <c r="N55" s="172">
        <f t="shared" si="38"/>
        <v>1.037936063383454</v>
      </c>
      <c r="O55" s="163"/>
      <c r="P55" s="181"/>
      <c r="Q55"/>
      <c r="R55"/>
      <c r="S55" s="159"/>
      <c r="T55" s="157" t="str">
        <f t="shared" si="39"/>
        <v>Households</v>
      </c>
      <c r="U55" s="146">
        <v>3838661</v>
      </c>
      <c r="V55" s="150">
        <v>0</v>
      </c>
      <c r="W55" s="148">
        <v>3838661</v>
      </c>
      <c r="X55" s="146"/>
      <c r="Y55" s="149">
        <v>862254</v>
      </c>
      <c r="Z55" s="224">
        <v>931745</v>
      </c>
      <c r="AA55" s="224"/>
      <c r="AB55" s="224"/>
      <c r="AC55" s="156"/>
      <c r="AD55" s="147">
        <v>1793999</v>
      </c>
      <c r="AE55" s="172">
        <v>0.46735020362569135</v>
      </c>
      <c r="AF55" s="163"/>
      <c r="AG55" s="181"/>
      <c r="AH55"/>
      <c r="AI55"/>
      <c r="AJ55" s="293"/>
      <c r="AK55" s="291" t="s">
        <v>63</v>
      </c>
      <c r="AL55" s="279">
        <f t="shared" si="56"/>
        <v>0</v>
      </c>
      <c r="AM55" s="280">
        <f t="shared" si="56"/>
        <v>-348173</v>
      </c>
      <c r="AN55" s="281">
        <f t="shared" si="56"/>
        <v>-348173</v>
      </c>
      <c r="AO55" s="279"/>
      <c r="AP55" s="282">
        <f t="shared" si="57"/>
        <v>-2</v>
      </c>
      <c r="AQ55" s="283">
        <f t="shared" si="57"/>
        <v>25</v>
      </c>
      <c r="AR55" s="283">
        <f t="shared" si="57"/>
        <v>-1257191</v>
      </c>
      <c r="AS55" s="283">
        <f t="shared" si="57"/>
        <v>-1294499</v>
      </c>
      <c r="AT55" s="289"/>
      <c r="AU55" s="283">
        <f t="shared" si="58"/>
        <v>-2551667</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8403743</v>
      </c>
      <c r="E56" s="156">
        <f t="shared" ref="E56:M56" si="59">SUM(E57:E63)</f>
        <v>-8648</v>
      </c>
      <c r="F56" s="153">
        <f t="shared" si="59"/>
        <v>8395095</v>
      </c>
      <c r="G56" s="152">
        <f t="shared" si="59"/>
        <v>0</v>
      </c>
      <c r="H56" s="154">
        <f t="shared" si="59"/>
        <v>1286248</v>
      </c>
      <c r="I56" s="155">
        <f t="shared" ref="I56" si="60">SUM(I57:I63)</f>
        <v>1680038</v>
      </c>
      <c r="J56" s="155">
        <f t="shared" ref="J56:K56" si="61">SUM(J57:J63)</f>
        <v>1756299</v>
      </c>
      <c r="K56" s="155">
        <f t="shared" si="61"/>
        <v>2238781</v>
      </c>
      <c r="L56" s="156"/>
      <c r="M56" s="155">
        <f t="shared" si="59"/>
        <v>6961366</v>
      </c>
      <c r="N56" s="183">
        <f t="shared" si="38"/>
        <v>0.82921825184825182</v>
      </c>
      <c r="O56" s="595"/>
      <c r="P56" s="478"/>
      <c r="Q56"/>
      <c r="R56"/>
      <c r="S56" s="159"/>
      <c r="T56" s="182" t="str">
        <f t="shared" si="39"/>
        <v>Payments for capital assets</v>
      </c>
      <c r="U56" s="152">
        <v>8403743</v>
      </c>
      <c r="V56" s="156">
        <v>0</v>
      </c>
      <c r="W56" s="153">
        <v>8403743</v>
      </c>
      <c r="X56" s="152">
        <v>0</v>
      </c>
      <c r="Y56" s="154">
        <v>1285137</v>
      </c>
      <c r="Z56" s="155">
        <v>1680037</v>
      </c>
      <c r="AA56" s="155">
        <v>0</v>
      </c>
      <c r="AB56" s="155">
        <v>0</v>
      </c>
      <c r="AC56" s="156"/>
      <c r="AD56" s="155">
        <v>2965174</v>
      </c>
      <c r="AE56" s="183">
        <v>0.35283968108020436</v>
      </c>
      <c r="AF56" s="163"/>
      <c r="AG56" s="181"/>
      <c r="AH56"/>
      <c r="AI56"/>
      <c r="AJ56" s="293"/>
      <c r="AK56" s="314" t="s">
        <v>2</v>
      </c>
      <c r="AL56" s="285">
        <f>SUM(AL57:AL63)</f>
        <v>0</v>
      </c>
      <c r="AM56" s="289">
        <f t="shared" ref="AM56:AO56" si="62">SUM(AM57:AM63)</f>
        <v>8648</v>
      </c>
      <c r="AN56" s="286">
        <f>SUM(AN57:AN63)</f>
        <v>8648</v>
      </c>
      <c r="AO56" s="285">
        <f t="shared" si="62"/>
        <v>0</v>
      </c>
      <c r="AP56" s="287">
        <f>SUM(AP57:AP63)</f>
        <v>-1111</v>
      </c>
      <c r="AQ56" s="288">
        <f t="shared" ref="AQ56:AS56" si="63">SUM(AQ57:AQ63)</f>
        <v>-1</v>
      </c>
      <c r="AR56" s="288">
        <f t="shared" si="63"/>
        <v>-1756299</v>
      </c>
      <c r="AS56" s="288">
        <f t="shared" si="63"/>
        <v>-2238781</v>
      </c>
      <c r="AT56" s="289"/>
      <c r="AU56" s="288">
        <f t="shared" ref="AU56" si="64">SUM(AU57:AU63)</f>
        <v>-3996192</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6797849</v>
      </c>
      <c r="E57" s="491">
        <f t="shared" ref="E57:E64" si="65">F57-D57</f>
        <v>18310</v>
      </c>
      <c r="F57" s="483">
        <v>6816159</v>
      </c>
      <c r="G57" s="482"/>
      <c r="H57" s="484">
        <v>1123133</v>
      </c>
      <c r="I57" s="485">
        <v>1479814</v>
      </c>
      <c r="J57" s="485">
        <v>1318495</v>
      </c>
      <c r="K57" s="485">
        <v>1405396</v>
      </c>
      <c r="L57" s="156"/>
      <c r="M57" s="147">
        <f t="shared" ref="M57:M64" si="66">SUM(H57:K57)</f>
        <v>5326838</v>
      </c>
      <c r="N57" s="172">
        <f t="shared" si="38"/>
        <v>0.78150142917734167</v>
      </c>
      <c r="O57" s="163"/>
      <c r="P57" s="181"/>
      <c r="Q57"/>
      <c r="R57"/>
      <c r="S57" s="159"/>
      <c r="T57" s="157" t="str">
        <f t="shared" si="39"/>
        <v>Buildings and other fixed structures</v>
      </c>
      <c r="U57" s="146">
        <v>6797849</v>
      </c>
      <c r="V57" s="150">
        <v>0</v>
      </c>
      <c r="W57" s="148">
        <v>6797849</v>
      </c>
      <c r="X57" s="146"/>
      <c r="Y57" s="149">
        <v>1123133</v>
      </c>
      <c r="Z57" s="224">
        <v>1479814</v>
      </c>
      <c r="AA57" s="224"/>
      <c r="AB57" s="224"/>
      <c r="AC57" s="156"/>
      <c r="AD57" s="147">
        <v>2602947</v>
      </c>
      <c r="AE57" s="172">
        <v>0.38290744616422046</v>
      </c>
      <c r="AF57" s="163"/>
      <c r="AG57" s="181"/>
      <c r="AH57"/>
      <c r="AI57"/>
      <c r="AJ57" s="293"/>
      <c r="AK57" s="291" t="s">
        <v>64</v>
      </c>
      <c r="AL57" s="279">
        <f t="shared" ref="AL57:AN64" si="67">IFERROR(U57-D57,0)</f>
        <v>0</v>
      </c>
      <c r="AM57" s="280">
        <f t="shared" si="67"/>
        <v>-18310</v>
      </c>
      <c r="AN57" s="281">
        <f t="shared" si="67"/>
        <v>-18310</v>
      </c>
      <c r="AO57" s="279"/>
      <c r="AP57" s="282">
        <f t="shared" ref="AP57:AS64" si="68">IFERROR(Y57-H57,0)</f>
        <v>0</v>
      </c>
      <c r="AQ57" s="283">
        <f t="shared" si="68"/>
        <v>0</v>
      </c>
      <c r="AR57" s="283">
        <f t="shared" si="68"/>
        <v>-1318495</v>
      </c>
      <c r="AS57" s="283">
        <f t="shared" si="68"/>
        <v>-1405396</v>
      </c>
      <c r="AT57" s="289"/>
      <c r="AU57" s="283">
        <f t="shared" ref="AU57:AU64" si="69">IFERROR(AD57-M57,0)</f>
        <v>-2723891</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1586146</v>
      </c>
      <c r="E58" s="491">
        <f t="shared" si="65"/>
        <v>-40787</v>
      </c>
      <c r="F58" s="483">
        <v>1545359</v>
      </c>
      <c r="G58" s="482"/>
      <c r="H58" s="484">
        <v>162850</v>
      </c>
      <c r="I58" s="485">
        <v>193653</v>
      </c>
      <c r="J58" s="485">
        <v>436264</v>
      </c>
      <c r="K58" s="485">
        <v>818689</v>
      </c>
      <c r="L58" s="156"/>
      <c r="M58" s="147">
        <f t="shared" si="66"/>
        <v>1611456</v>
      </c>
      <c r="N58" s="172">
        <f t="shared" si="38"/>
        <v>1.0427712913310112</v>
      </c>
      <c r="O58" s="163"/>
      <c r="P58" s="181"/>
      <c r="Q58"/>
      <c r="R58"/>
      <c r="S58" s="159"/>
      <c r="T58" s="157" t="str">
        <f t="shared" si="39"/>
        <v>Machinery and equipment</v>
      </c>
      <c r="U58" s="146">
        <v>1586146</v>
      </c>
      <c r="V58" s="150">
        <v>0</v>
      </c>
      <c r="W58" s="148">
        <v>1586146</v>
      </c>
      <c r="X58" s="146"/>
      <c r="Y58" s="149">
        <v>161739</v>
      </c>
      <c r="Z58" s="224">
        <v>193652</v>
      </c>
      <c r="AA58" s="224"/>
      <c r="AB58" s="224"/>
      <c r="AC58" s="156"/>
      <c r="AD58" s="147">
        <v>355391</v>
      </c>
      <c r="AE58" s="172">
        <v>0.22405944976061473</v>
      </c>
      <c r="AF58" s="163"/>
      <c r="AG58" s="181"/>
      <c r="AH58"/>
      <c r="AI58"/>
      <c r="AJ58" s="293"/>
      <c r="AK58" s="291" t="s">
        <v>65</v>
      </c>
      <c r="AL58" s="279">
        <f t="shared" si="67"/>
        <v>0</v>
      </c>
      <c r="AM58" s="280">
        <f t="shared" si="67"/>
        <v>40787</v>
      </c>
      <c r="AN58" s="281">
        <f t="shared" si="67"/>
        <v>40787</v>
      </c>
      <c r="AO58" s="279"/>
      <c r="AP58" s="282">
        <f t="shared" si="68"/>
        <v>-1111</v>
      </c>
      <c r="AQ58" s="283">
        <f t="shared" si="68"/>
        <v>-1</v>
      </c>
      <c r="AR58" s="283">
        <f t="shared" si="68"/>
        <v>-436264</v>
      </c>
      <c r="AS58" s="283">
        <f t="shared" si="68"/>
        <v>-818689</v>
      </c>
      <c r="AT58" s="289"/>
      <c r="AU58" s="283">
        <f t="shared" si="69"/>
        <v>-1256065</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5099</v>
      </c>
      <c r="E59" s="491">
        <f t="shared" si="65"/>
        <v>-5021</v>
      </c>
      <c r="F59" s="483">
        <v>78</v>
      </c>
      <c r="G59" s="482"/>
      <c r="H59" s="484">
        <v>78</v>
      </c>
      <c r="I59" s="485">
        <v>0</v>
      </c>
      <c r="J59" s="485">
        <v>0</v>
      </c>
      <c r="K59" s="485">
        <v>0</v>
      </c>
      <c r="L59" s="156"/>
      <c r="M59" s="147">
        <f t="shared" si="66"/>
        <v>78</v>
      </c>
      <c r="N59" s="172">
        <f t="shared" si="38"/>
        <v>1</v>
      </c>
      <c r="O59" s="163"/>
      <c r="P59" s="181"/>
      <c r="Q59"/>
      <c r="R59"/>
      <c r="S59" s="159"/>
      <c r="T59" s="157" t="str">
        <f t="shared" si="39"/>
        <v>Heritage assets</v>
      </c>
      <c r="U59" s="146">
        <v>5099</v>
      </c>
      <c r="V59" s="150">
        <v>0</v>
      </c>
      <c r="W59" s="148">
        <v>5099</v>
      </c>
      <c r="X59" s="146"/>
      <c r="Y59" s="149">
        <v>78</v>
      </c>
      <c r="Z59" s="224">
        <v>0</v>
      </c>
      <c r="AA59" s="224"/>
      <c r="AB59" s="224"/>
      <c r="AC59" s="156"/>
      <c r="AD59" s="147">
        <v>78</v>
      </c>
      <c r="AE59" s="172">
        <v>1.5297117081780741E-2</v>
      </c>
      <c r="AF59" s="163"/>
      <c r="AG59" s="181"/>
      <c r="AH59"/>
      <c r="AI59"/>
      <c r="AJ59" s="293"/>
      <c r="AK59" s="291" t="s">
        <v>66</v>
      </c>
      <c r="AL59" s="279">
        <f t="shared" si="67"/>
        <v>0</v>
      </c>
      <c r="AM59" s="280">
        <f t="shared" si="67"/>
        <v>5021</v>
      </c>
      <c r="AN59" s="281">
        <f t="shared" si="67"/>
        <v>5021</v>
      </c>
      <c r="AO59" s="279"/>
      <c r="AP59" s="282">
        <f t="shared" si="68"/>
        <v>0</v>
      </c>
      <c r="AQ59" s="283">
        <f t="shared" si="68"/>
        <v>0</v>
      </c>
      <c r="AR59" s="283">
        <f t="shared" si="68"/>
        <v>0</v>
      </c>
      <c r="AS59" s="283">
        <f t="shared" si="68"/>
        <v>0</v>
      </c>
      <c r="AT59" s="289"/>
      <c r="AU59" s="283">
        <f t="shared" si="69"/>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5"/>
        <v>0</v>
      </c>
      <c r="F60" s="483">
        <v>0</v>
      </c>
      <c r="G60" s="482"/>
      <c r="H60" s="484">
        <v>0</v>
      </c>
      <c r="I60" s="485">
        <v>0</v>
      </c>
      <c r="J60" s="485">
        <v>0</v>
      </c>
      <c r="K60" s="485">
        <v>0</v>
      </c>
      <c r="L60" s="156"/>
      <c r="M60" s="147">
        <f t="shared" si="66"/>
        <v>0</v>
      </c>
      <c r="N60" s="172">
        <f t="shared" si="38"/>
        <v>0</v>
      </c>
      <c r="O60" s="163"/>
      <c r="P60" s="181"/>
      <c r="Q60"/>
      <c r="R60"/>
      <c r="S60" s="159"/>
      <c r="T60" s="157" t="str">
        <f t="shared" si="39"/>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7"/>
        <v>0</v>
      </c>
      <c r="AM60" s="280">
        <f t="shared" si="67"/>
        <v>0</v>
      </c>
      <c r="AN60" s="281">
        <f t="shared" si="67"/>
        <v>0</v>
      </c>
      <c r="AO60" s="279"/>
      <c r="AP60" s="282">
        <f t="shared" si="68"/>
        <v>0</v>
      </c>
      <c r="AQ60" s="283">
        <f t="shared" si="68"/>
        <v>0</v>
      </c>
      <c r="AR60" s="283">
        <f t="shared" si="68"/>
        <v>0</v>
      </c>
      <c r="AS60" s="283">
        <f t="shared" si="68"/>
        <v>0</v>
      </c>
      <c r="AT60" s="289"/>
      <c r="AU60" s="283">
        <f t="shared" si="69"/>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570</v>
      </c>
      <c r="E61" s="491">
        <f t="shared" si="65"/>
        <v>0</v>
      </c>
      <c r="F61" s="483">
        <v>570</v>
      </c>
      <c r="G61" s="482"/>
      <c r="H61" s="484">
        <v>0</v>
      </c>
      <c r="I61" s="485">
        <v>0</v>
      </c>
      <c r="J61" s="485">
        <v>0</v>
      </c>
      <c r="K61" s="485">
        <v>0</v>
      </c>
      <c r="L61" s="156"/>
      <c r="M61" s="147">
        <f t="shared" si="66"/>
        <v>0</v>
      </c>
      <c r="N61" s="172">
        <f t="shared" si="38"/>
        <v>0</v>
      </c>
      <c r="O61" s="163"/>
      <c r="P61" s="181"/>
      <c r="Q61"/>
      <c r="R61"/>
      <c r="S61" s="159"/>
      <c r="T61" s="157" t="str">
        <f t="shared" si="39"/>
        <v>Biological assets</v>
      </c>
      <c r="U61" s="146">
        <v>570</v>
      </c>
      <c r="V61" s="150">
        <v>0</v>
      </c>
      <c r="W61" s="148">
        <v>570</v>
      </c>
      <c r="X61" s="146"/>
      <c r="Y61" s="149">
        <v>0</v>
      </c>
      <c r="Z61" s="224">
        <v>0</v>
      </c>
      <c r="AA61" s="224"/>
      <c r="AB61" s="224"/>
      <c r="AC61" s="156"/>
      <c r="AD61" s="147">
        <v>0</v>
      </c>
      <c r="AE61" s="172">
        <v>0</v>
      </c>
      <c r="AF61" s="163"/>
      <c r="AG61" s="181"/>
      <c r="AH61"/>
      <c r="AI61"/>
      <c r="AJ61" s="293"/>
      <c r="AK61" s="291" t="s">
        <v>68</v>
      </c>
      <c r="AL61" s="279">
        <f t="shared" si="67"/>
        <v>0</v>
      </c>
      <c r="AM61" s="280">
        <f t="shared" si="67"/>
        <v>0</v>
      </c>
      <c r="AN61" s="281">
        <f t="shared" si="67"/>
        <v>0</v>
      </c>
      <c r="AO61" s="279"/>
      <c r="AP61" s="282">
        <f t="shared" si="68"/>
        <v>0</v>
      </c>
      <c r="AQ61" s="283">
        <f t="shared" si="68"/>
        <v>0</v>
      </c>
      <c r="AR61" s="283">
        <f t="shared" si="68"/>
        <v>0</v>
      </c>
      <c r="AS61" s="283">
        <f t="shared" si="68"/>
        <v>0</v>
      </c>
      <c r="AT61" s="289"/>
      <c r="AU61" s="283">
        <f t="shared" si="69"/>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5"/>
        <v>0</v>
      </c>
      <c r="F62" s="483">
        <v>0</v>
      </c>
      <c r="G62" s="482"/>
      <c r="H62" s="484">
        <v>0</v>
      </c>
      <c r="I62" s="485">
        <v>0</v>
      </c>
      <c r="J62" s="485">
        <v>0</v>
      </c>
      <c r="K62" s="485">
        <v>0</v>
      </c>
      <c r="L62" s="156"/>
      <c r="M62" s="147">
        <f t="shared" si="66"/>
        <v>0</v>
      </c>
      <c r="N62" s="172">
        <f t="shared" si="38"/>
        <v>0</v>
      </c>
      <c r="O62" s="163"/>
      <c r="P62" s="181"/>
      <c r="S62" s="159"/>
      <c r="T62" s="157" t="str">
        <f t="shared" si="39"/>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7"/>
        <v>0</v>
      </c>
      <c r="AM62" s="280">
        <f t="shared" si="67"/>
        <v>0</v>
      </c>
      <c r="AN62" s="281">
        <f t="shared" si="67"/>
        <v>0</v>
      </c>
      <c r="AO62" s="279"/>
      <c r="AP62" s="282">
        <f t="shared" si="68"/>
        <v>0</v>
      </c>
      <c r="AQ62" s="283">
        <f t="shared" si="68"/>
        <v>0</v>
      </c>
      <c r="AR62" s="283">
        <f t="shared" si="68"/>
        <v>0</v>
      </c>
      <c r="AS62" s="283">
        <f t="shared" si="68"/>
        <v>0</v>
      </c>
      <c r="AT62" s="289"/>
      <c r="AU62" s="283">
        <f t="shared" si="69"/>
        <v>0</v>
      </c>
      <c r="AV62" s="290"/>
      <c r="AW62" s="297"/>
      <c r="AX62" s="181"/>
    </row>
    <row r="63" spans="1:79" s="66" customFormat="1" ht="15.75" customHeight="1" x14ac:dyDescent="0.3">
      <c r="A63" s="446">
        <v>1</v>
      </c>
      <c r="B63" s="159"/>
      <c r="C63" s="157" t="s">
        <v>70</v>
      </c>
      <c r="D63" s="482">
        <v>14079</v>
      </c>
      <c r="E63" s="491">
        <f t="shared" si="65"/>
        <v>18850</v>
      </c>
      <c r="F63" s="483">
        <v>32929</v>
      </c>
      <c r="G63" s="482"/>
      <c r="H63" s="484">
        <v>187</v>
      </c>
      <c r="I63" s="485">
        <v>6571</v>
      </c>
      <c r="J63" s="485">
        <v>1540</v>
      </c>
      <c r="K63" s="485">
        <v>14696</v>
      </c>
      <c r="L63" s="156"/>
      <c r="M63" s="147">
        <f t="shared" si="66"/>
        <v>22994</v>
      </c>
      <c r="N63" s="172">
        <f t="shared" si="38"/>
        <v>0.69829026086428381</v>
      </c>
      <c r="O63" s="163"/>
      <c r="P63" s="181"/>
      <c r="Q63"/>
      <c r="R63"/>
      <c r="S63" s="159"/>
      <c r="T63" s="157" t="str">
        <f t="shared" si="39"/>
        <v>Software and other intangible assets</v>
      </c>
      <c r="U63" s="146">
        <v>14079</v>
      </c>
      <c r="V63" s="150">
        <v>0</v>
      </c>
      <c r="W63" s="148">
        <v>14079</v>
      </c>
      <c r="X63" s="146"/>
      <c r="Y63" s="149">
        <v>187</v>
      </c>
      <c r="Z63" s="224">
        <v>6571</v>
      </c>
      <c r="AA63" s="224"/>
      <c r="AB63" s="224"/>
      <c r="AC63" s="156"/>
      <c r="AD63" s="147">
        <v>6758</v>
      </c>
      <c r="AE63" s="172">
        <v>0.48000568222174872</v>
      </c>
      <c r="AF63" s="163"/>
      <c r="AG63" s="181"/>
      <c r="AH63"/>
      <c r="AI63"/>
      <c r="AJ63" s="293"/>
      <c r="AK63" s="291" t="s">
        <v>70</v>
      </c>
      <c r="AL63" s="279">
        <f t="shared" si="67"/>
        <v>0</v>
      </c>
      <c r="AM63" s="280">
        <f t="shared" si="67"/>
        <v>-18850</v>
      </c>
      <c r="AN63" s="281">
        <f t="shared" si="67"/>
        <v>-18850</v>
      </c>
      <c r="AO63" s="279"/>
      <c r="AP63" s="282">
        <f t="shared" si="68"/>
        <v>0</v>
      </c>
      <c r="AQ63" s="283">
        <f t="shared" si="68"/>
        <v>0</v>
      </c>
      <c r="AR63" s="283">
        <f t="shared" si="68"/>
        <v>-1540</v>
      </c>
      <c r="AS63" s="283">
        <f t="shared" si="68"/>
        <v>-14696</v>
      </c>
      <c r="AT63" s="289"/>
      <c r="AU63" s="283">
        <f t="shared" si="69"/>
        <v>-16236</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5"/>
        <v>529</v>
      </c>
      <c r="F64" s="488">
        <v>529</v>
      </c>
      <c r="G64" s="487"/>
      <c r="H64" s="489">
        <v>227</v>
      </c>
      <c r="I64" s="490">
        <v>442</v>
      </c>
      <c r="J64" s="490">
        <v>845</v>
      </c>
      <c r="K64" s="490">
        <v>1694</v>
      </c>
      <c r="L64" s="156"/>
      <c r="M64" s="155">
        <f t="shared" si="66"/>
        <v>3208</v>
      </c>
      <c r="N64" s="183">
        <f t="shared" si="38"/>
        <v>6.064272211720227</v>
      </c>
      <c r="O64" s="595"/>
      <c r="P64" s="478"/>
      <c r="Q64"/>
      <c r="R64"/>
      <c r="S64" s="159"/>
      <c r="T64" s="182" t="str">
        <f t="shared" si="39"/>
        <v>Payments for financial assets</v>
      </c>
      <c r="U64" s="152">
        <v>0</v>
      </c>
      <c r="V64" s="156">
        <v>0</v>
      </c>
      <c r="W64" s="153">
        <v>0</v>
      </c>
      <c r="X64" s="152"/>
      <c r="Y64" s="154">
        <v>227</v>
      </c>
      <c r="Z64" s="224">
        <v>442</v>
      </c>
      <c r="AA64" s="224"/>
      <c r="AB64" s="224"/>
      <c r="AC64" s="156"/>
      <c r="AD64" s="155">
        <v>669</v>
      </c>
      <c r="AE64" s="172">
        <v>0</v>
      </c>
      <c r="AF64" s="163"/>
      <c r="AG64" s="181"/>
      <c r="AH64"/>
      <c r="AI64"/>
      <c r="AJ64" s="293"/>
      <c r="AK64" s="314" t="s">
        <v>3</v>
      </c>
      <c r="AL64" s="285">
        <f t="shared" si="67"/>
        <v>0</v>
      </c>
      <c r="AM64" s="289">
        <f t="shared" si="67"/>
        <v>-529</v>
      </c>
      <c r="AN64" s="286">
        <f t="shared" si="67"/>
        <v>-529</v>
      </c>
      <c r="AO64" s="285"/>
      <c r="AP64" s="287">
        <f t="shared" si="68"/>
        <v>0</v>
      </c>
      <c r="AQ64" s="288">
        <f t="shared" si="68"/>
        <v>0</v>
      </c>
      <c r="AR64" s="288">
        <f t="shared" si="68"/>
        <v>-845</v>
      </c>
      <c r="AS64" s="288">
        <f t="shared" si="68"/>
        <v>-1694</v>
      </c>
      <c r="AT64" s="289"/>
      <c r="AU64" s="288">
        <f t="shared" si="69"/>
        <v>-2539</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130474221</v>
      </c>
      <c r="E66" s="179">
        <f t="shared" ref="E66:F66" si="70">E44+E48+E56+E64</f>
        <v>1469189</v>
      </c>
      <c r="F66" s="166">
        <f t="shared" si="70"/>
        <v>131943410</v>
      </c>
      <c r="G66" s="165"/>
      <c r="H66" s="167">
        <f t="shared" ref="H66:I66" si="71">H44+H48+H56+H64</f>
        <v>29867840</v>
      </c>
      <c r="I66" s="437">
        <f t="shared" si="71"/>
        <v>31694710</v>
      </c>
      <c r="J66" s="437">
        <f t="shared" ref="J66:K66" si="72">J44+J48+J56+J64</f>
        <v>34011282.799999997</v>
      </c>
      <c r="K66" s="437">
        <f t="shared" si="72"/>
        <v>34479071</v>
      </c>
      <c r="L66" s="156"/>
      <c r="M66" s="168">
        <f>M44+M48+M56+M64</f>
        <v>130052903.8</v>
      </c>
      <c r="N66" s="180">
        <f>IFERROR(M66/F66,0)</f>
        <v>0.98567184067775726</v>
      </c>
      <c r="O66" s="595"/>
      <c r="P66" s="594"/>
      <c r="Q66"/>
      <c r="R66"/>
      <c r="S66" s="119"/>
      <c r="T66" s="164" t="s">
        <v>12</v>
      </c>
      <c r="U66" s="165">
        <v>130474221</v>
      </c>
      <c r="V66" s="179">
        <v>0</v>
      </c>
      <c r="W66" s="166">
        <v>130474221</v>
      </c>
      <c r="X66" s="165"/>
      <c r="Y66" s="167">
        <v>29866683</v>
      </c>
      <c r="Z66" s="437">
        <v>31694200</v>
      </c>
      <c r="AA66" s="437" t="s">
        <v>52</v>
      </c>
      <c r="AB66" s="437" t="s">
        <v>52</v>
      </c>
      <c r="AC66" s="156"/>
      <c r="AD66" s="168">
        <v>61560883</v>
      </c>
      <c r="AE66" s="180">
        <v>0.47182410845740935</v>
      </c>
      <c r="AF66" s="163"/>
      <c r="AG66" s="118"/>
      <c r="AH66"/>
      <c r="AI66"/>
      <c r="AJ66" s="248"/>
      <c r="AK66" s="298" t="s">
        <v>12</v>
      </c>
      <c r="AL66" s="299">
        <f>AL44+AL48+AL56+AL64</f>
        <v>0</v>
      </c>
      <c r="AM66" s="313">
        <f t="shared" ref="AM66" si="73">AM44+AM48+AM56+AM64</f>
        <v>-1469189</v>
      </c>
      <c r="AN66" s="300">
        <f>AN44+AN48+AN56+AN64</f>
        <v>-1469189</v>
      </c>
      <c r="AO66" s="299"/>
      <c r="AP66" s="301">
        <f>AP44+AP48+AP56+AP64</f>
        <v>-1157</v>
      </c>
      <c r="AQ66" s="302">
        <f t="shared" ref="AQ66:AS66" si="74">AQ44+AQ48+AQ56+AQ64</f>
        <v>-510</v>
      </c>
      <c r="AR66" s="302">
        <f t="shared" si="74"/>
        <v>-34011282.799999997</v>
      </c>
      <c r="AS66" s="302">
        <f t="shared" si="74"/>
        <v>-34479071</v>
      </c>
      <c r="AT66" s="289"/>
      <c r="AU66" s="302">
        <f>AU44+AU48+AU56+AU64</f>
        <v>-68492020.799999997</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Settings!$X$11 &amp; "    " &amp; Settings!$Z$11 &amp; ": Provincial Treasury KwaZulu-Natal     Tel No:  " &amp; Settings!$AB$11</f>
        <v>Information submitted by:  Simiso Magagula    Head Official: Provincial Treasury KwaZulu-Natal     Tel No:  (033) 897-4547</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wbivm614/2gMCnNP54UgZYVz0P10scCcGtjdshlv/4qxPQuxre13/uOhoAC04gz/FysQ67E9AVYMqe2hvMSTjw==" saltValue="vd1FuzuOJhA47IlfQxZ8SQ==" spinCount="100000" sheet="1" objects="1" scenarios="1"/>
  <autoFilter ref="A9:A226" xr:uid="{EB2BDD63-B0B9-4D33-AEBE-CA23E2FFA4E0}">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F034CB9B-257A-4712-8C1C-561142201075}">
            <xm:f>General!$BE$1&gt;=2</xm:f>
            <x14:dxf>
              <fill>
                <patternFill patternType="none">
                  <bgColor auto="1"/>
                </patternFill>
              </fill>
            </x14:dxf>
          </x14:cfRule>
          <xm:sqref>I66</xm:sqref>
        </x14:conditionalFormatting>
        <x14:conditionalFormatting xmlns:xm="http://schemas.microsoft.com/office/excel/2006/main">
          <x14:cfRule type="expression" priority="17" id="{EF426897-EE4C-404D-908C-51E3594BFEBC}">
            <xm:f>General!$BE$1&gt;=3</xm:f>
            <x14:dxf>
              <fill>
                <patternFill patternType="none">
                  <bgColor auto="1"/>
                </patternFill>
              </fill>
            </x14:dxf>
          </x14:cfRule>
          <xm:sqref>J66</xm:sqref>
        </x14:conditionalFormatting>
        <x14:conditionalFormatting xmlns:xm="http://schemas.microsoft.com/office/excel/2006/main">
          <x14:cfRule type="expression" priority="16" id="{C00092F6-540B-4C43-8F68-A2D49E08651F}">
            <xm:f>General!$BE$1=4</xm:f>
            <x14:dxf>
              <fill>
                <patternFill patternType="none">
                  <bgColor auto="1"/>
                </patternFill>
              </fill>
            </x14:dxf>
          </x14:cfRule>
          <xm:sqref>K66</xm:sqref>
        </x14:conditionalFormatting>
        <x14:conditionalFormatting xmlns:xm="http://schemas.microsoft.com/office/excel/2006/main">
          <x14:cfRule type="expression" priority="15" id="{BCA423E1-1E93-4D1D-82C4-81F7A7C1ED2E}">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1C665A57-B029-4A1E-95DE-0939BE1278F5}">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7F22E34B-9A8B-4D55-AF16-3D71D99F215A}">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C70495DD-4D47-4830-B2E8-9588440DD9BB}">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138CC6FF-7A33-4F77-8A9A-4E172A756CC5}">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92E9F07E-0B31-4793-83BF-266BF2F6BD4F}">
            <xm:f>General!$BE$1=4</xm:f>
            <x14:dxf>
              <fill>
                <patternFill patternType="none">
                  <bgColor auto="1"/>
                </patternFill>
              </fill>
            </x14:dxf>
          </x14:cfRule>
          <xm:sqref>K13:K15 K17 K20:K39 K41 K45:K47 K49:K55 K57:K64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170</v>
      </c>
      <c r="D4" s="37"/>
      <c r="E4" s="37"/>
      <c r="F4" s="37"/>
      <c r="G4" s="37"/>
      <c r="H4" s="37"/>
      <c r="I4" s="37"/>
      <c r="J4" s="38"/>
      <c r="K4" s="38"/>
      <c r="L4" s="38"/>
      <c r="M4" s="38"/>
      <c r="N4" s="38"/>
      <c r="O4" s="33"/>
      <c r="R4"/>
      <c r="S4" s="36"/>
      <c r="T4" s="34" t="str">
        <f>C4</f>
        <v>KWAZULU-NATAL PROVINCE</v>
      </c>
      <c r="U4" s="37"/>
      <c r="V4" s="37"/>
      <c r="W4" s="37"/>
      <c r="X4" s="37"/>
      <c r="Y4" s="37"/>
      <c r="Z4" s="37"/>
      <c r="AA4" s="38"/>
      <c r="AB4" s="38"/>
      <c r="AC4" s="38"/>
      <c r="AD4" s="38"/>
      <c r="AE4" s="38"/>
      <c r="AF4" s="33"/>
      <c r="AG4" s="441"/>
      <c r="AH4" s="441"/>
      <c r="AI4"/>
      <c r="AJ4" s="348"/>
      <c r="AK4" s="349" t="str">
        <f>C4</f>
        <v>KWAZULU-NATAL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KZN_1!D6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287022</v>
      </c>
      <c r="E13" s="198">
        <f t="shared" ref="E13:K13" si="2">SUM(E14+E15+E16)</f>
        <v>-3451</v>
      </c>
      <c r="F13" s="54">
        <f t="shared" si="2"/>
        <v>283571</v>
      </c>
      <c r="G13" s="54">
        <f t="shared" si="2"/>
        <v>97425</v>
      </c>
      <c r="H13" s="95">
        <f t="shared" si="2"/>
        <v>380996</v>
      </c>
      <c r="I13" s="216">
        <f t="shared" si="2"/>
        <v>0</v>
      </c>
      <c r="J13" s="101">
        <f t="shared" si="2"/>
        <v>283571</v>
      </c>
      <c r="K13" s="54">
        <f t="shared" si="2"/>
        <v>283571</v>
      </c>
      <c r="L13" s="54"/>
      <c r="M13" s="54">
        <f>SUM(M14+M15+M16)</f>
        <v>305472</v>
      </c>
      <c r="N13" s="183">
        <f>IFERROR(M13/H13,0)</f>
        <v>0.80177219708343395</v>
      </c>
      <c r="O13" s="55"/>
      <c r="R13"/>
      <c r="S13" s="53"/>
      <c r="T13" s="51" t="str">
        <f>C13</f>
        <v>Agriculture, Forestry and Fisheries (Vote 24)</v>
      </c>
      <c r="U13" s="95">
        <v>287022</v>
      </c>
      <c r="V13" s="198">
        <v>0</v>
      </c>
      <c r="W13" s="54">
        <v>287022</v>
      </c>
      <c r="X13" s="54">
        <v>0</v>
      </c>
      <c r="Y13" s="95">
        <v>287022</v>
      </c>
      <c r="Z13" s="216"/>
      <c r="AA13" s="101">
        <v>99257</v>
      </c>
      <c r="AB13" s="54">
        <v>99256</v>
      </c>
      <c r="AC13" s="54"/>
      <c r="AD13" s="54">
        <v>109044</v>
      </c>
      <c r="AE13" s="183">
        <v>0.37991512845705205</v>
      </c>
      <c r="AF13" s="55"/>
      <c r="AG13" s="442"/>
      <c r="AH13" s="442"/>
      <c r="AI13"/>
      <c r="AJ13" s="387"/>
      <c r="AK13" s="481" t="str">
        <f t="shared" ref="AK13" si="3">C13</f>
        <v>Agriculture, Forestry and Fisheries (Vote 24)</v>
      </c>
      <c r="AL13" s="388">
        <f>SUM(AL14:AL16)</f>
        <v>0</v>
      </c>
      <c r="AM13" s="389">
        <f t="shared" ref="AM13:AP13" si="4">SUM(AM14:AM16)</f>
        <v>3451</v>
      </c>
      <c r="AN13" s="390">
        <f t="shared" si="4"/>
        <v>3451</v>
      </c>
      <c r="AO13" s="390">
        <f t="shared" si="4"/>
        <v>-97425</v>
      </c>
      <c r="AP13" s="388">
        <f t="shared" si="4"/>
        <v>-93974</v>
      </c>
      <c r="AQ13" s="391"/>
      <c r="AR13" s="392">
        <f t="shared" ref="AR13:AS13" si="5">SUM(AR14:AR16)</f>
        <v>-184314</v>
      </c>
      <c r="AS13" s="390">
        <f t="shared" si="5"/>
        <v>-184315</v>
      </c>
      <c r="AT13" s="390"/>
      <c r="AU13" s="390">
        <f>SUM(AU14:AU16)</f>
        <v>-196428</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199351</v>
      </c>
      <c r="E14" s="199">
        <f>SUM(F14-D14)</f>
        <v>0</v>
      </c>
      <c r="F14" s="497">
        <v>199351</v>
      </c>
      <c r="G14" s="497">
        <v>68304</v>
      </c>
      <c r="H14" s="96">
        <f>SUM(F14:G14)</f>
        <v>267655</v>
      </c>
      <c r="I14" s="217"/>
      <c r="J14" s="499">
        <v>199351</v>
      </c>
      <c r="K14" s="497">
        <v>199351</v>
      </c>
      <c r="L14" s="59"/>
      <c r="M14" s="497">
        <v>222005</v>
      </c>
      <c r="N14" s="172">
        <f t="shared" ref="N14:N16" si="6">IFERROR(M14/H14,0)</f>
        <v>0.82944462087388615</v>
      </c>
      <c r="O14" s="60"/>
      <c r="R14"/>
      <c r="S14" s="57"/>
      <c r="T14" s="58" t="str">
        <f t="shared" ref="T14:T18" si="7">C14</f>
        <v>(a) Comprehensive Agricultural Support Programme Grant</v>
      </c>
      <c r="U14" s="96">
        <v>199351</v>
      </c>
      <c r="V14" s="199">
        <v>0</v>
      </c>
      <c r="W14" s="59">
        <v>199351</v>
      </c>
      <c r="X14" s="59">
        <v>0</v>
      </c>
      <c r="Y14" s="96">
        <v>199351</v>
      </c>
      <c r="Z14" s="217"/>
      <c r="AA14" s="102">
        <v>59805</v>
      </c>
      <c r="AB14" s="59">
        <v>59804</v>
      </c>
      <c r="AC14" s="59"/>
      <c r="AD14" s="59">
        <v>60122</v>
      </c>
      <c r="AE14" s="172">
        <v>0.3015886551860788</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-68304</v>
      </c>
      <c r="AP14" s="396">
        <f t="shared" si="8"/>
        <v>-68304</v>
      </c>
      <c r="AQ14" s="399"/>
      <c r="AR14" s="400">
        <f t="shared" ref="AR14:AS15" si="9">IFERROR(AA14-J14,0)</f>
        <v>-139546</v>
      </c>
      <c r="AS14" s="398">
        <f t="shared" si="9"/>
        <v>-139547</v>
      </c>
      <c r="AT14" s="398"/>
      <c r="AU14" s="398">
        <f>IFERROR(AD14-M14,0)</f>
        <v>-161883</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75253</v>
      </c>
      <c r="E15" s="199">
        <f t="shared" ref="E15:E16" si="10">SUM(F15-D15)</f>
        <v>-3451</v>
      </c>
      <c r="F15" s="497">
        <v>71802</v>
      </c>
      <c r="G15" s="497">
        <v>26424</v>
      </c>
      <c r="H15" s="96">
        <f t="shared" ref="H15:H16" si="11">SUM(F15:G15)</f>
        <v>98226</v>
      </c>
      <c r="I15" s="217"/>
      <c r="J15" s="499">
        <v>71802</v>
      </c>
      <c r="K15" s="497">
        <v>71802</v>
      </c>
      <c r="L15" s="59"/>
      <c r="M15" s="497">
        <v>68352</v>
      </c>
      <c r="N15" s="172">
        <f t="shared" si="6"/>
        <v>0.69586463869036708</v>
      </c>
      <c r="O15" s="60"/>
      <c r="P15" s="56"/>
      <c r="Q15" s="56"/>
      <c r="R15"/>
      <c r="S15" s="57"/>
      <c r="T15" s="58" t="str">
        <f t="shared" si="7"/>
        <v>(b) Ilima/Letsema Projects Grant</v>
      </c>
      <c r="U15" s="96">
        <v>75253</v>
      </c>
      <c r="V15" s="199">
        <v>0</v>
      </c>
      <c r="W15" s="59">
        <v>75253</v>
      </c>
      <c r="X15" s="59">
        <v>0</v>
      </c>
      <c r="Y15" s="96">
        <v>75253</v>
      </c>
      <c r="Z15" s="217"/>
      <c r="AA15" s="102">
        <v>33864</v>
      </c>
      <c r="AB15" s="59">
        <v>33864</v>
      </c>
      <c r="AC15" s="59"/>
      <c r="AD15" s="59">
        <v>41431</v>
      </c>
      <c r="AE15" s="172">
        <v>0.55055612400834519</v>
      </c>
      <c r="AF15" s="60"/>
      <c r="AG15" s="443"/>
      <c r="AH15" s="443"/>
      <c r="AI15"/>
      <c r="AJ15" s="394"/>
      <c r="AK15" s="479" t="str">
        <f t="shared" ref="AK15" si="12">C15</f>
        <v>(b) Ilima/Letsema Projects Grant</v>
      </c>
      <c r="AL15" s="396">
        <f t="shared" ref="AL15" si="13">IFERROR(U15-D15,0)</f>
        <v>0</v>
      </c>
      <c r="AM15" s="397">
        <f t="shared" si="8"/>
        <v>3451</v>
      </c>
      <c r="AN15" s="398">
        <f t="shared" si="8"/>
        <v>3451</v>
      </c>
      <c r="AO15" s="398">
        <f t="shared" si="8"/>
        <v>-26424</v>
      </c>
      <c r="AP15" s="396">
        <f t="shared" si="8"/>
        <v>-22973</v>
      </c>
      <c r="AQ15" s="399"/>
      <c r="AR15" s="400">
        <f t="shared" si="9"/>
        <v>-37938</v>
      </c>
      <c r="AS15" s="398">
        <f t="shared" si="9"/>
        <v>-37938</v>
      </c>
      <c r="AT15" s="398"/>
      <c r="AU15" s="398">
        <f t="shared" ref="AU15" si="14">IFERROR(AD15-M15,0)</f>
        <v>-26921</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12418</v>
      </c>
      <c r="E16" s="199">
        <f t="shared" si="10"/>
        <v>0</v>
      </c>
      <c r="F16" s="497">
        <v>12418</v>
      </c>
      <c r="G16" s="497">
        <v>2697</v>
      </c>
      <c r="H16" s="96">
        <f t="shared" si="11"/>
        <v>15115</v>
      </c>
      <c r="I16" s="217"/>
      <c r="J16" s="499">
        <v>12418</v>
      </c>
      <c r="K16" s="497">
        <v>12418</v>
      </c>
      <c r="L16" s="59"/>
      <c r="M16" s="497">
        <v>15115</v>
      </c>
      <c r="N16" s="172">
        <f t="shared" si="6"/>
        <v>1</v>
      </c>
      <c r="O16" s="60"/>
      <c r="P16" s="56"/>
      <c r="Q16" s="56"/>
      <c r="R16"/>
      <c r="S16" s="57"/>
      <c r="T16" s="58" t="str">
        <f t="shared" si="7"/>
        <v>(c) Land Care Programme Grant: Poverty Relief and Infrastructure Development</v>
      </c>
      <c r="U16" s="96">
        <v>12418</v>
      </c>
      <c r="V16" s="199">
        <v>0</v>
      </c>
      <c r="W16" s="59">
        <v>12418</v>
      </c>
      <c r="X16" s="59">
        <v>0</v>
      </c>
      <c r="Y16" s="96">
        <v>12418</v>
      </c>
      <c r="Z16" s="217"/>
      <c r="AA16" s="102">
        <v>5588</v>
      </c>
      <c r="AB16" s="59">
        <v>5588</v>
      </c>
      <c r="AC16" s="59"/>
      <c r="AD16" s="59">
        <v>7491</v>
      </c>
      <c r="AE16" s="172">
        <v>0.60323723626993075</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-2697</v>
      </c>
      <c r="AP16" s="396">
        <f t="shared" ref="AP16:AP83" si="20">IFERROR(Y16-H16,0)</f>
        <v>-2697</v>
      </c>
      <c r="AQ16" s="399"/>
      <c r="AR16" s="400">
        <f t="shared" ref="AR16:AR83" si="21">IFERROR(AA16-J16,0)</f>
        <v>-6830</v>
      </c>
      <c r="AS16" s="398">
        <f t="shared" ref="AS16:AS83" si="22">IFERROR(AB16-K16,0)</f>
        <v>-6830</v>
      </c>
      <c r="AT16" s="398"/>
      <c r="AU16" s="398">
        <f t="shared" ref="AU16:AU83" si="23">IFERROR(AD16-M16,0)</f>
        <v>-7624</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184417</v>
      </c>
      <c r="E20" s="198">
        <f t="shared" ref="E20:K20" si="27">SUM(E21)</f>
        <v>0</v>
      </c>
      <c r="F20" s="54">
        <f t="shared" si="27"/>
        <v>184417</v>
      </c>
      <c r="G20" s="54">
        <f t="shared" si="27"/>
        <v>0</v>
      </c>
      <c r="H20" s="95">
        <f t="shared" si="27"/>
        <v>184417</v>
      </c>
      <c r="I20" s="216">
        <f t="shared" si="27"/>
        <v>0</v>
      </c>
      <c r="J20" s="101">
        <f t="shared" si="27"/>
        <v>184417</v>
      </c>
      <c r="K20" s="54">
        <f t="shared" si="27"/>
        <v>184417</v>
      </c>
      <c r="L20" s="54"/>
      <c r="M20" s="54">
        <f>SUM(M21)</f>
        <v>155629</v>
      </c>
      <c r="N20" s="183">
        <f t="shared" ref="N20:N21" si="28">IFERROR(M20/H20,0)</f>
        <v>0.84389725459149645</v>
      </c>
      <c r="O20" s="63"/>
      <c r="P20" s="64"/>
      <c r="Q20" s="64"/>
      <c r="R20"/>
      <c r="S20" s="62"/>
      <c r="T20" s="51" t="str">
        <f>C20</f>
        <v>Arts and Culture (Vote 37)</v>
      </c>
      <c r="U20" s="95">
        <v>184417</v>
      </c>
      <c r="V20" s="198">
        <v>0</v>
      </c>
      <c r="W20" s="54">
        <v>184417</v>
      </c>
      <c r="X20" s="54">
        <v>0</v>
      </c>
      <c r="Y20" s="95">
        <v>184417</v>
      </c>
      <c r="Z20" s="216"/>
      <c r="AA20" s="101">
        <v>110695</v>
      </c>
      <c r="AB20" s="54">
        <v>110695</v>
      </c>
      <c r="AC20" s="54"/>
      <c r="AD20" s="54">
        <v>69825</v>
      </c>
      <c r="AE20" s="172">
        <v>0.37862561477521051</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-73722</v>
      </c>
      <c r="AS20" s="390">
        <f t="shared" si="22"/>
        <v>-73722</v>
      </c>
      <c r="AT20" s="390"/>
      <c r="AU20" s="390">
        <f t="shared" si="23"/>
        <v>-85804</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184417</v>
      </c>
      <c r="E21" s="199">
        <f>SUM(F21-D21)</f>
        <v>0</v>
      </c>
      <c r="F21" s="497">
        <v>184417</v>
      </c>
      <c r="G21" s="497">
        <v>0</v>
      </c>
      <c r="H21" s="96">
        <f>SUM(F21:G21)</f>
        <v>184417</v>
      </c>
      <c r="I21" s="217"/>
      <c r="J21" s="499">
        <v>184417</v>
      </c>
      <c r="K21" s="497">
        <v>184417</v>
      </c>
      <c r="L21" s="59"/>
      <c r="M21" s="497">
        <v>155629</v>
      </c>
      <c r="N21" s="172">
        <f t="shared" si="28"/>
        <v>0.84389725459149645</v>
      </c>
      <c r="O21" s="60"/>
      <c r="P21" s="56"/>
      <c r="Q21" s="56"/>
      <c r="R21"/>
      <c r="S21" s="57"/>
      <c r="T21" s="58" t="str">
        <f t="shared" ref="T21:T25" si="29">C21</f>
        <v>Community Library Services Grant</v>
      </c>
      <c r="U21" s="96">
        <v>184417</v>
      </c>
      <c r="V21" s="199">
        <v>0</v>
      </c>
      <c r="W21" s="59">
        <v>184417</v>
      </c>
      <c r="X21" s="59">
        <v>0</v>
      </c>
      <c r="Y21" s="96">
        <v>184417</v>
      </c>
      <c r="Z21" s="217"/>
      <c r="AA21" s="102">
        <v>110695</v>
      </c>
      <c r="AB21" s="59">
        <v>110695</v>
      </c>
      <c r="AC21" s="59"/>
      <c r="AD21" s="59">
        <v>69825</v>
      </c>
      <c r="AE21" s="172">
        <v>0.37862561477521051</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-73722</v>
      </c>
      <c r="AS21" s="398">
        <f t="shared" si="22"/>
        <v>-73722</v>
      </c>
      <c r="AT21" s="398"/>
      <c r="AU21" s="398">
        <f t="shared" si="23"/>
        <v>-85804</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1780363</v>
      </c>
      <c r="E27" s="198">
        <f t="shared" ref="E27:K27" si="33">SUM(E28+E29+E30+E31)</f>
        <v>0</v>
      </c>
      <c r="F27" s="54">
        <f t="shared" si="33"/>
        <v>1780363</v>
      </c>
      <c r="G27" s="54">
        <f t="shared" si="33"/>
        <v>25646</v>
      </c>
      <c r="H27" s="95">
        <f t="shared" si="33"/>
        <v>1806009</v>
      </c>
      <c r="I27" s="216">
        <f t="shared" si="33"/>
        <v>0</v>
      </c>
      <c r="J27" s="101">
        <f t="shared" si="33"/>
        <v>1780363</v>
      </c>
      <c r="K27" s="54">
        <f t="shared" si="33"/>
        <v>1780363</v>
      </c>
      <c r="L27" s="54"/>
      <c r="M27" s="54">
        <f>SUM(M28+M29+M30+M31)</f>
        <v>1810416</v>
      </c>
      <c r="N27" s="183">
        <f t="shared" ref="N27:N31" si="34">IFERROR(M27/H27,0)</f>
        <v>1.0024401871751469</v>
      </c>
      <c r="O27" s="63"/>
      <c r="P27" s="65"/>
      <c r="Q27" s="65"/>
      <c r="R27"/>
      <c r="S27" s="62"/>
      <c r="T27" s="51" t="str">
        <f>C27</f>
        <v>Basic Education (Vote 14)</v>
      </c>
      <c r="U27" s="95">
        <v>1780363</v>
      </c>
      <c r="V27" s="198">
        <v>0</v>
      </c>
      <c r="W27" s="54">
        <v>1780363</v>
      </c>
      <c r="X27" s="54">
        <v>0</v>
      </c>
      <c r="Y27" s="95">
        <v>1780363</v>
      </c>
      <c r="Z27" s="216"/>
      <c r="AA27" s="101">
        <v>939025</v>
      </c>
      <c r="AB27" s="54">
        <v>939025</v>
      </c>
      <c r="AC27" s="54"/>
      <c r="AD27" s="54">
        <v>804515</v>
      </c>
      <c r="AE27" s="183">
        <v>0.45188256552175032</v>
      </c>
      <c r="AF27" s="63"/>
      <c r="AG27" s="444"/>
      <c r="AH27" s="444"/>
      <c r="AI27"/>
      <c r="AJ27" s="402"/>
      <c r="AK27" s="481" t="str">
        <f t="shared" si="15"/>
        <v>Basic Education (Vote 14)</v>
      </c>
      <c r="AL27" s="388">
        <f t="shared" si="16"/>
        <v>0</v>
      </c>
      <c r="AM27" s="389">
        <f t="shared" si="17"/>
        <v>0</v>
      </c>
      <c r="AN27" s="390">
        <f t="shared" si="18"/>
        <v>0</v>
      </c>
      <c r="AO27" s="390">
        <f t="shared" si="19"/>
        <v>-25646</v>
      </c>
      <c r="AP27" s="388">
        <f t="shared" si="20"/>
        <v>-25646</v>
      </c>
      <c r="AQ27" s="391"/>
      <c r="AR27" s="392">
        <f t="shared" si="21"/>
        <v>-841338</v>
      </c>
      <c r="AS27" s="390">
        <f t="shared" si="22"/>
        <v>-841338</v>
      </c>
      <c r="AT27" s="390"/>
      <c r="AU27" s="390">
        <f t="shared" si="23"/>
        <v>-1005901</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62155</v>
      </c>
      <c r="E28" s="199">
        <f t="shared" ref="E28:E31" si="35">SUM(F28-D28)</f>
        <v>0</v>
      </c>
      <c r="F28" s="497">
        <v>62155</v>
      </c>
      <c r="G28" s="497">
        <v>3082</v>
      </c>
      <c r="H28" s="96">
        <f t="shared" ref="H28:H31" si="36">SUM(F28:G28)</f>
        <v>65237</v>
      </c>
      <c r="I28" s="217"/>
      <c r="J28" s="499">
        <v>62155</v>
      </c>
      <c r="K28" s="497">
        <v>62155</v>
      </c>
      <c r="L28" s="59"/>
      <c r="M28" s="497">
        <v>72570</v>
      </c>
      <c r="N28" s="172">
        <f t="shared" si="34"/>
        <v>1.1124055367352883</v>
      </c>
      <c r="O28" s="60"/>
      <c r="P28" s="22"/>
      <c r="Q28" s="22"/>
      <c r="S28" s="57"/>
      <c r="T28" s="58" t="str">
        <f t="shared" ref="T28:T32" si="37">C28</f>
        <v>(a) HIV and AIDS (Life Skills Education) Grant</v>
      </c>
      <c r="U28" s="96">
        <v>62155</v>
      </c>
      <c r="V28" s="199">
        <v>0</v>
      </c>
      <c r="W28" s="59">
        <v>62155</v>
      </c>
      <c r="X28" s="59">
        <v>0</v>
      </c>
      <c r="Y28" s="96">
        <v>62155</v>
      </c>
      <c r="Z28" s="217"/>
      <c r="AA28" s="102">
        <v>24862</v>
      </c>
      <c r="AB28" s="59">
        <v>24862</v>
      </c>
      <c r="AC28" s="59"/>
      <c r="AD28" s="59">
        <v>33327</v>
      </c>
      <c r="AE28" s="172">
        <v>0.53619177861797118</v>
      </c>
      <c r="AF28" s="60"/>
      <c r="AG28" s="443"/>
      <c r="AH28" s="443"/>
      <c r="AJ28" s="394"/>
      <c r="AK28" s="479" t="str">
        <f t="shared" si="15"/>
        <v>(a) HIV and AIDS (Life Skills Education) Grant</v>
      </c>
      <c r="AL28" s="396">
        <f t="shared" si="16"/>
        <v>0</v>
      </c>
      <c r="AM28" s="397">
        <f t="shared" si="17"/>
        <v>0</v>
      </c>
      <c r="AN28" s="398">
        <f t="shared" si="18"/>
        <v>0</v>
      </c>
      <c r="AO28" s="398">
        <f t="shared" si="19"/>
        <v>-3082</v>
      </c>
      <c r="AP28" s="396">
        <f t="shared" si="20"/>
        <v>-3082</v>
      </c>
      <c r="AQ28" s="399"/>
      <c r="AR28" s="400">
        <f t="shared" si="21"/>
        <v>-37293</v>
      </c>
      <c r="AS28" s="398">
        <f t="shared" si="22"/>
        <v>-37293</v>
      </c>
      <c r="AT28" s="398"/>
      <c r="AU28" s="398">
        <f t="shared" si="23"/>
        <v>-39243</v>
      </c>
      <c r="AV28" s="290"/>
      <c r="AW28" s="401"/>
    </row>
    <row r="29" spans="1:82" ht="15.75" customHeight="1" x14ac:dyDescent="0.3">
      <c r="B29" s="57"/>
      <c r="C29" s="58" t="s">
        <v>24</v>
      </c>
      <c r="D29" s="496">
        <v>32279</v>
      </c>
      <c r="E29" s="199">
        <f t="shared" si="35"/>
        <v>0</v>
      </c>
      <c r="F29" s="497">
        <v>32279</v>
      </c>
      <c r="G29" s="497">
        <v>5338</v>
      </c>
      <c r="H29" s="96">
        <f t="shared" si="36"/>
        <v>37617</v>
      </c>
      <c r="I29" s="217"/>
      <c r="J29" s="499">
        <v>32279</v>
      </c>
      <c r="K29" s="497">
        <v>32279</v>
      </c>
      <c r="L29" s="59"/>
      <c r="M29" s="497">
        <v>42238</v>
      </c>
      <c r="N29" s="172">
        <f t="shared" si="34"/>
        <v>1.1228433952734136</v>
      </c>
      <c r="O29" s="60"/>
      <c r="P29" s="22"/>
      <c r="Q29" s="22"/>
      <c r="S29" s="57"/>
      <c r="T29" s="58" t="str">
        <f t="shared" si="37"/>
        <v>(b) Learners with Profound Intellectual Disabilities Grant</v>
      </c>
      <c r="U29" s="96">
        <v>32279</v>
      </c>
      <c r="V29" s="199">
        <v>0</v>
      </c>
      <c r="W29" s="59">
        <v>32279</v>
      </c>
      <c r="X29" s="59">
        <v>0</v>
      </c>
      <c r="Y29" s="96">
        <v>32279</v>
      </c>
      <c r="Z29" s="217"/>
      <c r="AA29" s="102">
        <v>21370</v>
      </c>
      <c r="AB29" s="59">
        <v>21370</v>
      </c>
      <c r="AC29" s="59"/>
      <c r="AD29" s="59">
        <v>22187</v>
      </c>
      <c r="AE29" s="172">
        <v>0.68735090925989029</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-5338</v>
      </c>
      <c r="AP29" s="396">
        <f t="shared" si="20"/>
        <v>-5338</v>
      </c>
      <c r="AQ29" s="399"/>
      <c r="AR29" s="400">
        <f t="shared" si="21"/>
        <v>-10909</v>
      </c>
      <c r="AS29" s="398">
        <f t="shared" si="22"/>
        <v>-10909</v>
      </c>
      <c r="AT29" s="398"/>
      <c r="AU29" s="398">
        <f t="shared" si="23"/>
        <v>-20051</v>
      </c>
      <c r="AV29" s="290"/>
      <c r="AW29" s="401"/>
    </row>
    <row r="30" spans="1:82" ht="15.75" customHeight="1" x14ac:dyDescent="0.3">
      <c r="B30" s="57"/>
      <c r="C30" s="58" t="s">
        <v>25</v>
      </c>
      <c r="D30" s="496">
        <v>64638</v>
      </c>
      <c r="E30" s="199">
        <f t="shared" si="35"/>
        <v>0</v>
      </c>
      <c r="F30" s="497">
        <v>64638</v>
      </c>
      <c r="G30" s="497">
        <v>336</v>
      </c>
      <c r="H30" s="96">
        <f t="shared" si="36"/>
        <v>64974</v>
      </c>
      <c r="I30" s="217"/>
      <c r="J30" s="499">
        <v>64638</v>
      </c>
      <c r="K30" s="497">
        <v>64638</v>
      </c>
      <c r="L30" s="59"/>
      <c r="M30" s="497">
        <v>67199</v>
      </c>
      <c r="N30" s="172">
        <f t="shared" si="34"/>
        <v>1.0342444670175763</v>
      </c>
      <c r="O30" s="60"/>
      <c r="P30" s="22"/>
      <c r="Q30" s="22"/>
      <c r="S30" s="57"/>
      <c r="T30" s="58" t="str">
        <f t="shared" si="37"/>
        <v>(c) Maths, Science and Technology Grant</v>
      </c>
      <c r="U30" s="96">
        <v>64638</v>
      </c>
      <c r="V30" s="199">
        <v>0</v>
      </c>
      <c r="W30" s="59">
        <v>64638</v>
      </c>
      <c r="X30" s="59">
        <v>0</v>
      </c>
      <c r="Y30" s="96">
        <v>64638</v>
      </c>
      <c r="Z30" s="217"/>
      <c r="AA30" s="102">
        <v>32318</v>
      </c>
      <c r="AB30" s="59">
        <v>32318</v>
      </c>
      <c r="AC30" s="59"/>
      <c r="AD30" s="59">
        <v>11264</v>
      </c>
      <c r="AE30" s="172">
        <v>0.17426281753767134</v>
      </c>
      <c r="AF30" s="60"/>
      <c r="AG30" s="443"/>
      <c r="AH30" s="443"/>
      <c r="AJ30" s="394"/>
      <c r="AK30" s="479" t="str">
        <f t="shared" si="15"/>
        <v>(c) Maths, Science and Technology Grant</v>
      </c>
      <c r="AL30" s="396">
        <f t="shared" si="16"/>
        <v>0</v>
      </c>
      <c r="AM30" s="397">
        <f t="shared" si="17"/>
        <v>0</v>
      </c>
      <c r="AN30" s="398">
        <f t="shared" si="18"/>
        <v>0</v>
      </c>
      <c r="AO30" s="398">
        <f t="shared" si="19"/>
        <v>-336</v>
      </c>
      <c r="AP30" s="396">
        <f t="shared" si="20"/>
        <v>-336</v>
      </c>
      <c r="AQ30" s="399"/>
      <c r="AR30" s="400">
        <f t="shared" si="21"/>
        <v>-32320</v>
      </c>
      <c r="AS30" s="398">
        <f t="shared" si="22"/>
        <v>-32320</v>
      </c>
      <c r="AT30" s="398"/>
      <c r="AU30" s="398">
        <f t="shared" si="23"/>
        <v>-55935</v>
      </c>
      <c r="AV30" s="290"/>
      <c r="AW30" s="401"/>
    </row>
    <row r="31" spans="1:82" ht="15.75" customHeight="1" x14ac:dyDescent="0.3">
      <c r="B31" s="57"/>
      <c r="C31" s="58" t="s">
        <v>26</v>
      </c>
      <c r="D31" s="496">
        <v>1621291</v>
      </c>
      <c r="E31" s="199">
        <f t="shared" si="35"/>
        <v>0</v>
      </c>
      <c r="F31" s="497">
        <v>1621291</v>
      </c>
      <c r="G31" s="497">
        <v>16890</v>
      </c>
      <c r="H31" s="96">
        <f t="shared" si="36"/>
        <v>1638181</v>
      </c>
      <c r="I31" s="217"/>
      <c r="J31" s="499">
        <v>1621291</v>
      </c>
      <c r="K31" s="497">
        <v>1621291</v>
      </c>
      <c r="L31" s="59"/>
      <c r="M31" s="497">
        <v>1628409</v>
      </c>
      <c r="N31" s="172">
        <f t="shared" si="34"/>
        <v>0.99403484718721558</v>
      </c>
      <c r="O31" s="60"/>
      <c r="P31" s="22"/>
      <c r="Q31" s="22"/>
      <c r="S31" s="57"/>
      <c r="T31" s="58" t="str">
        <f t="shared" si="37"/>
        <v>(d) National School Nutrition Programme Grant</v>
      </c>
      <c r="U31" s="96">
        <v>1621291</v>
      </c>
      <c r="V31" s="199">
        <v>0</v>
      </c>
      <c r="W31" s="59">
        <v>1621291</v>
      </c>
      <c r="X31" s="59">
        <v>0</v>
      </c>
      <c r="Y31" s="96">
        <v>1621291</v>
      </c>
      <c r="Z31" s="217"/>
      <c r="AA31" s="102">
        <v>860475</v>
      </c>
      <c r="AB31" s="59">
        <v>860475</v>
      </c>
      <c r="AC31" s="59"/>
      <c r="AD31" s="59">
        <v>737737</v>
      </c>
      <c r="AE31" s="172">
        <v>0.45503058982008782</v>
      </c>
      <c r="AF31" s="60"/>
      <c r="AG31" s="443"/>
      <c r="AH31" s="443"/>
      <c r="AJ31" s="394"/>
      <c r="AK31" s="479" t="str">
        <f t="shared" si="15"/>
        <v>(d) National School Nutrition Programme Grant</v>
      </c>
      <c r="AL31" s="396">
        <f t="shared" si="16"/>
        <v>0</v>
      </c>
      <c r="AM31" s="397">
        <f t="shared" si="17"/>
        <v>0</v>
      </c>
      <c r="AN31" s="398">
        <f t="shared" si="18"/>
        <v>0</v>
      </c>
      <c r="AO31" s="398">
        <f t="shared" si="19"/>
        <v>-16890</v>
      </c>
      <c r="AP31" s="396">
        <f t="shared" si="20"/>
        <v>-16890</v>
      </c>
      <c r="AQ31" s="399"/>
      <c r="AR31" s="400">
        <f t="shared" si="21"/>
        <v>-760816</v>
      </c>
      <c r="AS31" s="398">
        <f t="shared" si="22"/>
        <v>-760816</v>
      </c>
      <c r="AT31" s="398"/>
      <c r="AU31" s="398">
        <f t="shared" si="23"/>
        <v>-890672</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customHeight="1" x14ac:dyDescent="0.3">
      <c r="A34"/>
      <c r="B34" s="53"/>
      <c r="C34" s="51" t="s">
        <v>46</v>
      </c>
      <c r="D34" s="95">
        <f>SUM(D35)</f>
        <v>0</v>
      </c>
      <c r="E34" s="198">
        <f t="shared" ref="E34:K34" si="41">SUM(E35)</f>
        <v>0</v>
      </c>
      <c r="F34" s="54">
        <f t="shared" si="41"/>
        <v>0</v>
      </c>
      <c r="G34" s="54">
        <f t="shared" si="41"/>
        <v>675</v>
      </c>
      <c r="H34" s="95">
        <f t="shared" si="41"/>
        <v>675</v>
      </c>
      <c r="I34" s="216">
        <f t="shared" si="41"/>
        <v>0</v>
      </c>
      <c r="J34" s="101">
        <f t="shared" si="41"/>
        <v>0</v>
      </c>
      <c r="K34" s="54">
        <f t="shared" si="41"/>
        <v>0</v>
      </c>
      <c r="L34" s="54">
        <f t="shared" ref="L34" si="42">SUM(L35)</f>
        <v>0</v>
      </c>
      <c r="M34" s="54">
        <f>SUM(M35)</f>
        <v>288</v>
      </c>
      <c r="N34" s="183">
        <f>IFERROR(M34/H34,0)</f>
        <v>0.42666666666666669</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-675</v>
      </c>
      <c r="AP34" s="388">
        <f t="shared" si="43"/>
        <v>-675</v>
      </c>
      <c r="AQ34" s="391"/>
      <c r="AR34" s="392">
        <f t="shared" ref="AR34:AS34" si="44">SUM(AR35:AR37)</f>
        <v>0</v>
      </c>
      <c r="AS34" s="390">
        <f t="shared" si="44"/>
        <v>0</v>
      </c>
      <c r="AT34" s="390"/>
      <c r="AU34" s="390">
        <f>SUM(AU35:AU37)</f>
        <v>-288</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customHeight="1" x14ac:dyDescent="0.3">
      <c r="A35"/>
      <c r="B35" s="57"/>
      <c r="C35" s="58" t="s">
        <v>204</v>
      </c>
      <c r="D35" s="496">
        <v>0</v>
      </c>
      <c r="E35" s="199">
        <f t="shared" ref="E35" si="45">SUM(F35-D35)</f>
        <v>0</v>
      </c>
      <c r="F35" s="497">
        <v>0</v>
      </c>
      <c r="G35" s="497">
        <v>675</v>
      </c>
      <c r="H35" s="96">
        <f t="shared" ref="H35" si="46">SUM(F35:G35)</f>
        <v>675</v>
      </c>
      <c r="I35" s="217"/>
      <c r="J35" s="499">
        <v>0</v>
      </c>
      <c r="K35" s="497">
        <v>0</v>
      </c>
      <c r="L35" s="59"/>
      <c r="M35" s="497">
        <v>288</v>
      </c>
      <c r="N35" s="172">
        <f t="shared" ref="N35" si="47">IFERROR(M35/H35,0)</f>
        <v>0.42666666666666669</v>
      </c>
      <c r="O35" s="60"/>
      <c r="R35"/>
      <c r="S35" s="57"/>
      <c r="T35" s="58" t="str">
        <f t="shared" ref="T35:T39" si="48">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9">IFERROR(V35-E35,0)</f>
        <v>0</v>
      </c>
      <c r="AN35" s="398">
        <f t="shared" ref="AN35:AN40" si="50">IFERROR(W35-F35,0)</f>
        <v>0</v>
      </c>
      <c r="AO35" s="398">
        <f t="shared" ref="AO35:AO40" si="51">IFERROR(X35-G35,0)</f>
        <v>-675</v>
      </c>
      <c r="AP35" s="396">
        <f t="shared" ref="AP35:AP40" si="52">IFERROR(Y35-H35,0)</f>
        <v>-675</v>
      </c>
      <c r="AQ35" s="399"/>
      <c r="AR35" s="400">
        <f t="shared" ref="AR35:AR40" si="53">IFERROR(AA35-J35,0)</f>
        <v>0</v>
      </c>
      <c r="AS35" s="398">
        <f t="shared" ref="AS35:AS40" si="54">IFERROR(AB35-K35,0)</f>
        <v>0</v>
      </c>
      <c r="AT35" s="398"/>
      <c r="AU35" s="398">
        <f>IFERROR(AD35-M35,0)</f>
        <v>-288</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5">F36-D36</f>
        <v>0</v>
      </c>
      <c r="F36" s="59"/>
      <c r="G36" s="59"/>
      <c r="H36" s="96">
        <f t="shared" ref="H36:H39" si="56">SUM(F36:G36)</f>
        <v>0</v>
      </c>
      <c r="I36" s="217"/>
      <c r="J36" s="102"/>
      <c r="K36" s="59"/>
      <c r="L36" s="59"/>
      <c r="M36" s="59"/>
      <c r="N36" s="172">
        <f t="shared" ref="N36:N39" si="57">IFERROR(M36/F36,0)</f>
        <v>0</v>
      </c>
      <c r="O36" s="60"/>
      <c r="P36" s="56"/>
      <c r="Q36" s="56"/>
      <c r="R36"/>
      <c r="S36" s="57"/>
      <c r="T36" s="58">
        <f t="shared" si="48"/>
        <v>0</v>
      </c>
      <c r="U36" s="96"/>
      <c r="V36" s="199">
        <v>0</v>
      </c>
      <c r="W36" s="59"/>
      <c r="X36" s="59"/>
      <c r="Y36" s="96">
        <v>0</v>
      </c>
      <c r="Z36" s="217"/>
      <c r="AA36" s="102"/>
      <c r="AB36" s="59"/>
      <c r="AC36" s="59"/>
      <c r="AD36" s="59"/>
      <c r="AE36" s="172">
        <v>0</v>
      </c>
      <c r="AF36" s="60"/>
      <c r="AG36" s="443"/>
      <c r="AH36" s="443"/>
      <c r="AI36"/>
      <c r="AJ36" s="394"/>
      <c r="AK36" s="479">
        <f t="shared" ref="AK36:AK40" si="58">C36</f>
        <v>0</v>
      </c>
      <c r="AL36" s="396">
        <f t="shared" ref="AL36:AL40" si="59">IFERROR(U36-D36,0)</f>
        <v>0</v>
      </c>
      <c r="AM36" s="397">
        <f t="shared" si="49"/>
        <v>0</v>
      </c>
      <c r="AN36" s="398">
        <f t="shared" si="50"/>
        <v>0</v>
      </c>
      <c r="AO36" s="398">
        <f t="shared" si="51"/>
        <v>0</v>
      </c>
      <c r="AP36" s="396">
        <f t="shared" si="52"/>
        <v>0</v>
      </c>
      <c r="AQ36" s="399"/>
      <c r="AR36" s="400">
        <f t="shared" si="53"/>
        <v>0</v>
      </c>
      <c r="AS36" s="398">
        <f t="shared" si="54"/>
        <v>0</v>
      </c>
      <c r="AT36" s="398"/>
      <c r="AU36" s="398">
        <f t="shared" ref="AU36:AU40" si="60">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5"/>
        <v>0</v>
      </c>
      <c r="F37" s="59"/>
      <c r="G37" s="59"/>
      <c r="H37" s="96">
        <f t="shared" si="56"/>
        <v>0</v>
      </c>
      <c r="I37" s="217"/>
      <c r="J37" s="102"/>
      <c r="K37" s="59"/>
      <c r="L37" s="59"/>
      <c r="M37" s="59"/>
      <c r="N37" s="172">
        <f t="shared" si="57"/>
        <v>0</v>
      </c>
      <c r="O37" s="60"/>
      <c r="P37" s="56"/>
      <c r="Q37" s="56"/>
      <c r="R37"/>
      <c r="S37" s="57"/>
      <c r="T37" s="58">
        <f t="shared" si="48"/>
        <v>0</v>
      </c>
      <c r="U37" s="96"/>
      <c r="V37" s="199">
        <v>0</v>
      </c>
      <c r="W37" s="59"/>
      <c r="X37" s="59"/>
      <c r="Y37" s="96">
        <v>0</v>
      </c>
      <c r="Z37" s="217"/>
      <c r="AA37" s="102"/>
      <c r="AB37" s="59"/>
      <c r="AC37" s="59"/>
      <c r="AD37" s="59"/>
      <c r="AE37" s="172">
        <v>0</v>
      </c>
      <c r="AF37" s="60"/>
      <c r="AG37" s="443"/>
      <c r="AH37" s="443"/>
      <c r="AI37"/>
      <c r="AJ37" s="394"/>
      <c r="AK37" s="479">
        <f t="shared" si="58"/>
        <v>0</v>
      </c>
      <c r="AL37" s="396">
        <f t="shared" si="59"/>
        <v>0</v>
      </c>
      <c r="AM37" s="397">
        <f t="shared" si="49"/>
        <v>0</v>
      </c>
      <c r="AN37" s="398">
        <f t="shared" si="50"/>
        <v>0</v>
      </c>
      <c r="AO37" s="398">
        <f t="shared" si="51"/>
        <v>0</v>
      </c>
      <c r="AP37" s="396">
        <f t="shared" si="52"/>
        <v>0</v>
      </c>
      <c r="AQ37" s="399"/>
      <c r="AR37" s="400">
        <f t="shared" si="53"/>
        <v>0</v>
      </c>
      <c r="AS37" s="398">
        <f t="shared" si="54"/>
        <v>0</v>
      </c>
      <c r="AT37" s="398"/>
      <c r="AU37" s="398">
        <f t="shared" si="60"/>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5"/>
        <v>0</v>
      </c>
      <c r="F38" s="59"/>
      <c r="G38" s="59"/>
      <c r="H38" s="96">
        <f t="shared" si="56"/>
        <v>0</v>
      </c>
      <c r="I38" s="217"/>
      <c r="J38" s="102"/>
      <c r="K38" s="59"/>
      <c r="L38" s="59"/>
      <c r="M38" s="59"/>
      <c r="N38" s="172">
        <f t="shared" si="57"/>
        <v>0</v>
      </c>
      <c r="O38" s="60"/>
      <c r="P38" s="56"/>
      <c r="Q38" s="56"/>
      <c r="R38"/>
      <c r="S38" s="57"/>
      <c r="T38" s="58">
        <f t="shared" si="48"/>
        <v>0</v>
      </c>
      <c r="U38" s="96"/>
      <c r="V38" s="199">
        <v>0</v>
      </c>
      <c r="W38" s="59"/>
      <c r="X38" s="59"/>
      <c r="Y38" s="96">
        <v>0</v>
      </c>
      <c r="Z38" s="217"/>
      <c r="AA38" s="102"/>
      <c r="AB38" s="59"/>
      <c r="AC38" s="59"/>
      <c r="AD38" s="59"/>
      <c r="AE38" s="172">
        <v>0</v>
      </c>
      <c r="AF38" s="60"/>
      <c r="AG38" s="443"/>
      <c r="AH38" s="443"/>
      <c r="AI38"/>
      <c r="AJ38" s="394"/>
      <c r="AK38" s="479">
        <f t="shared" si="58"/>
        <v>0</v>
      </c>
      <c r="AL38" s="396">
        <f t="shared" si="59"/>
        <v>0</v>
      </c>
      <c r="AM38" s="397">
        <f t="shared" si="49"/>
        <v>0</v>
      </c>
      <c r="AN38" s="398">
        <f t="shared" si="50"/>
        <v>0</v>
      </c>
      <c r="AO38" s="398">
        <f t="shared" si="51"/>
        <v>0</v>
      </c>
      <c r="AP38" s="396">
        <f t="shared" si="52"/>
        <v>0</v>
      </c>
      <c r="AQ38" s="399"/>
      <c r="AR38" s="400">
        <f t="shared" si="53"/>
        <v>0</v>
      </c>
      <c r="AS38" s="398">
        <f t="shared" si="54"/>
        <v>0</v>
      </c>
      <c r="AT38" s="398"/>
      <c r="AU38" s="398">
        <f t="shared" si="60"/>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5"/>
        <v>0</v>
      </c>
      <c r="F39" s="59"/>
      <c r="G39" s="59"/>
      <c r="H39" s="96">
        <f t="shared" si="56"/>
        <v>0</v>
      </c>
      <c r="I39" s="217"/>
      <c r="J39" s="102"/>
      <c r="K39" s="59"/>
      <c r="L39" s="59"/>
      <c r="M39" s="59"/>
      <c r="N39" s="172">
        <f t="shared" si="57"/>
        <v>0</v>
      </c>
      <c r="O39" s="60"/>
      <c r="P39" s="56"/>
      <c r="Q39" s="56"/>
      <c r="R39"/>
      <c r="S39" s="57"/>
      <c r="T39" s="58">
        <f t="shared" si="48"/>
        <v>0</v>
      </c>
      <c r="U39" s="96"/>
      <c r="V39" s="199">
        <v>0</v>
      </c>
      <c r="W39" s="59"/>
      <c r="X39" s="59"/>
      <c r="Y39" s="96">
        <v>0</v>
      </c>
      <c r="Z39" s="217"/>
      <c r="AA39" s="102"/>
      <c r="AB39" s="59"/>
      <c r="AC39" s="59"/>
      <c r="AD39" s="59"/>
      <c r="AE39" s="172">
        <v>0</v>
      </c>
      <c r="AF39" s="60"/>
      <c r="AG39" s="443"/>
      <c r="AH39" s="443"/>
      <c r="AI39"/>
      <c r="AJ39" s="394"/>
      <c r="AK39" s="479">
        <f t="shared" si="58"/>
        <v>0</v>
      </c>
      <c r="AL39" s="396">
        <f t="shared" si="59"/>
        <v>0</v>
      </c>
      <c r="AM39" s="397">
        <f t="shared" si="49"/>
        <v>0</v>
      </c>
      <c r="AN39" s="398">
        <f t="shared" si="50"/>
        <v>0</v>
      </c>
      <c r="AO39" s="398">
        <f t="shared" si="51"/>
        <v>0</v>
      </c>
      <c r="AP39" s="396">
        <f t="shared" si="52"/>
        <v>0</v>
      </c>
      <c r="AQ39" s="399"/>
      <c r="AR39" s="400">
        <f t="shared" si="53"/>
        <v>0</v>
      </c>
      <c r="AS39" s="398">
        <f t="shared" si="54"/>
        <v>0</v>
      </c>
      <c r="AT39" s="398"/>
      <c r="AU39" s="398">
        <f t="shared" si="60"/>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8"/>
        <v>0</v>
      </c>
      <c r="AL40" s="396">
        <f t="shared" si="59"/>
        <v>0</v>
      </c>
      <c r="AM40" s="397">
        <f t="shared" si="49"/>
        <v>0</v>
      </c>
      <c r="AN40" s="398">
        <f t="shared" si="50"/>
        <v>0</v>
      </c>
      <c r="AO40" s="398">
        <f t="shared" si="51"/>
        <v>0</v>
      </c>
      <c r="AP40" s="396">
        <f t="shared" si="52"/>
        <v>0</v>
      </c>
      <c r="AQ40" s="399"/>
      <c r="AR40" s="400">
        <f t="shared" si="53"/>
        <v>0</v>
      </c>
      <c r="AS40" s="398">
        <f t="shared" si="54"/>
        <v>0</v>
      </c>
      <c r="AT40" s="398"/>
      <c r="AU40" s="398">
        <f t="shared" si="60"/>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7363937</v>
      </c>
      <c r="E41" s="198">
        <f t="shared" ref="E41:K41" si="61">SUM(E42+E43+E44+E45+E46)</f>
        <v>109598</v>
      </c>
      <c r="F41" s="54">
        <f t="shared" si="61"/>
        <v>7473535</v>
      </c>
      <c r="G41" s="54">
        <f t="shared" si="61"/>
        <v>5260</v>
      </c>
      <c r="H41" s="95">
        <f t="shared" si="61"/>
        <v>7478795</v>
      </c>
      <c r="I41" s="216">
        <f t="shared" si="61"/>
        <v>0</v>
      </c>
      <c r="J41" s="101">
        <f t="shared" si="61"/>
        <v>7473535</v>
      </c>
      <c r="K41" s="54">
        <f t="shared" si="61"/>
        <v>7473535</v>
      </c>
      <c r="L41" s="54"/>
      <c r="M41" s="54">
        <f>SUM(M42+M43+M44+M45+M46)</f>
        <v>7581234.5162399998</v>
      </c>
      <c r="N41" s="183">
        <f t="shared" ref="N41:N45" si="62">IFERROR(M41/H41,0)</f>
        <v>1.0136973290804201</v>
      </c>
      <c r="O41" s="63"/>
      <c r="P41" s="65"/>
      <c r="Q41" s="65"/>
      <c r="R41"/>
      <c r="S41" s="62"/>
      <c r="T41" s="51" t="str">
        <f>C41</f>
        <v>Health (Vote 16)</v>
      </c>
      <c r="U41" s="95">
        <v>7363937</v>
      </c>
      <c r="V41" s="198">
        <v>0</v>
      </c>
      <c r="W41" s="54">
        <v>7363937</v>
      </c>
      <c r="X41" s="54">
        <v>0</v>
      </c>
      <c r="Y41" s="95">
        <v>7363937</v>
      </c>
      <c r="Z41" s="216"/>
      <c r="AA41" s="101">
        <v>3507907</v>
      </c>
      <c r="AB41" s="54">
        <v>3507895</v>
      </c>
      <c r="AC41" s="54"/>
      <c r="AD41" s="54">
        <v>3535669</v>
      </c>
      <c r="AE41" s="183">
        <v>0.48013297778077135</v>
      </c>
      <c r="AF41" s="63"/>
      <c r="AG41" s="444"/>
      <c r="AH41" s="444"/>
      <c r="AI41"/>
      <c r="AJ41" s="402"/>
      <c r="AK41" s="481" t="str">
        <f t="shared" si="15"/>
        <v>Health (Vote 16)</v>
      </c>
      <c r="AL41" s="388">
        <f t="shared" si="16"/>
        <v>0</v>
      </c>
      <c r="AM41" s="389">
        <f t="shared" si="17"/>
        <v>-109598</v>
      </c>
      <c r="AN41" s="390">
        <f t="shared" si="18"/>
        <v>-109598</v>
      </c>
      <c r="AO41" s="390">
        <f t="shared" si="19"/>
        <v>-5260</v>
      </c>
      <c r="AP41" s="388">
        <f t="shared" si="20"/>
        <v>-114858</v>
      </c>
      <c r="AQ41" s="391"/>
      <c r="AR41" s="392">
        <f t="shared" si="21"/>
        <v>-3965628</v>
      </c>
      <c r="AS41" s="390">
        <f t="shared" si="22"/>
        <v>-3965640</v>
      </c>
      <c r="AT41" s="390"/>
      <c r="AU41" s="390">
        <f t="shared" si="23"/>
        <v>-4045565.5162399998</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5840629</v>
      </c>
      <c r="E42" s="199">
        <f t="shared" ref="E42:E46" si="63">SUM(F42-D42)</f>
        <v>0</v>
      </c>
      <c r="F42" s="497">
        <v>5840629</v>
      </c>
      <c r="G42" s="497">
        <v>0</v>
      </c>
      <c r="H42" s="96">
        <f t="shared" ref="H42:H45" si="64">SUM(F42:G42)</f>
        <v>5840629</v>
      </c>
      <c r="I42" s="217"/>
      <c r="J42" s="499">
        <v>5840629</v>
      </c>
      <c r="K42" s="497">
        <v>5840629</v>
      </c>
      <c r="L42" s="59"/>
      <c r="M42" s="497">
        <v>5936881</v>
      </c>
      <c r="N42" s="172">
        <f t="shared" si="62"/>
        <v>1.0164797318918903</v>
      </c>
      <c r="O42" s="60"/>
      <c r="P42" s="56"/>
      <c r="Q42" s="56"/>
      <c r="S42" s="57"/>
      <c r="T42" s="58" t="str">
        <f t="shared" ref="T42:T46" si="65">C42</f>
        <v>(a) HIV, TB, Malaria and Community Outreach Grant</v>
      </c>
      <c r="U42" s="96">
        <v>5840629</v>
      </c>
      <c r="V42" s="199">
        <v>0</v>
      </c>
      <c r="W42" s="59">
        <v>5840629</v>
      </c>
      <c r="X42" s="59">
        <v>0</v>
      </c>
      <c r="Y42" s="96">
        <v>5840629</v>
      </c>
      <c r="Z42" s="217"/>
      <c r="AA42" s="102">
        <v>2920314</v>
      </c>
      <c r="AB42" s="59">
        <v>2920302</v>
      </c>
      <c r="AC42" s="59"/>
      <c r="AD42" s="59">
        <v>2889879</v>
      </c>
      <c r="AE42" s="172">
        <v>0.49478900303374856</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-2920315</v>
      </c>
      <c r="AS42" s="398">
        <f t="shared" si="22"/>
        <v>-2920327</v>
      </c>
      <c r="AT42" s="398"/>
      <c r="AU42" s="398">
        <f t="shared" si="23"/>
        <v>-3047002</v>
      </c>
      <c r="AV42" s="290"/>
      <c r="AW42" s="401"/>
    </row>
    <row r="43" spans="1:82" s="35" customFormat="1" ht="15.75" customHeight="1" x14ac:dyDescent="0.3">
      <c r="A43"/>
      <c r="B43" s="57"/>
      <c r="C43" s="58" t="s">
        <v>28</v>
      </c>
      <c r="D43" s="496">
        <v>1353497</v>
      </c>
      <c r="E43" s="199">
        <f t="shared" si="63"/>
        <v>0</v>
      </c>
      <c r="F43" s="497">
        <v>1353497</v>
      </c>
      <c r="G43" s="497">
        <v>0</v>
      </c>
      <c r="H43" s="96">
        <f t="shared" si="64"/>
        <v>1353497</v>
      </c>
      <c r="I43" s="217"/>
      <c r="J43" s="499">
        <v>1353497</v>
      </c>
      <c r="K43" s="497">
        <v>1353497</v>
      </c>
      <c r="L43" s="59"/>
      <c r="M43" s="497">
        <v>1376994</v>
      </c>
      <c r="N43" s="172">
        <f t="shared" si="62"/>
        <v>1.0173602157965624</v>
      </c>
      <c r="O43" s="60"/>
      <c r="P43" s="56"/>
      <c r="Q43" s="56"/>
      <c r="R43"/>
      <c r="S43" s="57"/>
      <c r="T43" s="58" t="str">
        <f t="shared" si="65"/>
        <v>(b) Health Facility Revitalisation Grant</v>
      </c>
      <c r="U43" s="96">
        <v>1353497</v>
      </c>
      <c r="V43" s="199">
        <v>0</v>
      </c>
      <c r="W43" s="59">
        <v>1353497</v>
      </c>
      <c r="X43" s="59">
        <v>0</v>
      </c>
      <c r="Y43" s="96">
        <v>1353497</v>
      </c>
      <c r="Z43" s="217"/>
      <c r="AA43" s="102">
        <v>502693</v>
      </c>
      <c r="AB43" s="59">
        <v>502693</v>
      </c>
      <c r="AC43" s="59"/>
      <c r="AD43" s="59">
        <v>553627</v>
      </c>
      <c r="AE43" s="172">
        <v>0.40903452316480937</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-850804</v>
      </c>
      <c r="AS43" s="398">
        <f t="shared" si="22"/>
        <v>-850804</v>
      </c>
      <c r="AT43" s="398"/>
      <c r="AU43" s="398">
        <f t="shared" si="23"/>
        <v>-823367</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47495</v>
      </c>
      <c r="E44" s="199">
        <f t="shared" si="63"/>
        <v>-15192</v>
      </c>
      <c r="F44" s="497">
        <v>32303</v>
      </c>
      <c r="G44" s="497">
        <v>5260</v>
      </c>
      <c r="H44" s="96">
        <f t="shared" si="64"/>
        <v>37563</v>
      </c>
      <c r="I44" s="217"/>
      <c r="J44" s="499">
        <v>32303</v>
      </c>
      <c r="K44" s="497">
        <v>32303</v>
      </c>
      <c r="L44" s="59"/>
      <c r="M44" s="497">
        <v>37790</v>
      </c>
      <c r="N44" s="172">
        <f t="shared" si="62"/>
        <v>1.0060431807896069</v>
      </c>
      <c r="O44" s="69"/>
      <c r="P44" s="70"/>
      <c r="Q44" s="70"/>
      <c r="R44"/>
      <c r="S44" s="67"/>
      <c r="T44" s="58" t="str">
        <f t="shared" si="65"/>
        <v>(c) Human Papillomavirus Vaccine Grant</v>
      </c>
      <c r="U44" s="97">
        <v>47495</v>
      </c>
      <c r="V44" s="200">
        <v>0</v>
      </c>
      <c r="W44" s="68">
        <v>47495</v>
      </c>
      <c r="X44" s="68">
        <v>0</v>
      </c>
      <c r="Y44" s="97">
        <v>47495</v>
      </c>
      <c r="Z44" s="218"/>
      <c r="AA44" s="103">
        <v>23742</v>
      </c>
      <c r="AB44" s="68">
        <v>23742</v>
      </c>
      <c r="AC44" s="68"/>
      <c r="AD44" s="68">
        <v>12111</v>
      </c>
      <c r="AE44" s="172">
        <v>0.25499526265922728</v>
      </c>
      <c r="AF44" s="69"/>
      <c r="AG44" s="445"/>
      <c r="AH44" s="445"/>
      <c r="AI44" s="71"/>
      <c r="AJ44" s="404"/>
      <c r="AK44" s="479" t="str">
        <f t="shared" si="15"/>
        <v>(c) Human Papillomavirus Vaccine Grant</v>
      </c>
      <c r="AL44" s="405">
        <f t="shared" si="16"/>
        <v>0</v>
      </c>
      <c r="AM44" s="406">
        <f t="shared" si="17"/>
        <v>15192</v>
      </c>
      <c r="AN44" s="407">
        <f t="shared" si="18"/>
        <v>15192</v>
      </c>
      <c r="AO44" s="407">
        <f t="shared" si="19"/>
        <v>-5260</v>
      </c>
      <c r="AP44" s="405">
        <f t="shared" si="20"/>
        <v>9932</v>
      </c>
      <c r="AQ44" s="408"/>
      <c r="AR44" s="409">
        <f t="shared" si="21"/>
        <v>-8561</v>
      </c>
      <c r="AS44" s="407">
        <f t="shared" si="22"/>
        <v>-8561</v>
      </c>
      <c r="AT44" s="407"/>
      <c r="AU44" s="407">
        <f t="shared" si="23"/>
        <v>-25679</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122316</v>
      </c>
      <c r="E45" s="199">
        <f t="shared" si="63"/>
        <v>69414</v>
      </c>
      <c r="F45" s="497">
        <v>191730</v>
      </c>
      <c r="G45" s="497">
        <v>0</v>
      </c>
      <c r="H45" s="96">
        <f t="shared" si="64"/>
        <v>191730</v>
      </c>
      <c r="I45" s="217"/>
      <c r="J45" s="499">
        <v>191730</v>
      </c>
      <c r="K45" s="497">
        <v>191730</v>
      </c>
      <c r="L45" s="59"/>
      <c r="M45" s="497">
        <v>191730</v>
      </c>
      <c r="N45" s="172">
        <f t="shared" si="62"/>
        <v>1</v>
      </c>
      <c r="O45" s="60"/>
      <c r="P45" s="56"/>
      <c r="Q45" s="56"/>
      <c r="R45"/>
      <c r="S45" s="57"/>
      <c r="T45" s="58" t="str">
        <f t="shared" si="65"/>
        <v>(d) Human Resources Capacitation Grant</v>
      </c>
      <c r="U45" s="96">
        <v>122316</v>
      </c>
      <c r="V45" s="199">
        <v>0</v>
      </c>
      <c r="W45" s="59">
        <v>122316</v>
      </c>
      <c r="X45" s="59">
        <v>0</v>
      </c>
      <c r="Y45" s="96">
        <v>122316</v>
      </c>
      <c r="Z45" s="217"/>
      <c r="AA45" s="102">
        <v>61158</v>
      </c>
      <c r="AB45" s="59">
        <v>61158</v>
      </c>
      <c r="AC45" s="59"/>
      <c r="AD45" s="59">
        <v>80052</v>
      </c>
      <c r="AE45" s="172">
        <v>0.65446875306582952</v>
      </c>
      <c r="AF45" s="60"/>
      <c r="AG45" s="443"/>
      <c r="AH45" s="443"/>
      <c r="AI45"/>
      <c r="AJ45" s="394"/>
      <c r="AK45" s="479" t="str">
        <f t="shared" si="15"/>
        <v>(d) Human Resources Capacitation Grant</v>
      </c>
      <c r="AL45" s="396">
        <f t="shared" si="16"/>
        <v>0</v>
      </c>
      <c r="AM45" s="397">
        <f t="shared" si="17"/>
        <v>-69414</v>
      </c>
      <c r="AN45" s="398">
        <f t="shared" si="18"/>
        <v>-69414</v>
      </c>
      <c r="AO45" s="398">
        <f t="shared" si="19"/>
        <v>0</v>
      </c>
      <c r="AP45" s="396">
        <f t="shared" si="20"/>
        <v>-69414</v>
      </c>
      <c r="AQ45" s="399"/>
      <c r="AR45" s="400">
        <f t="shared" si="21"/>
        <v>-130572</v>
      </c>
      <c r="AS45" s="398">
        <f t="shared" si="22"/>
        <v>-130572</v>
      </c>
      <c r="AT45" s="398"/>
      <c r="AU45" s="398">
        <f t="shared" si="23"/>
        <v>-111678</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3"/>
        <v>55376</v>
      </c>
      <c r="F46" s="497">
        <v>55376</v>
      </c>
      <c r="G46" s="497">
        <v>0</v>
      </c>
      <c r="H46" s="96">
        <f t="shared" ref="H46" si="66">SUM(F46:G46)</f>
        <v>55376</v>
      </c>
      <c r="I46" s="217"/>
      <c r="J46" s="499">
        <v>55376</v>
      </c>
      <c r="K46" s="497">
        <v>55376</v>
      </c>
      <c r="L46" s="59"/>
      <c r="M46" s="497">
        <v>37839.516239999997</v>
      </c>
      <c r="N46" s="172">
        <f>IFERROR(M46/H46,0)</f>
        <v>0.68331978185495512</v>
      </c>
      <c r="O46" s="60"/>
      <c r="R46"/>
      <c r="S46" s="57"/>
      <c r="T46" s="58" t="str">
        <f t="shared" si="65"/>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-55376</v>
      </c>
      <c r="AN46" s="398">
        <f t="shared" si="18"/>
        <v>-55376</v>
      </c>
      <c r="AO46" s="398">
        <f t="shared" si="19"/>
        <v>0</v>
      </c>
      <c r="AP46" s="396">
        <f t="shared" si="20"/>
        <v>-55376</v>
      </c>
      <c r="AQ46" s="399"/>
      <c r="AR46" s="400">
        <f t="shared" si="21"/>
        <v>-55376</v>
      </c>
      <c r="AS46" s="398">
        <f t="shared" si="22"/>
        <v>-55376</v>
      </c>
      <c r="AT46" s="398"/>
      <c r="AU46" s="398">
        <f t="shared" si="23"/>
        <v>-37839.516239999997</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3586019</v>
      </c>
      <c r="E48" s="198">
        <f t="shared" ref="E48:K48" si="67">SUM(E49+E50)</f>
        <v>98500</v>
      </c>
      <c r="F48" s="54">
        <f t="shared" si="67"/>
        <v>3684519</v>
      </c>
      <c r="G48" s="54">
        <f t="shared" si="67"/>
        <v>50450</v>
      </c>
      <c r="H48" s="95">
        <f t="shared" si="67"/>
        <v>3734969</v>
      </c>
      <c r="I48" s="216">
        <f t="shared" si="67"/>
        <v>0</v>
      </c>
      <c r="J48" s="101">
        <f t="shared" si="67"/>
        <v>3684519</v>
      </c>
      <c r="K48" s="54">
        <f t="shared" si="67"/>
        <v>3684519</v>
      </c>
      <c r="L48" s="54"/>
      <c r="M48" s="54">
        <f>SUM(M49+M50)</f>
        <v>3734969</v>
      </c>
      <c r="N48" s="183">
        <f t="shared" ref="N48:N50" si="68">IFERROR(M48/H48,0)</f>
        <v>1</v>
      </c>
      <c r="O48" s="63"/>
      <c r="P48" s="64"/>
      <c r="Q48" s="64"/>
      <c r="R48"/>
      <c r="S48" s="62"/>
      <c r="T48" s="51" t="str">
        <f>C48</f>
        <v>Human Settlements (Vote 38)</v>
      </c>
      <c r="U48" s="95">
        <v>3586019</v>
      </c>
      <c r="V48" s="198">
        <v>0</v>
      </c>
      <c r="W48" s="54">
        <v>3586019</v>
      </c>
      <c r="X48" s="54">
        <v>0</v>
      </c>
      <c r="Y48" s="95">
        <v>3586019</v>
      </c>
      <c r="Z48" s="216"/>
      <c r="AA48" s="101">
        <v>1806369</v>
      </c>
      <c r="AB48" s="54">
        <v>1806369</v>
      </c>
      <c r="AC48" s="54"/>
      <c r="AD48" s="54">
        <v>1530323</v>
      </c>
      <c r="AE48" s="183">
        <v>0.42674704177529454</v>
      </c>
      <c r="AF48" s="63"/>
      <c r="AG48" s="444"/>
      <c r="AH48" s="444"/>
      <c r="AI48" s="73"/>
      <c r="AJ48" s="402"/>
      <c r="AK48" s="481" t="str">
        <f t="shared" si="15"/>
        <v>Human Settlements (Vote 38)</v>
      </c>
      <c r="AL48" s="388">
        <f t="shared" si="16"/>
        <v>0</v>
      </c>
      <c r="AM48" s="389">
        <f t="shared" si="17"/>
        <v>-98500</v>
      </c>
      <c r="AN48" s="390">
        <f t="shared" si="18"/>
        <v>-98500</v>
      </c>
      <c r="AO48" s="390">
        <f t="shared" si="19"/>
        <v>-50450</v>
      </c>
      <c r="AP48" s="388">
        <f t="shared" si="20"/>
        <v>-148950</v>
      </c>
      <c r="AQ48" s="391"/>
      <c r="AR48" s="392">
        <f t="shared" si="21"/>
        <v>-1878150</v>
      </c>
      <c r="AS48" s="390">
        <f t="shared" si="22"/>
        <v>-1878150</v>
      </c>
      <c r="AT48" s="390"/>
      <c r="AU48" s="390">
        <f t="shared" si="23"/>
        <v>-2204646</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3485407</v>
      </c>
      <c r="E49" s="199">
        <f t="shared" ref="E49:E50" si="69">SUM(F49-D49)</f>
        <v>98500</v>
      </c>
      <c r="F49" s="497">
        <v>3583907</v>
      </c>
      <c r="G49" s="497">
        <v>50450</v>
      </c>
      <c r="H49" s="96">
        <f t="shared" ref="H49:H50" si="70">SUM(F49:G49)</f>
        <v>3634357</v>
      </c>
      <c r="I49" s="217"/>
      <c r="J49" s="499">
        <v>3583907</v>
      </c>
      <c r="K49" s="497">
        <v>3583907</v>
      </c>
      <c r="L49" s="59"/>
      <c r="M49" s="497">
        <v>3634357</v>
      </c>
      <c r="N49" s="172">
        <f t="shared" si="68"/>
        <v>1</v>
      </c>
      <c r="O49" s="60"/>
      <c r="R49"/>
      <c r="S49" s="57"/>
      <c r="T49" s="58" t="str">
        <f t="shared" ref="T49:T53" si="71">C49</f>
        <v>(a) Human Settlements Development Grant</v>
      </c>
      <c r="U49" s="96">
        <v>3485407</v>
      </c>
      <c r="V49" s="199">
        <v>0</v>
      </c>
      <c r="W49" s="59">
        <v>3485407</v>
      </c>
      <c r="X49" s="59">
        <v>0</v>
      </c>
      <c r="Y49" s="96">
        <v>3485407</v>
      </c>
      <c r="Z49" s="217"/>
      <c r="AA49" s="102">
        <v>1777009</v>
      </c>
      <c r="AB49" s="59">
        <v>1777009</v>
      </c>
      <c r="AC49" s="59"/>
      <c r="AD49" s="59">
        <v>1524093</v>
      </c>
      <c r="AE49" s="172">
        <v>0.43727834367693647</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-50450</v>
      </c>
      <c r="AP49" s="396">
        <f t="shared" si="20"/>
        <v>-148950</v>
      </c>
      <c r="AQ49" s="399"/>
      <c r="AR49" s="400">
        <f t="shared" si="21"/>
        <v>-1806898</v>
      </c>
      <c r="AS49" s="398">
        <f t="shared" si="22"/>
        <v>-1806898</v>
      </c>
      <c r="AT49" s="398"/>
      <c r="AU49" s="398">
        <f t="shared" si="23"/>
        <v>-2110264</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100612</v>
      </c>
      <c r="E50" s="199">
        <f t="shared" si="69"/>
        <v>0</v>
      </c>
      <c r="F50" s="497">
        <v>100612</v>
      </c>
      <c r="G50" s="497">
        <v>0</v>
      </c>
      <c r="H50" s="96">
        <f t="shared" si="70"/>
        <v>100612</v>
      </c>
      <c r="I50" s="217"/>
      <c r="J50" s="499">
        <v>100612</v>
      </c>
      <c r="K50" s="497">
        <v>100612</v>
      </c>
      <c r="L50" s="59"/>
      <c r="M50" s="497">
        <v>100612</v>
      </c>
      <c r="N50" s="172">
        <f t="shared" si="68"/>
        <v>1</v>
      </c>
      <c r="O50" s="60"/>
      <c r="P50" s="56"/>
      <c r="Q50" s="56"/>
      <c r="R50"/>
      <c r="S50" s="57"/>
      <c r="T50" s="58" t="str">
        <f t="shared" si="71"/>
        <v>(b) Title Deeds Restoriation Grant</v>
      </c>
      <c r="U50" s="96">
        <v>100612</v>
      </c>
      <c r="V50" s="199">
        <v>0</v>
      </c>
      <c r="W50" s="59">
        <v>100612</v>
      </c>
      <c r="X50" s="59">
        <v>0</v>
      </c>
      <c r="Y50" s="96">
        <v>100612</v>
      </c>
      <c r="Z50" s="217"/>
      <c r="AA50" s="102">
        <v>29360</v>
      </c>
      <c r="AB50" s="59">
        <v>29360</v>
      </c>
      <c r="AC50" s="59"/>
      <c r="AD50" s="59">
        <v>6230</v>
      </c>
      <c r="AE50" s="172">
        <v>6.1921043215521013E-2</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-71252</v>
      </c>
      <c r="AS50" s="398">
        <f t="shared" si="22"/>
        <v>-71252</v>
      </c>
      <c r="AT50" s="398"/>
      <c r="AU50" s="398">
        <f t="shared" si="23"/>
        <v>-94382</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72">F51-D51</f>
        <v>0</v>
      </c>
      <c r="F51" s="59"/>
      <c r="G51" s="59"/>
      <c r="H51" s="96">
        <f t="shared" ref="H51:H53" si="73">SUM(F51:G51)</f>
        <v>0</v>
      </c>
      <c r="I51" s="217"/>
      <c r="J51" s="102"/>
      <c r="K51" s="59"/>
      <c r="L51" s="59"/>
      <c r="M51" s="59"/>
      <c r="N51" s="172">
        <f t="shared" ref="N51:N53" si="74">IFERROR(M51/F51,0)</f>
        <v>0</v>
      </c>
      <c r="O51" s="60"/>
      <c r="P51" s="56"/>
      <c r="Q51" s="56"/>
      <c r="R51"/>
      <c r="S51" s="57"/>
      <c r="T51" s="58">
        <f t="shared" si="71"/>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72"/>
        <v>0</v>
      </c>
      <c r="F52" s="59"/>
      <c r="G52" s="59"/>
      <c r="H52" s="96">
        <f t="shared" si="73"/>
        <v>0</v>
      </c>
      <c r="I52" s="217"/>
      <c r="J52" s="102"/>
      <c r="K52" s="59"/>
      <c r="L52" s="59"/>
      <c r="M52" s="59"/>
      <c r="N52" s="172">
        <f t="shared" si="74"/>
        <v>0</v>
      </c>
      <c r="O52" s="60"/>
      <c r="P52" s="56"/>
      <c r="Q52" s="56"/>
      <c r="R52"/>
      <c r="S52" s="57"/>
      <c r="T52" s="58">
        <f t="shared" si="71"/>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72"/>
        <v>0</v>
      </c>
      <c r="F53" s="59"/>
      <c r="G53" s="59"/>
      <c r="H53" s="96">
        <f t="shared" si="73"/>
        <v>0</v>
      </c>
      <c r="I53" s="217"/>
      <c r="J53" s="102"/>
      <c r="K53" s="59"/>
      <c r="L53" s="59"/>
      <c r="M53" s="59"/>
      <c r="N53" s="172">
        <f t="shared" si="74"/>
        <v>0</v>
      </c>
      <c r="O53" s="60"/>
      <c r="P53" s="56"/>
      <c r="Q53" s="56"/>
      <c r="R53"/>
      <c r="S53" s="57"/>
      <c r="T53" s="58">
        <f t="shared" si="71"/>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210352</v>
      </c>
      <c r="E55" s="198">
        <f t="shared" ref="E55:K55" si="75">SUM(E56+E57)</f>
        <v>0</v>
      </c>
      <c r="F55" s="54">
        <f t="shared" si="75"/>
        <v>210352</v>
      </c>
      <c r="G55" s="54">
        <f t="shared" si="75"/>
        <v>2469</v>
      </c>
      <c r="H55" s="95">
        <f t="shared" si="75"/>
        <v>212821</v>
      </c>
      <c r="I55" s="216">
        <f t="shared" si="75"/>
        <v>0</v>
      </c>
      <c r="J55" s="101">
        <f t="shared" si="75"/>
        <v>210352</v>
      </c>
      <c r="K55" s="54">
        <f t="shared" si="75"/>
        <v>210352</v>
      </c>
      <c r="L55" s="54"/>
      <c r="M55" s="54">
        <f>SUM(M56+M57)</f>
        <v>202119</v>
      </c>
      <c r="N55" s="183">
        <f t="shared" ref="N55:N57" si="76">IFERROR(M55/H55,0)</f>
        <v>0.94971360908932856</v>
      </c>
      <c r="O55" s="63"/>
      <c r="P55" s="64"/>
      <c r="Q55" s="64"/>
      <c r="R55"/>
      <c r="S55" s="62"/>
      <c r="T55" s="51" t="str">
        <f>C55</f>
        <v>Public Works (Vote 11)</v>
      </c>
      <c r="U55" s="95">
        <v>210352</v>
      </c>
      <c r="V55" s="198">
        <v>0</v>
      </c>
      <c r="W55" s="54">
        <v>210352</v>
      </c>
      <c r="X55" s="54">
        <v>0</v>
      </c>
      <c r="Y55" s="95">
        <v>210352</v>
      </c>
      <c r="Z55" s="216"/>
      <c r="AA55" s="101">
        <v>147247</v>
      </c>
      <c r="AB55" s="54">
        <v>131464</v>
      </c>
      <c r="AC55" s="54"/>
      <c r="AD55" s="54">
        <v>102755</v>
      </c>
      <c r="AE55" s="183">
        <v>0.48849072031642199</v>
      </c>
      <c r="AF55" s="63"/>
      <c r="AG55" s="444"/>
      <c r="AH55" s="444"/>
      <c r="AI55"/>
      <c r="AJ55" s="402"/>
      <c r="AK55" s="481" t="str">
        <f t="shared" si="15"/>
        <v>Public Works (Vote 11)</v>
      </c>
      <c r="AL55" s="388">
        <f t="shared" si="16"/>
        <v>0</v>
      </c>
      <c r="AM55" s="389">
        <f t="shared" si="17"/>
        <v>0</v>
      </c>
      <c r="AN55" s="390">
        <f t="shared" si="18"/>
        <v>0</v>
      </c>
      <c r="AO55" s="390">
        <f t="shared" si="19"/>
        <v>-2469</v>
      </c>
      <c r="AP55" s="388">
        <f t="shared" si="20"/>
        <v>-2469</v>
      </c>
      <c r="AQ55" s="391"/>
      <c r="AR55" s="392">
        <f t="shared" si="21"/>
        <v>-63105</v>
      </c>
      <c r="AS55" s="390">
        <f t="shared" si="22"/>
        <v>-78888</v>
      </c>
      <c r="AT55" s="390"/>
      <c r="AU55" s="390">
        <f t="shared" si="23"/>
        <v>-99364</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120173</v>
      </c>
      <c r="E56" s="199">
        <f t="shared" ref="E56:E57" si="77">SUM(F56-D56)</f>
        <v>0</v>
      </c>
      <c r="F56" s="497">
        <v>120173</v>
      </c>
      <c r="G56" s="497">
        <v>2469</v>
      </c>
      <c r="H56" s="96">
        <f t="shared" ref="H56:H57" si="78">SUM(F56:G56)</f>
        <v>122642</v>
      </c>
      <c r="I56" s="217"/>
      <c r="J56" s="499">
        <v>120173</v>
      </c>
      <c r="K56" s="497">
        <v>120173</v>
      </c>
      <c r="L56" s="59"/>
      <c r="M56" s="497">
        <v>112337</v>
      </c>
      <c r="N56" s="172">
        <f t="shared" si="76"/>
        <v>0.91597495148480945</v>
      </c>
      <c r="O56" s="60"/>
      <c r="P56" s="56"/>
      <c r="Q56" s="56"/>
      <c r="R56"/>
      <c r="S56" s="57"/>
      <c r="T56" s="58" t="str">
        <f t="shared" ref="T56:T60" si="79">C56</f>
        <v>(a) Expanded Public Works Programme Integrated Grant for Provinces</v>
      </c>
      <c r="U56" s="96">
        <v>120173</v>
      </c>
      <c r="V56" s="199">
        <v>0</v>
      </c>
      <c r="W56" s="59">
        <v>120173</v>
      </c>
      <c r="X56" s="59">
        <v>0</v>
      </c>
      <c r="Y56" s="96">
        <v>120173</v>
      </c>
      <c r="Z56" s="217"/>
      <c r="AA56" s="102">
        <v>84121</v>
      </c>
      <c r="AB56" s="59">
        <v>68338</v>
      </c>
      <c r="AC56" s="59"/>
      <c r="AD56" s="59">
        <v>49841</v>
      </c>
      <c r="AE56" s="172">
        <v>0.41474374443510603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-2469</v>
      </c>
      <c r="AP56" s="396">
        <f t="shared" si="20"/>
        <v>-2469</v>
      </c>
      <c r="AQ56" s="399"/>
      <c r="AR56" s="400">
        <f t="shared" si="21"/>
        <v>-36052</v>
      </c>
      <c r="AS56" s="398">
        <f t="shared" si="22"/>
        <v>-51835</v>
      </c>
      <c r="AT56" s="398"/>
      <c r="AU56" s="398">
        <f t="shared" si="23"/>
        <v>-62496</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90179</v>
      </c>
      <c r="E57" s="199">
        <f t="shared" si="77"/>
        <v>0</v>
      </c>
      <c r="F57" s="497">
        <v>90179</v>
      </c>
      <c r="G57" s="497">
        <v>0</v>
      </c>
      <c r="H57" s="96">
        <f t="shared" si="78"/>
        <v>90179</v>
      </c>
      <c r="I57" s="217"/>
      <c r="J57" s="499">
        <v>90179</v>
      </c>
      <c r="K57" s="497">
        <v>90179</v>
      </c>
      <c r="L57" s="59"/>
      <c r="M57" s="497">
        <v>89782</v>
      </c>
      <c r="N57" s="172">
        <f t="shared" si="76"/>
        <v>0.99559764468446088</v>
      </c>
      <c r="O57" s="60"/>
      <c r="P57" s="56"/>
      <c r="Q57" s="56"/>
      <c r="R57"/>
      <c r="S57" s="57"/>
      <c r="T57" s="58" t="str">
        <f t="shared" si="79"/>
        <v>(b) Social Sector Expanded Public Works Programme Incentive Grant for Provinces</v>
      </c>
      <c r="U57" s="96">
        <v>90179</v>
      </c>
      <c r="V57" s="199">
        <v>0</v>
      </c>
      <c r="W57" s="59">
        <v>90179</v>
      </c>
      <c r="X57" s="59">
        <v>0</v>
      </c>
      <c r="Y57" s="96">
        <v>90179</v>
      </c>
      <c r="Z57" s="217"/>
      <c r="AA57" s="102">
        <v>63126</v>
      </c>
      <c r="AB57" s="59">
        <v>63126</v>
      </c>
      <c r="AC57" s="59"/>
      <c r="AD57" s="59">
        <v>52914</v>
      </c>
      <c r="AE57" s="172">
        <v>0.58676632031847764</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-27053</v>
      </c>
      <c r="AS57" s="398">
        <f t="shared" si="22"/>
        <v>-27053</v>
      </c>
      <c r="AT57" s="398"/>
      <c r="AU57" s="398">
        <f t="shared" si="23"/>
        <v>-36868</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80">F58-D58</f>
        <v>0</v>
      </c>
      <c r="F58" s="59"/>
      <c r="G58" s="59"/>
      <c r="H58" s="96">
        <f t="shared" ref="H58:H60" si="81">SUM(F58:G58)</f>
        <v>0</v>
      </c>
      <c r="I58" s="217"/>
      <c r="J58" s="102"/>
      <c r="K58" s="59"/>
      <c r="L58" s="59"/>
      <c r="M58" s="59"/>
      <c r="N58" s="172">
        <f t="shared" si="40"/>
        <v>0</v>
      </c>
      <c r="O58" s="60"/>
      <c r="P58" s="56"/>
      <c r="Q58" s="56"/>
      <c r="R58"/>
      <c r="S58" s="57"/>
      <c r="T58" s="58">
        <f t="shared" si="79"/>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80"/>
        <v>0</v>
      </c>
      <c r="F59" s="59"/>
      <c r="G59" s="59"/>
      <c r="H59" s="96">
        <f t="shared" si="81"/>
        <v>0</v>
      </c>
      <c r="I59" s="217"/>
      <c r="J59" s="102"/>
      <c r="K59" s="59"/>
      <c r="L59" s="59"/>
      <c r="M59" s="59"/>
      <c r="N59" s="172">
        <f t="shared" si="40"/>
        <v>0</v>
      </c>
      <c r="O59" s="60"/>
      <c r="P59" s="56"/>
      <c r="Q59" s="56"/>
      <c r="R59"/>
      <c r="S59" s="57"/>
      <c r="T59" s="58">
        <f t="shared" si="79"/>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80"/>
        <v>0</v>
      </c>
      <c r="F60" s="59"/>
      <c r="G60" s="59"/>
      <c r="H60" s="96">
        <f t="shared" si="81"/>
        <v>0</v>
      </c>
      <c r="I60" s="217"/>
      <c r="J60" s="102"/>
      <c r="K60" s="59"/>
      <c r="L60" s="59"/>
      <c r="M60" s="59"/>
      <c r="N60" s="172">
        <f t="shared" si="40"/>
        <v>0</v>
      </c>
      <c r="O60" s="60"/>
      <c r="P60" s="56"/>
      <c r="Q60" s="56"/>
      <c r="R60"/>
      <c r="S60" s="57"/>
      <c r="T60" s="58">
        <f t="shared" si="79"/>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116035</v>
      </c>
      <c r="E62" s="198">
        <f t="shared" ref="E62:K62" si="82">SUM(E63)</f>
        <v>0</v>
      </c>
      <c r="F62" s="54">
        <f t="shared" si="82"/>
        <v>116035</v>
      </c>
      <c r="G62" s="54">
        <f t="shared" si="82"/>
        <v>0</v>
      </c>
      <c r="H62" s="95">
        <f t="shared" si="82"/>
        <v>116035</v>
      </c>
      <c r="I62" s="216">
        <f t="shared" si="82"/>
        <v>0</v>
      </c>
      <c r="J62" s="101">
        <f t="shared" si="82"/>
        <v>116035</v>
      </c>
      <c r="K62" s="54">
        <f t="shared" si="82"/>
        <v>116035</v>
      </c>
      <c r="L62" s="54"/>
      <c r="M62" s="54">
        <f>SUM(M63)</f>
        <v>116035</v>
      </c>
      <c r="N62" s="183">
        <f t="shared" ref="N62:N63" si="83">IFERROR(M62/H62,0)</f>
        <v>1</v>
      </c>
      <c r="O62" s="63"/>
      <c r="P62" s="64"/>
      <c r="Q62" s="64"/>
      <c r="R62"/>
      <c r="S62" s="62"/>
      <c r="T62" s="51" t="str">
        <f>C62</f>
        <v>Social Development (Vote 17)</v>
      </c>
      <c r="U62" s="95">
        <v>116035</v>
      </c>
      <c r="V62" s="198">
        <v>0</v>
      </c>
      <c r="W62" s="54">
        <v>116035</v>
      </c>
      <c r="X62" s="54">
        <v>0</v>
      </c>
      <c r="Y62" s="95">
        <v>116035</v>
      </c>
      <c r="Z62" s="216"/>
      <c r="AA62" s="101">
        <v>57362</v>
      </c>
      <c r="AB62" s="54">
        <v>57362</v>
      </c>
      <c r="AC62" s="54"/>
      <c r="AD62" s="54">
        <v>48785</v>
      </c>
      <c r="AE62" s="183">
        <v>0.42043348989529022</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-58673</v>
      </c>
      <c r="AS62" s="390">
        <f t="shared" si="22"/>
        <v>-58673</v>
      </c>
      <c r="AT62" s="390"/>
      <c r="AU62" s="390">
        <f t="shared" si="23"/>
        <v>-67250</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116035</v>
      </c>
      <c r="E63" s="199">
        <f>SUM(F63-D63)</f>
        <v>0</v>
      </c>
      <c r="F63" s="497">
        <v>116035</v>
      </c>
      <c r="G63" s="497">
        <v>0</v>
      </c>
      <c r="H63" s="96">
        <f>SUM(F63:G63)</f>
        <v>116035</v>
      </c>
      <c r="I63" s="217"/>
      <c r="J63" s="499">
        <v>116035</v>
      </c>
      <c r="K63" s="497">
        <v>116035</v>
      </c>
      <c r="L63" s="59"/>
      <c r="M63" s="497">
        <v>116035</v>
      </c>
      <c r="N63" s="172">
        <f t="shared" si="83"/>
        <v>1</v>
      </c>
      <c r="O63" s="33"/>
      <c r="P63" s="21"/>
      <c r="Q63" s="21"/>
      <c r="R63"/>
      <c r="S63" s="57"/>
      <c r="T63" s="58" t="str">
        <f t="shared" ref="T63:T67" si="84">C63</f>
        <v>Early Childhood Development Grant</v>
      </c>
      <c r="U63" s="96">
        <v>116035</v>
      </c>
      <c r="V63" s="199">
        <v>0</v>
      </c>
      <c r="W63" s="59">
        <v>116035</v>
      </c>
      <c r="X63" s="59">
        <v>0</v>
      </c>
      <c r="Y63" s="96">
        <v>116035</v>
      </c>
      <c r="Z63" s="217"/>
      <c r="AA63" s="102">
        <v>57362</v>
      </c>
      <c r="AB63" s="59">
        <v>57362</v>
      </c>
      <c r="AC63" s="59"/>
      <c r="AD63" s="59">
        <v>48785</v>
      </c>
      <c r="AE63" s="172">
        <v>0.42043348989529022</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-58673</v>
      </c>
      <c r="AS63" s="398">
        <f t="shared" si="22"/>
        <v>-58673</v>
      </c>
      <c r="AT63" s="398"/>
      <c r="AU63" s="398">
        <f t="shared" si="23"/>
        <v>-67250</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4"/>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5">F65-D65</f>
        <v>0</v>
      </c>
      <c r="F65" s="59"/>
      <c r="G65" s="59"/>
      <c r="H65" s="96">
        <f t="shared" ref="H65:H67" si="86">SUM(F65:G65)</f>
        <v>0</v>
      </c>
      <c r="I65" s="217"/>
      <c r="J65" s="102"/>
      <c r="K65" s="59"/>
      <c r="L65" s="59"/>
      <c r="M65" s="59"/>
      <c r="N65" s="172">
        <f t="shared" ref="N65:N67" si="87">IFERROR(M65/F65,0)</f>
        <v>0</v>
      </c>
      <c r="O65" s="33"/>
      <c r="P65" s="21"/>
      <c r="Q65" s="21"/>
      <c r="R65"/>
      <c r="S65" s="57"/>
      <c r="T65" s="58">
        <f t="shared" si="84"/>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5"/>
        <v>0</v>
      </c>
      <c r="F66" s="59"/>
      <c r="G66" s="59"/>
      <c r="H66" s="96">
        <f t="shared" si="86"/>
        <v>0</v>
      </c>
      <c r="I66" s="217"/>
      <c r="J66" s="102"/>
      <c r="K66" s="59"/>
      <c r="L66" s="59"/>
      <c r="M66" s="59"/>
      <c r="N66" s="172">
        <f t="shared" si="87"/>
        <v>0</v>
      </c>
      <c r="O66" s="33"/>
      <c r="P66" s="21"/>
      <c r="Q66" s="21"/>
      <c r="R66"/>
      <c r="S66" s="57"/>
      <c r="T66" s="58">
        <f t="shared" si="84"/>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5"/>
        <v>0</v>
      </c>
      <c r="F67" s="59"/>
      <c r="G67" s="59"/>
      <c r="H67" s="96">
        <f t="shared" si="86"/>
        <v>0</v>
      </c>
      <c r="I67" s="217"/>
      <c r="J67" s="102"/>
      <c r="K67" s="59"/>
      <c r="L67" s="59"/>
      <c r="M67" s="59"/>
      <c r="N67" s="172">
        <f t="shared" si="87"/>
        <v>0</v>
      </c>
      <c r="O67" s="33"/>
      <c r="P67" s="21"/>
      <c r="Q67" s="21"/>
      <c r="R67"/>
      <c r="S67" s="57"/>
      <c r="T67" s="58">
        <f t="shared" si="84"/>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104673</v>
      </c>
      <c r="E69" s="198">
        <f t="shared" ref="E69:K69" si="88">SUM(E70)</f>
        <v>0</v>
      </c>
      <c r="F69" s="54">
        <f t="shared" si="88"/>
        <v>104673</v>
      </c>
      <c r="G69" s="54">
        <f t="shared" si="88"/>
        <v>0</v>
      </c>
      <c r="H69" s="95">
        <f t="shared" si="88"/>
        <v>104673</v>
      </c>
      <c r="I69" s="216">
        <f t="shared" si="88"/>
        <v>0</v>
      </c>
      <c r="J69" s="101">
        <f t="shared" si="88"/>
        <v>104673</v>
      </c>
      <c r="K69" s="54">
        <f t="shared" si="88"/>
        <v>104673</v>
      </c>
      <c r="L69" s="54"/>
      <c r="M69" s="54">
        <f>SUM(M70)</f>
        <v>104673</v>
      </c>
      <c r="N69" s="183">
        <f t="shared" ref="N69:N70" si="89">IFERROR(M69/H69,0)</f>
        <v>1</v>
      </c>
      <c r="O69" s="63"/>
      <c r="P69" s="64"/>
      <c r="Q69" s="64"/>
      <c r="R69"/>
      <c r="S69" s="62"/>
      <c r="T69" s="51" t="str">
        <f>C69</f>
        <v>Sport and Recreation South Africa (Vote 40)</v>
      </c>
      <c r="U69" s="95">
        <v>104673</v>
      </c>
      <c r="V69" s="198">
        <v>0</v>
      </c>
      <c r="W69" s="54">
        <v>104673</v>
      </c>
      <c r="X69" s="54">
        <v>0</v>
      </c>
      <c r="Y69" s="95">
        <v>104673</v>
      </c>
      <c r="Z69" s="216"/>
      <c r="AA69" s="101">
        <v>52337</v>
      </c>
      <c r="AB69" s="54">
        <v>52337</v>
      </c>
      <c r="AC69" s="59"/>
      <c r="AD69" s="54">
        <v>34466</v>
      </c>
      <c r="AE69" s="172">
        <v>0.32927306946394963</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-52336</v>
      </c>
      <c r="AS69" s="390">
        <f t="shared" si="22"/>
        <v>-52336</v>
      </c>
      <c r="AT69" s="398"/>
      <c r="AU69" s="390">
        <f t="shared" si="23"/>
        <v>-70207</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104673</v>
      </c>
      <c r="E70" s="199">
        <f>SUM(F70-D70)</f>
        <v>0</v>
      </c>
      <c r="F70" s="497">
        <v>104673</v>
      </c>
      <c r="G70" s="497">
        <v>0</v>
      </c>
      <c r="H70" s="96">
        <f>SUM(F70:G70)</f>
        <v>104673</v>
      </c>
      <c r="I70" s="217"/>
      <c r="J70" s="499">
        <v>104673</v>
      </c>
      <c r="K70" s="497">
        <v>104673</v>
      </c>
      <c r="L70" s="59"/>
      <c r="M70" s="497">
        <v>104673</v>
      </c>
      <c r="N70" s="172">
        <f t="shared" si="89"/>
        <v>1</v>
      </c>
      <c r="O70" s="60"/>
      <c r="P70" s="56"/>
      <c r="Q70" s="56"/>
      <c r="R70"/>
      <c r="S70" s="57"/>
      <c r="T70" s="58" t="str">
        <f t="shared" ref="T70:T74" si="90">C70</f>
        <v>Mass Participation and Sport Development Grant</v>
      </c>
      <c r="U70" s="96">
        <v>104673</v>
      </c>
      <c r="V70" s="199">
        <v>0</v>
      </c>
      <c r="W70" s="59">
        <v>104673</v>
      </c>
      <c r="X70" s="59">
        <v>0</v>
      </c>
      <c r="Y70" s="96">
        <v>104673</v>
      </c>
      <c r="Z70" s="217"/>
      <c r="AA70" s="102">
        <v>52337</v>
      </c>
      <c r="AB70" s="59">
        <v>52337</v>
      </c>
      <c r="AC70" s="59"/>
      <c r="AD70" s="59">
        <v>34466</v>
      </c>
      <c r="AE70" s="183">
        <v>0.32927306946394963</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-52336</v>
      </c>
      <c r="AS70" s="398">
        <f t="shared" si="22"/>
        <v>-52336</v>
      </c>
      <c r="AT70" s="398"/>
      <c r="AU70" s="398">
        <f t="shared" si="23"/>
        <v>-70207</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91">F71-D71</f>
        <v>0</v>
      </c>
      <c r="F71" s="59"/>
      <c r="G71" s="59"/>
      <c r="H71" s="96">
        <f t="shared" ref="H71:H74" si="92">SUM(F71:G71)</f>
        <v>0</v>
      </c>
      <c r="I71" s="217"/>
      <c r="J71" s="102"/>
      <c r="K71" s="59"/>
      <c r="L71" s="59"/>
      <c r="M71" s="59"/>
      <c r="N71" s="59">
        <f t="shared" si="40"/>
        <v>0</v>
      </c>
      <c r="O71" s="60"/>
      <c r="R71"/>
      <c r="S71" s="57"/>
      <c r="T71" s="58">
        <f t="shared" si="90"/>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91"/>
        <v>0</v>
      </c>
      <c r="F72" s="59"/>
      <c r="G72" s="59"/>
      <c r="H72" s="96">
        <f t="shared" si="92"/>
        <v>0</v>
      </c>
      <c r="I72" s="217"/>
      <c r="J72" s="102"/>
      <c r="K72" s="59"/>
      <c r="L72" s="59"/>
      <c r="M72" s="59"/>
      <c r="N72" s="59">
        <f t="shared" si="40"/>
        <v>0</v>
      </c>
      <c r="O72" s="60"/>
      <c r="R72"/>
      <c r="S72" s="57"/>
      <c r="T72" s="58">
        <f t="shared" si="90"/>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91"/>
        <v>0</v>
      </c>
      <c r="F73" s="59"/>
      <c r="G73" s="59"/>
      <c r="H73" s="96">
        <f t="shared" si="92"/>
        <v>0</v>
      </c>
      <c r="I73" s="217"/>
      <c r="J73" s="102"/>
      <c r="K73" s="59"/>
      <c r="L73" s="59"/>
      <c r="M73" s="59"/>
      <c r="N73" s="59">
        <f t="shared" si="40"/>
        <v>0</v>
      </c>
      <c r="O73" s="60"/>
      <c r="R73"/>
      <c r="S73" s="57"/>
      <c r="T73" s="58">
        <f t="shared" si="90"/>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91"/>
        <v>0</v>
      </c>
      <c r="F74" s="59"/>
      <c r="G74" s="59"/>
      <c r="H74" s="96">
        <f t="shared" si="92"/>
        <v>0</v>
      </c>
      <c r="I74" s="217"/>
      <c r="J74" s="102"/>
      <c r="K74" s="59"/>
      <c r="L74" s="59"/>
      <c r="M74" s="59"/>
      <c r="N74" s="59">
        <f t="shared" si="40"/>
        <v>0</v>
      </c>
      <c r="O74" s="60"/>
      <c r="R74"/>
      <c r="S74" s="57"/>
      <c r="T74" s="58">
        <f t="shared" si="90"/>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13632818</v>
      </c>
      <c r="E76" s="201">
        <f t="shared" ref="E76:K76" si="93">SUM(E13+E20+E27+E34+E41+E48+E55+E62+E69)</f>
        <v>204647</v>
      </c>
      <c r="F76" s="75">
        <f t="shared" si="93"/>
        <v>13837465</v>
      </c>
      <c r="G76" s="75">
        <f t="shared" si="93"/>
        <v>181925</v>
      </c>
      <c r="H76" s="98">
        <f t="shared" si="93"/>
        <v>14019390</v>
      </c>
      <c r="I76" s="219">
        <f t="shared" si="93"/>
        <v>0</v>
      </c>
      <c r="J76" s="104">
        <f t="shared" si="93"/>
        <v>13837465</v>
      </c>
      <c r="K76" s="75">
        <f t="shared" si="93"/>
        <v>13837465</v>
      </c>
      <c r="L76" s="59"/>
      <c r="M76" s="75">
        <f>SUM(M13+M20+M27+M34+M41+M48+M55+M62+M69)</f>
        <v>14010835.516240001</v>
      </c>
      <c r="N76" s="180">
        <f>IFERROR(M76/H76,0)</f>
        <v>0.9993898105580914</v>
      </c>
      <c r="O76" s="60"/>
      <c r="P76" s="65"/>
      <c r="Q76" s="65"/>
      <c r="R76"/>
      <c r="S76" s="53"/>
      <c r="T76" s="74" t="s">
        <v>37</v>
      </c>
      <c r="U76" s="98">
        <v>13632818</v>
      </c>
      <c r="V76" s="201">
        <v>0</v>
      </c>
      <c r="W76" s="75">
        <v>13632818</v>
      </c>
      <c r="X76" s="75">
        <v>0</v>
      </c>
      <c r="Y76" s="98">
        <v>13632818</v>
      </c>
      <c r="Z76" s="219">
        <v>0</v>
      </c>
      <c r="AA76" s="104">
        <v>6720199</v>
      </c>
      <c r="AB76" s="75">
        <v>6704403</v>
      </c>
      <c r="AC76" s="59"/>
      <c r="AD76" s="75">
        <v>6235382</v>
      </c>
      <c r="AE76" s="180">
        <v>0.45738027163569556</v>
      </c>
      <c r="AF76" s="60"/>
      <c r="AG76" s="443"/>
      <c r="AH76" s="443"/>
      <c r="AI76"/>
      <c r="AJ76" s="387"/>
      <c r="AK76" s="411" t="str">
        <f t="shared" si="15"/>
        <v>Sub-Total</v>
      </c>
      <c r="AL76" s="412">
        <f t="shared" si="16"/>
        <v>0</v>
      </c>
      <c r="AM76" s="413">
        <f t="shared" si="17"/>
        <v>-204647</v>
      </c>
      <c r="AN76" s="414">
        <f t="shared" si="18"/>
        <v>-204647</v>
      </c>
      <c r="AO76" s="414">
        <f t="shared" si="19"/>
        <v>-181925</v>
      </c>
      <c r="AP76" s="412">
        <f t="shared" si="20"/>
        <v>-386572</v>
      </c>
      <c r="AQ76" s="415"/>
      <c r="AR76" s="416">
        <f t="shared" si="21"/>
        <v>-7117266</v>
      </c>
      <c r="AS76" s="414">
        <f t="shared" si="22"/>
        <v>-7133062</v>
      </c>
      <c r="AT76" s="398"/>
      <c r="AU76" s="414">
        <f t="shared" si="23"/>
        <v>-7775453.5162400007</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2187162</v>
      </c>
      <c r="E80" s="198">
        <f t="shared" ref="E80:K80" si="94">SUM(E81)</f>
        <v>100000</v>
      </c>
      <c r="F80" s="54">
        <f t="shared" si="94"/>
        <v>2287162</v>
      </c>
      <c r="G80" s="54">
        <f t="shared" si="94"/>
        <v>0</v>
      </c>
      <c r="H80" s="95">
        <f t="shared" si="94"/>
        <v>2287162</v>
      </c>
      <c r="I80" s="216">
        <f t="shared" si="94"/>
        <v>0</v>
      </c>
      <c r="J80" s="101">
        <f t="shared" si="94"/>
        <v>2287162</v>
      </c>
      <c r="K80" s="54">
        <f t="shared" si="94"/>
        <v>2287162</v>
      </c>
      <c r="L80" s="54"/>
      <c r="M80" s="76"/>
      <c r="N80" s="439"/>
      <c r="O80" s="55"/>
      <c r="R80"/>
      <c r="S80" s="62"/>
      <c r="T80" s="51" t="str">
        <f>C80</f>
        <v>Basic Education (Vote 14)</v>
      </c>
      <c r="U80" s="95">
        <v>2187162</v>
      </c>
      <c r="V80" s="198">
        <v>0</v>
      </c>
      <c r="W80" s="54">
        <v>2187162</v>
      </c>
      <c r="X80" s="54">
        <v>0</v>
      </c>
      <c r="Y80" s="95">
        <v>2187162</v>
      </c>
      <c r="Z80" s="216"/>
      <c r="AA80" s="101">
        <v>1366977</v>
      </c>
      <c r="AB80" s="54">
        <v>1366977</v>
      </c>
      <c r="AC80" s="59"/>
      <c r="AD80" s="54"/>
      <c r="AE80" s="54"/>
      <c r="AF80" s="55"/>
      <c r="AG80" s="442"/>
      <c r="AH80" s="442"/>
      <c r="AI80"/>
      <c r="AJ80" s="402"/>
      <c r="AK80" s="481" t="str">
        <f t="shared" si="15"/>
        <v>Basic Education (Vote 14)</v>
      </c>
      <c r="AL80" s="388">
        <f t="shared" si="16"/>
        <v>0</v>
      </c>
      <c r="AM80" s="389">
        <f t="shared" si="17"/>
        <v>-100000</v>
      </c>
      <c r="AN80" s="390">
        <f t="shared" si="18"/>
        <v>-100000</v>
      </c>
      <c r="AO80" s="390">
        <f t="shared" si="19"/>
        <v>0</v>
      </c>
      <c r="AP80" s="388">
        <f t="shared" si="20"/>
        <v>-100000</v>
      </c>
      <c r="AQ80" s="391"/>
      <c r="AR80" s="392">
        <f t="shared" si="21"/>
        <v>-920185</v>
      </c>
      <c r="AS80" s="390">
        <f t="shared" si="22"/>
        <v>-920185</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2187162</v>
      </c>
      <c r="E81" s="199">
        <f>SUM(F81-D81)</f>
        <v>100000</v>
      </c>
      <c r="F81" s="497">
        <v>2287162</v>
      </c>
      <c r="G81" s="497">
        <v>0</v>
      </c>
      <c r="H81" s="96">
        <f>SUM(F81:G81)</f>
        <v>2287162</v>
      </c>
      <c r="I81" s="217"/>
      <c r="J81" s="499">
        <v>2287162</v>
      </c>
      <c r="K81" s="497">
        <v>2287162</v>
      </c>
      <c r="L81" s="59"/>
      <c r="M81" s="76"/>
      <c r="N81" s="439"/>
      <c r="O81" s="33"/>
      <c r="R81"/>
      <c r="S81" s="57"/>
      <c r="T81" s="58" t="str">
        <f t="shared" ref="T81:T85" si="95">C81</f>
        <v>Education Infrastructure Grant</v>
      </c>
      <c r="U81" s="96">
        <v>2187162</v>
      </c>
      <c r="V81" s="199">
        <v>0</v>
      </c>
      <c r="W81" s="59">
        <v>2187162</v>
      </c>
      <c r="X81" s="59">
        <v>0</v>
      </c>
      <c r="Y81" s="96">
        <v>2187162</v>
      </c>
      <c r="Z81" s="217"/>
      <c r="AA81" s="102">
        <v>1366977</v>
      </c>
      <c r="AB81" s="59">
        <v>1366977</v>
      </c>
      <c r="AC81" s="59"/>
      <c r="AD81" s="76"/>
      <c r="AE81" s="76"/>
      <c r="AF81" s="33"/>
      <c r="AG81" s="441"/>
      <c r="AH81" s="441"/>
      <c r="AI81"/>
      <c r="AJ81" s="394"/>
      <c r="AK81" s="479" t="str">
        <f t="shared" si="15"/>
        <v>Education Infrastructure Grant</v>
      </c>
      <c r="AL81" s="396">
        <f t="shared" si="16"/>
        <v>0</v>
      </c>
      <c r="AM81" s="397">
        <f t="shared" si="17"/>
        <v>-100000</v>
      </c>
      <c r="AN81" s="398">
        <f t="shared" si="18"/>
        <v>-100000</v>
      </c>
      <c r="AO81" s="398">
        <f t="shared" si="19"/>
        <v>0</v>
      </c>
      <c r="AP81" s="396">
        <f t="shared" si="20"/>
        <v>-100000</v>
      </c>
      <c r="AQ81" s="399"/>
      <c r="AR81" s="400">
        <f t="shared" si="21"/>
        <v>-920185</v>
      </c>
      <c r="AS81" s="398">
        <f t="shared" si="22"/>
        <v>-920185</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6">F82-D82</f>
        <v>0</v>
      </c>
      <c r="F82" s="59"/>
      <c r="G82" s="59"/>
      <c r="H82" s="96">
        <f t="shared" ref="H82:H85" si="97">SUM(F82:G82)</f>
        <v>0</v>
      </c>
      <c r="I82" s="217"/>
      <c r="J82" s="499"/>
      <c r="K82" s="497"/>
      <c r="L82" s="59"/>
      <c r="M82" s="76"/>
      <c r="N82" s="439"/>
      <c r="O82" s="33"/>
      <c r="R82"/>
      <c r="S82" s="57"/>
      <c r="T82" s="58">
        <f t="shared" si="95"/>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6"/>
        <v>0</v>
      </c>
      <c r="F83" s="59"/>
      <c r="G83" s="59"/>
      <c r="H83" s="96">
        <f t="shared" si="97"/>
        <v>0</v>
      </c>
      <c r="I83" s="217"/>
      <c r="J83" s="499"/>
      <c r="K83" s="497"/>
      <c r="L83" s="59"/>
      <c r="M83" s="76"/>
      <c r="N83" s="439"/>
      <c r="O83" s="33"/>
      <c r="R83"/>
      <c r="S83" s="57"/>
      <c r="T83" s="58">
        <f t="shared" si="95"/>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6"/>
        <v>0</v>
      </c>
      <c r="F84" s="59"/>
      <c r="G84" s="59"/>
      <c r="H84" s="96">
        <f t="shared" si="97"/>
        <v>0</v>
      </c>
      <c r="I84" s="217"/>
      <c r="J84" s="499"/>
      <c r="K84" s="497"/>
      <c r="L84" s="59"/>
      <c r="M84" s="76"/>
      <c r="N84" s="439"/>
      <c r="O84" s="33"/>
      <c r="R84"/>
      <c r="S84" s="57"/>
      <c r="T84" s="58">
        <f t="shared" si="95"/>
        <v>0</v>
      </c>
      <c r="U84" s="96"/>
      <c r="V84" s="199">
        <v>0</v>
      </c>
      <c r="W84" s="59"/>
      <c r="X84" s="59"/>
      <c r="Y84" s="96">
        <v>0</v>
      </c>
      <c r="Z84" s="217"/>
      <c r="AA84" s="102"/>
      <c r="AB84" s="59"/>
      <c r="AC84" s="59"/>
      <c r="AD84" s="76"/>
      <c r="AE84" s="76"/>
      <c r="AF84" s="33"/>
      <c r="AG84" s="441"/>
      <c r="AH84" s="441"/>
      <c r="AI84"/>
      <c r="AJ84" s="394"/>
      <c r="AK84" s="479">
        <f t="shared" ref="AK84:AK124" si="98">C84</f>
        <v>0</v>
      </c>
      <c r="AL84" s="396">
        <f t="shared" ref="AL84:AL124" si="99">IFERROR(U84-D84,0)</f>
        <v>0</v>
      </c>
      <c r="AM84" s="397">
        <f t="shared" ref="AM84:AM124" si="100">IFERROR(V84-E84,0)</f>
        <v>0</v>
      </c>
      <c r="AN84" s="398">
        <f t="shared" ref="AN84:AN124" si="101">IFERROR(W84-F84,0)</f>
        <v>0</v>
      </c>
      <c r="AO84" s="398">
        <f t="shared" ref="AO84:AO124" si="102">IFERROR(X84-G84,0)</f>
        <v>0</v>
      </c>
      <c r="AP84" s="396">
        <f t="shared" ref="AP84:AP124" si="103">IFERROR(Y84-H84,0)</f>
        <v>0</v>
      </c>
      <c r="AQ84" s="399"/>
      <c r="AR84" s="400">
        <f t="shared" ref="AR84:AR124" si="104">IFERROR(AA84-J84,0)</f>
        <v>0</v>
      </c>
      <c r="AS84" s="398">
        <f t="shared" ref="AS84:AS124" si="105">IFERROR(AB84-K84,0)</f>
        <v>0</v>
      </c>
      <c r="AT84" s="398"/>
      <c r="AU84" s="417">
        <f t="shared" ref="AU84:AU124" si="106">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6"/>
        <v>0</v>
      </c>
      <c r="F85" s="59"/>
      <c r="G85" s="59"/>
      <c r="H85" s="96">
        <f t="shared" si="97"/>
        <v>0</v>
      </c>
      <c r="I85" s="217"/>
      <c r="J85" s="499"/>
      <c r="K85" s="497"/>
      <c r="L85" s="59"/>
      <c r="M85" s="76"/>
      <c r="N85" s="439"/>
      <c r="O85" s="33"/>
      <c r="S85" s="57"/>
      <c r="T85" s="58">
        <f t="shared" si="95"/>
        <v>0</v>
      </c>
      <c r="U85" s="96"/>
      <c r="V85" s="199">
        <v>0</v>
      </c>
      <c r="W85" s="59"/>
      <c r="X85" s="59"/>
      <c r="Y85" s="96">
        <v>0</v>
      </c>
      <c r="Z85" s="217"/>
      <c r="AA85" s="102"/>
      <c r="AB85" s="59"/>
      <c r="AC85" s="59"/>
      <c r="AD85" s="76"/>
      <c r="AE85" s="76"/>
      <c r="AF85" s="33"/>
      <c r="AG85" s="441"/>
      <c r="AH85" s="441"/>
      <c r="AJ85" s="394"/>
      <c r="AK85" s="479">
        <f t="shared" si="98"/>
        <v>0</v>
      </c>
      <c r="AL85" s="396">
        <f t="shared" si="99"/>
        <v>0</v>
      </c>
      <c r="AM85" s="397">
        <f t="shared" si="100"/>
        <v>0</v>
      </c>
      <c r="AN85" s="398">
        <f t="shared" si="101"/>
        <v>0</v>
      </c>
      <c r="AO85" s="398">
        <f t="shared" si="102"/>
        <v>0</v>
      </c>
      <c r="AP85" s="396">
        <f t="shared" si="103"/>
        <v>0</v>
      </c>
      <c r="AQ85" s="399"/>
      <c r="AR85" s="400">
        <f t="shared" si="104"/>
        <v>0</v>
      </c>
      <c r="AS85" s="398">
        <f t="shared" si="105"/>
        <v>0</v>
      </c>
      <c r="AT85" s="398"/>
      <c r="AU85" s="417">
        <f t="shared" si="106"/>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8"/>
        <v>0</v>
      </c>
      <c r="AL86" s="396">
        <f t="shared" si="99"/>
        <v>0</v>
      </c>
      <c r="AM86" s="397">
        <f t="shared" si="100"/>
        <v>0</v>
      </c>
      <c r="AN86" s="398">
        <f t="shared" si="101"/>
        <v>0</v>
      </c>
      <c r="AO86" s="398">
        <f t="shared" si="102"/>
        <v>0</v>
      </c>
      <c r="AP86" s="396">
        <f t="shared" si="103"/>
        <v>0</v>
      </c>
      <c r="AQ86" s="399"/>
      <c r="AR86" s="400">
        <f t="shared" si="104"/>
        <v>0</v>
      </c>
      <c r="AS86" s="398">
        <f t="shared" si="105"/>
        <v>0</v>
      </c>
      <c r="AT86" s="398"/>
      <c r="AU86" s="398">
        <f t="shared" si="106"/>
        <v>0</v>
      </c>
      <c r="AV86" s="398"/>
      <c r="AW86" s="347"/>
    </row>
    <row r="87" spans="1:82" s="66" customFormat="1" ht="15.75" customHeight="1" x14ac:dyDescent="0.3">
      <c r="A87"/>
      <c r="B87" s="62"/>
      <c r="C87" s="51" t="s">
        <v>27</v>
      </c>
      <c r="D87" s="95">
        <f>SUM(D88+D89)</f>
        <v>2266012</v>
      </c>
      <c r="E87" s="198">
        <f t="shared" ref="E87:K87" si="107">SUM(E88+E89)</f>
        <v>0</v>
      </c>
      <c r="F87" s="54">
        <f t="shared" si="107"/>
        <v>2266012</v>
      </c>
      <c r="G87" s="54">
        <f t="shared" si="107"/>
        <v>0</v>
      </c>
      <c r="H87" s="95">
        <f t="shared" si="107"/>
        <v>2266012</v>
      </c>
      <c r="I87" s="216">
        <f t="shared" si="107"/>
        <v>0</v>
      </c>
      <c r="J87" s="101">
        <f t="shared" si="107"/>
        <v>2266012</v>
      </c>
      <c r="K87" s="54">
        <f t="shared" si="107"/>
        <v>2266012</v>
      </c>
      <c r="L87" s="59"/>
      <c r="M87" s="591"/>
      <c r="N87" s="439"/>
      <c r="O87" s="55"/>
      <c r="R87"/>
      <c r="S87" s="62"/>
      <c r="T87" s="51" t="str">
        <f>C87</f>
        <v>Health (Vote 16)</v>
      </c>
      <c r="U87" s="95">
        <v>2266012</v>
      </c>
      <c r="V87" s="198">
        <v>0</v>
      </c>
      <c r="W87" s="54">
        <v>2266012</v>
      </c>
      <c r="X87" s="54">
        <v>0</v>
      </c>
      <c r="Y87" s="95">
        <v>2266012</v>
      </c>
      <c r="Z87" s="216"/>
      <c r="AA87" s="101">
        <v>1133004</v>
      </c>
      <c r="AB87" s="54">
        <v>1133004</v>
      </c>
      <c r="AC87" s="59"/>
      <c r="AD87" s="54"/>
      <c r="AE87" s="172"/>
      <c r="AF87" s="55"/>
      <c r="AG87" s="442"/>
      <c r="AH87" s="442"/>
      <c r="AI87"/>
      <c r="AJ87" s="402"/>
      <c r="AK87" s="481" t="str">
        <f t="shared" si="98"/>
        <v>Health (Vote 16)</v>
      </c>
      <c r="AL87" s="388">
        <f t="shared" si="99"/>
        <v>0</v>
      </c>
      <c r="AM87" s="389">
        <f t="shared" si="100"/>
        <v>0</v>
      </c>
      <c r="AN87" s="390">
        <f t="shared" si="101"/>
        <v>0</v>
      </c>
      <c r="AO87" s="390">
        <f t="shared" si="102"/>
        <v>0</v>
      </c>
      <c r="AP87" s="388">
        <f t="shared" si="103"/>
        <v>0</v>
      </c>
      <c r="AQ87" s="391"/>
      <c r="AR87" s="392">
        <f t="shared" si="104"/>
        <v>-1133008</v>
      </c>
      <c r="AS87" s="390">
        <f t="shared" si="105"/>
        <v>-1133008</v>
      </c>
      <c r="AT87" s="398"/>
      <c r="AU87" s="390">
        <f t="shared" si="106"/>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370863</v>
      </c>
      <c r="E88" s="199">
        <f t="shared" ref="E88:E89" si="108">SUM(F88-D88)</f>
        <v>0</v>
      </c>
      <c r="F88" s="497">
        <v>370863</v>
      </c>
      <c r="G88" s="497">
        <v>0</v>
      </c>
      <c r="H88" s="96">
        <f t="shared" ref="H88:H89" si="109">SUM(F88:G88)</f>
        <v>370863</v>
      </c>
      <c r="I88" s="217"/>
      <c r="J88" s="499">
        <v>370863</v>
      </c>
      <c r="K88" s="497">
        <v>370863</v>
      </c>
      <c r="L88" s="59"/>
      <c r="M88" s="76"/>
      <c r="N88" s="439"/>
      <c r="O88" s="33"/>
      <c r="P88" s="21"/>
      <c r="Q88" s="21"/>
      <c r="R88"/>
      <c r="S88" s="57"/>
      <c r="T88" s="58" t="str">
        <f t="shared" ref="T88:T92" si="110">C88</f>
        <v>(a) Health Professions Training and Development Grant</v>
      </c>
      <c r="U88" s="96">
        <v>370863</v>
      </c>
      <c r="V88" s="199">
        <v>0</v>
      </c>
      <c r="W88" s="59">
        <v>370863</v>
      </c>
      <c r="X88" s="59">
        <v>0</v>
      </c>
      <c r="Y88" s="96">
        <v>370863</v>
      </c>
      <c r="Z88" s="217"/>
      <c r="AA88" s="102">
        <v>185430</v>
      </c>
      <c r="AB88" s="59">
        <v>185430</v>
      </c>
      <c r="AC88" s="59"/>
      <c r="AD88" s="76"/>
      <c r="AE88" s="76"/>
      <c r="AF88" s="33"/>
      <c r="AG88" s="441"/>
      <c r="AH88" s="441"/>
      <c r="AI88"/>
      <c r="AJ88" s="394"/>
      <c r="AK88" s="479" t="str">
        <f t="shared" si="98"/>
        <v>(a) Health Professions Training and Development Grant</v>
      </c>
      <c r="AL88" s="396">
        <f t="shared" si="99"/>
        <v>0</v>
      </c>
      <c r="AM88" s="397">
        <f t="shared" si="100"/>
        <v>0</v>
      </c>
      <c r="AN88" s="398">
        <f t="shared" si="101"/>
        <v>0</v>
      </c>
      <c r="AO88" s="398">
        <f t="shared" si="102"/>
        <v>0</v>
      </c>
      <c r="AP88" s="396">
        <f t="shared" si="103"/>
        <v>0</v>
      </c>
      <c r="AQ88" s="399"/>
      <c r="AR88" s="400">
        <f t="shared" si="104"/>
        <v>-185433</v>
      </c>
      <c r="AS88" s="398">
        <f t="shared" si="105"/>
        <v>-185433</v>
      </c>
      <c r="AT88" s="398"/>
      <c r="AU88" s="417">
        <f t="shared" si="106"/>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1895149</v>
      </c>
      <c r="E89" s="199">
        <f t="shared" si="108"/>
        <v>0</v>
      </c>
      <c r="F89" s="497">
        <v>1895149</v>
      </c>
      <c r="G89" s="497">
        <v>0</v>
      </c>
      <c r="H89" s="96">
        <f t="shared" si="109"/>
        <v>1895149</v>
      </c>
      <c r="I89" s="217"/>
      <c r="J89" s="499">
        <v>1895149</v>
      </c>
      <c r="K89" s="497">
        <v>1895149</v>
      </c>
      <c r="L89" s="59"/>
      <c r="M89" s="76"/>
      <c r="N89" s="439"/>
      <c r="O89" s="33"/>
      <c r="S89" s="57"/>
      <c r="T89" s="58" t="str">
        <f t="shared" si="110"/>
        <v>(b) National Tertiary Services Grant</v>
      </c>
      <c r="U89" s="96">
        <v>1895149</v>
      </c>
      <c r="V89" s="199">
        <v>0</v>
      </c>
      <c r="W89" s="59">
        <v>1895149</v>
      </c>
      <c r="X89" s="59">
        <v>0</v>
      </c>
      <c r="Y89" s="96">
        <v>1895149</v>
      </c>
      <c r="Z89" s="217"/>
      <c r="AA89" s="102">
        <v>947574</v>
      </c>
      <c r="AB89" s="59">
        <v>947574</v>
      </c>
      <c r="AC89" s="59"/>
      <c r="AD89" s="76"/>
      <c r="AE89" s="76"/>
      <c r="AF89" s="33"/>
      <c r="AG89" s="441"/>
      <c r="AH89" s="441"/>
      <c r="AJ89" s="394"/>
      <c r="AK89" s="479" t="str">
        <f t="shared" si="98"/>
        <v>(b) National Tertiary Services Grant</v>
      </c>
      <c r="AL89" s="396">
        <f t="shared" si="99"/>
        <v>0</v>
      </c>
      <c r="AM89" s="397">
        <f t="shared" si="100"/>
        <v>0</v>
      </c>
      <c r="AN89" s="398">
        <f t="shared" si="101"/>
        <v>0</v>
      </c>
      <c r="AO89" s="398">
        <f t="shared" si="102"/>
        <v>0</v>
      </c>
      <c r="AP89" s="396">
        <f t="shared" si="103"/>
        <v>0</v>
      </c>
      <c r="AQ89" s="399"/>
      <c r="AR89" s="400">
        <f t="shared" si="104"/>
        <v>-947575</v>
      </c>
      <c r="AS89" s="398">
        <f t="shared" si="105"/>
        <v>-947575</v>
      </c>
      <c r="AT89" s="398"/>
      <c r="AU89" s="417">
        <f t="shared" si="106"/>
        <v>0</v>
      </c>
      <c r="AV89" s="417"/>
      <c r="AW89" s="347"/>
    </row>
    <row r="90" spans="1:82" s="35" customFormat="1" ht="15.75" hidden="1" customHeight="1" x14ac:dyDescent="0.3">
      <c r="A90"/>
      <c r="B90" s="57"/>
      <c r="C90" s="58"/>
      <c r="D90" s="96"/>
      <c r="E90" s="199">
        <f t="shared" ref="E90:E94" si="111">F90-D90</f>
        <v>0</v>
      </c>
      <c r="F90" s="59"/>
      <c r="G90" s="59"/>
      <c r="H90" s="96">
        <f t="shared" ref="H90:H92" si="112">SUM(F90:G90)</f>
        <v>0</v>
      </c>
      <c r="I90" s="217"/>
      <c r="J90" s="102"/>
      <c r="K90" s="59"/>
      <c r="L90" s="59"/>
      <c r="M90" s="76"/>
      <c r="N90" s="439"/>
      <c r="O90" s="33"/>
      <c r="R90"/>
      <c r="S90" s="57"/>
      <c r="T90" s="58">
        <f t="shared" si="110"/>
        <v>0</v>
      </c>
      <c r="U90" s="96"/>
      <c r="V90" s="199">
        <v>0</v>
      </c>
      <c r="W90" s="59"/>
      <c r="X90" s="59"/>
      <c r="Y90" s="96">
        <v>0</v>
      </c>
      <c r="Z90" s="217"/>
      <c r="AA90" s="102"/>
      <c r="AB90" s="59"/>
      <c r="AC90" s="59"/>
      <c r="AD90" s="59"/>
      <c r="AE90" s="59"/>
      <c r="AF90" s="33"/>
      <c r="AG90" s="441"/>
      <c r="AH90" s="441"/>
      <c r="AI90"/>
      <c r="AJ90" s="394"/>
      <c r="AK90" s="479">
        <f t="shared" si="98"/>
        <v>0</v>
      </c>
      <c r="AL90" s="396">
        <f t="shared" si="99"/>
        <v>0</v>
      </c>
      <c r="AM90" s="397">
        <f t="shared" si="100"/>
        <v>0</v>
      </c>
      <c r="AN90" s="398">
        <f t="shared" si="101"/>
        <v>0</v>
      </c>
      <c r="AO90" s="398">
        <f t="shared" si="102"/>
        <v>0</v>
      </c>
      <c r="AP90" s="396">
        <f t="shared" si="103"/>
        <v>0</v>
      </c>
      <c r="AQ90" s="399"/>
      <c r="AR90" s="400">
        <f t="shared" si="104"/>
        <v>0</v>
      </c>
      <c r="AS90" s="398">
        <f t="shared" si="105"/>
        <v>0</v>
      </c>
      <c r="AT90" s="398"/>
      <c r="AU90" s="398">
        <f t="shared" si="106"/>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11"/>
        <v>0</v>
      </c>
      <c r="F91" s="54"/>
      <c r="G91" s="54"/>
      <c r="H91" s="96">
        <f t="shared" si="112"/>
        <v>0</v>
      </c>
      <c r="I91" s="216"/>
      <c r="J91" s="101"/>
      <c r="K91" s="54"/>
      <c r="L91" s="59"/>
      <c r="M91" s="76"/>
      <c r="N91" s="439"/>
      <c r="O91" s="55"/>
      <c r="R91"/>
      <c r="S91" s="62"/>
      <c r="T91" s="58">
        <f t="shared" si="110"/>
        <v>0</v>
      </c>
      <c r="U91" s="95"/>
      <c r="V91" s="198">
        <v>0</v>
      </c>
      <c r="W91" s="54"/>
      <c r="X91" s="54"/>
      <c r="Y91" s="95">
        <v>0</v>
      </c>
      <c r="Z91" s="216"/>
      <c r="AA91" s="101"/>
      <c r="AB91" s="54"/>
      <c r="AC91" s="59"/>
      <c r="AD91" s="54"/>
      <c r="AE91" s="54"/>
      <c r="AF91" s="55"/>
      <c r="AG91" s="442"/>
      <c r="AH91" s="442"/>
      <c r="AI91"/>
      <c r="AJ91" s="402"/>
      <c r="AK91" s="479">
        <f t="shared" si="98"/>
        <v>0</v>
      </c>
      <c r="AL91" s="388">
        <f t="shared" si="99"/>
        <v>0</v>
      </c>
      <c r="AM91" s="389">
        <f t="shared" si="100"/>
        <v>0</v>
      </c>
      <c r="AN91" s="390">
        <f t="shared" si="101"/>
        <v>0</v>
      </c>
      <c r="AO91" s="390">
        <f t="shared" si="102"/>
        <v>0</v>
      </c>
      <c r="AP91" s="388">
        <f t="shared" si="103"/>
        <v>0</v>
      </c>
      <c r="AQ91" s="391"/>
      <c r="AR91" s="392">
        <f t="shared" si="104"/>
        <v>0</v>
      </c>
      <c r="AS91" s="390">
        <f t="shared" si="105"/>
        <v>0</v>
      </c>
      <c r="AT91" s="398"/>
      <c r="AU91" s="390">
        <f t="shared" si="106"/>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11"/>
        <v>0</v>
      </c>
      <c r="F92" s="59"/>
      <c r="G92" s="59"/>
      <c r="H92" s="96">
        <f t="shared" si="112"/>
        <v>0</v>
      </c>
      <c r="I92" s="217"/>
      <c r="J92" s="102"/>
      <c r="K92" s="59"/>
      <c r="L92" s="59"/>
      <c r="M92" s="76"/>
      <c r="N92" s="439"/>
      <c r="O92" s="33"/>
      <c r="S92" s="57"/>
      <c r="T92" s="58">
        <f t="shared" si="110"/>
        <v>0</v>
      </c>
      <c r="U92" s="96"/>
      <c r="V92" s="199">
        <v>0</v>
      </c>
      <c r="W92" s="59"/>
      <c r="X92" s="59"/>
      <c r="Y92" s="96">
        <v>0</v>
      </c>
      <c r="Z92" s="217"/>
      <c r="AA92" s="102"/>
      <c r="AB92" s="59"/>
      <c r="AC92" s="59"/>
      <c r="AD92" s="54"/>
      <c r="AE92" s="54"/>
      <c r="AF92" s="33"/>
      <c r="AG92" s="441"/>
      <c r="AH92" s="441"/>
      <c r="AJ92" s="394"/>
      <c r="AK92" s="479">
        <f t="shared" si="98"/>
        <v>0</v>
      </c>
      <c r="AL92" s="396">
        <f t="shared" si="99"/>
        <v>0</v>
      </c>
      <c r="AM92" s="397">
        <f t="shared" si="100"/>
        <v>0</v>
      </c>
      <c r="AN92" s="398">
        <f t="shared" si="101"/>
        <v>0</v>
      </c>
      <c r="AO92" s="398">
        <f t="shared" si="102"/>
        <v>0</v>
      </c>
      <c r="AP92" s="396">
        <f t="shared" si="103"/>
        <v>0</v>
      </c>
      <c r="AQ92" s="399"/>
      <c r="AR92" s="400">
        <f t="shared" si="104"/>
        <v>0</v>
      </c>
      <c r="AS92" s="398">
        <f t="shared" si="105"/>
        <v>0</v>
      </c>
      <c r="AT92" s="398"/>
      <c r="AU92" s="390">
        <f t="shared" si="106"/>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8"/>
        <v>0</v>
      </c>
      <c r="AL93" s="396">
        <f t="shared" si="99"/>
        <v>0</v>
      </c>
      <c r="AM93" s="397">
        <f t="shared" si="100"/>
        <v>0</v>
      </c>
      <c r="AN93" s="398">
        <f t="shared" si="101"/>
        <v>0</v>
      </c>
      <c r="AO93" s="398">
        <f t="shared" si="102"/>
        <v>0</v>
      </c>
      <c r="AP93" s="396">
        <f t="shared" si="103"/>
        <v>0</v>
      </c>
      <c r="AQ93" s="399"/>
      <c r="AR93" s="400">
        <f t="shared" si="104"/>
        <v>0</v>
      </c>
      <c r="AS93" s="398">
        <f t="shared" si="105"/>
        <v>0</v>
      </c>
      <c r="AT93" s="398"/>
      <c r="AU93" s="398">
        <f t="shared" si="106"/>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11"/>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8"/>
        <v>0</v>
      </c>
      <c r="AL94" s="396">
        <f t="shared" si="99"/>
        <v>0</v>
      </c>
      <c r="AM94" s="397">
        <f t="shared" si="100"/>
        <v>0</v>
      </c>
      <c r="AN94" s="398">
        <f t="shared" si="101"/>
        <v>0</v>
      </c>
      <c r="AO94" s="398">
        <f t="shared" si="102"/>
        <v>0</v>
      </c>
      <c r="AP94" s="396">
        <f t="shared" si="103"/>
        <v>0</v>
      </c>
      <c r="AQ94" s="399"/>
      <c r="AR94" s="400">
        <f t="shared" si="104"/>
        <v>0</v>
      </c>
      <c r="AS94" s="398">
        <f t="shared" si="105"/>
        <v>0</v>
      </c>
      <c r="AT94" s="398"/>
      <c r="AU94" s="398">
        <f t="shared" si="106"/>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3">C95</f>
        <v>0</v>
      </c>
      <c r="U95" s="96"/>
      <c r="V95" s="199">
        <v>0</v>
      </c>
      <c r="W95" s="59"/>
      <c r="X95" s="59"/>
      <c r="Y95" s="96">
        <v>0</v>
      </c>
      <c r="Z95" s="217"/>
      <c r="AA95" s="102"/>
      <c r="AB95" s="59"/>
      <c r="AC95" s="59"/>
      <c r="AD95" s="76"/>
      <c r="AE95" s="76"/>
      <c r="AF95" s="60"/>
      <c r="AG95" s="443"/>
      <c r="AH95" s="443"/>
      <c r="AI95"/>
      <c r="AJ95" s="394"/>
      <c r="AK95" s="479">
        <f t="shared" si="98"/>
        <v>0</v>
      </c>
      <c r="AL95" s="396">
        <f t="shared" si="99"/>
        <v>0</v>
      </c>
      <c r="AM95" s="397">
        <f t="shared" si="100"/>
        <v>0</v>
      </c>
      <c r="AN95" s="398">
        <f t="shared" si="101"/>
        <v>0</v>
      </c>
      <c r="AO95" s="398">
        <f t="shared" si="102"/>
        <v>0</v>
      </c>
      <c r="AP95" s="396">
        <f t="shared" si="103"/>
        <v>0</v>
      </c>
      <c r="AQ95" s="399"/>
      <c r="AR95" s="400">
        <f t="shared" si="104"/>
        <v>0</v>
      </c>
      <c r="AS95" s="398">
        <f t="shared" si="105"/>
        <v>0</v>
      </c>
      <c r="AT95" s="398"/>
      <c r="AU95" s="417">
        <f t="shared" si="106"/>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4">F96-D96</f>
        <v>0</v>
      </c>
      <c r="F96" s="59"/>
      <c r="G96" s="59"/>
      <c r="H96" s="96">
        <f t="shared" ref="H96:H99" si="115">SUM(F96:G96)</f>
        <v>0</v>
      </c>
      <c r="I96" s="217"/>
      <c r="J96" s="102"/>
      <c r="K96" s="59"/>
      <c r="L96" s="59"/>
      <c r="M96" s="76"/>
      <c r="N96" s="439"/>
      <c r="O96" s="60"/>
      <c r="P96" s="56"/>
      <c r="Q96" s="56"/>
      <c r="R96"/>
      <c r="S96" s="57"/>
      <c r="T96" s="58">
        <f t="shared" si="113"/>
        <v>0</v>
      </c>
      <c r="U96" s="96"/>
      <c r="V96" s="199">
        <v>0</v>
      </c>
      <c r="W96" s="59"/>
      <c r="X96" s="59"/>
      <c r="Y96" s="96">
        <v>0</v>
      </c>
      <c r="Z96" s="217"/>
      <c r="AA96" s="102"/>
      <c r="AB96" s="59"/>
      <c r="AC96" s="59"/>
      <c r="AD96" s="76"/>
      <c r="AE96" s="76"/>
      <c r="AF96" s="60"/>
      <c r="AG96" s="443"/>
      <c r="AH96" s="443"/>
      <c r="AI96"/>
      <c r="AJ96" s="394"/>
      <c r="AK96" s="479">
        <f t="shared" si="98"/>
        <v>0</v>
      </c>
      <c r="AL96" s="396">
        <f t="shared" si="99"/>
        <v>0</v>
      </c>
      <c r="AM96" s="397">
        <f t="shared" si="100"/>
        <v>0</v>
      </c>
      <c r="AN96" s="398">
        <f t="shared" si="101"/>
        <v>0</v>
      </c>
      <c r="AO96" s="398">
        <f t="shared" si="102"/>
        <v>0</v>
      </c>
      <c r="AP96" s="396">
        <f t="shared" si="103"/>
        <v>0</v>
      </c>
      <c r="AQ96" s="399"/>
      <c r="AR96" s="400">
        <f t="shared" si="104"/>
        <v>0</v>
      </c>
      <c r="AS96" s="398">
        <f t="shared" si="105"/>
        <v>0</v>
      </c>
      <c r="AT96" s="398"/>
      <c r="AU96" s="417">
        <f t="shared" si="106"/>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4"/>
        <v>0</v>
      </c>
      <c r="F97" s="59"/>
      <c r="G97" s="59"/>
      <c r="H97" s="96">
        <f t="shared" si="115"/>
        <v>0</v>
      </c>
      <c r="I97" s="217"/>
      <c r="J97" s="102"/>
      <c r="K97" s="59"/>
      <c r="L97" s="59"/>
      <c r="M97" s="76"/>
      <c r="N97" s="439"/>
      <c r="O97" s="60"/>
      <c r="P97" s="56"/>
      <c r="Q97" s="56"/>
      <c r="R97"/>
      <c r="S97" s="57"/>
      <c r="T97" s="58">
        <f t="shared" si="113"/>
        <v>0</v>
      </c>
      <c r="U97" s="96"/>
      <c r="V97" s="199">
        <v>0</v>
      </c>
      <c r="W97" s="59"/>
      <c r="X97" s="59"/>
      <c r="Y97" s="96">
        <v>0</v>
      </c>
      <c r="Z97" s="217"/>
      <c r="AA97" s="102"/>
      <c r="AB97" s="59"/>
      <c r="AC97" s="59"/>
      <c r="AD97" s="76"/>
      <c r="AE97" s="76"/>
      <c r="AF97" s="60"/>
      <c r="AG97" s="443"/>
      <c r="AH97" s="443"/>
      <c r="AI97"/>
      <c r="AJ97" s="394"/>
      <c r="AK97" s="479">
        <f t="shared" si="98"/>
        <v>0</v>
      </c>
      <c r="AL97" s="396">
        <f t="shared" si="99"/>
        <v>0</v>
      </c>
      <c r="AM97" s="397">
        <f t="shared" si="100"/>
        <v>0</v>
      </c>
      <c r="AN97" s="398">
        <f t="shared" si="101"/>
        <v>0</v>
      </c>
      <c r="AO97" s="398">
        <f t="shared" si="102"/>
        <v>0</v>
      </c>
      <c r="AP97" s="396">
        <f t="shared" si="103"/>
        <v>0</v>
      </c>
      <c r="AQ97" s="399"/>
      <c r="AR97" s="400">
        <f t="shared" si="104"/>
        <v>0</v>
      </c>
      <c r="AS97" s="398">
        <f t="shared" si="105"/>
        <v>0</v>
      </c>
      <c r="AT97" s="398"/>
      <c r="AU97" s="417">
        <f t="shared" si="106"/>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4"/>
        <v>0</v>
      </c>
      <c r="F98" s="59"/>
      <c r="G98" s="59"/>
      <c r="H98" s="96">
        <f t="shared" si="115"/>
        <v>0</v>
      </c>
      <c r="I98" s="217"/>
      <c r="J98" s="102"/>
      <c r="K98" s="59"/>
      <c r="L98" s="59"/>
      <c r="M98" s="76"/>
      <c r="N98" s="439"/>
      <c r="O98" s="60"/>
      <c r="P98" s="56"/>
      <c r="Q98" s="56"/>
      <c r="R98"/>
      <c r="S98" s="57"/>
      <c r="T98" s="58">
        <f t="shared" si="113"/>
        <v>0</v>
      </c>
      <c r="U98" s="96"/>
      <c r="V98" s="199">
        <v>0</v>
      </c>
      <c r="W98" s="59"/>
      <c r="X98" s="59"/>
      <c r="Y98" s="96">
        <v>0</v>
      </c>
      <c r="Z98" s="217"/>
      <c r="AA98" s="102"/>
      <c r="AB98" s="59"/>
      <c r="AC98" s="59"/>
      <c r="AD98" s="76"/>
      <c r="AE98" s="76"/>
      <c r="AF98" s="60"/>
      <c r="AG98" s="443"/>
      <c r="AH98" s="443"/>
      <c r="AI98"/>
      <c r="AJ98" s="394"/>
      <c r="AK98" s="479">
        <f t="shared" si="98"/>
        <v>0</v>
      </c>
      <c r="AL98" s="396">
        <f t="shared" si="99"/>
        <v>0</v>
      </c>
      <c r="AM98" s="397">
        <f t="shared" si="100"/>
        <v>0</v>
      </c>
      <c r="AN98" s="398">
        <f t="shared" si="101"/>
        <v>0</v>
      </c>
      <c r="AO98" s="398">
        <f t="shared" si="102"/>
        <v>0</v>
      </c>
      <c r="AP98" s="396">
        <f t="shared" si="103"/>
        <v>0</v>
      </c>
      <c r="AQ98" s="399"/>
      <c r="AR98" s="400">
        <f t="shared" si="104"/>
        <v>0</v>
      </c>
      <c r="AS98" s="398">
        <f t="shared" si="105"/>
        <v>0</v>
      </c>
      <c r="AT98" s="398"/>
      <c r="AU98" s="417">
        <f t="shared" si="106"/>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4"/>
        <v>0</v>
      </c>
      <c r="F99" s="59"/>
      <c r="G99" s="59"/>
      <c r="H99" s="96">
        <f t="shared" si="115"/>
        <v>0</v>
      </c>
      <c r="I99" s="217"/>
      <c r="J99" s="102"/>
      <c r="K99" s="59"/>
      <c r="L99" s="59"/>
      <c r="M99" s="76"/>
      <c r="N99" s="439"/>
      <c r="O99" s="60"/>
      <c r="P99" s="56"/>
      <c r="Q99" s="56"/>
      <c r="R99"/>
      <c r="S99" s="57"/>
      <c r="T99" s="58">
        <f t="shared" si="113"/>
        <v>0</v>
      </c>
      <c r="U99" s="96"/>
      <c r="V99" s="199">
        <v>0</v>
      </c>
      <c r="W99" s="59"/>
      <c r="X99" s="59"/>
      <c r="Y99" s="96">
        <v>0</v>
      </c>
      <c r="Z99" s="217"/>
      <c r="AA99" s="102"/>
      <c r="AB99" s="59"/>
      <c r="AC99" s="59"/>
      <c r="AD99" s="76"/>
      <c r="AE99" s="76"/>
      <c r="AF99" s="60"/>
      <c r="AG99" s="443"/>
      <c r="AH99" s="443"/>
      <c r="AI99"/>
      <c r="AJ99" s="394"/>
      <c r="AK99" s="479">
        <f t="shared" si="98"/>
        <v>0</v>
      </c>
      <c r="AL99" s="396">
        <f t="shared" si="99"/>
        <v>0</v>
      </c>
      <c r="AM99" s="397">
        <f t="shared" si="100"/>
        <v>0</v>
      </c>
      <c r="AN99" s="398">
        <f t="shared" si="101"/>
        <v>0</v>
      </c>
      <c r="AO99" s="398">
        <f t="shared" si="102"/>
        <v>0</v>
      </c>
      <c r="AP99" s="396">
        <f t="shared" si="103"/>
        <v>0</v>
      </c>
      <c r="AQ99" s="399"/>
      <c r="AR99" s="400">
        <f t="shared" si="104"/>
        <v>0</v>
      </c>
      <c r="AS99" s="398">
        <f t="shared" si="105"/>
        <v>0</v>
      </c>
      <c r="AT99" s="398"/>
      <c r="AU99" s="417">
        <f t="shared" si="106"/>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8"/>
        <v>0</v>
      </c>
      <c r="AL100" s="396">
        <f t="shared" si="99"/>
        <v>0</v>
      </c>
      <c r="AM100" s="397">
        <f t="shared" si="100"/>
        <v>0</v>
      </c>
      <c r="AN100" s="398">
        <f t="shared" si="101"/>
        <v>0</v>
      </c>
      <c r="AO100" s="398">
        <f t="shared" si="102"/>
        <v>0</v>
      </c>
      <c r="AP100" s="396">
        <f t="shared" si="103"/>
        <v>0</v>
      </c>
      <c r="AQ100" s="399"/>
      <c r="AR100" s="400">
        <f t="shared" si="104"/>
        <v>0</v>
      </c>
      <c r="AS100" s="398">
        <f t="shared" si="105"/>
        <v>0</v>
      </c>
      <c r="AT100" s="398"/>
      <c r="AU100" s="398">
        <f t="shared" si="106"/>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3050880</v>
      </c>
      <c r="E101" s="198">
        <f t="shared" ref="E101:K101" si="116">SUM(E102+E103)</f>
        <v>0</v>
      </c>
      <c r="F101" s="54">
        <f t="shared" si="116"/>
        <v>3050880</v>
      </c>
      <c r="G101" s="54">
        <f t="shared" si="116"/>
        <v>0</v>
      </c>
      <c r="H101" s="95">
        <f t="shared" si="116"/>
        <v>3050880</v>
      </c>
      <c r="I101" s="216">
        <f t="shared" si="116"/>
        <v>0</v>
      </c>
      <c r="J101" s="101">
        <f t="shared" si="116"/>
        <v>3050880</v>
      </c>
      <c r="K101" s="54">
        <f t="shared" si="116"/>
        <v>3050880</v>
      </c>
      <c r="L101" s="59"/>
      <c r="M101" s="591"/>
      <c r="N101" s="439"/>
      <c r="O101" s="55"/>
      <c r="R101"/>
      <c r="S101" s="62"/>
      <c r="T101" s="51" t="str">
        <f>C101</f>
        <v>Transport (Vote 35)</v>
      </c>
      <c r="U101" s="95">
        <v>3050880</v>
      </c>
      <c r="V101" s="198">
        <v>0</v>
      </c>
      <c r="W101" s="54">
        <v>3050880</v>
      </c>
      <c r="X101" s="54">
        <v>0</v>
      </c>
      <c r="Y101" s="95">
        <v>3050880</v>
      </c>
      <c r="Z101" s="216"/>
      <c r="AA101" s="101">
        <v>1626151</v>
      </c>
      <c r="AB101" s="54">
        <v>1626151</v>
      </c>
      <c r="AC101" s="59"/>
      <c r="AD101" s="54"/>
      <c r="AE101" s="172"/>
      <c r="AF101" s="55"/>
      <c r="AG101" s="442"/>
      <c r="AH101" s="442"/>
      <c r="AI101"/>
      <c r="AJ101" s="402"/>
      <c r="AK101" s="481" t="str">
        <f t="shared" si="98"/>
        <v>Transport (Vote 35)</v>
      </c>
      <c r="AL101" s="388">
        <f t="shared" si="99"/>
        <v>0</v>
      </c>
      <c r="AM101" s="389">
        <f t="shared" si="100"/>
        <v>0</v>
      </c>
      <c r="AN101" s="390">
        <f t="shared" si="101"/>
        <v>0</v>
      </c>
      <c r="AO101" s="390">
        <f t="shared" si="102"/>
        <v>0</v>
      </c>
      <c r="AP101" s="388">
        <f t="shared" si="103"/>
        <v>0</v>
      </c>
      <c r="AQ101" s="391"/>
      <c r="AR101" s="392">
        <f t="shared" si="104"/>
        <v>-1424729</v>
      </c>
      <c r="AS101" s="390">
        <f t="shared" si="105"/>
        <v>-1424729</v>
      </c>
      <c r="AT101" s="398"/>
      <c r="AU101" s="390">
        <f t="shared" si="106"/>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1882781</v>
      </c>
      <c r="E102" s="199">
        <f t="shared" ref="E102:E103" si="117">SUM(F102-D102)</f>
        <v>0</v>
      </c>
      <c r="F102" s="497">
        <v>1882781</v>
      </c>
      <c r="G102" s="497">
        <v>0</v>
      </c>
      <c r="H102" s="96">
        <f t="shared" ref="H102:H103" si="118">SUM(F102:G102)</f>
        <v>1882781</v>
      </c>
      <c r="I102" s="217"/>
      <c r="J102" s="499">
        <v>1882781</v>
      </c>
      <c r="K102" s="497">
        <v>1882781</v>
      </c>
      <c r="L102" s="59"/>
      <c r="M102" s="76"/>
      <c r="N102" s="439"/>
      <c r="O102" s="33"/>
      <c r="S102" s="57"/>
      <c r="T102" s="58" t="str">
        <f t="shared" ref="T102:T106" si="119">C102</f>
        <v>(a) Provincial Roads Maintenance Grant</v>
      </c>
      <c r="U102" s="96">
        <v>1882781</v>
      </c>
      <c r="V102" s="199">
        <v>0</v>
      </c>
      <c r="W102" s="59">
        <v>1882781</v>
      </c>
      <c r="X102" s="59">
        <v>0</v>
      </c>
      <c r="Y102" s="96">
        <v>1882781</v>
      </c>
      <c r="Z102" s="217"/>
      <c r="AA102" s="102">
        <v>1117101</v>
      </c>
      <c r="AB102" s="59">
        <v>1117101</v>
      </c>
      <c r="AC102" s="59"/>
      <c r="AD102" s="76"/>
      <c r="AE102" s="76"/>
      <c r="AF102" s="33"/>
      <c r="AG102" s="441"/>
      <c r="AH102" s="441"/>
      <c r="AJ102" s="394"/>
      <c r="AK102" s="479" t="str">
        <f t="shared" si="98"/>
        <v>(a) Provincial Roads Maintenance Grant</v>
      </c>
      <c r="AL102" s="396">
        <f t="shared" si="99"/>
        <v>0</v>
      </c>
      <c r="AM102" s="397">
        <f t="shared" si="100"/>
        <v>0</v>
      </c>
      <c r="AN102" s="398">
        <f t="shared" si="101"/>
        <v>0</v>
      </c>
      <c r="AO102" s="398">
        <f t="shared" si="102"/>
        <v>0</v>
      </c>
      <c r="AP102" s="396">
        <f t="shared" si="103"/>
        <v>0</v>
      </c>
      <c r="AQ102" s="399"/>
      <c r="AR102" s="400">
        <f t="shared" si="104"/>
        <v>-765680</v>
      </c>
      <c r="AS102" s="398">
        <f t="shared" si="105"/>
        <v>-765680</v>
      </c>
      <c r="AT102" s="398"/>
      <c r="AU102" s="417">
        <f t="shared" si="106"/>
        <v>0</v>
      </c>
      <c r="AV102" s="417"/>
      <c r="AW102" s="347"/>
    </row>
    <row r="103" spans="1:82" ht="15.75" customHeight="1" x14ac:dyDescent="0.3">
      <c r="B103" s="57"/>
      <c r="C103" s="58" t="s">
        <v>44</v>
      </c>
      <c r="D103" s="496">
        <v>1168099</v>
      </c>
      <c r="E103" s="199">
        <f t="shared" si="117"/>
        <v>0</v>
      </c>
      <c r="F103" s="497">
        <v>1168099</v>
      </c>
      <c r="G103" s="497">
        <v>0</v>
      </c>
      <c r="H103" s="96">
        <f t="shared" si="118"/>
        <v>1168099</v>
      </c>
      <c r="I103" s="217"/>
      <c r="J103" s="499">
        <v>1168099</v>
      </c>
      <c r="K103" s="497">
        <v>1168099</v>
      </c>
      <c r="L103" s="59"/>
      <c r="M103" s="76"/>
      <c r="N103" s="439"/>
      <c r="O103" s="33"/>
      <c r="S103" s="57"/>
      <c r="T103" s="58" t="str">
        <f t="shared" si="119"/>
        <v>(b) Public Transport Operations Grant</v>
      </c>
      <c r="U103" s="96">
        <v>1168099</v>
      </c>
      <c r="V103" s="199">
        <v>0</v>
      </c>
      <c r="W103" s="59">
        <v>1168099</v>
      </c>
      <c r="X103" s="59">
        <v>0</v>
      </c>
      <c r="Y103" s="96">
        <v>1168099</v>
      </c>
      <c r="Z103" s="217"/>
      <c r="AA103" s="102">
        <v>509050</v>
      </c>
      <c r="AB103" s="59">
        <v>509050</v>
      </c>
      <c r="AC103" s="59"/>
      <c r="AD103" s="76"/>
      <c r="AE103" s="76"/>
      <c r="AF103" s="33"/>
      <c r="AG103" s="441"/>
      <c r="AH103" s="441"/>
      <c r="AJ103" s="394"/>
      <c r="AK103" s="479" t="str">
        <f t="shared" si="98"/>
        <v>(b) Public Transport Operations Grant</v>
      </c>
      <c r="AL103" s="396">
        <f t="shared" si="99"/>
        <v>0</v>
      </c>
      <c r="AM103" s="397">
        <f t="shared" si="100"/>
        <v>0</v>
      </c>
      <c r="AN103" s="398">
        <f t="shared" si="101"/>
        <v>0</v>
      </c>
      <c r="AO103" s="398">
        <f t="shared" si="102"/>
        <v>0</v>
      </c>
      <c r="AP103" s="396">
        <f t="shared" si="103"/>
        <v>0</v>
      </c>
      <c r="AQ103" s="399"/>
      <c r="AR103" s="400">
        <f t="shared" si="104"/>
        <v>-659049</v>
      </c>
      <c r="AS103" s="398">
        <f t="shared" si="105"/>
        <v>-659049</v>
      </c>
      <c r="AT103" s="398"/>
      <c r="AU103" s="417">
        <f t="shared" si="106"/>
        <v>0</v>
      </c>
      <c r="AV103" s="417"/>
      <c r="AW103" s="347"/>
    </row>
    <row r="104" spans="1:82" ht="15.75" hidden="1" customHeight="1" x14ac:dyDescent="0.3">
      <c r="B104" s="57"/>
      <c r="C104" s="58"/>
      <c r="D104" s="96"/>
      <c r="E104" s="199">
        <f t="shared" ref="E104:E106" si="120">F104-D104</f>
        <v>0</v>
      </c>
      <c r="F104" s="59"/>
      <c r="G104" s="59"/>
      <c r="H104" s="96">
        <f t="shared" ref="H104:H106" si="121">SUM(F104:G104)</f>
        <v>0</v>
      </c>
      <c r="I104" s="217"/>
      <c r="J104" s="102"/>
      <c r="K104" s="59"/>
      <c r="L104" s="59"/>
      <c r="M104" s="76"/>
      <c r="N104" s="439"/>
      <c r="O104" s="33"/>
      <c r="S104" s="57"/>
      <c r="T104" s="58">
        <f t="shared" si="119"/>
        <v>0</v>
      </c>
      <c r="U104" s="96"/>
      <c r="V104" s="199">
        <v>0</v>
      </c>
      <c r="W104" s="59"/>
      <c r="X104" s="59"/>
      <c r="Y104" s="96">
        <v>0</v>
      </c>
      <c r="Z104" s="217"/>
      <c r="AA104" s="102"/>
      <c r="AB104" s="59"/>
      <c r="AC104" s="59"/>
      <c r="AD104" s="76"/>
      <c r="AE104" s="76"/>
      <c r="AF104" s="33"/>
      <c r="AG104" s="441"/>
      <c r="AH104" s="441"/>
      <c r="AJ104" s="394"/>
      <c r="AK104" s="479">
        <f t="shared" si="98"/>
        <v>0</v>
      </c>
      <c r="AL104" s="396">
        <f t="shared" si="99"/>
        <v>0</v>
      </c>
      <c r="AM104" s="397">
        <f t="shared" si="100"/>
        <v>0</v>
      </c>
      <c r="AN104" s="398">
        <f t="shared" si="101"/>
        <v>0</v>
      </c>
      <c r="AO104" s="398">
        <f t="shared" si="102"/>
        <v>0</v>
      </c>
      <c r="AP104" s="396">
        <f t="shared" si="103"/>
        <v>0</v>
      </c>
      <c r="AQ104" s="399"/>
      <c r="AR104" s="400">
        <f t="shared" si="104"/>
        <v>0</v>
      </c>
      <c r="AS104" s="398">
        <f t="shared" si="105"/>
        <v>0</v>
      </c>
      <c r="AT104" s="398"/>
      <c r="AU104" s="417">
        <f t="shared" si="106"/>
        <v>0</v>
      </c>
      <c r="AV104" s="417"/>
      <c r="AW104" s="347"/>
    </row>
    <row r="105" spans="1:82" ht="15.75" hidden="1" customHeight="1" x14ac:dyDescent="0.3">
      <c r="B105" s="57"/>
      <c r="C105" s="58"/>
      <c r="D105" s="96"/>
      <c r="E105" s="199">
        <f t="shared" si="120"/>
        <v>0</v>
      </c>
      <c r="F105" s="59"/>
      <c r="G105" s="59"/>
      <c r="H105" s="96">
        <f t="shared" si="121"/>
        <v>0</v>
      </c>
      <c r="I105" s="217"/>
      <c r="J105" s="102"/>
      <c r="K105" s="59"/>
      <c r="L105" s="59"/>
      <c r="M105" s="76"/>
      <c r="N105" s="439"/>
      <c r="O105" s="33"/>
      <c r="S105" s="57"/>
      <c r="T105" s="58">
        <f t="shared" si="119"/>
        <v>0</v>
      </c>
      <c r="U105" s="96"/>
      <c r="V105" s="199">
        <v>0</v>
      </c>
      <c r="W105" s="59"/>
      <c r="X105" s="59"/>
      <c r="Y105" s="96">
        <v>0</v>
      </c>
      <c r="Z105" s="217"/>
      <c r="AA105" s="102"/>
      <c r="AB105" s="59"/>
      <c r="AC105" s="59"/>
      <c r="AD105" s="76"/>
      <c r="AE105" s="76"/>
      <c r="AF105" s="33"/>
      <c r="AG105" s="441"/>
      <c r="AH105" s="441"/>
      <c r="AJ105" s="394"/>
      <c r="AK105" s="479">
        <f t="shared" si="98"/>
        <v>0</v>
      </c>
      <c r="AL105" s="396">
        <f t="shared" si="99"/>
        <v>0</v>
      </c>
      <c r="AM105" s="397">
        <f t="shared" si="100"/>
        <v>0</v>
      </c>
      <c r="AN105" s="398">
        <f t="shared" si="101"/>
        <v>0</v>
      </c>
      <c r="AO105" s="398">
        <f t="shared" si="102"/>
        <v>0</v>
      </c>
      <c r="AP105" s="396">
        <f t="shared" si="103"/>
        <v>0</v>
      </c>
      <c r="AQ105" s="399"/>
      <c r="AR105" s="400">
        <f t="shared" si="104"/>
        <v>0</v>
      </c>
      <c r="AS105" s="398">
        <f t="shared" si="105"/>
        <v>0</v>
      </c>
      <c r="AT105" s="398"/>
      <c r="AU105" s="417">
        <f t="shared" si="106"/>
        <v>0</v>
      </c>
      <c r="AV105" s="417"/>
      <c r="AW105" s="347"/>
    </row>
    <row r="106" spans="1:82" ht="15.75" hidden="1" customHeight="1" x14ac:dyDescent="0.3">
      <c r="B106" s="57"/>
      <c r="C106" s="58"/>
      <c r="D106" s="96"/>
      <c r="E106" s="199">
        <f t="shared" si="120"/>
        <v>0</v>
      </c>
      <c r="F106" s="59"/>
      <c r="G106" s="59"/>
      <c r="H106" s="96">
        <f t="shared" si="121"/>
        <v>0</v>
      </c>
      <c r="I106" s="217"/>
      <c r="J106" s="102"/>
      <c r="K106" s="59"/>
      <c r="L106" s="59"/>
      <c r="M106" s="76"/>
      <c r="N106" s="439"/>
      <c r="O106" s="33"/>
      <c r="S106" s="57"/>
      <c r="T106" s="58">
        <f t="shared" si="119"/>
        <v>0</v>
      </c>
      <c r="U106" s="96"/>
      <c r="V106" s="199">
        <v>0</v>
      </c>
      <c r="W106" s="59"/>
      <c r="X106" s="59"/>
      <c r="Y106" s="96">
        <v>0</v>
      </c>
      <c r="Z106" s="217"/>
      <c r="AA106" s="102"/>
      <c r="AB106" s="59"/>
      <c r="AC106" s="59"/>
      <c r="AD106" s="76"/>
      <c r="AE106" s="76"/>
      <c r="AF106" s="33"/>
      <c r="AG106" s="441"/>
      <c r="AH106" s="441"/>
      <c r="AJ106" s="394"/>
      <c r="AK106" s="479">
        <f t="shared" si="98"/>
        <v>0</v>
      </c>
      <c r="AL106" s="396">
        <f t="shared" si="99"/>
        <v>0</v>
      </c>
      <c r="AM106" s="397">
        <f t="shared" si="100"/>
        <v>0</v>
      </c>
      <c r="AN106" s="398">
        <f t="shared" si="101"/>
        <v>0</v>
      </c>
      <c r="AO106" s="398">
        <f t="shared" si="102"/>
        <v>0</v>
      </c>
      <c r="AP106" s="396">
        <f t="shared" si="103"/>
        <v>0</v>
      </c>
      <c r="AQ106" s="399"/>
      <c r="AR106" s="400">
        <f t="shared" si="104"/>
        <v>0</v>
      </c>
      <c r="AS106" s="398">
        <f t="shared" si="105"/>
        <v>0</v>
      </c>
      <c r="AT106" s="398"/>
      <c r="AU106" s="417">
        <f t="shared" si="106"/>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8"/>
        <v>0</v>
      </c>
      <c r="AL107" s="396">
        <f t="shared" si="99"/>
        <v>0</v>
      </c>
      <c r="AM107" s="397">
        <f t="shared" si="100"/>
        <v>0</v>
      </c>
      <c r="AN107" s="398">
        <f t="shared" si="101"/>
        <v>0</v>
      </c>
      <c r="AO107" s="398">
        <f t="shared" si="102"/>
        <v>0</v>
      </c>
      <c r="AP107" s="396">
        <f t="shared" si="103"/>
        <v>0</v>
      </c>
      <c r="AQ107" s="399"/>
      <c r="AR107" s="400">
        <f t="shared" si="104"/>
        <v>0</v>
      </c>
      <c r="AS107" s="398">
        <f t="shared" si="105"/>
        <v>0</v>
      </c>
      <c r="AT107" s="398"/>
      <c r="AU107" s="398">
        <f t="shared" si="106"/>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7504054</v>
      </c>
      <c r="E108" s="201">
        <f t="shared" ref="E108:K108" si="122">SUM(E80+E87+E101)</f>
        <v>100000</v>
      </c>
      <c r="F108" s="75">
        <f t="shared" si="122"/>
        <v>7604054</v>
      </c>
      <c r="G108" s="75">
        <f t="shared" si="122"/>
        <v>0</v>
      </c>
      <c r="H108" s="98">
        <f t="shared" si="122"/>
        <v>7604054</v>
      </c>
      <c r="I108" s="219">
        <f t="shared" si="122"/>
        <v>0</v>
      </c>
      <c r="J108" s="104">
        <f t="shared" si="122"/>
        <v>7604054</v>
      </c>
      <c r="K108" s="75">
        <f t="shared" si="122"/>
        <v>7604054</v>
      </c>
      <c r="L108" s="59"/>
      <c r="M108" s="77"/>
      <c r="N108" s="440"/>
      <c r="O108" s="55"/>
      <c r="R108"/>
      <c r="S108" s="53"/>
      <c r="T108" s="74" t="s">
        <v>37</v>
      </c>
      <c r="U108" s="98">
        <v>7504054</v>
      </c>
      <c r="V108" s="201">
        <v>0</v>
      </c>
      <c r="W108" s="75">
        <v>7504054</v>
      </c>
      <c r="X108" s="75">
        <v>0</v>
      </c>
      <c r="Y108" s="98">
        <v>7504054</v>
      </c>
      <c r="Z108" s="219"/>
      <c r="AA108" s="104">
        <v>4126132</v>
      </c>
      <c r="AB108" s="75">
        <v>4126132</v>
      </c>
      <c r="AC108" s="59"/>
      <c r="AD108" s="77"/>
      <c r="AE108" s="77"/>
      <c r="AF108" s="55"/>
      <c r="AG108" s="442"/>
      <c r="AH108" s="442"/>
      <c r="AI108"/>
      <c r="AJ108" s="387"/>
      <c r="AK108" s="411" t="str">
        <f t="shared" si="98"/>
        <v>Sub-Total</v>
      </c>
      <c r="AL108" s="412">
        <f t="shared" si="99"/>
        <v>0</v>
      </c>
      <c r="AM108" s="413">
        <f t="shared" si="100"/>
        <v>-100000</v>
      </c>
      <c r="AN108" s="414">
        <f t="shared" si="101"/>
        <v>-100000</v>
      </c>
      <c r="AO108" s="414">
        <f t="shared" si="102"/>
        <v>0</v>
      </c>
      <c r="AP108" s="412">
        <f t="shared" si="103"/>
        <v>-100000</v>
      </c>
      <c r="AQ108" s="415"/>
      <c r="AR108" s="416">
        <f t="shared" si="104"/>
        <v>-3477922</v>
      </c>
      <c r="AS108" s="414">
        <f t="shared" si="105"/>
        <v>-3477922</v>
      </c>
      <c r="AT108" s="398"/>
      <c r="AU108" s="418">
        <f t="shared" si="106"/>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9"/>
        <v>0</v>
      </c>
      <c r="AM109" s="381">
        <f t="shared" si="100"/>
        <v>0</v>
      </c>
      <c r="AN109" s="382">
        <f t="shared" si="101"/>
        <v>0</v>
      </c>
      <c r="AO109" s="382">
        <f t="shared" si="102"/>
        <v>0</v>
      </c>
      <c r="AP109" s="380">
        <f t="shared" si="103"/>
        <v>0</v>
      </c>
      <c r="AQ109" s="383"/>
      <c r="AR109" s="378">
        <f t="shared" si="104"/>
        <v>0</v>
      </c>
      <c r="AS109" s="382">
        <f t="shared" si="105"/>
        <v>0</v>
      </c>
      <c r="AT109" s="398"/>
      <c r="AU109" s="384">
        <f t="shared" si="106"/>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8"/>
        <v>Schedule 7, Part A Grants3.</v>
      </c>
      <c r="AL110" s="380">
        <f t="shared" si="99"/>
        <v>0</v>
      </c>
      <c r="AM110" s="381">
        <f t="shared" si="100"/>
        <v>0</v>
      </c>
      <c r="AN110" s="382">
        <f t="shared" si="101"/>
        <v>0</v>
      </c>
      <c r="AO110" s="382">
        <f t="shared" si="102"/>
        <v>0</v>
      </c>
      <c r="AP110" s="380">
        <f t="shared" si="103"/>
        <v>0</v>
      </c>
      <c r="AQ110" s="383"/>
      <c r="AR110" s="378">
        <f t="shared" si="104"/>
        <v>0</v>
      </c>
      <c r="AS110" s="382">
        <f t="shared" si="105"/>
        <v>0</v>
      </c>
      <c r="AT110" s="398"/>
      <c r="AU110" s="384">
        <f t="shared" si="106"/>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8"/>
        <v>0</v>
      </c>
      <c r="AL111" s="380">
        <f t="shared" si="99"/>
        <v>0</v>
      </c>
      <c r="AM111" s="381">
        <f t="shared" si="100"/>
        <v>0</v>
      </c>
      <c r="AN111" s="382">
        <f t="shared" si="101"/>
        <v>0</v>
      </c>
      <c r="AO111" s="382">
        <f t="shared" si="102"/>
        <v>0</v>
      </c>
      <c r="AP111" s="380">
        <f t="shared" si="103"/>
        <v>0</v>
      </c>
      <c r="AQ111" s="383"/>
      <c r="AR111" s="378">
        <f t="shared" si="104"/>
        <v>0</v>
      </c>
      <c r="AS111" s="382">
        <f t="shared" si="105"/>
        <v>0</v>
      </c>
      <c r="AT111" s="398"/>
      <c r="AU111" s="384">
        <f t="shared" si="106"/>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3">SUM(E113)</f>
        <v>0</v>
      </c>
      <c r="F112" s="54">
        <f t="shared" si="123"/>
        <v>0</v>
      </c>
      <c r="G112" s="54">
        <f t="shared" si="123"/>
        <v>0</v>
      </c>
      <c r="H112" s="95">
        <f t="shared" si="123"/>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8"/>
        <v>Cooperative Governance and Traditional Affairs (Vote 4)</v>
      </c>
      <c r="AL112" s="388">
        <f t="shared" si="99"/>
        <v>0</v>
      </c>
      <c r="AM112" s="389">
        <f t="shared" si="100"/>
        <v>0</v>
      </c>
      <c r="AN112" s="390">
        <f t="shared" si="101"/>
        <v>0</v>
      </c>
      <c r="AO112" s="390">
        <f t="shared" si="102"/>
        <v>0</v>
      </c>
      <c r="AP112" s="388">
        <f t="shared" si="103"/>
        <v>0</v>
      </c>
      <c r="AQ112" s="391"/>
      <c r="AR112" s="392">
        <f t="shared" si="104"/>
        <v>0</v>
      </c>
      <c r="AS112" s="390">
        <f t="shared" si="105"/>
        <v>0</v>
      </c>
      <c r="AT112" s="398"/>
      <c r="AU112" s="390">
        <f t="shared" si="106"/>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4">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8"/>
        <v>Provincial Disaster Relief Grant</v>
      </c>
      <c r="AL113" s="396">
        <f t="shared" si="99"/>
        <v>0</v>
      </c>
      <c r="AM113" s="397">
        <f t="shared" si="100"/>
        <v>0</v>
      </c>
      <c r="AN113" s="398">
        <f t="shared" si="101"/>
        <v>0</v>
      </c>
      <c r="AO113" s="398">
        <f t="shared" si="102"/>
        <v>0</v>
      </c>
      <c r="AP113" s="396">
        <f t="shared" si="103"/>
        <v>0</v>
      </c>
      <c r="AQ113" s="399"/>
      <c r="AR113" s="419">
        <f t="shared" si="104"/>
        <v>0</v>
      </c>
      <c r="AS113" s="398">
        <f t="shared" si="105"/>
        <v>0</v>
      </c>
      <c r="AT113" s="398"/>
      <c r="AU113" s="417">
        <f t="shared" si="106"/>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5">F114-D114</f>
        <v>0</v>
      </c>
      <c r="F114" s="59"/>
      <c r="G114" s="59"/>
      <c r="H114" s="96">
        <f t="shared" ref="H114:H115" si="126">SUM(F114:G114)</f>
        <v>0</v>
      </c>
      <c r="I114" s="217"/>
      <c r="J114" s="105"/>
      <c r="K114" s="59"/>
      <c r="L114" s="59"/>
      <c r="M114" s="76"/>
      <c r="N114" s="439"/>
      <c r="O114" s="33"/>
      <c r="R114"/>
      <c r="S114" s="57"/>
      <c r="T114" s="58">
        <f t="shared" si="124"/>
        <v>0</v>
      </c>
      <c r="U114" s="96"/>
      <c r="V114" s="199">
        <v>0</v>
      </c>
      <c r="W114" s="59"/>
      <c r="X114" s="59"/>
      <c r="Y114" s="96">
        <v>0</v>
      </c>
      <c r="Z114" s="217"/>
      <c r="AA114" s="105"/>
      <c r="AB114" s="59"/>
      <c r="AC114" s="59"/>
      <c r="AD114" s="76"/>
      <c r="AE114" s="76"/>
      <c r="AF114" s="33"/>
      <c r="AG114" s="441"/>
      <c r="AH114" s="441"/>
      <c r="AI114"/>
      <c r="AJ114" s="394"/>
      <c r="AK114" s="479">
        <f t="shared" si="98"/>
        <v>0</v>
      </c>
      <c r="AL114" s="396">
        <f t="shared" si="99"/>
        <v>0</v>
      </c>
      <c r="AM114" s="397">
        <f t="shared" si="100"/>
        <v>0</v>
      </c>
      <c r="AN114" s="398">
        <f t="shared" si="101"/>
        <v>0</v>
      </c>
      <c r="AO114" s="398">
        <f t="shared" si="102"/>
        <v>0</v>
      </c>
      <c r="AP114" s="396">
        <f t="shared" si="103"/>
        <v>0</v>
      </c>
      <c r="AQ114" s="399"/>
      <c r="AR114" s="419">
        <f t="shared" si="104"/>
        <v>0</v>
      </c>
      <c r="AS114" s="398">
        <f t="shared" si="105"/>
        <v>0</v>
      </c>
      <c r="AT114" s="398"/>
      <c r="AU114" s="417">
        <f t="shared" si="106"/>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5"/>
        <v>0</v>
      </c>
      <c r="F115" s="59"/>
      <c r="G115" s="59"/>
      <c r="H115" s="96">
        <f t="shared" si="126"/>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8"/>
        <v>0</v>
      </c>
      <c r="AL115" s="396">
        <f t="shared" si="99"/>
        <v>0</v>
      </c>
      <c r="AM115" s="397">
        <f t="shared" si="100"/>
        <v>0</v>
      </c>
      <c r="AN115" s="398">
        <f t="shared" si="101"/>
        <v>0</v>
      </c>
      <c r="AO115" s="398">
        <f t="shared" si="102"/>
        <v>0</v>
      </c>
      <c r="AP115" s="396">
        <f t="shared" si="103"/>
        <v>0</v>
      </c>
      <c r="AQ115" s="399"/>
      <c r="AR115" s="419">
        <f t="shared" si="104"/>
        <v>0</v>
      </c>
      <c r="AS115" s="398">
        <f t="shared" si="105"/>
        <v>0</v>
      </c>
      <c r="AT115" s="398"/>
      <c r="AU115" s="417">
        <f t="shared" si="106"/>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8"/>
        <v>0</v>
      </c>
      <c r="AL116" s="396">
        <f t="shared" si="99"/>
        <v>0</v>
      </c>
      <c r="AM116" s="397">
        <f t="shared" si="100"/>
        <v>0</v>
      </c>
      <c r="AN116" s="398">
        <f t="shared" si="101"/>
        <v>0</v>
      </c>
      <c r="AO116" s="398">
        <f t="shared" si="102"/>
        <v>0</v>
      </c>
      <c r="AP116" s="396">
        <f t="shared" si="103"/>
        <v>0</v>
      </c>
      <c r="AQ116" s="399"/>
      <c r="AR116" s="400">
        <f t="shared" si="104"/>
        <v>0</v>
      </c>
      <c r="AS116" s="398">
        <f t="shared" si="105"/>
        <v>0</v>
      </c>
      <c r="AT116" s="398"/>
      <c r="AU116" s="398">
        <f t="shared" si="106"/>
        <v>0</v>
      </c>
      <c r="AV116" s="398"/>
      <c r="AW116" s="347"/>
    </row>
    <row r="117" spans="1:82" s="66" customFormat="1" ht="15.75" customHeight="1" x14ac:dyDescent="0.3">
      <c r="A117"/>
      <c r="B117" s="62"/>
      <c r="C117" s="51" t="s">
        <v>30</v>
      </c>
      <c r="D117" s="95">
        <f>SUM(D118)</f>
        <v>0</v>
      </c>
      <c r="E117" s="198">
        <f t="shared" ref="E117:H117" si="127">SUM(E118)</f>
        <v>151243</v>
      </c>
      <c r="F117" s="54">
        <f t="shared" si="127"/>
        <v>151243</v>
      </c>
      <c r="G117" s="54">
        <f t="shared" si="127"/>
        <v>0</v>
      </c>
      <c r="H117" s="95">
        <f t="shared" si="127"/>
        <v>151243</v>
      </c>
      <c r="I117" s="216"/>
      <c r="J117" s="105"/>
      <c r="K117" s="54">
        <f>SUM(K118)</f>
        <v>151243</v>
      </c>
      <c r="L117" s="54"/>
      <c r="M117" s="76"/>
      <c r="N117" s="439"/>
      <c r="O117" s="55"/>
      <c r="R117"/>
      <c r="S117" s="62"/>
      <c r="T117" s="51" t="str">
        <f>C117</f>
        <v>Human Settlements (Vote 38)</v>
      </c>
      <c r="U117" s="95">
        <v>0</v>
      </c>
      <c r="V117" s="198">
        <v>0</v>
      </c>
      <c r="W117" s="54">
        <v>0</v>
      </c>
      <c r="X117" s="54">
        <v>0</v>
      </c>
      <c r="Y117" s="95">
        <v>0</v>
      </c>
      <c r="Z117" s="216"/>
      <c r="AA117" s="101"/>
      <c r="AB117" s="54">
        <v>151243.15700000001</v>
      </c>
      <c r="AC117" s="59"/>
      <c r="AD117" s="54"/>
      <c r="AE117" s="54"/>
      <c r="AF117" s="55"/>
      <c r="AG117" s="442"/>
      <c r="AH117" s="442"/>
      <c r="AI117"/>
      <c r="AJ117" s="402"/>
      <c r="AK117" s="481" t="str">
        <f t="shared" si="98"/>
        <v>Human Settlements (Vote 38)</v>
      </c>
      <c r="AL117" s="388">
        <f t="shared" si="99"/>
        <v>0</v>
      </c>
      <c r="AM117" s="389">
        <f t="shared" si="100"/>
        <v>-151243</v>
      </c>
      <c r="AN117" s="390">
        <f t="shared" si="101"/>
        <v>-151243</v>
      </c>
      <c r="AO117" s="390">
        <f t="shared" si="102"/>
        <v>0</v>
      </c>
      <c r="AP117" s="388">
        <f t="shared" si="103"/>
        <v>-151243</v>
      </c>
      <c r="AQ117" s="391"/>
      <c r="AR117" s="392">
        <f t="shared" si="104"/>
        <v>0</v>
      </c>
      <c r="AS117" s="390">
        <f t="shared" si="105"/>
        <v>0.15700000000651926</v>
      </c>
      <c r="AT117" s="398"/>
      <c r="AU117" s="390">
        <f t="shared" si="106"/>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151243</v>
      </c>
      <c r="F118" s="501">
        <v>151243</v>
      </c>
      <c r="G118" s="498">
        <v>0</v>
      </c>
      <c r="H118" s="96">
        <f>SUM(F118:G118)</f>
        <v>151243</v>
      </c>
      <c r="I118" s="217"/>
      <c r="J118" s="105"/>
      <c r="K118" s="497">
        <v>151243</v>
      </c>
      <c r="L118" s="59"/>
      <c r="M118" s="76"/>
      <c r="N118" s="439"/>
      <c r="O118" s="33"/>
      <c r="R118"/>
      <c r="S118" s="57"/>
      <c r="T118" s="58" t="str">
        <f t="shared" ref="T118:T119" si="128">C118</f>
        <v>Provincial Emergency Housing Grant</v>
      </c>
      <c r="U118" s="96">
        <v>0</v>
      </c>
      <c r="V118" s="199">
        <v>0</v>
      </c>
      <c r="W118" s="59">
        <v>0</v>
      </c>
      <c r="X118" s="59">
        <v>0</v>
      </c>
      <c r="Y118" s="96">
        <v>0</v>
      </c>
      <c r="Z118" s="217"/>
      <c r="AA118" s="105"/>
      <c r="AB118" s="59">
        <v>151243.15700000001</v>
      </c>
      <c r="AC118" s="59"/>
      <c r="AD118" s="76"/>
      <c r="AE118" s="76"/>
      <c r="AF118" s="33"/>
      <c r="AG118" s="441"/>
      <c r="AH118" s="441"/>
      <c r="AI118"/>
      <c r="AJ118" s="394"/>
      <c r="AK118" s="479" t="str">
        <f t="shared" si="98"/>
        <v>Provincial Emergency Housing Grant</v>
      </c>
      <c r="AL118" s="396">
        <f t="shared" si="99"/>
        <v>0</v>
      </c>
      <c r="AM118" s="397">
        <f t="shared" si="100"/>
        <v>-151243</v>
      </c>
      <c r="AN118" s="398">
        <f t="shared" si="101"/>
        <v>-151243</v>
      </c>
      <c r="AO118" s="398">
        <f t="shared" si="102"/>
        <v>0</v>
      </c>
      <c r="AP118" s="396">
        <f t="shared" si="103"/>
        <v>-151243</v>
      </c>
      <c r="AQ118" s="399"/>
      <c r="AR118" s="419">
        <f t="shared" si="104"/>
        <v>0</v>
      </c>
      <c r="AS118" s="398">
        <f t="shared" si="105"/>
        <v>0.15700000000651926</v>
      </c>
      <c r="AT118" s="398"/>
      <c r="AU118" s="417">
        <f t="shared" si="106"/>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8"/>
        <v>0</v>
      </c>
      <c r="U119" s="96"/>
      <c r="V119" s="199"/>
      <c r="W119" s="59"/>
      <c r="X119" s="59"/>
      <c r="Y119" s="96"/>
      <c r="Z119" s="217"/>
      <c r="AA119" s="105"/>
      <c r="AB119" s="59"/>
      <c r="AC119" s="59"/>
      <c r="AD119" s="76"/>
      <c r="AE119" s="76"/>
      <c r="AF119" s="33"/>
      <c r="AG119" s="441"/>
      <c r="AH119" s="441"/>
      <c r="AI119"/>
      <c r="AJ119" s="394"/>
      <c r="AK119" s="479">
        <f t="shared" si="98"/>
        <v>0</v>
      </c>
      <c r="AL119" s="396">
        <f t="shared" si="99"/>
        <v>0</v>
      </c>
      <c r="AM119" s="397">
        <f t="shared" si="100"/>
        <v>0</v>
      </c>
      <c r="AN119" s="398">
        <f t="shared" si="101"/>
        <v>0</v>
      </c>
      <c r="AO119" s="398">
        <f t="shared" si="102"/>
        <v>0</v>
      </c>
      <c r="AP119" s="396">
        <f t="shared" si="103"/>
        <v>0</v>
      </c>
      <c r="AQ119" s="399"/>
      <c r="AR119" s="419">
        <f t="shared" si="104"/>
        <v>0</v>
      </c>
      <c r="AS119" s="398">
        <f t="shared" si="105"/>
        <v>0</v>
      </c>
      <c r="AT119" s="398"/>
      <c r="AU119" s="417">
        <f t="shared" si="106"/>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8"/>
        <v>0</v>
      </c>
      <c r="AL120" s="396">
        <f t="shared" si="99"/>
        <v>0</v>
      </c>
      <c r="AM120" s="397">
        <f t="shared" si="100"/>
        <v>0</v>
      </c>
      <c r="AN120" s="398">
        <f t="shared" si="101"/>
        <v>0</v>
      </c>
      <c r="AO120" s="398">
        <f t="shared" si="102"/>
        <v>0</v>
      </c>
      <c r="AP120" s="396">
        <f t="shared" si="103"/>
        <v>0</v>
      </c>
      <c r="AQ120" s="399"/>
      <c r="AR120" s="419">
        <f t="shared" si="104"/>
        <v>0</v>
      </c>
      <c r="AS120" s="398">
        <f t="shared" si="105"/>
        <v>0</v>
      </c>
      <c r="AT120" s="398"/>
      <c r="AU120" s="417">
        <f t="shared" si="106"/>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8"/>
        <v>0</v>
      </c>
      <c r="AL121" s="396">
        <f t="shared" si="99"/>
        <v>0</v>
      </c>
      <c r="AM121" s="397">
        <f t="shared" si="100"/>
        <v>0</v>
      </c>
      <c r="AN121" s="398">
        <f t="shared" si="101"/>
        <v>0</v>
      </c>
      <c r="AO121" s="398">
        <f t="shared" si="102"/>
        <v>0</v>
      </c>
      <c r="AP121" s="396">
        <f t="shared" si="103"/>
        <v>0</v>
      </c>
      <c r="AQ121" s="399"/>
      <c r="AR121" s="400">
        <f t="shared" si="104"/>
        <v>0</v>
      </c>
      <c r="AS121" s="398">
        <f t="shared" si="105"/>
        <v>0</v>
      </c>
      <c r="AT121" s="398"/>
      <c r="AU121" s="398">
        <f t="shared" si="106"/>
        <v>0</v>
      </c>
      <c r="AV121" s="398"/>
      <c r="AW121" s="347"/>
    </row>
    <row r="122" spans="1:82" s="66" customFormat="1" ht="15.75" customHeight="1" x14ac:dyDescent="0.3">
      <c r="A122"/>
      <c r="B122" s="53"/>
      <c r="C122" s="74" t="s">
        <v>37</v>
      </c>
      <c r="D122" s="98">
        <f>SUM(D112+D117)</f>
        <v>0</v>
      </c>
      <c r="E122" s="201">
        <f t="shared" ref="E122:H122" si="129">SUM(E112+E117)</f>
        <v>151243</v>
      </c>
      <c r="F122" s="75">
        <f t="shared" si="129"/>
        <v>151243</v>
      </c>
      <c r="G122" s="75">
        <f t="shared" si="129"/>
        <v>0</v>
      </c>
      <c r="H122" s="98">
        <f t="shared" si="129"/>
        <v>151243</v>
      </c>
      <c r="I122" s="433"/>
      <c r="J122" s="432"/>
      <c r="K122" s="75">
        <f>SUM(K112+K117)</f>
        <v>151243</v>
      </c>
      <c r="L122" s="59"/>
      <c r="M122" s="77"/>
      <c r="N122" s="440"/>
      <c r="O122" s="33"/>
      <c r="R122"/>
      <c r="S122" s="53"/>
      <c r="T122" s="74" t="s">
        <v>37</v>
      </c>
      <c r="U122" s="98">
        <v>0</v>
      </c>
      <c r="V122" s="201">
        <v>0</v>
      </c>
      <c r="W122" s="75">
        <v>0</v>
      </c>
      <c r="X122" s="75">
        <v>0</v>
      </c>
      <c r="Y122" s="98">
        <v>0</v>
      </c>
      <c r="Z122" s="433"/>
      <c r="AA122" s="432"/>
      <c r="AB122" s="75">
        <v>151243.15700000001</v>
      </c>
      <c r="AC122" s="59"/>
      <c r="AD122" s="77"/>
      <c r="AE122" s="77"/>
      <c r="AF122" s="33"/>
      <c r="AG122" s="441"/>
      <c r="AH122" s="441"/>
      <c r="AI122"/>
      <c r="AJ122" s="387"/>
      <c r="AK122" s="411" t="str">
        <f t="shared" si="98"/>
        <v>Sub-Total</v>
      </c>
      <c r="AL122" s="412">
        <f t="shared" si="99"/>
        <v>0</v>
      </c>
      <c r="AM122" s="413">
        <f t="shared" si="100"/>
        <v>-151243</v>
      </c>
      <c r="AN122" s="414">
        <f t="shared" si="101"/>
        <v>-151243</v>
      </c>
      <c r="AO122" s="414">
        <f t="shared" si="102"/>
        <v>0</v>
      </c>
      <c r="AP122" s="412">
        <f t="shared" si="103"/>
        <v>-151243</v>
      </c>
      <c r="AQ122" s="434"/>
      <c r="AR122" s="432">
        <f t="shared" si="104"/>
        <v>0</v>
      </c>
      <c r="AS122" s="414">
        <f t="shared" si="105"/>
        <v>0.15700000000651926</v>
      </c>
      <c r="AT122" s="398"/>
      <c r="AU122" s="418">
        <f t="shared" si="106"/>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9"/>
        <v>0</v>
      </c>
      <c r="AM123" s="423">
        <f t="shared" si="100"/>
        <v>0</v>
      </c>
      <c r="AN123" s="424">
        <f t="shared" si="101"/>
        <v>0</v>
      </c>
      <c r="AO123" s="424">
        <f t="shared" si="102"/>
        <v>0</v>
      </c>
      <c r="AP123" s="422">
        <f t="shared" si="103"/>
        <v>0</v>
      </c>
      <c r="AQ123" s="425"/>
      <c r="AR123" s="426">
        <f t="shared" si="104"/>
        <v>0</v>
      </c>
      <c r="AS123" s="424">
        <f t="shared" si="105"/>
        <v>0</v>
      </c>
      <c r="AT123" s="398"/>
      <c r="AU123" s="424">
        <f t="shared" si="106"/>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21136872</v>
      </c>
      <c r="E124" s="202">
        <f t="shared" ref="E124:K124" si="130">SUM(E76+E108+E122)</f>
        <v>455890</v>
      </c>
      <c r="F124" s="81">
        <f t="shared" si="130"/>
        <v>21592762</v>
      </c>
      <c r="G124" s="81">
        <f t="shared" si="130"/>
        <v>181925</v>
      </c>
      <c r="H124" s="80">
        <f t="shared" si="130"/>
        <v>21774687</v>
      </c>
      <c r="I124" s="220">
        <f t="shared" si="130"/>
        <v>0</v>
      </c>
      <c r="J124" s="106">
        <f t="shared" si="130"/>
        <v>21441519</v>
      </c>
      <c r="K124" s="81">
        <f t="shared" si="130"/>
        <v>21592762</v>
      </c>
      <c r="L124" s="59"/>
      <c r="M124" s="82"/>
      <c r="N124" s="440"/>
      <c r="O124" s="55"/>
      <c r="R124"/>
      <c r="S124" s="78"/>
      <c r="T124" s="79" t="s">
        <v>4</v>
      </c>
      <c r="U124" s="80">
        <v>21136872</v>
      </c>
      <c r="V124" s="202">
        <v>0</v>
      </c>
      <c r="W124" s="81">
        <v>21136872</v>
      </c>
      <c r="X124" s="81">
        <v>0</v>
      </c>
      <c r="Y124" s="80">
        <v>21136872</v>
      </c>
      <c r="Z124" s="220"/>
      <c r="AA124" s="106">
        <v>10846331</v>
      </c>
      <c r="AB124" s="81">
        <v>10981778.157</v>
      </c>
      <c r="AC124" s="59"/>
      <c r="AD124" s="82"/>
      <c r="AE124" s="82"/>
      <c r="AF124" s="55"/>
      <c r="AG124" s="442"/>
      <c r="AH124" s="442"/>
      <c r="AI124"/>
      <c r="AJ124" s="420"/>
      <c r="AK124" s="421" t="str">
        <f t="shared" si="98"/>
        <v>Total</v>
      </c>
      <c r="AL124" s="422">
        <f t="shared" si="99"/>
        <v>0</v>
      </c>
      <c r="AM124" s="423">
        <f t="shared" si="100"/>
        <v>-455890</v>
      </c>
      <c r="AN124" s="424">
        <f t="shared" si="101"/>
        <v>-455890</v>
      </c>
      <c r="AO124" s="424">
        <f t="shared" si="102"/>
        <v>-181925</v>
      </c>
      <c r="AP124" s="422">
        <f t="shared" si="103"/>
        <v>-637815</v>
      </c>
      <c r="AQ124" s="425"/>
      <c r="AR124" s="426">
        <f t="shared" si="104"/>
        <v>-10595188</v>
      </c>
      <c r="AS124" s="424">
        <f t="shared" si="105"/>
        <v>-10610983.843</v>
      </c>
      <c r="AT124" s="398"/>
      <c r="AU124" s="427">
        <f t="shared" si="106"/>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Y+q97W4Jzh8MxtX9hITzOpDW2Xm+v8KAa12BbbLJF2voDHO3Pl3DILltI8VrGoqsgNlsvqfNm6cQot/2tXl1rQ==" saltValue="JqhM/GheQyzxFP9jA4k+T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169</v>
      </c>
      <c r="D4" s="8"/>
      <c r="E4" s="8"/>
      <c r="F4" s="8"/>
      <c r="G4" s="8"/>
      <c r="H4" s="8"/>
      <c r="I4" s="8"/>
      <c r="J4" s="8"/>
      <c r="K4" s="8"/>
      <c r="L4" s="8"/>
      <c r="M4" s="8"/>
      <c r="N4" s="8"/>
      <c r="O4" s="11"/>
      <c r="P4"/>
      <c r="Q4"/>
      <c r="R4"/>
      <c r="S4" s="6"/>
      <c r="T4" s="10" t="str">
        <f>C4</f>
        <v>LIMPOPO PROVINCE</v>
      </c>
      <c r="U4" s="8"/>
      <c r="V4" s="8"/>
      <c r="W4" s="8"/>
      <c r="X4" s="8"/>
      <c r="Y4" s="8"/>
      <c r="Z4" s="8"/>
      <c r="AA4" s="8"/>
      <c r="AB4" s="8"/>
      <c r="AC4" s="8"/>
      <c r="AD4" s="8"/>
      <c r="AE4" s="8"/>
      <c r="AF4" s="11"/>
      <c r="AG4"/>
      <c r="AH4"/>
      <c r="AI4"/>
      <c r="AJ4" s="234"/>
      <c r="AK4" s="238" t="str">
        <f>C4</f>
        <v>LIMPOPO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68025751</v>
      </c>
      <c r="E12" s="152">
        <f>SUM(E13:E14)</f>
        <v>51866</v>
      </c>
      <c r="F12" s="153">
        <f>SUM(F13:F14)</f>
        <v>68077617</v>
      </c>
      <c r="G12" s="152"/>
      <c r="H12" s="154">
        <f>SUM(H13:H14)</f>
        <v>17125589</v>
      </c>
      <c r="I12" s="155">
        <f>SUM(I13:I14)</f>
        <v>16924229</v>
      </c>
      <c r="J12" s="155">
        <f>SUM(J13:J14)</f>
        <v>17162117</v>
      </c>
      <c r="K12" s="155">
        <f>SUM(K13:K14)</f>
        <v>16865682</v>
      </c>
      <c r="L12" s="156"/>
      <c r="M12" s="155">
        <f t="shared" ref="M12" si="0">SUM(M13:M14)</f>
        <v>68077617</v>
      </c>
      <c r="N12" s="183">
        <f>IFERROR(M12/F12,0)</f>
        <v>1</v>
      </c>
      <c r="O12" s="158"/>
      <c r="P12" s="594"/>
      <c r="Q12"/>
      <c r="R12"/>
      <c r="S12" s="119"/>
      <c r="T12" s="151" t="str">
        <f>C12</f>
        <v>Transfers from National Revenue Fund</v>
      </c>
      <c r="U12" s="152">
        <v>68025751</v>
      </c>
      <c r="V12" s="152">
        <v>0</v>
      </c>
      <c r="W12" s="153">
        <v>68025751</v>
      </c>
      <c r="X12" s="152"/>
      <c r="Y12" s="154">
        <v>17195589</v>
      </c>
      <c r="Z12" s="155">
        <v>16924229</v>
      </c>
      <c r="AA12" s="155">
        <v>0</v>
      </c>
      <c r="AB12" s="155">
        <v>0</v>
      </c>
      <c r="AC12" s="156"/>
      <c r="AD12" s="155">
        <v>34119818</v>
      </c>
      <c r="AE12" s="172">
        <v>0.50157208848749057</v>
      </c>
      <c r="AF12" s="144"/>
      <c r="AG12" s="118"/>
      <c r="AH12"/>
      <c r="AI12"/>
      <c r="AJ12" s="248"/>
      <c r="AK12" s="284" t="s">
        <v>8</v>
      </c>
      <c r="AL12" s="285">
        <f>SUM(AL13:AL14)</f>
        <v>0</v>
      </c>
      <c r="AM12" s="285">
        <f>SUM(AM13:AM14)</f>
        <v>-51866</v>
      </c>
      <c r="AN12" s="286">
        <f>SUM(AN13:AN14)</f>
        <v>-51866</v>
      </c>
      <c r="AO12" s="285"/>
      <c r="AP12" s="287">
        <f>SUM(AP13:AP14)</f>
        <v>70000</v>
      </c>
      <c r="AQ12" s="288">
        <f t="shared" ref="AQ12:AS12" si="1">SUM(AQ13:AQ14)</f>
        <v>0</v>
      </c>
      <c r="AR12" s="288">
        <f t="shared" si="1"/>
        <v>-17162117</v>
      </c>
      <c r="AS12" s="288">
        <f t="shared" si="1"/>
        <v>-16865682</v>
      </c>
      <c r="AT12" s="289"/>
      <c r="AU12" s="288">
        <f t="shared" ref="AU12" si="2">SUM(AU13:AU14)</f>
        <v>-33957799</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58964758</v>
      </c>
      <c r="E13" s="482">
        <f>F13-D13</f>
        <v>0</v>
      </c>
      <c r="F13" s="483">
        <v>58964758</v>
      </c>
      <c r="G13" s="482"/>
      <c r="H13" s="484">
        <v>14741190</v>
      </c>
      <c r="I13" s="485">
        <v>14741190</v>
      </c>
      <c r="J13" s="485">
        <v>14741190</v>
      </c>
      <c r="K13" s="485">
        <v>14741188</v>
      </c>
      <c r="L13" s="150"/>
      <c r="M13" s="147">
        <f>SUM(H13:K13)</f>
        <v>58964758</v>
      </c>
      <c r="N13" s="172">
        <f t="shared" ref="N13:N14" si="3">IFERROR(M13/F13,0)</f>
        <v>1</v>
      </c>
      <c r="O13" s="158"/>
      <c r="P13" s="118"/>
      <c r="Q13"/>
      <c r="R13"/>
      <c r="S13" s="119"/>
      <c r="T13" s="157" t="str">
        <f t="shared" ref="T13:T15" si="4">C13</f>
        <v>Equitable share of revenue</v>
      </c>
      <c r="U13" s="146">
        <v>58964758</v>
      </c>
      <c r="V13" s="146">
        <v>0</v>
      </c>
      <c r="W13" s="148">
        <v>58964758</v>
      </c>
      <c r="X13" s="146"/>
      <c r="Y13" s="149">
        <v>14741190</v>
      </c>
      <c r="Z13" s="224">
        <v>14741190</v>
      </c>
      <c r="AA13" s="224"/>
      <c r="AB13" s="224"/>
      <c r="AC13" s="150"/>
      <c r="AD13" s="147">
        <v>29482380</v>
      </c>
      <c r="AE13" s="172">
        <v>0.50000001695928264</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-14741190</v>
      </c>
      <c r="AS13" s="283">
        <f t="shared" si="6"/>
        <v>-14741188</v>
      </c>
      <c r="AT13" s="280"/>
      <c r="AU13" s="283">
        <f t="shared" ref="AU13:AU15" si="7">IFERROR(AD13-M13,0)</f>
        <v>-29482378</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9060993</v>
      </c>
      <c r="E14" s="482">
        <f t="shared" ref="E14:E15" si="8">F14-D14</f>
        <v>51866</v>
      </c>
      <c r="F14" s="483">
        <v>9112859</v>
      </c>
      <c r="G14" s="486"/>
      <c r="H14" s="484">
        <v>2384399</v>
      </c>
      <c r="I14" s="485">
        <v>2183039</v>
      </c>
      <c r="J14" s="485">
        <v>2420927</v>
      </c>
      <c r="K14" s="485">
        <v>2124494</v>
      </c>
      <c r="L14" s="162"/>
      <c r="M14" s="147">
        <f t="shared" ref="M14:M15" si="9">SUM(H14:K14)</f>
        <v>9112859</v>
      </c>
      <c r="N14" s="172">
        <f t="shared" si="3"/>
        <v>1</v>
      </c>
      <c r="O14" s="163"/>
      <c r="P14" s="118"/>
      <c r="Q14"/>
      <c r="R14"/>
      <c r="S14" s="159"/>
      <c r="T14" s="160" t="str">
        <f t="shared" si="4"/>
        <v>Conditional grants</v>
      </c>
      <c r="U14" s="146">
        <v>9060993</v>
      </c>
      <c r="V14" s="146">
        <v>0</v>
      </c>
      <c r="W14" s="148">
        <v>9060993</v>
      </c>
      <c r="X14" s="161"/>
      <c r="Y14" s="149">
        <v>2454399</v>
      </c>
      <c r="Z14" s="224">
        <v>2183039</v>
      </c>
      <c r="AA14" s="224"/>
      <c r="AB14" s="224"/>
      <c r="AC14" s="162"/>
      <c r="AD14" s="147">
        <v>4637438</v>
      </c>
      <c r="AE14" s="172">
        <v>0.51180240399700117</v>
      </c>
      <c r="AF14" s="163"/>
      <c r="AG14" s="118"/>
      <c r="AH14" s="61"/>
      <c r="AI14"/>
      <c r="AJ14" s="293"/>
      <c r="AK14" s="294" t="s">
        <v>72</v>
      </c>
      <c r="AL14" s="279">
        <f t="shared" si="5"/>
        <v>0</v>
      </c>
      <c r="AM14" s="279">
        <f t="shared" si="5"/>
        <v>-51866</v>
      </c>
      <c r="AN14" s="281">
        <f t="shared" si="5"/>
        <v>-51866</v>
      </c>
      <c r="AO14" s="295"/>
      <c r="AP14" s="282">
        <f t="shared" ref="AP14:AP15" si="10">IFERROR(Y14-H14,0)</f>
        <v>70000</v>
      </c>
      <c r="AQ14" s="283">
        <f t="shared" si="6"/>
        <v>0</v>
      </c>
      <c r="AR14" s="283">
        <f t="shared" si="6"/>
        <v>-2420927</v>
      </c>
      <c r="AS14" s="283">
        <f t="shared" si="6"/>
        <v>-2124494</v>
      </c>
      <c r="AT14" s="296"/>
      <c r="AU14" s="283">
        <f t="shared" si="7"/>
        <v>-4475421</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1311479.4400000002</v>
      </c>
      <c r="E15" s="487">
        <f t="shared" si="8"/>
        <v>93977.999999999767</v>
      </c>
      <c r="F15" s="488">
        <v>1405457.44</v>
      </c>
      <c r="G15" s="487"/>
      <c r="H15" s="489">
        <v>304954</v>
      </c>
      <c r="I15" s="490">
        <v>392327</v>
      </c>
      <c r="J15" s="490">
        <v>348468</v>
      </c>
      <c r="K15" s="490">
        <v>359091</v>
      </c>
      <c r="L15" s="156"/>
      <c r="M15" s="155">
        <f t="shared" si="9"/>
        <v>1404840</v>
      </c>
      <c r="N15" s="183">
        <f>IFERROR(M15/F15,0)</f>
        <v>0.99956068395781528</v>
      </c>
      <c r="O15" s="158"/>
      <c r="P15" s="594"/>
      <c r="Q15"/>
      <c r="R15"/>
      <c r="S15" s="119"/>
      <c r="T15" s="151" t="str">
        <f t="shared" si="4"/>
        <v>Provincial own receipts</v>
      </c>
      <c r="U15" s="152">
        <v>1316599.24</v>
      </c>
      <c r="V15" s="152">
        <v>0</v>
      </c>
      <c r="W15" s="153">
        <v>1316599.24</v>
      </c>
      <c r="X15" s="152"/>
      <c r="Y15" s="154">
        <v>304067</v>
      </c>
      <c r="Z15" s="225">
        <v>392337</v>
      </c>
      <c r="AA15" s="225"/>
      <c r="AB15" s="225"/>
      <c r="AC15" s="156"/>
      <c r="AD15" s="155">
        <v>696404</v>
      </c>
      <c r="AE15" s="172">
        <v>0.52894151754181473</v>
      </c>
      <c r="AF15" s="158"/>
      <c r="AG15" s="118"/>
      <c r="AH15"/>
      <c r="AI15"/>
      <c r="AJ15" s="248"/>
      <c r="AK15" s="284" t="s">
        <v>9</v>
      </c>
      <c r="AL15" s="285">
        <f t="shared" si="5"/>
        <v>5119.7999999998137</v>
      </c>
      <c r="AM15" s="285">
        <f t="shared" si="5"/>
        <v>-93977.999999999767</v>
      </c>
      <c r="AN15" s="286">
        <f t="shared" si="5"/>
        <v>-88858.199999999953</v>
      </c>
      <c r="AO15" s="285"/>
      <c r="AP15" s="287">
        <f t="shared" si="10"/>
        <v>-887</v>
      </c>
      <c r="AQ15" s="288">
        <f t="shared" si="6"/>
        <v>10</v>
      </c>
      <c r="AR15" s="288">
        <f t="shared" si="6"/>
        <v>-348468</v>
      </c>
      <c r="AS15" s="288">
        <f t="shared" si="6"/>
        <v>-359091</v>
      </c>
      <c r="AT15" s="289"/>
      <c r="AU15" s="288">
        <f t="shared" si="7"/>
        <v>-708436</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69337230.439999998</v>
      </c>
      <c r="E17" s="165">
        <f>E12+E15</f>
        <v>145843.99999999977</v>
      </c>
      <c r="F17" s="166">
        <f t="shared" ref="F17:H17" si="12">F12+F15</f>
        <v>69483074.439999998</v>
      </c>
      <c r="G17" s="165">
        <f t="shared" si="12"/>
        <v>0</v>
      </c>
      <c r="H17" s="167">
        <f t="shared" si="12"/>
        <v>17430543</v>
      </c>
      <c r="I17" s="437">
        <f t="shared" ref="I17" si="13">I12+I15</f>
        <v>17316556</v>
      </c>
      <c r="J17" s="437">
        <f t="shared" ref="J17:K17" si="14">J12+J15</f>
        <v>17510585</v>
      </c>
      <c r="K17" s="437">
        <f t="shared" si="14"/>
        <v>17224773</v>
      </c>
      <c r="L17" s="156"/>
      <c r="M17" s="168">
        <f t="shared" ref="M17" si="15">M12+M15</f>
        <v>69482457</v>
      </c>
      <c r="N17" s="180">
        <f>IFERROR(M17/F17,0)</f>
        <v>0.99999111380713979</v>
      </c>
      <c r="O17" s="158"/>
      <c r="P17" s="594"/>
      <c r="Q17"/>
      <c r="R17"/>
      <c r="S17" s="119"/>
      <c r="T17" s="164" t="s">
        <v>10</v>
      </c>
      <c r="U17" s="165">
        <v>69342350.239999995</v>
      </c>
      <c r="V17" s="165">
        <v>0</v>
      </c>
      <c r="W17" s="166">
        <v>69342350.239999995</v>
      </c>
      <c r="X17" s="165">
        <v>0</v>
      </c>
      <c r="Y17" s="167">
        <v>17499656</v>
      </c>
      <c r="Z17" s="437">
        <v>17316566</v>
      </c>
      <c r="AA17" s="437">
        <v>0</v>
      </c>
      <c r="AB17" s="437" t="s">
        <v>52</v>
      </c>
      <c r="AC17" s="156"/>
      <c r="AD17" s="168">
        <v>34816222</v>
      </c>
      <c r="AE17" s="180">
        <v>0.50209175027235131</v>
      </c>
      <c r="AF17" s="158"/>
      <c r="AG17" s="118"/>
      <c r="AH17"/>
      <c r="AI17"/>
      <c r="AJ17" s="248"/>
      <c r="AK17" s="298" t="s">
        <v>10</v>
      </c>
      <c r="AL17" s="299">
        <f t="shared" ref="AL17:AS17" si="16">AL12+AL15</f>
        <v>5119.7999999998137</v>
      </c>
      <c r="AM17" s="299">
        <f>AM12+AM15</f>
        <v>-145843.99999999977</v>
      </c>
      <c r="AN17" s="300">
        <f t="shared" si="16"/>
        <v>-140724.19999999995</v>
      </c>
      <c r="AO17" s="299">
        <f t="shared" si="16"/>
        <v>0</v>
      </c>
      <c r="AP17" s="301">
        <f t="shared" si="16"/>
        <v>69113</v>
      </c>
      <c r="AQ17" s="302">
        <f t="shared" si="16"/>
        <v>10</v>
      </c>
      <c r="AR17" s="302">
        <f t="shared" si="16"/>
        <v>-17510585</v>
      </c>
      <c r="AS17" s="302">
        <f t="shared" si="16"/>
        <v>-17224773</v>
      </c>
      <c r="AT17" s="289"/>
      <c r="AU17" s="302">
        <f t="shared" ref="AU17" si="17">AU12+AU15</f>
        <v>-34666235</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
        <v>213</v>
      </c>
      <c r="D20" s="482">
        <v>32291008</v>
      </c>
      <c r="E20" s="491">
        <f t="shared" ref="E20:E39" si="18">F20-D20</f>
        <v>15906</v>
      </c>
      <c r="F20" s="483">
        <v>32306914</v>
      </c>
      <c r="G20" s="492"/>
      <c r="H20" s="484">
        <v>8181880</v>
      </c>
      <c r="I20" s="485">
        <v>7322835</v>
      </c>
      <c r="J20" s="485">
        <v>9016486</v>
      </c>
      <c r="K20" s="485">
        <v>7433623</v>
      </c>
      <c r="L20" s="156"/>
      <c r="M20" s="147">
        <f t="shared" ref="M20:M39" si="19">SUM(H20:K20)</f>
        <v>31954824</v>
      </c>
      <c r="N20" s="172">
        <f>IFERROR(M20/F20,0)</f>
        <v>0.9891017136455682</v>
      </c>
      <c r="O20" s="163"/>
      <c r="P20" s="118"/>
      <c r="Q20"/>
      <c r="R20"/>
      <c r="S20" s="159"/>
      <c r="T20" s="170" t="str">
        <f t="shared" ref="T20:T39" si="20">C20</f>
        <v>Education</v>
      </c>
      <c r="U20" s="146">
        <v>32291008</v>
      </c>
      <c r="V20" s="150">
        <v>0</v>
      </c>
      <c r="W20" s="148">
        <v>32291008</v>
      </c>
      <c r="X20" s="171"/>
      <c r="Y20" s="149">
        <v>8181880</v>
      </c>
      <c r="Z20" s="224">
        <v>7322835</v>
      </c>
      <c r="AA20" s="224"/>
      <c r="AB20" s="224"/>
      <c r="AC20" s="156"/>
      <c r="AD20" s="147">
        <v>15504715</v>
      </c>
      <c r="AE20" s="172">
        <v>0.48015580684257364</v>
      </c>
      <c r="AF20" s="163"/>
      <c r="AG20" s="118"/>
      <c r="AH20"/>
      <c r="AI20"/>
      <c r="AJ20" s="293"/>
      <c r="AK20" s="305" t="str">
        <f>C20</f>
        <v>Education</v>
      </c>
      <c r="AL20" s="279">
        <f t="shared" ref="AL20:AN33" si="21">IFERROR(U20-D20,0)</f>
        <v>0</v>
      </c>
      <c r="AM20" s="280">
        <f t="shared" si="21"/>
        <v>-15906</v>
      </c>
      <c r="AN20" s="281">
        <f t="shared" si="21"/>
        <v>-15906</v>
      </c>
      <c r="AO20" s="306"/>
      <c r="AP20" s="282">
        <f t="shared" ref="AP20:AS33" si="22">IFERROR(Y20-H20,0)</f>
        <v>0</v>
      </c>
      <c r="AQ20" s="283">
        <f t="shared" si="22"/>
        <v>0</v>
      </c>
      <c r="AR20" s="283">
        <f t="shared" si="22"/>
        <v>-9016486</v>
      </c>
      <c r="AS20" s="283">
        <f t="shared" si="22"/>
        <v>-7433623</v>
      </c>
      <c r="AT20" s="289"/>
      <c r="AU20" s="283">
        <f t="shared" ref="AU20:AU33" si="23">IFERROR(AD20-M20,0)</f>
        <v>-16450109</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
        <v>214</v>
      </c>
      <c r="D21" s="482">
        <v>20777068</v>
      </c>
      <c r="E21" s="491">
        <f t="shared" si="18"/>
        <v>268716</v>
      </c>
      <c r="F21" s="483">
        <v>21045784</v>
      </c>
      <c r="G21" s="487"/>
      <c r="H21" s="484">
        <v>5117285</v>
      </c>
      <c r="I21" s="485">
        <v>5244046</v>
      </c>
      <c r="J21" s="485">
        <v>5105304</v>
      </c>
      <c r="K21" s="485">
        <v>5530922</v>
      </c>
      <c r="L21" s="156"/>
      <c r="M21" s="147">
        <f t="shared" si="19"/>
        <v>20997557</v>
      </c>
      <c r="N21" s="172">
        <f t="shared" ref="N21:N39" si="25">IFERROR(M21/F21,0)</f>
        <v>0.99770847215765401</v>
      </c>
      <c r="O21" s="163"/>
      <c r="P21" s="118"/>
      <c r="Q21"/>
      <c r="R21"/>
      <c r="S21" s="159"/>
      <c r="T21" s="170" t="str">
        <f t="shared" si="20"/>
        <v>Health</v>
      </c>
      <c r="U21" s="146">
        <v>20777068</v>
      </c>
      <c r="V21" s="150">
        <v>0</v>
      </c>
      <c r="W21" s="148">
        <v>20777068</v>
      </c>
      <c r="X21" s="152"/>
      <c r="Y21" s="149">
        <v>5117285</v>
      </c>
      <c r="Z21" s="224">
        <v>5244046</v>
      </c>
      <c r="AA21" s="224"/>
      <c r="AB21" s="224"/>
      <c r="AC21" s="156"/>
      <c r="AD21" s="147">
        <v>10361331</v>
      </c>
      <c r="AE21" s="172">
        <v>0.49869071998031678</v>
      </c>
      <c r="AF21" s="163"/>
      <c r="AG21" s="118"/>
      <c r="AH21"/>
      <c r="AI21"/>
      <c r="AJ21" s="293"/>
      <c r="AK21" s="305" t="str">
        <f t="shared" ref="AK21:AK39" si="26">C21</f>
        <v>Health</v>
      </c>
      <c r="AL21" s="279">
        <f t="shared" si="21"/>
        <v>0</v>
      </c>
      <c r="AM21" s="280">
        <f t="shared" si="21"/>
        <v>-268716</v>
      </c>
      <c r="AN21" s="281">
        <f t="shared" si="21"/>
        <v>-268716</v>
      </c>
      <c r="AO21" s="285"/>
      <c r="AP21" s="282">
        <f t="shared" si="22"/>
        <v>0</v>
      </c>
      <c r="AQ21" s="283">
        <f t="shared" si="22"/>
        <v>0</v>
      </c>
      <c r="AR21" s="283">
        <f t="shared" si="22"/>
        <v>-5105304</v>
      </c>
      <c r="AS21" s="283">
        <f t="shared" si="22"/>
        <v>-5530922</v>
      </c>
      <c r="AT21" s="289"/>
      <c r="AU21" s="283">
        <f t="shared" si="23"/>
        <v>-10636226</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
        <v>215</v>
      </c>
      <c r="D22" s="482">
        <v>2181129</v>
      </c>
      <c r="E22" s="491">
        <f t="shared" si="18"/>
        <v>983</v>
      </c>
      <c r="F22" s="483">
        <v>2182112</v>
      </c>
      <c r="G22" s="492"/>
      <c r="H22" s="484">
        <v>513287</v>
      </c>
      <c r="I22" s="485">
        <v>553408</v>
      </c>
      <c r="J22" s="485">
        <v>562426</v>
      </c>
      <c r="K22" s="485">
        <v>526247</v>
      </c>
      <c r="L22" s="156"/>
      <c r="M22" s="147">
        <f t="shared" si="19"/>
        <v>2155368</v>
      </c>
      <c r="N22" s="172">
        <f t="shared" si="25"/>
        <v>0.98774398381018025</v>
      </c>
      <c r="O22" s="163"/>
      <c r="P22" s="118"/>
      <c r="S22" s="159"/>
      <c r="T22" s="170" t="str">
        <f t="shared" si="20"/>
        <v>Social Development</v>
      </c>
      <c r="U22" s="146">
        <v>2181129.0300000003</v>
      </c>
      <c r="V22" s="150">
        <v>0</v>
      </c>
      <c r="W22" s="148">
        <v>2181129.0300000003</v>
      </c>
      <c r="X22" s="171"/>
      <c r="Y22" s="149">
        <v>513287</v>
      </c>
      <c r="Z22" s="224">
        <v>553408</v>
      </c>
      <c r="AA22" s="224"/>
      <c r="AB22" s="224"/>
      <c r="AC22" s="156"/>
      <c r="AD22" s="147">
        <v>1066695</v>
      </c>
      <c r="AE22" s="172">
        <v>0.48905634894969963</v>
      </c>
      <c r="AF22" s="163"/>
      <c r="AG22" s="118"/>
      <c r="AJ22" s="293"/>
      <c r="AK22" s="305" t="str">
        <f t="shared" si="26"/>
        <v>Social Development</v>
      </c>
      <c r="AL22" s="279">
        <f t="shared" si="21"/>
        <v>3.0000000260770321E-2</v>
      </c>
      <c r="AM22" s="280">
        <f t="shared" si="21"/>
        <v>-983</v>
      </c>
      <c r="AN22" s="281">
        <f t="shared" si="21"/>
        <v>-982.96999999973923</v>
      </c>
      <c r="AO22" s="306"/>
      <c r="AP22" s="282">
        <f t="shared" si="22"/>
        <v>0</v>
      </c>
      <c r="AQ22" s="283">
        <f t="shared" si="22"/>
        <v>0</v>
      </c>
      <c r="AR22" s="283">
        <f t="shared" si="22"/>
        <v>-562426</v>
      </c>
      <c r="AS22" s="283">
        <f t="shared" si="22"/>
        <v>-526247</v>
      </c>
      <c r="AT22" s="289"/>
      <c r="AU22" s="283">
        <f t="shared" si="23"/>
        <v>-1088673</v>
      </c>
      <c r="AV22" s="290"/>
      <c r="AW22" s="297"/>
      <c r="AX22" s="118"/>
    </row>
    <row r="23" spans="1:79" ht="15.75" customHeight="1" x14ac:dyDescent="0.3">
      <c r="A23" s="446">
        <f t="shared" si="24"/>
        <v>1</v>
      </c>
      <c r="B23" s="159"/>
      <c r="C23" s="500" t="s">
        <v>216</v>
      </c>
      <c r="D23" s="482">
        <v>443476</v>
      </c>
      <c r="E23" s="491">
        <f t="shared" si="18"/>
        <v>-4000</v>
      </c>
      <c r="F23" s="483">
        <v>439476</v>
      </c>
      <c r="G23" s="493"/>
      <c r="H23" s="484">
        <v>98046</v>
      </c>
      <c r="I23" s="485">
        <v>106536</v>
      </c>
      <c r="J23" s="485">
        <v>114242</v>
      </c>
      <c r="K23" s="485">
        <v>107608</v>
      </c>
      <c r="L23" s="174"/>
      <c r="M23" s="147">
        <f t="shared" si="19"/>
        <v>426432</v>
      </c>
      <c r="N23" s="172">
        <f t="shared" si="25"/>
        <v>0.97031919831799684</v>
      </c>
      <c r="O23" s="163"/>
      <c r="P23" s="118"/>
      <c r="S23" s="159"/>
      <c r="T23" s="170" t="str">
        <f t="shared" si="20"/>
        <v>Office Of The Premier</v>
      </c>
      <c r="U23" s="146">
        <v>443476</v>
      </c>
      <c r="V23" s="150">
        <v>0</v>
      </c>
      <c r="W23" s="148">
        <v>443476</v>
      </c>
      <c r="X23" s="173"/>
      <c r="Y23" s="149">
        <v>98045</v>
      </c>
      <c r="Z23" s="224">
        <v>106537</v>
      </c>
      <c r="AA23" s="224"/>
      <c r="AB23" s="224"/>
      <c r="AC23" s="174"/>
      <c r="AD23" s="147">
        <v>204582</v>
      </c>
      <c r="AE23" s="172">
        <v>0.461314704741632</v>
      </c>
      <c r="AF23" s="163"/>
      <c r="AG23" s="118"/>
      <c r="AJ23" s="293"/>
      <c r="AK23" s="305" t="str">
        <f t="shared" si="26"/>
        <v>Office Of The Premier</v>
      </c>
      <c r="AL23" s="279">
        <f t="shared" si="21"/>
        <v>0</v>
      </c>
      <c r="AM23" s="280">
        <f t="shared" si="21"/>
        <v>4000</v>
      </c>
      <c r="AN23" s="281">
        <f t="shared" si="21"/>
        <v>4000</v>
      </c>
      <c r="AO23" s="307"/>
      <c r="AP23" s="282">
        <f t="shared" si="22"/>
        <v>-1</v>
      </c>
      <c r="AQ23" s="283">
        <f t="shared" si="22"/>
        <v>1</v>
      </c>
      <c r="AR23" s="283">
        <f t="shared" si="22"/>
        <v>-114242</v>
      </c>
      <c r="AS23" s="283">
        <f t="shared" si="22"/>
        <v>-107608</v>
      </c>
      <c r="AT23" s="308"/>
      <c r="AU23" s="283">
        <f t="shared" si="23"/>
        <v>-221850</v>
      </c>
      <c r="AV23" s="290"/>
      <c r="AW23" s="297"/>
      <c r="AX23" s="118"/>
    </row>
    <row r="24" spans="1:79" ht="15.75" customHeight="1" x14ac:dyDescent="0.3">
      <c r="A24" s="446">
        <f t="shared" si="24"/>
        <v>1</v>
      </c>
      <c r="B24" s="159"/>
      <c r="C24" s="500" t="s">
        <v>217</v>
      </c>
      <c r="D24" s="482">
        <v>375755</v>
      </c>
      <c r="E24" s="491">
        <f t="shared" si="18"/>
        <v>63946</v>
      </c>
      <c r="F24" s="483">
        <v>439701</v>
      </c>
      <c r="G24" s="487"/>
      <c r="H24" s="484">
        <v>87714</v>
      </c>
      <c r="I24" s="485">
        <v>140304</v>
      </c>
      <c r="J24" s="485">
        <v>121218</v>
      </c>
      <c r="K24" s="485">
        <v>73736</v>
      </c>
      <c r="L24" s="156"/>
      <c r="M24" s="147">
        <f t="shared" si="19"/>
        <v>422972</v>
      </c>
      <c r="N24" s="172">
        <f t="shared" si="25"/>
        <v>0.96195369125837782</v>
      </c>
      <c r="O24" s="163"/>
      <c r="P24" s="118"/>
      <c r="S24" s="159"/>
      <c r="T24" s="170" t="str">
        <f t="shared" si="20"/>
        <v>Provincial Legislature</v>
      </c>
      <c r="U24" s="146">
        <v>375755</v>
      </c>
      <c r="V24" s="150">
        <v>0</v>
      </c>
      <c r="W24" s="148">
        <v>375755</v>
      </c>
      <c r="X24" s="152"/>
      <c r="Y24" s="149">
        <v>88054</v>
      </c>
      <c r="Z24" s="224">
        <v>91505</v>
      </c>
      <c r="AA24" s="224"/>
      <c r="AB24" s="224"/>
      <c r="AC24" s="156"/>
      <c r="AD24" s="147">
        <v>179559</v>
      </c>
      <c r="AE24" s="172">
        <v>0.47786190469854029</v>
      </c>
      <c r="AF24" s="163"/>
      <c r="AG24" s="118"/>
      <c r="AJ24" s="293"/>
      <c r="AK24" s="305" t="str">
        <f t="shared" si="26"/>
        <v>Provincial Legislature</v>
      </c>
      <c r="AL24" s="279">
        <f t="shared" si="21"/>
        <v>0</v>
      </c>
      <c r="AM24" s="280">
        <f t="shared" si="21"/>
        <v>-63946</v>
      </c>
      <c r="AN24" s="281">
        <f t="shared" si="21"/>
        <v>-63946</v>
      </c>
      <c r="AO24" s="285"/>
      <c r="AP24" s="282">
        <f t="shared" si="22"/>
        <v>340</v>
      </c>
      <c r="AQ24" s="283">
        <f t="shared" si="22"/>
        <v>-48799</v>
      </c>
      <c r="AR24" s="283">
        <f t="shared" si="22"/>
        <v>-121218</v>
      </c>
      <c r="AS24" s="283">
        <f t="shared" si="22"/>
        <v>-73736</v>
      </c>
      <c r="AT24" s="289"/>
      <c r="AU24" s="283">
        <f t="shared" si="23"/>
        <v>-243413</v>
      </c>
      <c r="AV24" s="290"/>
      <c r="AW24" s="297"/>
      <c r="AX24" s="118"/>
    </row>
    <row r="25" spans="1:79" ht="15.75" customHeight="1" x14ac:dyDescent="0.3">
      <c r="A25" s="446">
        <f t="shared" si="24"/>
        <v>1</v>
      </c>
      <c r="B25" s="159"/>
      <c r="C25" s="500" t="s">
        <v>218</v>
      </c>
      <c r="D25" s="482">
        <v>2000770</v>
      </c>
      <c r="E25" s="491">
        <f t="shared" si="18"/>
        <v>-46151</v>
      </c>
      <c r="F25" s="483">
        <v>1954619</v>
      </c>
      <c r="G25" s="487"/>
      <c r="H25" s="484">
        <v>452578</v>
      </c>
      <c r="I25" s="485">
        <v>450227</v>
      </c>
      <c r="J25" s="485">
        <v>443650</v>
      </c>
      <c r="K25" s="485">
        <v>531751</v>
      </c>
      <c r="L25" s="156"/>
      <c r="M25" s="147">
        <f t="shared" si="19"/>
        <v>1878206</v>
      </c>
      <c r="N25" s="172">
        <f t="shared" si="25"/>
        <v>0.96090644775273337</v>
      </c>
      <c r="O25" s="163"/>
      <c r="P25" s="118"/>
      <c r="S25" s="159"/>
      <c r="T25" s="170" t="str">
        <f t="shared" si="20"/>
        <v>Agriculture</v>
      </c>
      <c r="U25" s="146">
        <v>2000770</v>
      </c>
      <c r="V25" s="150">
        <v>0</v>
      </c>
      <c r="W25" s="148">
        <v>2000770</v>
      </c>
      <c r="X25" s="152"/>
      <c r="Y25" s="149">
        <v>452578</v>
      </c>
      <c r="Z25" s="224">
        <v>450227</v>
      </c>
      <c r="AA25" s="224"/>
      <c r="AB25" s="224"/>
      <c r="AC25" s="156"/>
      <c r="AD25" s="147">
        <v>902805</v>
      </c>
      <c r="AE25" s="172">
        <v>0.45122877692088548</v>
      </c>
      <c r="AF25" s="163"/>
      <c r="AG25" s="118"/>
      <c r="AJ25" s="293"/>
      <c r="AK25" s="305" t="str">
        <f t="shared" si="26"/>
        <v>Agriculture</v>
      </c>
      <c r="AL25" s="279">
        <f t="shared" si="21"/>
        <v>0</v>
      </c>
      <c r="AM25" s="280">
        <f t="shared" si="21"/>
        <v>46151</v>
      </c>
      <c r="AN25" s="281">
        <f t="shared" si="21"/>
        <v>46151</v>
      </c>
      <c r="AO25" s="285"/>
      <c r="AP25" s="282">
        <f t="shared" si="22"/>
        <v>0</v>
      </c>
      <c r="AQ25" s="283">
        <f t="shared" si="22"/>
        <v>0</v>
      </c>
      <c r="AR25" s="283">
        <f t="shared" si="22"/>
        <v>-443650</v>
      </c>
      <c r="AS25" s="283">
        <f t="shared" si="22"/>
        <v>-531751</v>
      </c>
      <c r="AT25" s="289"/>
      <c r="AU25" s="283">
        <f t="shared" si="23"/>
        <v>-975401</v>
      </c>
      <c r="AV25" s="290"/>
      <c r="AW25" s="297"/>
      <c r="AX25" s="118"/>
    </row>
    <row r="26" spans="1:79" ht="15.75" customHeight="1" x14ac:dyDescent="0.3">
      <c r="A26" s="446">
        <f t="shared" si="24"/>
        <v>1</v>
      </c>
      <c r="B26" s="175"/>
      <c r="C26" s="500" t="s">
        <v>107</v>
      </c>
      <c r="D26" s="482">
        <v>506841</v>
      </c>
      <c r="E26" s="491">
        <f t="shared" si="18"/>
        <v>-10000</v>
      </c>
      <c r="F26" s="483">
        <v>496841</v>
      </c>
      <c r="G26" s="494"/>
      <c r="H26" s="484">
        <v>103317</v>
      </c>
      <c r="I26" s="485">
        <v>129248</v>
      </c>
      <c r="J26" s="485">
        <v>117311</v>
      </c>
      <c r="K26" s="485">
        <v>121300</v>
      </c>
      <c r="L26" s="174"/>
      <c r="M26" s="147">
        <f t="shared" si="19"/>
        <v>471176</v>
      </c>
      <c r="N26" s="172">
        <f t="shared" si="25"/>
        <v>0.94834363508647634</v>
      </c>
      <c r="O26" s="177"/>
      <c r="P26" s="118"/>
      <c r="S26" s="175"/>
      <c r="T26" s="170" t="str">
        <f t="shared" si="20"/>
        <v>Provincial Treasury</v>
      </c>
      <c r="U26" s="146">
        <v>506841.11</v>
      </c>
      <c r="V26" s="150">
        <v>0</v>
      </c>
      <c r="W26" s="148">
        <v>506841.11</v>
      </c>
      <c r="X26" s="176"/>
      <c r="Y26" s="149">
        <v>102123</v>
      </c>
      <c r="Z26" s="224">
        <v>129395</v>
      </c>
      <c r="AA26" s="224"/>
      <c r="AB26" s="224"/>
      <c r="AC26" s="174"/>
      <c r="AD26" s="147">
        <v>231518</v>
      </c>
      <c r="AE26" s="172">
        <v>0.4567861513838134</v>
      </c>
      <c r="AF26" s="177"/>
      <c r="AG26" s="118"/>
      <c r="AJ26" s="309"/>
      <c r="AK26" s="305" t="str">
        <f t="shared" si="26"/>
        <v>Provincial Treasury</v>
      </c>
      <c r="AL26" s="279">
        <f t="shared" si="21"/>
        <v>0.10999999998603016</v>
      </c>
      <c r="AM26" s="280">
        <f t="shared" si="21"/>
        <v>10000</v>
      </c>
      <c r="AN26" s="281">
        <f t="shared" si="21"/>
        <v>10000.109999999986</v>
      </c>
      <c r="AO26" s="310"/>
      <c r="AP26" s="282">
        <f t="shared" si="22"/>
        <v>-1194</v>
      </c>
      <c r="AQ26" s="283">
        <f t="shared" si="22"/>
        <v>147</v>
      </c>
      <c r="AR26" s="283">
        <f t="shared" si="22"/>
        <v>-117311</v>
      </c>
      <c r="AS26" s="283">
        <f t="shared" si="22"/>
        <v>-121300</v>
      </c>
      <c r="AT26" s="308"/>
      <c r="AU26" s="283">
        <f t="shared" si="23"/>
        <v>-239658</v>
      </c>
      <c r="AV26" s="290"/>
      <c r="AW26" s="311"/>
      <c r="AX26" s="118"/>
    </row>
    <row r="27" spans="1:79" s="22" customFormat="1" ht="15.75" customHeight="1" x14ac:dyDescent="0.3">
      <c r="A27" s="446">
        <f t="shared" si="24"/>
        <v>1</v>
      </c>
      <c r="B27" s="159"/>
      <c r="C27" s="500" t="s">
        <v>219</v>
      </c>
      <c r="D27" s="482">
        <v>1722710</v>
      </c>
      <c r="E27" s="491">
        <f t="shared" si="18"/>
        <v>231200</v>
      </c>
      <c r="F27" s="483">
        <v>1953910</v>
      </c>
      <c r="G27" s="487"/>
      <c r="H27" s="484">
        <v>350447</v>
      </c>
      <c r="I27" s="485">
        <v>453708</v>
      </c>
      <c r="J27" s="485">
        <v>515650</v>
      </c>
      <c r="K27" s="485">
        <v>618718</v>
      </c>
      <c r="L27" s="156"/>
      <c r="M27" s="147">
        <f t="shared" si="19"/>
        <v>1938523</v>
      </c>
      <c r="N27" s="172">
        <f t="shared" si="25"/>
        <v>0.9921250211115149</v>
      </c>
      <c r="O27" s="163"/>
      <c r="P27" s="118"/>
      <c r="Q27"/>
      <c r="R27"/>
      <c r="S27" s="159"/>
      <c r="T27" s="170" t="str">
        <f t="shared" si="20"/>
        <v>Economic Development, Environment And Tourism</v>
      </c>
      <c r="U27" s="146">
        <v>1722710</v>
      </c>
      <c r="V27" s="150">
        <v>0</v>
      </c>
      <c r="W27" s="148">
        <v>1722710</v>
      </c>
      <c r="X27" s="152"/>
      <c r="Y27" s="149">
        <v>350447</v>
      </c>
      <c r="Z27" s="224">
        <v>453708</v>
      </c>
      <c r="AA27" s="224"/>
      <c r="AB27" s="224"/>
      <c r="AC27" s="156"/>
      <c r="AD27" s="147">
        <v>804155</v>
      </c>
      <c r="AE27" s="172">
        <v>0.46679650086201391</v>
      </c>
      <c r="AF27" s="163"/>
      <c r="AG27" s="118"/>
      <c r="AH27" s="61"/>
      <c r="AI27"/>
      <c r="AJ27" s="293"/>
      <c r="AK27" s="305" t="str">
        <f t="shared" si="26"/>
        <v>Economic Development, Environment And Tourism</v>
      </c>
      <c r="AL27" s="279">
        <f t="shared" si="21"/>
        <v>0</v>
      </c>
      <c r="AM27" s="280">
        <f t="shared" si="21"/>
        <v>-231200</v>
      </c>
      <c r="AN27" s="281">
        <f t="shared" si="21"/>
        <v>-231200</v>
      </c>
      <c r="AO27" s="285"/>
      <c r="AP27" s="282">
        <f t="shared" si="22"/>
        <v>0</v>
      </c>
      <c r="AQ27" s="283">
        <f t="shared" si="22"/>
        <v>0</v>
      </c>
      <c r="AR27" s="283">
        <f t="shared" si="22"/>
        <v>-515650</v>
      </c>
      <c r="AS27" s="283">
        <f t="shared" si="22"/>
        <v>-618718</v>
      </c>
      <c r="AT27" s="289"/>
      <c r="AU27" s="283">
        <f t="shared" si="23"/>
        <v>-1134368</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
        <v>220</v>
      </c>
      <c r="D28" s="482">
        <v>2345185</v>
      </c>
      <c r="E28" s="491">
        <f t="shared" si="18"/>
        <v>-42000</v>
      </c>
      <c r="F28" s="483">
        <v>2303185</v>
      </c>
      <c r="G28" s="487"/>
      <c r="H28" s="484">
        <v>481812</v>
      </c>
      <c r="I28" s="485">
        <v>569476</v>
      </c>
      <c r="J28" s="485">
        <v>556718</v>
      </c>
      <c r="K28" s="485">
        <v>638479</v>
      </c>
      <c r="L28" s="156"/>
      <c r="M28" s="147">
        <f t="shared" si="19"/>
        <v>2246485</v>
      </c>
      <c r="N28" s="172">
        <f t="shared" si="25"/>
        <v>0.97538191678045838</v>
      </c>
      <c r="O28" s="163"/>
      <c r="P28" s="118"/>
      <c r="Q28"/>
      <c r="R28"/>
      <c r="S28" s="159"/>
      <c r="T28" s="170" t="str">
        <f t="shared" si="20"/>
        <v>Transport And Community Safety</v>
      </c>
      <c r="U28" s="146">
        <v>2227547</v>
      </c>
      <c r="V28" s="150">
        <v>0</v>
      </c>
      <c r="W28" s="148">
        <v>2227547</v>
      </c>
      <c r="X28" s="152"/>
      <c r="Y28" s="149">
        <v>458350</v>
      </c>
      <c r="Z28" s="224">
        <v>540717</v>
      </c>
      <c r="AA28" s="224"/>
      <c r="AB28" s="224"/>
      <c r="AC28" s="156"/>
      <c r="AD28" s="147">
        <v>999067</v>
      </c>
      <c r="AE28" s="172">
        <v>0.448505463633315</v>
      </c>
      <c r="AF28" s="163"/>
      <c r="AG28" s="118"/>
      <c r="AH28" s="61"/>
      <c r="AI28"/>
      <c r="AJ28" s="293"/>
      <c r="AK28" s="305" t="str">
        <f t="shared" si="26"/>
        <v>Transport And Community Safety</v>
      </c>
      <c r="AL28" s="279">
        <f t="shared" si="21"/>
        <v>-117638</v>
      </c>
      <c r="AM28" s="280">
        <f t="shared" si="21"/>
        <v>42000</v>
      </c>
      <c r="AN28" s="281">
        <f t="shared" si="21"/>
        <v>-75638</v>
      </c>
      <c r="AO28" s="285"/>
      <c r="AP28" s="282">
        <f t="shared" si="22"/>
        <v>-23462</v>
      </c>
      <c r="AQ28" s="283">
        <f t="shared" si="22"/>
        <v>-28759</v>
      </c>
      <c r="AR28" s="283">
        <f t="shared" si="22"/>
        <v>-556718</v>
      </c>
      <c r="AS28" s="283">
        <f t="shared" si="22"/>
        <v>-638479</v>
      </c>
      <c r="AT28" s="289"/>
      <c r="AU28" s="283">
        <f t="shared" si="23"/>
        <v>-1247418</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
        <v>221</v>
      </c>
      <c r="D29" s="482">
        <v>3616964</v>
      </c>
      <c r="E29" s="491">
        <f t="shared" si="18"/>
        <v>280000</v>
      </c>
      <c r="F29" s="483">
        <v>3896964</v>
      </c>
      <c r="G29" s="487"/>
      <c r="H29" s="484">
        <v>755390</v>
      </c>
      <c r="I29" s="485">
        <v>833525</v>
      </c>
      <c r="J29" s="485">
        <v>968331</v>
      </c>
      <c r="K29" s="485">
        <v>912269</v>
      </c>
      <c r="L29" s="156"/>
      <c r="M29" s="147">
        <f t="shared" si="19"/>
        <v>3469515</v>
      </c>
      <c r="N29" s="172">
        <f t="shared" si="25"/>
        <v>0.89031230465562428</v>
      </c>
      <c r="O29" s="163"/>
      <c r="P29" s="118"/>
      <c r="Q29"/>
      <c r="R29"/>
      <c r="S29" s="159"/>
      <c r="T29" s="170" t="str">
        <f t="shared" si="20"/>
        <v>Public Works, Roads And Infrastructure</v>
      </c>
      <c r="U29" s="146">
        <v>3616964</v>
      </c>
      <c r="V29" s="150">
        <v>0</v>
      </c>
      <c r="W29" s="148">
        <v>3616964</v>
      </c>
      <c r="X29" s="152"/>
      <c r="Y29" s="149">
        <v>755390</v>
      </c>
      <c r="Z29" s="224">
        <v>833525</v>
      </c>
      <c r="AA29" s="224"/>
      <c r="AB29" s="224"/>
      <c r="AC29" s="156"/>
      <c r="AD29" s="147">
        <v>1588915</v>
      </c>
      <c r="AE29" s="172">
        <v>0.43929522107491253</v>
      </c>
      <c r="AF29" s="163"/>
      <c r="AG29" s="118"/>
      <c r="AH29" s="61"/>
      <c r="AI29"/>
      <c r="AJ29" s="293"/>
      <c r="AK29" s="305" t="str">
        <f t="shared" si="26"/>
        <v>Public Works, Roads And Infrastructure</v>
      </c>
      <c r="AL29" s="279">
        <f t="shared" si="21"/>
        <v>0</v>
      </c>
      <c r="AM29" s="280">
        <f t="shared" si="21"/>
        <v>-280000</v>
      </c>
      <c r="AN29" s="281">
        <f t="shared" si="21"/>
        <v>-280000</v>
      </c>
      <c r="AO29" s="285"/>
      <c r="AP29" s="282">
        <f t="shared" si="22"/>
        <v>0</v>
      </c>
      <c r="AQ29" s="283">
        <f t="shared" si="22"/>
        <v>0</v>
      </c>
      <c r="AR29" s="283">
        <f t="shared" si="22"/>
        <v>-968331</v>
      </c>
      <c r="AS29" s="283">
        <f t="shared" si="22"/>
        <v>-912269</v>
      </c>
      <c r="AT29" s="289"/>
      <c r="AU29" s="283">
        <f t="shared" si="23"/>
        <v>-1880600</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
        <v>222</v>
      </c>
      <c r="D30" s="482">
        <v>2720467</v>
      </c>
      <c r="E30" s="491">
        <f t="shared" si="18"/>
        <v>47071</v>
      </c>
      <c r="F30" s="483">
        <v>2767538</v>
      </c>
      <c r="G30" s="492"/>
      <c r="H30" s="484">
        <v>540945</v>
      </c>
      <c r="I30" s="485">
        <v>750324</v>
      </c>
      <c r="J30" s="485">
        <v>722865</v>
      </c>
      <c r="K30" s="485">
        <v>641287</v>
      </c>
      <c r="L30" s="156"/>
      <c r="M30" s="147">
        <f t="shared" si="19"/>
        <v>2655421</v>
      </c>
      <c r="N30" s="172">
        <f t="shared" si="25"/>
        <v>0.95948854180141341</v>
      </c>
      <c r="O30" s="177"/>
      <c r="P30" s="118"/>
      <c r="Q30"/>
      <c r="R30"/>
      <c r="S30" s="175"/>
      <c r="T30" s="170" t="str">
        <f t="shared" si="20"/>
        <v>Cooperative Governance, Human Settlements And Traditional Affairs</v>
      </c>
      <c r="U30" s="146">
        <v>117638</v>
      </c>
      <c r="V30" s="150">
        <v>0</v>
      </c>
      <c r="W30" s="148">
        <v>117638</v>
      </c>
      <c r="X30" s="171"/>
      <c r="Y30" s="149">
        <v>23462</v>
      </c>
      <c r="Z30" s="224">
        <v>28758</v>
      </c>
      <c r="AA30" s="224"/>
      <c r="AB30" s="224"/>
      <c r="AC30" s="156"/>
      <c r="AD30" s="147">
        <v>52220</v>
      </c>
      <c r="AE30" s="172">
        <v>0.4439041806219079</v>
      </c>
      <c r="AF30" s="177"/>
      <c r="AG30" s="118"/>
      <c r="AH30"/>
      <c r="AI30"/>
      <c r="AJ30" s="309"/>
      <c r="AK30" s="305" t="str">
        <f t="shared" si="26"/>
        <v>Cooperative Governance, Human Settlements And Traditional Affairs</v>
      </c>
      <c r="AL30" s="279">
        <f t="shared" si="21"/>
        <v>-2602829</v>
      </c>
      <c r="AM30" s="280">
        <f t="shared" si="21"/>
        <v>-47071</v>
      </c>
      <c r="AN30" s="281">
        <f t="shared" si="21"/>
        <v>-2649900</v>
      </c>
      <c r="AO30" s="306"/>
      <c r="AP30" s="282">
        <f t="shared" si="22"/>
        <v>-517483</v>
      </c>
      <c r="AQ30" s="283">
        <f t="shared" si="22"/>
        <v>-721566</v>
      </c>
      <c r="AR30" s="283">
        <f t="shared" si="22"/>
        <v>-722865</v>
      </c>
      <c r="AS30" s="283">
        <f t="shared" si="22"/>
        <v>-641287</v>
      </c>
      <c r="AT30" s="289"/>
      <c r="AU30" s="283">
        <f t="shared" si="23"/>
        <v>-2603201</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
        <v>223</v>
      </c>
      <c r="D31" s="482">
        <v>519537</v>
      </c>
      <c r="E31" s="491">
        <f t="shared" si="18"/>
        <v>10971</v>
      </c>
      <c r="F31" s="483">
        <v>530508</v>
      </c>
      <c r="G31" s="487"/>
      <c r="H31" s="484">
        <v>98743</v>
      </c>
      <c r="I31" s="485">
        <v>122355</v>
      </c>
      <c r="J31" s="485">
        <v>129206</v>
      </c>
      <c r="K31" s="485">
        <v>119750</v>
      </c>
      <c r="L31" s="156"/>
      <c r="M31" s="147">
        <f t="shared" si="19"/>
        <v>470054</v>
      </c>
      <c r="N31" s="172">
        <f t="shared" si="25"/>
        <v>0.88604507377834074</v>
      </c>
      <c r="O31" s="163"/>
      <c r="P31" s="118"/>
      <c r="Q31"/>
      <c r="R31"/>
      <c r="S31" s="159"/>
      <c r="T31" s="170" t="str">
        <f t="shared" si="20"/>
        <v>Sport, Arts And Culture</v>
      </c>
      <c r="U31" s="146">
        <v>2720467</v>
      </c>
      <c r="V31" s="150">
        <v>0</v>
      </c>
      <c r="W31" s="148">
        <v>2720467</v>
      </c>
      <c r="X31" s="152"/>
      <c r="Y31" s="149">
        <v>540945</v>
      </c>
      <c r="Z31" s="224">
        <v>750325</v>
      </c>
      <c r="AA31" s="224"/>
      <c r="AB31" s="224"/>
      <c r="AC31" s="156"/>
      <c r="AD31" s="147">
        <v>1291270</v>
      </c>
      <c r="AE31" s="172">
        <v>0.47465012440878718</v>
      </c>
      <c r="AF31" s="163"/>
      <c r="AG31" s="118"/>
      <c r="AH31"/>
      <c r="AI31"/>
      <c r="AJ31" s="293"/>
      <c r="AK31" s="305" t="str">
        <f t="shared" si="26"/>
        <v>Sport, Arts And Culture</v>
      </c>
      <c r="AL31" s="279">
        <f t="shared" si="21"/>
        <v>2200930</v>
      </c>
      <c r="AM31" s="280">
        <f t="shared" si="21"/>
        <v>-10971</v>
      </c>
      <c r="AN31" s="281">
        <f t="shared" si="21"/>
        <v>2189959</v>
      </c>
      <c r="AO31" s="285"/>
      <c r="AP31" s="282">
        <f t="shared" si="22"/>
        <v>442202</v>
      </c>
      <c r="AQ31" s="283">
        <f t="shared" si="22"/>
        <v>627970</v>
      </c>
      <c r="AR31" s="283">
        <f t="shared" si="22"/>
        <v>-129206</v>
      </c>
      <c r="AS31" s="283">
        <f t="shared" si="22"/>
        <v>-119750</v>
      </c>
      <c r="AT31" s="289"/>
      <c r="AU31" s="283">
        <f t="shared" si="23"/>
        <v>821216</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hidden="1" customHeight="1" x14ac:dyDescent="0.3">
      <c r="A32" s="446">
        <f t="shared" si="24"/>
        <v>0</v>
      </c>
      <c r="B32" s="159"/>
      <c r="C32" s="500" t="s">
        <v>52</v>
      </c>
      <c r="D32" s="482">
        <v>0</v>
      </c>
      <c r="E32" s="491">
        <f t="shared" si="18"/>
        <v>0</v>
      </c>
      <c r="F32" s="483">
        <v>0</v>
      </c>
      <c r="G32" s="487"/>
      <c r="H32" s="484">
        <v>0</v>
      </c>
      <c r="I32" s="485">
        <v>0</v>
      </c>
      <c r="J32" s="485">
        <v>0</v>
      </c>
      <c r="K32" s="485">
        <v>0</v>
      </c>
      <c r="L32" s="156"/>
      <c r="M32" s="147">
        <f>SUM(H32:K32)</f>
        <v>0</v>
      </c>
      <c r="N32" s="172">
        <f t="shared" si="25"/>
        <v>0</v>
      </c>
      <c r="O32" s="163"/>
      <c r="P32" s="118"/>
      <c r="S32" s="159"/>
      <c r="T32" s="170" t="str">
        <f t="shared" si="20"/>
        <v/>
      </c>
      <c r="U32" s="146">
        <v>519537</v>
      </c>
      <c r="V32" s="150">
        <v>0</v>
      </c>
      <c r="W32" s="148">
        <v>519537</v>
      </c>
      <c r="X32" s="152"/>
      <c r="Y32" s="149">
        <v>98743</v>
      </c>
      <c r="Z32" s="224">
        <v>122355</v>
      </c>
      <c r="AA32" s="224"/>
      <c r="AB32" s="224"/>
      <c r="AC32" s="156"/>
      <c r="AD32" s="147">
        <v>221098</v>
      </c>
      <c r="AE32" s="172">
        <v>0.42556738018658924</v>
      </c>
      <c r="AF32" s="163"/>
      <c r="AG32" s="118"/>
      <c r="AJ32" s="293"/>
      <c r="AK32" s="305" t="str">
        <f t="shared" si="26"/>
        <v/>
      </c>
      <c r="AL32" s="279">
        <f t="shared" si="21"/>
        <v>519537</v>
      </c>
      <c r="AM32" s="280">
        <f t="shared" si="21"/>
        <v>0</v>
      </c>
      <c r="AN32" s="281">
        <f t="shared" si="21"/>
        <v>519537</v>
      </c>
      <c r="AO32" s="285"/>
      <c r="AP32" s="282">
        <f t="shared" si="22"/>
        <v>98743</v>
      </c>
      <c r="AQ32" s="283">
        <f t="shared" si="22"/>
        <v>122355</v>
      </c>
      <c r="AR32" s="283">
        <f t="shared" si="22"/>
        <v>0</v>
      </c>
      <c r="AS32" s="283">
        <f t="shared" si="22"/>
        <v>0</v>
      </c>
      <c r="AT32" s="289"/>
      <c r="AU32" s="283">
        <f t="shared" si="23"/>
        <v>221098</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69500910</v>
      </c>
      <c r="E41" s="179">
        <f t="shared" ref="E41:F41" si="31">SUM(E20:E39)</f>
        <v>816642</v>
      </c>
      <c r="F41" s="166">
        <f t="shared" si="31"/>
        <v>70317552</v>
      </c>
      <c r="G41" s="165"/>
      <c r="H41" s="436">
        <f t="shared" ref="H41:I41" si="32">SUM(H20:H39)</f>
        <v>16781444</v>
      </c>
      <c r="I41" s="437">
        <f t="shared" si="32"/>
        <v>16675992</v>
      </c>
      <c r="J41" s="437">
        <f t="shared" ref="J41:K41" si="33">SUM(J20:J39)</f>
        <v>18373407</v>
      </c>
      <c r="K41" s="438">
        <f t="shared" si="33"/>
        <v>17255690</v>
      </c>
      <c r="L41" s="156"/>
      <c r="M41" s="168">
        <f>SUM(M20:M39)</f>
        <v>69086533</v>
      </c>
      <c r="N41" s="180">
        <f>IFERROR(M41/F41,0)</f>
        <v>0.98249343208079831</v>
      </c>
      <c r="O41" s="595"/>
      <c r="P41" s="594"/>
      <c r="Q41"/>
      <c r="R41"/>
      <c r="S41" s="119"/>
      <c r="T41" s="164" t="s">
        <v>12</v>
      </c>
      <c r="U41" s="165">
        <v>69500910.140000001</v>
      </c>
      <c r="V41" s="179">
        <v>0</v>
      </c>
      <c r="W41" s="166">
        <v>69500910.140000001</v>
      </c>
      <c r="X41" s="165"/>
      <c r="Y41" s="436">
        <v>16780589</v>
      </c>
      <c r="Z41" s="437">
        <v>16627341</v>
      </c>
      <c r="AA41" s="437">
        <v>0</v>
      </c>
      <c r="AB41" s="438" t="s">
        <v>52</v>
      </c>
      <c r="AC41" s="156"/>
      <c r="AD41" s="168">
        <v>33407930</v>
      </c>
      <c r="AE41" s="180">
        <v>0.48068334547999919</v>
      </c>
      <c r="AF41" s="163"/>
      <c r="AG41" s="118"/>
      <c r="AH41"/>
      <c r="AI41"/>
      <c r="AJ41" s="248"/>
      <c r="AK41" s="298" t="s">
        <v>12</v>
      </c>
      <c r="AL41" s="299">
        <f>SUM(AL20:AL39)</f>
        <v>0.14000000013038516</v>
      </c>
      <c r="AM41" s="313">
        <f t="shared" ref="AM41" si="34">SUM(AM20:AM39)</f>
        <v>-816642</v>
      </c>
      <c r="AN41" s="300">
        <f>SUM(AN20:AN39)</f>
        <v>-816641.85999999987</v>
      </c>
      <c r="AO41" s="299"/>
      <c r="AP41" s="301">
        <f>SUM(AP20:AP39)</f>
        <v>-855</v>
      </c>
      <c r="AQ41" s="302">
        <f t="shared" ref="AQ41:AS41" si="35">SUM(AQ20:AQ39)</f>
        <v>-48651</v>
      </c>
      <c r="AR41" s="302">
        <f t="shared" si="35"/>
        <v>-18373407</v>
      </c>
      <c r="AS41" s="302">
        <f t="shared" si="35"/>
        <v>-17255690</v>
      </c>
      <c r="AT41" s="289"/>
      <c r="AU41" s="302">
        <f>SUM(AU20:AU39)</f>
        <v>-35678603</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59300122</v>
      </c>
      <c r="E44" s="156">
        <f t="shared" ref="E44:M44" si="36">SUM(E45:E47)</f>
        <v>355559</v>
      </c>
      <c r="F44" s="153">
        <f t="shared" si="36"/>
        <v>59655681</v>
      </c>
      <c r="G44" s="152">
        <f t="shared" si="36"/>
        <v>0</v>
      </c>
      <c r="H44" s="154">
        <f t="shared" si="36"/>
        <v>14309670</v>
      </c>
      <c r="I44" s="155">
        <f t="shared" ref="I44" si="37">SUM(I45:I47)</f>
        <v>14714432</v>
      </c>
      <c r="J44" s="155">
        <f t="shared" ref="J44:K44" si="38">SUM(J45:J47)</f>
        <v>15321806</v>
      </c>
      <c r="K44" s="155">
        <f t="shared" si="38"/>
        <v>14860216</v>
      </c>
      <c r="L44" s="156"/>
      <c r="M44" s="155">
        <f t="shared" si="36"/>
        <v>59206124</v>
      </c>
      <c r="N44" s="183">
        <f t="shared" ref="N44:N64" si="39">IFERROR(M44/F44,0)</f>
        <v>0.99246413765689812</v>
      </c>
      <c r="O44" s="595"/>
      <c r="P44" s="478"/>
      <c r="Q44"/>
      <c r="R44"/>
      <c r="S44" s="159"/>
      <c r="T44" s="182" t="str">
        <f t="shared" ref="T44:T64" si="40">C44</f>
        <v>Current payments</v>
      </c>
      <c r="U44" s="152">
        <v>59300122.139999993</v>
      </c>
      <c r="V44" s="156">
        <v>0</v>
      </c>
      <c r="W44" s="153">
        <v>59300122.139999993</v>
      </c>
      <c r="X44" s="152">
        <v>0</v>
      </c>
      <c r="Y44" s="154">
        <v>14308711</v>
      </c>
      <c r="Z44" s="155">
        <v>14713462</v>
      </c>
      <c r="AA44" s="155">
        <v>0</v>
      </c>
      <c r="AB44" s="155">
        <v>0</v>
      </c>
      <c r="AC44" s="156"/>
      <c r="AD44" s="155">
        <v>29022173</v>
      </c>
      <c r="AE44" s="172">
        <v>0.4894116901055004</v>
      </c>
      <c r="AF44" s="163"/>
      <c r="AG44" s="181"/>
      <c r="AH44"/>
      <c r="AI44"/>
      <c r="AJ44" s="293"/>
      <c r="AK44" s="314" t="s">
        <v>0</v>
      </c>
      <c r="AL44" s="285">
        <f>SUM(AL45:AL47)</f>
        <v>0.139999995008111</v>
      </c>
      <c r="AM44" s="289">
        <f t="shared" ref="AM44:AO44" si="41">SUM(AM45:AM47)</f>
        <v>-355559</v>
      </c>
      <c r="AN44" s="286">
        <f>SUM(AN45:AN47)</f>
        <v>-355558.86000000499</v>
      </c>
      <c r="AO44" s="285">
        <f t="shared" si="41"/>
        <v>0</v>
      </c>
      <c r="AP44" s="287">
        <f>SUM(AP45:AP47)</f>
        <v>-959</v>
      </c>
      <c r="AQ44" s="288">
        <f t="shared" ref="AQ44:AS44" si="42">SUM(AQ45:AQ47)</f>
        <v>-970</v>
      </c>
      <c r="AR44" s="288">
        <f t="shared" si="42"/>
        <v>-15321806</v>
      </c>
      <c r="AS44" s="288">
        <f t="shared" si="42"/>
        <v>-14860216</v>
      </c>
      <c r="AT44" s="289"/>
      <c r="AU44" s="288">
        <f t="shared" ref="AU44" si="43">SUM(AU45:AU47)</f>
        <v>-30183951</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49191590</v>
      </c>
      <c r="E45" s="491">
        <f t="shared" ref="E45:E47" si="44">F45-D45</f>
        <v>-738228</v>
      </c>
      <c r="F45" s="483">
        <v>48453362</v>
      </c>
      <c r="G45" s="482"/>
      <c r="H45" s="484">
        <v>11933577</v>
      </c>
      <c r="I45" s="485">
        <v>12155352</v>
      </c>
      <c r="J45" s="485">
        <v>12284759</v>
      </c>
      <c r="K45" s="485">
        <v>12040879</v>
      </c>
      <c r="L45" s="156"/>
      <c r="M45" s="147">
        <f t="shared" ref="M45:M47" si="45">SUM(H45:K45)</f>
        <v>48414567</v>
      </c>
      <c r="N45" s="172">
        <f t="shared" si="39"/>
        <v>0.99919933316495146</v>
      </c>
      <c r="O45" s="163"/>
      <c r="P45" s="181"/>
      <c r="Q45"/>
      <c r="R45"/>
      <c r="S45" s="159"/>
      <c r="T45" s="157" t="str">
        <f t="shared" si="40"/>
        <v>Compensation of employees</v>
      </c>
      <c r="U45" s="146">
        <v>49191590.229999997</v>
      </c>
      <c r="V45" s="150">
        <v>0</v>
      </c>
      <c r="W45" s="148">
        <v>49191590.229999997</v>
      </c>
      <c r="X45" s="146"/>
      <c r="Y45" s="149">
        <v>11937032</v>
      </c>
      <c r="Z45" s="224">
        <v>12155408</v>
      </c>
      <c r="AA45" s="224"/>
      <c r="AB45" s="224"/>
      <c r="AC45" s="156"/>
      <c r="AD45" s="147">
        <v>24092440</v>
      </c>
      <c r="AE45" s="172">
        <v>0.48976745592800491</v>
      </c>
      <c r="AF45" s="163"/>
      <c r="AG45" s="181"/>
      <c r="AH45"/>
      <c r="AI45"/>
      <c r="AJ45" s="293"/>
      <c r="AK45" s="291" t="s">
        <v>54</v>
      </c>
      <c r="AL45" s="279">
        <f t="shared" ref="AL45:AN47" si="46">IFERROR(U45-D45,0)</f>
        <v>0.22999999672174454</v>
      </c>
      <c r="AM45" s="280">
        <f t="shared" si="46"/>
        <v>738228</v>
      </c>
      <c r="AN45" s="281">
        <f t="shared" si="46"/>
        <v>738228.22999999672</v>
      </c>
      <c r="AO45" s="279"/>
      <c r="AP45" s="282">
        <f t="shared" ref="AP45:AS47" si="47">IFERROR(Y45-H45,0)</f>
        <v>3455</v>
      </c>
      <c r="AQ45" s="283">
        <f t="shared" si="47"/>
        <v>56</v>
      </c>
      <c r="AR45" s="283">
        <f t="shared" si="47"/>
        <v>-12284759</v>
      </c>
      <c r="AS45" s="283">
        <f t="shared" si="47"/>
        <v>-12040879</v>
      </c>
      <c r="AT45" s="289"/>
      <c r="AU45" s="283">
        <f t="shared" ref="AU45:AU47" si="48">IFERROR(AD45-M45,0)</f>
        <v>-24322127</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10107562</v>
      </c>
      <c r="E46" s="491">
        <f t="shared" si="44"/>
        <v>1093787</v>
      </c>
      <c r="F46" s="483">
        <v>11201349</v>
      </c>
      <c r="G46" s="482"/>
      <c r="H46" s="484">
        <v>2376092</v>
      </c>
      <c r="I46" s="485">
        <v>2559080</v>
      </c>
      <c r="J46" s="485">
        <v>3036096</v>
      </c>
      <c r="K46" s="485">
        <v>2819337</v>
      </c>
      <c r="L46" s="156"/>
      <c r="M46" s="147">
        <f t="shared" si="45"/>
        <v>10790605</v>
      </c>
      <c r="N46" s="172">
        <f t="shared" si="39"/>
        <v>0.96333084524015811</v>
      </c>
      <c r="O46" s="163"/>
      <c r="P46" s="181"/>
      <c r="Q46"/>
      <c r="R46"/>
      <c r="S46" s="159"/>
      <c r="T46" s="157" t="str">
        <f t="shared" si="40"/>
        <v>Goods and services</v>
      </c>
      <c r="U46" s="146">
        <v>10107561.909999998</v>
      </c>
      <c r="V46" s="150">
        <v>0</v>
      </c>
      <c r="W46" s="148">
        <v>10107561.909999998</v>
      </c>
      <c r="X46" s="146"/>
      <c r="Y46" s="149">
        <v>2371678</v>
      </c>
      <c r="Z46" s="224">
        <v>2558054</v>
      </c>
      <c r="AA46" s="224"/>
      <c r="AB46" s="224"/>
      <c r="AC46" s="156"/>
      <c r="AD46" s="147">
        <v>4929732</v>
      </c>
      <c r="AE46" s="172">
        <v>0.48772711400587415</v>
      </c>
      <c r="AF46" s="163"/>
      <c r="AG46" s="181"/>
      <c r="AH46"/>
      <c r="AI46"/>
      <c r="AJ46" s="293"/>
      <c r="AK46" s="291" t="s">
        <v>55</v>
      </c>
      <c r="AL46" s="279">
        <f t="shared" si="46"/>
        <v>-9.0000001713633537E-2</v>
      </c>
      <c r="AM46" s="280">
        <f t="shared" si="46"/>
        <v>-1093787</v>
      </c>
      <c r="AN46" s="281">
        <f t="shared" si="46"/>
        <v>-1093787.0900000017</v>
      </c>
      <c r="AO46" s="279"/>
      <c r="AP46" s="282">
        <f t="shared" si="47"/>
        <v>-4414</v>
      </c>
      <c r="AQ46" s="283">
        <f t="shared" si="47"/>
        <v>-1026</v>
      </c>
      <c r="AR46" s="283">
        <f t="shared" si="47"/>
        <v>-3036096</v>
      </c>
      <c r="AS46" s="283">
        <f t="shared" si="47"/>
        <v>-2819337</v>
      </c>
      <c r="AT46" s="289"/>
      <c r="AU46" s="283">
        <f t="shared" si="48"/>
        <v>-5860873</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970</v>
      </c>
      <c r="E47" s="491">
        <f t="shared" si="44"/>
        <v>0</v>
      </c>
      <c r="F47" s="483">
        <v>970</v>
      </c>
      <c r="G47" s="482"/>
      <c r="H47" s="484">
        <v>1</v>
      </c>
      <c r="I47" s="485">
        <v>0</v>
      </c>
      <c r="J47" s="485">
        <v>951</v>
      </c>
      <c r="K47" s="485">
        <v>0</v>
      </c>
      <c r="L47" s="156"/>
      <c r="M47" s="147">
        <f t="shared" si="45"/>
        <v>952</v>
      </c>
      <c r="N47" s="172">
        <f t="shared" si="39"/>
        <v>0.98144329896907212</v>
      </c>
      <c r="O47" s="163"/>
      <c r="P47" s="181"/>
      <c r="Q47"/>
      <c r="R47"/>
      <c r="S47" s="159"/>
      <c r="T47" s="157" t="str">
        <f t="shared" si="40"/>
        <v>Interest and rent on land</v>
      </c>
      <c r="U47" s="146">
        <v>970</v>
      </c>
      <c r="V47" s="150">
        <v>0</v>
      </c>
      <c r="W47" s="148">
        <v>970</v>
      </c>
      <c r="X47" s="146"/>
      <c r="Y47" s="149">
        <v>1</v>
      </c>
      <c r="Z47" s="224">
        <v>0</v>
      </c>
      <c r="AA47" s="224"/>
      <c r="AB47" s="224"/>
      <c r="AC47" s="156"/>
      <c r="AD47" s="147">
        <v>1</v>
      </c>
      <c r="AE47" s="172">
        <v>1.0309278350515464E-3</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-951</v>
      </c>
      <c r="AS47" s="283">
        <f t="shared" si="47"/>
        <v>0</v>
      </c>
      <c r="AT47" s="289"/>
      <c r="AU47" s="283">
        <f t="shared" si="48"/>
        <v>-951</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8185421</v>
      </c>
      <c r="E48" s="156">
        <f t="shared" ref="E48:M48" si="49">SUM(E49:E55)</f>
        <v>581276</v>
      </c>
      <c r="F48" s="153">
        <f t="shared" si="49"/>
        <v>8766697</v>
      </c>
      <c r="G48" s="152">
        <f t="shared" si="49"/>
        <v>0</v>
      </c>
      <c r="H48" s="154">
        <f t="shared" si="49"/>
        <v>2229499</v>
      </c>
      <c r="I48" s="155">
        <f t="shared" ref="I48" si="50">SUM(I49:I55)</f>
        <v>1618779</v>
      </c>
      <c r="J48" s="155">
        <f t="shared" ref="J48:K48" si="51">SUM(J49:J55)</f>
        <v>2577867</v>
      </c>
      <c r="K48" s="155">
        <f t="shared" si="51"/>
        <v>1949284</v>
      </c>
      <c r="L48" s="156"/>
      <c r="M48" s="155">
        <f t="shared" si="49"/>
        <v>8375429</v>
      </c>
      <c r="N48" s="183">
        <f t="shared" si="39"/>
        <v>0.95536882362878517</v>
      </c>
      <c r="O48" s="595"/>
      <c r="P48" s="478"/>
      <c r="Q48"/>
      <c r="R48"/>
      <c r="S48" s="159"/>
      <c r="T48" s="182" t="str">
        <f t="shared" si="40"/>
        <v>Transfers and subsidies</v>
      </c>
      <c r="U48" s="152">
        <v>8185421</v>
      </c>
      <c r="V48" s="156">
        <v>0</v>
      </c>
      <c r="W48" s="153">
        <v>8185421</v>
      </c>
      <c r="X48" s="152">
        <v>0</v>
      </c>
      <c r="Y48" s="154">
        <v>2229509</v>
      </c>
      <c r="Z48" s="155">
        <v>1574811</v>
      </c>
      <c r="AA48" s="155">
        <v>0</v>
      </c>
      <c r="AB48" s="155">
        <v>0</v>
      </c>
      <c r="AC48" s="156"/>
      <c r="AD48" s="155">
        <v>3804320</v>
      </c>
      <c r="AE48" s="183">
        <v>0.46476778653168849</v>
      </c>
      <c r="AF48" s="163"/>
      <c r="AG48" s="181"/>
      <c r="AH48"/>
      <c r="AI48"/>
      <c r="AJ48" s="293"/>
      <c r="AK48" s="314" t="s">
        <v>1</v>
      </c>
      <c r="AL48" s="285">
        <f>SUM(AL49:AL55)</f>
        <v>0</v>
      </c>
      <c r="AM48" s="289">
        <f t="shared" ref="AM48:AO48" si="52">SUM(AM49:AM55)</f>
        <v>-581276</v>
      </c>
      <c r="AN48" s="286">
        <f>SUM(AN49:AN55)</f>
        <v>-581276</v>
      </c>
      <c r="AO48" s="285">
        <f t="shared" si="52"/>
        <v>0</v>
      </c>
      <c r="AP48" s="287">
        <f>SUM(AP49:AP55)</f>
        <v>10</v>
      </c>
      <c r="AQ48" s="288">
        <f t="shared" ref="AQ48:AS48" si="53">SUM(AQ49:AQ55)</f>
        <v>-43968</v>
      </c>
      <c r="AR48" s="288">
        <f t="shared" si="53"/>
        <v>-2577867</v>
      </c>
      <c r="AS48" s="288">
        <f t="shared" si="53"/>
        <v>-1949284</v>
      </c>
      <c r="AT48" s="289"/>
      <c r="AU48" s="288">
        <f t="shared" ref="AU48" si="54">SUM(AU49:AU55)</f>
        <v>-4571109</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74459</v>
      </c>
      <c r="E49" s="491">
        <f t="shared" ref="E49:E55" si="55">F49-D49</f>
        <v>36150</v>
      </c>
      <c r="F49" s="483">
        <v>110609</v>
      </c>
      <c r="G49" s="482"/>
      <c r="H49" s="484">
        <v>14937</v>
      </c>
      <c r="I49" s="485">
        <v>35846</v>
      </c>
      <c r="J49" s="485">
        <v>34702</v>
      </c>
      <c r="K49" s="485">
        <v>18367</v>
      </c>
      <c r="L49" s="156"/>
      <c r="M49" s="147">
        <f t="shared" ref="M49:M55" si="56">SUM(H49:K49)</f>
        <v>103852</v>
      </c>
      <c r="N49" s="172">
        <f t="shared" si="39"/>
        <v>0.93891093853122265</v>
      </c>
      <c r="O49" s="163"/>
      <c r="P49" s="181"/>
      <c r="Q49"/>
      <c r="R49"/>
      <c r="S49" s="159"/>
      <c r="T49" s="157" t="str">
        <f t="shared" si="40"/>
        <v>Provinces and municipalities</v>
      </c>
      <c r="U49" s="146">
        <v>73223</v>
      </c>
      <c r="V49" s="150">
        <v>0</v>
      </c>
      <c r="W49" s="148">
        <v>73223</v>
      </c>
      <c r="X49" s="146"/>
      <c r="Y49" s="149">
        <v>14937</v>
      </c>
      <c r="Z49" s="224">
        <v>35845</v>
      </c>
      <c r="AA49" s="224"/>
      <c r="AB49" s="224"/>
      <c r="AC49" s="156"/>
      <c r="AD49" s="147">
        <v>50782</v>
      </c>
      <c r="AE49" s="172">
        <v>0.69352525845704216</v>
      </c>
      <c r="AF49" s="163"/>
      <c r="AG49" s="181"/>
      <c r="AH49"/>
      <c r="AI49"/>
      <c r="AJ49" s="293"/>
      <c r="AK49" s="291" t="s">
        <v>57</v>
      </c>
      <c r="AL49" s="279">
        <f t="shared" ref="AL49:AN55" si="57">IFERROR(U49-D49,0)</f>
        <v>-1236</v>
      </c>
      <c r="AM49" s="280">
        <f t="shared" si="57"/>
        <v>-36150</v>
      </c>
      <c r="AN49" s="281">
        <f t="shared" si="57"/>
        <v>-37386</v>
      </c>
      <c r="AO49" s="279"/>
      <c r="AP49" s="282">
        <f t="shared" ref="AP49:AS55" si="58">IFERROR(Y49-H49,0)</f>
        <v>0</v>
      </c>
      <c r="AQ49" s="283">
        <f t="shared" si="58"/>
        <v>-1</v>
      </c>
      <c r="AR49" s="283">
        <f t="shared" si="58"/>
        <v>-34702</v>
      </c>
      <c r="AS49" s="283">
        <f t="shared" si="58"/>
        <v>-18367</v>
      </c>
      <c r="AT49" s="289"/>
      <c r="AU49" s="283">
        <f t="shared" ref="AU49:AU55" si="59">IFERROR(AD49-M49,0)</f>
        <v>-53070</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2311966</v>
      </c>
      <c r="E50" s="491">
        <f t="shared" si="55"/>
        <v>626239</v>
      </c>
      <c r="F50" s="483">
        <v>2938205</v>
      </c>
      <c r="G50" s="482"/>
      <c r="H50" s="484">
        <v>517673</v>
      </c>
      <c r="I50" s="485">
        <v>504213</v>
      </c>
      <c r="J50" s="485">
        <v>748720</v>
      </c>
      <c r="K50" s="485">
        <v>794518</v>
      </c>
      <c r="L50" s="156"/>
      <c r="M50" s="147">
        <f t="shared" si="56"/>
        <v>2565124</v>
      </c>
      <c r="N50" s="172">
        <f t="shared" si="39"/>
        <v>0.87302417632534146</v>
      </c>
      <c r="O50" s="163"/>
      <c r="P50" s="181"/>
      <c r="Q50"/>
      <c r="R50"/>
      <c r="S50" s="159"/>
      <c r="T50" s="157" t="str">
        <f t="shared" si="40"/>
        <v>Departmental agencies and accounts</v>
      </c>
      <c r="U50" s="146">
        <v>2311966</v>
      </c>
      <c r="V50" s="150">
        <v>0</v>
      </c>
      <c r="W50" s="148">
        <v>2311966</v>
      </c>
      <c r="X50" s="146"/>
      <c r="Y50" s="149">
        <v>517673</v>
      </c>
      <c r="Z50" s="224">
        <v>504213</v>
      </c>
      <c r="AA50" s="224"/>
      <c r="AB50" s="224"/>
      <c r="AC50" s="156"/>
      <c r="AD50" s="147">
        <v>1021886</v>
      </c>
      <c r="AE50" s="172">
        <v>0.44199871451396777</v>
      </c>
      <c r="AF50" s="163"/>
      <c r="AG50" s="181"/>
      <c r="AH50"/>
      <c r="AI50"/>
      <c r="AJ50" s="293"/>
      <c r="AK50" s="291" t="s">
        <v>58</v>
      </c>
      <c r="AL50" s="279">
        <f t="shared" si="57"/>
        <v>0</v>
      </c>
      <c r="AM50" s="280">
        <f t="shared" si="57"/>
        <v>-626239</v>
      </c>
      <c r="AN50" s="281">
        <f t="shared" si="57"/>
        <v>-626239</v>
      </c>
      <c r="AO50" s="279"/>
      <c r="AP50" s="282">
        <f t="shared" si="58"/>
        <v>0</v>
      </c>
      <c r="AQ50" s="283">
        <f t="shared" si="58"/>
        <v>0</v>
      </c>
      <c r="AR50" s="283">
        <f t="shared" si="58"/>
        <v>-748720</v>
      </c>
      <c r="AS50" s="283">
        <f t="shared" si="58"/>
        <v>-794518</v>
      </c>
      <c r="AT50" s="289"/>
      <c r="AU50" s="283">
        <f t="shared" si="59"/>
        <v>-1543238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0</v>
      </c>
      <c r="E51" s="491">
        <f t="shared" si="55"/>
        <v>0</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0</v>
      </c>
      <c r="V51" s="150">
        <v>0</v>
      </c>
      <c r="W51" s="148">
        <v>0</v>
      </c>
      <c r="X51" s="146"/>
      <c r="Y51" s="149">
        <v>10</v>
      </c>
      <c r="Z51" s="224">
        <v>0</v>
      </c>
      <c r="AA51" s="224"/>
      <c r="AB51" s="224"/>
      <c r="AC51" s="156"/>
      <c r="AD51" s="147">
        <v>10</v>
      </c>
      <c r="AE51" s="172">
        <v>0</v>
      </c>
      <c r="AF51" s="163"/>
      <c r="AG51" s="181"/>
      <c r="AH51"/>
      <c r="AI51"/>
      <c r="AJ51" s="293"/>
      <c r="AK51" s="291" t="s">
        <v>59</v>
      </c>
      <c r="AL51" s="279">
        <f t="shared" si="57"/>
        <v>0</v>
      </c>
      <c r="AM51" s="280">
        <f t="shared" si="57"/>
        <v>0</v>
      </c>
      <c r="AN51" s="281">
        <f t="shared" si="57"/>
        <v>0</v>
      </c>
      <c r="AO51" s="279"/>
      <c r="AP51" s="282">
        <f t="shared" si="58"/>
        <v>10</v>
      </c>
      <c r="AQ51" s="283">
        <f t="shared" si="58"/>
        <v>0</v>
      </c>
      <c r="AR51" s="283">
        <f t="shared" si="58"/>
        <v>0</v>
      </c>
      <c r="AS51" s="283">
        <f t="shared" si="58"/>
        <v>0</v>
      </c>
      <c r="AT51" s="289"/>
      <c r="AU51" s="283">
        <f t="shared" si="59"/>
        <v>10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742361</v>
      </c>
      <c r="E53" s="491">
        <f t="shared" si="55"/>
        <v>-14000</v>
      </c>
      <c r="F53" s="483">
        <v>728361</v>
      </c>
      <c r="G53" s="482"/>
      <c r="H53" s="484">
        <v>118655</v>
      </c>
      <c r="I53" s="485">
        <v>180472</v>
      </c>
      <c r="J53" s="485">
        <v>179693</v>
      </c>
      <c r="K53" s="485">
        <v>224774</v>
      </c>
      <c r="L53" s="156"/>
      <c r="M53" s="147">
        <f t="shared" si="56"/>
        <v>703594</v>
      </c>
      <c r="N53" s="172">
        <f t="shared" si="39"/>
        <v>0.96599625735040728</v>
      </c>
      <c r="O53" s="163"/>
      <c r="P53" s="181"/>
      <c r="Q53"/>
      <c r="R53"/>
      <c r="S53" s="159"/>
      <c r="T53" s="157" t="str">
        <f t="shared" si="40"/>
        <v>Public corporations and private enterprises</v>
      </c>
      <c r="U53" s="146">
        <v>742361</v>
      </c>
      <c r="V53" s="150">
        <v>0</v>
      </c>
      <c r="W53" s="148">
        <v>742361</v>
      </c>
      <c r="X53" s="146"/>
      <c r="Y53" s="149">
        <v>118655</v>
      </c>
      <c r="Z53" s="224">
        <v>180472</v>
      </c>
      <c r="AA53" s="224"/>
      <c r="AB53" s="224"/>
      <c r="AC53" s="156"/>
      <c r="AD53" s="147">
        <v>299127</v>
      </c>
      <c r="AE53" s="172">
        <v>0.40294007901815965</v>
      </c>
      <c r="AF53" s="163"/>
      <c r="AG53" s="181"/>
      <c r="AH53" s="61"/>
      <c r="AI53"/>
      <c r="AJ53" s="293"/>
      <c r="AK53" s="291" t="s">
        <v>61</v>
      </c>
      <c r="AL53" s="279">
        <f t="shared" si="57"/>
        <v>0</v>
      </c>
      <c r="AM53" s="280">
        <f t="shared" si="57"/>
        <v>14000</v>
      </c>
      <c r="AN53" s="281">
        <f t="shared" si="57"/>
        <v>14000</v>
      </c>
      <c r="AO53" s="279"/>
      <c r="AP53" s="282">
        <f t="shared" si="58"/>
        <v>0</v>
      </c>
      <c r="AQ53" s="283">
        <f t="shared" si="58"/>
        <v>0</v>
      </c>
      <c r="AR53" s="283">
        <f t="shared" si="58"/>
        <v>-179693</v>
      </c>
      <c r="AS53" s="283">
        <f t="shared" si="58"/>
        <v>-224774</v>
      </c>
      <c r="AT53" s="289"/>
      <c r="AU53" s="283">
        <f t="shared" si="59"/>
        <v>-404467</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3005241</v>
      </c>
      <c r="E54" s="491">
        <f t="shared" si="55"/>
        <v>-145914</v>
      </c>
      <c r="F54" s="483">
        <v>2859327</v>
      </c>
      <c r="G54" s="482"/>
      <c r="H54" s="484">
        <v>1180156</v>
      </c>
      <c r="I54" s="485">
        <v>312763</v>
      </c>
      <c r="J54" s="485">
        <v>1099175</v>
      </c>
      <c r="K54" s="485">
        <v>242068</v>
      </c>
      <c r="L54" s="156"/>
      <c r="M54" s="147">
        <f t="shared" si="56"/>
        <v>2834162</v>
      </c>
      <c r="N54" s="172">
        <f t="shared" si="39"/>
        <v>0.99119897794131273</v>
      </c>
      <c r="O54" s="163"/>
      <c r="P54" s="181"/>
      <c r="Q54"/>
      <c r="R54"/>
      <c r="S54" s="159"/>
      <c r="T54" s="157" t="str">
        <f t="shared" si="40"/>
        <v>Non profit institutions</v>
      </c>
      <c r="U54" s="146">
        <v>3005241</v>
      </c>
      <c r="V54" s="150">
        <v>0</v>
      </c>
      <c r="W54" s="148">
        <v>3005241</v>
      </c>
      <c r="X54" s="146"/>
      <c r="Y54" s="149">
        <v>1180156</v>
      </c>
      <c r="Z54" s="224">
        <v>269353</v>
      </c>
      <c r="AA54" s="224"/>
      <c r="AB54" s="224"/>
      <c r="AC54" s="156"/>
      <c r="AD54" s="147">
        <v>1449509</v>
      </c>
      <c r="AE54" s="172">
        <v>0.48232704132547105</v>
      </c>
      <c r="AF54" s="163"/>
      <c r="AG54" s="181"/>
      <c r="AH54" s="61"/>
      <c r="AI54"/>
      <c r="AJ54" s="293"/>
      <c r="AK54" s="291" t="s">
        <v>62</v>
      </c>
      <c r="AL54" s="279">
        <f t="shared" si="57"/>
        <v>0</v>
      </c>
      <c r="AM54" s="280">
        <f t="shared" si="57"/>
        <v>145914</v>
      </c>
      <c r="AN54" s="281">
        <f t="shared" si="57"/>
        <v>145914</v>
      </c>
      <c r="AO54" s="279"/>
      <c r="AP54" s="282">
        <f t="shared" si="58"/>
        <v>0</v>
      </c>
      <c r="AQ54" s="283">
        <f t="shared" si="58"/>
        <v>-43410</v>
      </c>
      <c r="AR54" s="283">
        <f t="shared" si="58"/>
        <v>-1099175</v>
      </c>
      <c r="AS54" s="283">
        <f t="shared" si="58"/>
        <v>-242068</v>
      </c>
      <c r="AT54" s="289"/>
      <c r="AU54" s="283">
        <f t="shared" si="59"/>
        <v>-1384653</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2051394</v>
      </c>
      <c r="E55" s="491">
        <f t="shared" si="55"/>
        <v>78801</v>
      </c>
      <c r="F55" s="483">
        <v>2130195</v>
      </c>
      <c r="G55" s="482"/>
      <c r="H55" s="484">
        <v>398078</v>
      </c>
      <c r="I55" s="485">
        <v>585485</v>
      </c>
      <c r="J55" s="485">
        <v>515577</v>
      </c>
      <c r="K55" s="485">
        <v>669557</v>
      </c>
      <c r="L55" s="156"/>
      <c r="M55" s="147">
        <f t="shared" si="56"/>
        <v>2168697</v>
      </c>
      <c r="N55" s="172">
        <f t="shared" si="39"/>
        <v>1.0180744016392866</v>
      </c>
      <c r="O55" s="163"/>
      <c r="P55" s="181"/>
      <c r="Q55"/>
      <c r="R55"/>
      <c r="S55" s="159"/>
      <c r="T55" s="157" t="str">
        <f t="shared" si="40"/>
        <v>Households</v>
      </c>
      <c r="U55" s="146">
        <v>2052630</v>
      </c>
      <c r="V55" s="150">
        <v>0</v>
      </c>
      <c r="W55" s="148">
        <v>2052630</v>
      </c>
      <c r="X55" s="146"/>
      <c r="Y55" s="149">
        <v>398078</v>
      </c>
      <c r="Z55" s="224">
        <v>584928</v>
      </c>
      <c r="AA55" s="224"/>
      <c r="AB55" s="224"/>
      <c r="AC55" s="156"/>
      <c r="AD55" s="147">
        <v>983006</v>
      </c>
      <c r="AE55" s="172">
        <v>0.47890072735953387</v>
      </c>
      <c r="AF55" s="163"/>
      <c r="AG55" s="181"/>
      <c r="AH55"/>
      <c r="AI55"/>
      <c r="AJ55" s="293"/>
      <c r="AK55" s="291" t="s">
        <v>63</v>
      </c>
      <c r="AL55" s="279">
        <f t="shared" si="57"/>
        <v>1236</v>
      </c>
      <c r="AM55" s="280">
        <f t="shared" si="57"/>
        <v>-78801</v>
      </c>
      <c r="AN55" s="281">
        <f t="shared" si="57"/>
        <v>-77565</v>
      </c>
      <c r="AO55" s="279"/>
      <c r="AP55" s="282">
        <f t="shared" si="58"/>
        <v>0</v>
      </c>
      <c r="AQ55" s="283">
        <f t="shared" si="58"/>
        <v>-557</v>
      </c>
      <c r="AR55" s="283">
        <f t="shared" si="58"/>
        <v>-515577</v>
      </c>
      <c r="AS55" s="283">
        <f t="shared" si="58"/>
        <v>-669557</v>
      </c>
      <c r="AT55" s="289"/>
      <c r="AU55" s="283">
        <f t="shared" si="59"/>
        <v>-1185691</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2015367</v>
      </c>
      <c r="E56" s="156">
        <f t="shared" ref="E56:M56" si="60">SUM(E57:E63)</f>
        <v>-121278</v>
      </c>
      <c r="F56" s="153">
        <f t="shared" si="60"/>
        <v>1894089</v>
      </c>
      <c r="G56" s="152">
        <f t="shared" si="60"/>
        <v>0</v>
      </c>
      <c r="H56" s="154">
        <f t="shared" si="60"/>
        <v>242160</v>
      </c>
      <c r="I56" s="155">
        <f t="shared" ref="I56" si="61">SUM(I57:I63)</f>
        <v>342847</v>
      </c>
      <c r="J56" s="155">
        <f t="shared" ref="J56:K56" si="62">SUM(J57:J63)</f>
        <v>473717</v>
      </c>
      <c r="K56" s="155">
        <f t="shared" si="62"/>
        <v>445145</v>
      </c>
      <c r="L56" s="156"/>
      <c r="M56" s="155">
        <f t="shared" si="60"/>
        <v>1503869</v>
      </c>
      <c r="N56" s="183">
        <f t="shared" si="39"/>
        <v>0.79398011392284096</v>
      </c>
      <c r="O56" s="595"/>
      <c r="P56" s="478"/>
      <c r="Q56"/>
      <c r="R56"/>
      <c r="S56" s="159"/>
      <c r="T56" s="182" t="str">
        <f t="shared" si="40"/>
        <v>Payments for capital assets</v>
      </c>
      <c r="U56" s="152">
        <v>2015367</v>
      </c>
      <c r="V56" s="156">
        <v>0</v>
      </c>
      <c r="W56" s="153">
        <v>2015367</v>
      </c>
      <c r="X56" s="152">
        <v>0</v>
      </c>
      <c r="Y56" s="154">
        <v>242252</v>
      </c>
      <c r="Z56" s="155">
        <v>339134</v>
      </c>
      <c r="AA56" s="155">
        <v>0</v>
      </c>
      <c r="AB56" s="155">
        <v>0</v>
      </c>
      <c r="AC56" s="156"/>
      <c r="AD56" s="155">
        <v>581386</v>
      </c>
      <c r="AE56" s="183">
        <v>0.28847649088230581</v>
      </c>
      <c r="AF56" s="163"/>
      <c r="AG56" s="181"/>
      <c r="AH56"/>
      <c r="AI56"/>
      <c r="AJ56" s="293"/>
      <c r="AK56" s="314" t="s">
        <v>2</v>
      </c>
      <c r="AL56" s="285">
        <f>SUM(AL57:AL63)</f>
        <v>0</v>
      </c>
      <c r="AM56" s="289">
        <f t="shared" ref="AM56:AO56" si="63">SUM(AM57:AM63)</f>
        <v>121278</v>
      </c>
      <c r="AN56" s="286">
        <f>SUM(AN57:AN63)</f>
        <v>121278</v>
      </c>
      <c r="AO56" s="285">
        <f t="shared" si="63"/>
        <v>0</v>
      </c>
      <c r="AP56" s="287">
        <f>SUM(AP57:AP63)</f>
        <v>92</v>
      </c>
      <c r="AQ56" s="288">
        <f t="shared" ref="AQ56:AS56" si="64">SUM(AQ57:AQ63)</f>
        <v>-3713</v>
      </c>
      <c r="AR56" s="288">
        <f t="shared" si="64"/>
        <v>-473717</v>
      </c>
      <c r="AS56" s="288">
        <f t="shared" si="64"/>
        <v>-445145</v>
      </c>
      <c r="AT56" s="289"/>
      <c r="AU56" s="288">
        <f t="shared" ref="AU56" si="65">SUM(AU57:AU63)</f>
        <v>-922483</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1514680</v>
      </c>
      <c r="E57" s="491">
        <f t="shared" ref="E57:E64" si="66">F57-D57</f>
        <v>-58908</v>
      </c>
      <c r="F57" s="483">
        <v>1455772</v>
      </c>
      <c r="G57" s="482"/>
      <c r="H57" s="484">
        <v>195279</v>
      </c>
      <c r="I57" s="485">
        <v>259636</v>
      </c>
      <c r="J57" s="485">
        <v>409355</v>
      </c>
      <c r="K57" s="485">
        <v>252476</v>
      </c>
      <c r="L57" s="156"/>
      <c r="M57" s="147">
        <f t="shared" ref="M57:M64" si="67">SUM(H57:K57)</f>
        <v>1116746</v>
      </c>
      <c r="N57" s="172">
        <f t="shared" si="39"/>
        <v>0.76711600442926497</v>
      </c>
      <c r="O57" s="163"/>
      <c r="P57" s="181"/>
      <c r="Q57"/>
      <c r="R57"/>
      <c r="S57" s="159"/>
      <c r="T57" s="157" t="str">
        <f t="shared" si="40"/>
        <v>Buildings and other fixed structures</v>
      </c>
      <c r="U57" s="146">
        <v>1507404</v>
      </c>
      <c r="V57" s="150">
        <v>0</v>
      </c>
      <c r="W57" s="148">
        <v>1507404</v>
      </c>
      <c r="X57" s="146"/>
      <c r="Y57" s="149">
        <v>195279</v>
      </c>
      <c r="Z57" s="224">
        <v>259636</v>
      </c>
      <c r="AA57" s="224"/>
      <c r="AB57" s="224"/>
      <c r="AC57" s="156"/>
      <c r="AD57" s="147">
        <v>454915</v>
      </c>
      <c r="AE57" s="172">
        <v>0.30178704580855564</v>
      </c>
      <c r="AF57" s="163"/>
      <c r="AG57" s="181"/>
      <c r="AH57"/>
      <c r="AI57"/>
      <c r="AJ57" s="293"/>
      <c r="AK57" s="291" t="s">
        <v>64</v>
      </c>
      <c r="AL57" s="279">
        <f t="shared" ref="AL57:AN64" si="68">IFERROR(U57-D57,0)</f>
        <v>-7276</v>
      </c>
      <c r="AM57" s="280">
        <f t="shared" si="68"/>
        <v>58908</v>
      </c>
      <c r="AN57" s="281">
        <f t="shared" si="68"/>
        <v>51632</v>
      </c>
      <c r="AO57" s="279"/>
      <c r="AP57" s="282">
        <f t="shared" ref="AP57:AS64" si="69">IFERROR(Y57-H57,0)</f>
        <v>0</v>
      </c>
      <c r="AQ57" s="283">
        <f t="shared" si="69"/>
        <v>0</v>
      </c>
      <c r="AR57" s="283">
        <f t="shared" si="69"/>
        <v>-409355</v>
      </c>
      <c r="AS57" s="283">
        <f t="shared" si="69"/>
        <v>-252476</v>
      </c>
      <c r="AT57" s="289"/>
      <c r="AU57" s="283">
        <f t="shared" ref="AU57:AU64" si="70">IFERROR(AD57-M57,0)</f>
        <v>-661831</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495103</v>
      </c>
      <c r="E58" s="491">
        <f t="shared" si="66"/>
        <v>-68216</v>
      </c>
      <c r="F58" s="483">
        <v>426887</v>
      </c>
      <c r="G58" s="482"/>
      <c r="H58" s="484">
        <v>46700</v>
      </c>
      <c r="I58" s="485">
        <v>79926</v>
      </c>
      <c r="J58" s="485">
        <v>57776</v>
      </c>
      <c r="K58" s="485">
        <v>185185</v>
      </c>
      <c r="L58" s="156"/>
      <c r="M58" s="147">
        <f t="shared" si="67"/>
        <v>369587</v>
      </c>
      <c r="N58" s="172">
        <f t="shared" si="39"/>
        <v>0.8657724409504155</v>
      </c>
      <c r="O58" s="163"/>
      <c r="P58" s="181"/>
      <c r="Q58"/>
      <c r="R58"/>
      <c r="S58" s="159"/>
      <c r="T58" s="157" t="str">
        <f t="shared" si="40"/>
        <v>Machinery and equipment</v>
      </c>
      <c r="U58" s="146">
        <v>502819</v>
      </c>
      <c r="V58" s="150">
        <v>0</v>
      </c>
      <c r="W58" s="148">
        <v>502819</v>
      </c>
      <c r="X58" s="146"/>
      <c r="Y58" s="149">
        <v>46792</v>
      </c>
      <c r="Z58" s="224">
        <v>76213</v>
      </c>
      <c r="AA58" s="224"/>
      <c r="AB58" s="224"/>
      <c r="AC58" s="156"/>
      <c r="AD58" s="147">
        <v>123005</v>
      </c>
      <c r="AE58" s="172">
        <v>0.24463077170910408</v>
      </c>
      <c r="AF58" s="163"/>
      <c r="AG58" s="181"/>
      <c r="AH58"/>
      <c r="AI58"/>
      <c r="AJ58" s="293"/>
      <c r="AK58" s="291" t="s">
        <v>65</v>
      </c>
      <c r="AL58" s="279">
        <f t="shared" si="68"/>
        <v>7716</v>
      </c>
      <c r="AM58" s="280">
        <f t="shared" si="68"/>
        <v>68216</v>
      </c>
      <c r="AN58" s="281">
        <f t="shared" si="68"/>
        <v>75932</v>
      </c>
      <c r="AO58" s="279"/>
      <c r="AP58" s="282">
        <f t="shared" si="69"/>
        <v>92</v>
      </c>
      <c r="AQ58" s="283">
        <f t="shared" si="69"/>
        <v>-3713</v>
      </c>
      <c r="AR58" s="283">
        <f t="shared" si="69"/>
        <v>-57776</v>
      </c>
      <c r="AS58" s="283">
        <f t="shared" si="69"/>
        <v>-185185</v>
      </c>
      <c r="AT58" s="289"/>
      <c r="AU58" s="283">
        <f t="shared" si="70"/>
        <v>-246582</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182</v>
      </c>
      <c r="F59" s="483">
        <v>182</v>
      </c>
      <c r="G59" s="482"/>
      <c r="H59" s="484">
        <v>181</v>
      </c>
      <c r="I59" s="485">
        <v>0</v>
      </c>
      <c r="J59" s="485">
        <v>0</v>
      </c>
      <c r="K59" s="485">
        <v>0</v>
      </c>
      <c r="L59" s="156"/>
      <c r="M59" s="147">
        <f t="shared" si="67"/>
        <v>181</v>
      </c>
      <c r="N59" s="172">
        <f t="shared" si="39"/>
        <v>0.99450549450549453</v>
      </c>
      <c r="O59" s="163"/>
      <c r="P59" s="181"/>
      <c r="Q59"/>
      <c r="R59"/>
      <c r="S59" s="159"/>
      <c r="T59" s="157" t="str">
        <f t="shared" si="40"/>
        <v>Heritage assets</v>
      </c>
      <c r="U59" s="146">
        <v>0</v>
      </c>
      <c r="V59" s="150">
        <v>0</v>
      </c>
      <c r="W59" s="148">
        <v>0</v>
      </c>
      <c r="X59" s="146"/>
      <c r="Y59" s="149">
        <v>181</v>
      </c>
      <c r="Z59" s="224">
        <v>0</v>
      </c>
      <c r="AA59" s="224"/>
      <c r="AB59" s="224"/>
      <c r="AC59" s="156"/>
      <c r="AD59" s="147">
        <v>181</v>
      </c>
      <c r="AE59" s="172">
        <v>0</v>
      </c>
      <c r="AF59" s="163"/>
      <c r="AG59" s="181"/>
      <c r="AH59"/>
      <c r="AI59"/>
      <c r="AJ59" s="293"/>
      <c r="AK59" s="291" t="s">
        <v>66</v>
      </c>
      <c r="AL59" s="279">
        <f t="shared" si="68"/>
        <v>0</v>
      </c>
      <c r="AM59" s="280">
        <f t="shared" si="68"/>
        <v>-182</v>
      </c>
      <c r="AN59" s="281">
        <f t="shared" si="68"/>
        <v>-182</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35</v>
      </c>
      <c r="E60" s="491">
        <f t="shared" si="66"/>
        <v>-35</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35</v>
      </c>
      <c r="V60" s="150">
        <v>0</v>
      </c>
      <c r="W60" s="148">
        <v>35</v>
      </c>
      <c r="X60" s="146"/>
      <c r="Y60" s="149">
        <v>0</v>
      </c>
      <c r="Z60" s="224">
        <v>0</v>
      </c>
      <c r="AA60" s="224"/>
      <c r="AB60" s="224"/>
      <c r="AC60" s="156"/>
      <c r="AD60" s="147">
        <v>0</v>
      </c>
      <c r="AE60" s="172">
        <v>0</v>
      </c>
      <c r="AF60" s="163"/>
      <c r="AG60" s="181"/>
      <c r="AH60"/>
      <c r="AI60"/>
      <c r="AJ60" s="293"/>
      <c r="AK60" s="291" t="s">
        <v>67</v>
      </c>
      <c r="AL60" s="279">
        <f t="shared" si="68"/>
        <v>0</v>
      </c>
      <c r="AM60" s="280">
        <f t="shared" si="68"/>
        <v>35</v>
      </c>
      <c r="AN60" s="281">
        <f t="shared" si="68"/>
        <v>35</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4509</v>
      </c>
      <c r="E61" s="491">
        <f t="shared" si="66"/>
        <v>-800</v>
      </c>
      <c r="F61" s="483">
        <v>3709</v>
      </c>
      <c r="G61" s="482"/>
      <c r="H61" s="484">
        <v>0</v>
      </c>
      <c r="I61" s="485">
        <v>3285</v>
      </c>
      <c r="J61" s="485">
        <v>424</v>
      </c>
      <c r="K61" s="485">
        <v>0</v>
      </c>
      <c r="L61" s="156"/>
      <c r="M61" s="147">
        <f t="shared" si="67"/>
        <v>3709</v>
      </c>
      <c r="N61" s="172">
        <f t="shared" si="39"/>
        <v>1</v>
      </c>
      <c r="O61" s="163"/>
      <c r="P61" s="181"/>
      <c r="Q61"/>
      <c r="R61"/>
      <c r="S61" s="159"/>
      <c r="T61" s="157" t="str">
        <f t="shared" si="40"/>
        <v>Biological assets</v>
      </c>
      <c r="U61" s="146">
        <v>4509</v>
      </c>
      <c r="V61" s="150">
        <v>0</v>
      </c>
      <c r="W61" s="148">
        <v>4509</v>
      </c>
      <c r="X61" s="146"/>
      <c r="Y61" s="149">
        <v>0</v>
      </c>
      <c r="Z61" s="224">
        <v>3285</v>
      </c>
      <c r="AA61" s="224"/>
      <c r="AB61" s="224"/>
      <c r="AC61" s="156"/>
      <c r="AD61" s="147">
        <v>3285</v>
      </c>
      <c r="AE61" s="172">
        <v>0.72854291417165673</v>
      </c>
      <c r="AF61" s="163"/>
      <c r="AG61" s="181"/>
      <c r="AH61"/>
      <c r="AI61"/>
      <c r="AJ61" s="293"/>
      <c r="AK61" s="291" t="s">
        <v>68</v>
      </c>
      <c r="AL61" s="279">
        <f t="shared" si="68"/>
        <v>0</v>
      </c>
      <c r="AM61" s="280">
        <f t="shared" si="68"/>
        <v>800</v>
      </c>
      <c r="AN61" s="281">
        <f t="shared" si="68"/>
        <v>800</v>
      </c>
      <c r="AO61" s="279"/>
      <c r="AP61" s="282">
        <f t="shared" si="69"/>
        <v>0</v>
      </c>
      <c r="AQ61" s="283">
        <f t="shared" si="69"/>
        <v>0</v>
      </c>
      <c r="AR61" s="283">
        <f t="shared" si="69"/>
        <v>-424</v>
      </c>
      <c r="AS61" s="283">
        <f t="shared" si="69"/>
        <v>0</v>
      </c>
      <c r="AT61" s="289"/>
      <c r="AU61" s="283">
        <f t="shared" si="70"/>
        <v>-424</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1040</v>
      </c>
      <c r="E63" s="491">
        <f t="shared" si="66"/>
        <v>6499</v>
      </c>
      <c r="F63" s="483">
        <v>7539</v>
      </c>
      <c r="G63" s="482"/>
      <c r="H63" s="484">
        <v>0</v>
      </c>
      <c r="I63" s="485">
        <v>0</v>
      </c>
      <c r="J63" s="485">
        <v>6162</v>
      </c>
      <c r="K63" s="485">
        <v>7484</v>
      </c>
      <c r="L63" s="156"/>
      <c r="M63" s="147">
        <f t="shared" si="67"/>
        <v>13646</v>
      </c>
      <c r="N63" s="172">
        <f t="shared" si="39"/>
        <v>1.8100543838705399</v>
      </c>
      <c r="O63" s="163"/>
      <c r="P63" s="181"/>
      <c r="Q63"/>
      <c r="R63"/>
      <c r="S63" s="159"/>
      <c r="T63" s="157" t="str">
        <f t="shared" si="40"/>
        <v>Software and other intangible assets</v>
      </c>
      <c r="U63" s="146">
        <v>600</v>
      </c>
      <c r="V63" s="150">
        <v>0</v>
      </c>
      <c r="W63" s="148">
        <v>600</v>
      </c>
      <c r="X63" s="146"/>
      <c r="Y63" s="149">
        <v>0</v>
      </c>
      <c r="Z63" s="224">
        <v>0</v>
      </c>
      <c r="AA63" s="224"/>
      <c r="AB63" s="224"/>
      <c r="AC63" s="156"/>
      <c r="AD63" s="147">
        <v>0</v>
      </c>
      <c r="AE63" s="172">
        <v>0</v>
      </c>
      <c r="AF63" s="163"/>
      <c r="AG63" s="181"/>
      <c r="AH63"/>
      <c r="AI63"/>
      <c r="AJ63" s="293"/>
      <c r="AK63" s="291" t="s">
        <v>70</v>
      </c>
      <c r="AL63" s="279">
        <f t="shared" si="68"/>
        <v>-440</v>
      </c>
      <c r="AM63" s="280">
        <f t="shared" si="68"/>
        <v>-6499</v>
      </c>
      <c r="AN63" s="281">
        <f t="shared" si="68"/>
        <v>-6939</v>
      </c>
      <c r="AO63" s="279"/>
      <c r="AP63" s="282">
        <f t="shared" si="69"/>
        <v>0</v>
      </c>
      <c r="AQ63" s="283">
        <f t="shared" si="69"/>
        <v>0</v>
      </c>
      <c r="AR63" s="283">
        <f t="shared" si="69"/>
        <v>-6162</v>
      </c>
      <c r="AS63" s="283">
        <f t="shared" si="69"/>
        <v>-7484</v>
      </c>
      <c r="AT63" s="289"/>
      <c r="AU63" s="283">
        <f t="shared" si="70"/>
        <v>-13646</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1085</v>
      </c>
      <c r="F64" s="488">
        <v>1085</v>
      </c>
      <c r="G64" s="487"/>
      <c r="H64" s="489">
        <v>115</v>
      </c>
      <c r="I64" s="490">
        <v>-66</v>
      </c>
      <c r="J64" s="490">
        <v>17</v>
      </c>
      <c r="K64" s="490">
        <v>1045</v>
      </c>
      <c r="L64" s="156"/>
      <c r="M64" s="155">
        <f t="shared" si="67"/>
        <v>1111</v>
      </c>
      <c r="N64" s="183">
        <f t="shared" si="39"/>
        <v>1.023963133640553</v>
      </c>
      <c r="O64" s="595"/>
      <c r="P64" s="478"/>
      <c r="Q64"/>
      <c r="R64"/>
      <c r="S64" s="159"/>
      <c r="T64" s="182" t="str">
        <f t="shared" si="40"/>
        <v>Payments for financial assets</v>
      </c>
      <c r="U64" s="152">
        <v>0</v>
      </c>
      <c r="V64" s="156">
        <v>0</v>
      </c>
      <c r="W64" s="153">
        <v>0</v>
      </c>
      <c r="X64" s="152"/>
      <c r="Y64" s="154">
        <v>117</v>
      </c>
      <c r="Z64" s="224">
        <v>-66</v>
      </c>
      <c r="AA64" s="224"/>
      <c r="AB64" s="224"/>
      <c r="AC64" s="156"/>
      <c r="AD64" s="155">
        <v>51</v>
      </c>
      <c r="AE64" s="172">
        <v>0</v>
      </c>
      <c r="AF64" s="163"/>
      <c r="AG64" s="181"/>
      <c r="AH64"/>
      <c r="AI64"/>
      <c r="AJ64" s="293"/>
      <c r="AK64" s="314" t="s">
        <v>3</v>
      </c>
      <c r="AL64" s="285">
        <f t="shared" si="68"/>
        <v>0</v>
      </c>
      <c r="AM64" s="289">
        <f t="shared" si="68"/>
        <v>-1085</v>
      </c>
      <c r="AN64" s="286">
        <f t="shared" si="68"/>
        <v>-1085</v>
      </c>
      <c r="AO64" s="285"/>
      <c r="AP64" s="287">
        <f t="shared" si="69"/>
        <v>2</v>
      </c>
      <c r="AQ64" s="288">
        <f t="shared" si="69"/>
        <v>0</v>
      </c>
      <c r="AR64" s="288">
        <f t="shared" si="69"/>
        <v>-17</v>
      </c>
      <c r="AS64" s="288">
        <f t="shared" si="69"/>
        <v>-1045</v>
      </c>
      <c r="AT64" s="289"/>
      <c r="AU64" s="288">
        <f t="shared" si="70"/>
        <v>-1060</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69500910</v>
      </c>
      <c r="E66" s="179">
        <f t="shared" ref="E66:F66" si="71">E44+E48+E56+E64</f>
        <v>816642</v>
      </c>
      <c r="F66" s="166">
        <f t="shared" si="71"/>
        <v>70317552</v>
      </c>
      <c r="G66" s="165"/>
      <c r="H66" s="167">
        <f t="shared" ref="H66:I66" si="72">H44+H48+H56+H64</f>
        <v>16781444</v>
      </c>
      <c r="I66" s="437">
        <f t="shared" si="72"/>
        <v>16675992</v>
      </c>
      <c r="J66" s="437">
        <f t="shared" ref="J66:K66" si="73">J44+J48+J56+J64</f>
        <v>18373407</v>
      </c>
      <c r="K66" s="437">
        <f t="shared" si="73"/>
        <v>17255690</v>
      </c>
      <c r="L66" s="156"/>
      <c r="M66" s="168">
        <f>M44+M48+M56+M64</f>
        <v>69086533</v>
      </c>
      <c r="N66" s="180">
        <f>IFERROR(M66/F66,0)</f>
        <v>0.98249343208079831</v>
      </c>
      <c r="O66" s="595"/>
      <c r="P66" s="594"/>
      <c r="Q66"/>
      <c r="R66"/>
      <c r="S66" s="119"/>
      <c r="T66" s="164" t="s">
        <v>12</v>
      </c>
      <c r="U66" s="165">
        <v>69500910.139999986</v>
      </c>
      <c r="V66" s="179">
        <v>0</v>
      </c>
      <c r="W66" s="166">
        <v>69500910.139999986</v>
      </c>
      <c r="X66" s="165"/>
      <c r="Y66" s="167">
        <v>16780589</v>
      </c>
      <c r="Z66" s="437">
        <v>16627341</v>
      </c>
      <c r="AA66" s="437" t="s">
        <v>52</v>
      </c>
      <c r="AB66" s="437" t="s">
        <v>52</v>
      </c>
      <c r="AC66" s="156"/>
      <c r="AD66" s="168">
        <v>33407930</v>
      </c>
      <c r="AE66" s="180">
        <v>0.4806833454799993</v>
      </c>
      <c r="AF66" s="163"/>
      <c r="AG66" s="118"/>
      <c r="AH66"/>
      <c r="AI66"/>
      <c r="AJ66" s="248"/>
      <c r="AK66" s="298" t="s">
        <v>12</v>
      </c>
      <c r="AL66" s="299">
        <f>AL44+AL48+AL56+AL64</f>
        <v>0.139999995008111</v>
      </c>
      <c r="AM66" s="313">
        <f t="shared" ref="AM66" si="74">AM44+AM48+AM56+AM64</f>
        <v>-816642</v>
      </c>
      <c r="AN66" s="300">
        <f>AN44+AN48+AN56+AN64</f>
        <v>-816641.86000000499</v>
      </c>
      <c r="AO66" s="299"/>
      <c r="AP66" s="301">
        <f>AP44+AP48+AP56+AP64</f>
        <v>-855</v>
      </c>
      <c r="AQ66" s="302">
        <f t="shared" ref="AQ66:AS66" si="75">AQ44+AQ48+AQ56+AQ64</f>
        <v>-48651</v>
      </c>
      <c r="AR66" s="302">
        <f t="shared" si="75"/>
        <v>-18373407</v>
      </c>
      <c r="AS66" s="302">
        <f t="shared" si="75"/>
        <v>-17255690</v>
      </c>
      <c r="AT66" s="289"/>
      <c r="AU66" s="302">
        <f>AU44+AU48+AU56+AU64</f>
        <v>-35678603</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Settings!$X$12 &amp; "    " &amp; Settings!$Z$12 &amp; ": Provincial Treasury Limpopo     Tel No:  " &amp; Settings!$AB$12</f>
        <v>Information submitted by:  Gavin Pratt    Head Official: Provincial Treasury Limpopo     Tel No:  (015) 298-7123</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ODx+++1B9c1rp0fm8hL98uSFWuYj0R7rzXrM60MYP9WvnjucStg/zvzTud5JNrkMnlbkvRbce0PQ+FQwSzSRjw==" saltValue="LDFk8qS30wJ4hv6xV/5WIA==" spinCount="100000" sheet="1" objects="1" scenarios="1"/>
  <autoFilter ref="A9:A226" xr:uid="{D60ED39B-33DF-4A41-838A-1DBB3200270D}">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68FFDC55-B105-4630-B4C5-C8568AFE7C51}">
            <xm:f>General!$BE$1&gt;=2</xm:f>
            <x14:dxf>
              <fill>
                <patternFill patternType="none">
                  <bgColor auto="1"/>
                </patternFill>
              </fill>
            </x14:dxf>
          </x14:cfRule>
          <xm:sqref>I66</xm:sqref>
        </x14:conditionalFormatting>
        <x14:conditionalFormatting xmlns:xm="http://schemas.microsoft.com/office/excel/2006/main">
          <x14:cfRule type="expression" priority="17" id="{6423B171-65E3-4A2B-8C3E-840F031D508E}">
            <xm:f>General!$BE$1&gt;=3</xm:f>
            <x14:dxf>
              <fill>
                <patternFill patternType="none">
                  <bgColor auto="1"/>
                </patternFill>
              </fill>
            </x14:dxf>
          </x14:cfRule>
          <xm:sqref>J66</xm:sqref>
        </x14:conditionalFormatting>
        <x14:conditionalFormatting xmlns:xm="http://schemas.microsoft.com/office/excel/2006/main">
          <x14:cfRule type="expression" priority="16" id="{CB0BEF57-EE27-4B63-9DF1-CEB993B85893}">
            <xm:f>General!$BE$1=4</xm:f>
            <x14:dxf>
              <fill>
                <patternFill patternType="none">
                  <bgColor auto="1"/>
                </patternFill>
              </fill>
            </x14:dxf>
          </x14:cfRule>
          <xm:sqref>K66</xm:sqref>
        </x14:conditionalFormatting>
        <x14:conditionalFormatting xmlns:xm="http://schemas.microsoft.com/office/excel/2006/main">
          <x14:cfRule type="expression" priority="15" id="{9BE04DA7-9D3A-4050-98F6-53761413D8D3}">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76CDF004-1A8B-4E76-B61B-AF322B2F4C5E}">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5038EAB9-588E-41C9-9A9A-29FA25610F6D}">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613F76EA-D4D9-4293-BEB3-4A2B4EC7997C}">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FBD883B1-D218-4640-8B27-3C37A962FE89}">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2E5CAD73-3B63-45DC-AA74-018E0BC49FCC}">
            <xm:f>General!$BE$1=4</xm:f>
            <x14:dxf>
              <fill>
                <patternFill patternType="none">
                  <bgColor auto="1"/>
                </patternFill>
              </fill>
            </x14:dxf>
          </x14:cfRule>
          <xm:sqref>K13:K15 K17 K20:K39 K41 K45:K47 K49:K55 K57:K64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169</v>
      </c>
      <c r="D4" s="37"/>
      <c r="E4" s="37"/>
      <c r="F4" s="37"/>
      <c r="G4" s="37"/>
      <c r="H4" s="37"/>
      <c r="I4" s="37"/>
      <c r="J4" s="38"/>
      <c r="K4" s="38"/>
      <c r="L4" s="38"/>
      <c r="M4" s="38"/>
      <c r="N4" s="38"/>
      <c r="O4" s="33"/>
      <c r="R4"/>
      <c r="S4" s="36"/>
      <c r="T4" s="34" t="str">
        <f>C4</f>
        <v>LIMPOPO PROVINCE</v>
      </c>
      <c r="U4" s="37"/>
      <c r="V4" s="37"/>
      <c r="W4" s="37"/>
      <c r="X4" s="37"/>
      <c r="Y4" s="37"/>
      <c r="Z4" s="37"/>
      <c r="AA4" s="38"/>
      <c r="AB4" s="38"/>
      <c r="AC4" s="38"/>
      <c r="AD4" s="38"/>
      <c r="AE4" s="38"/>
      <c r="AF4" s="33"/>
      <c r="AG4" s="441"/>
      <c r="AH4" s="441"/>
      <c r="AI4"/>
      <c r="AJ4" s="348"/>
      <c r="AK4" s="349" t="str">
        <f>C4</f>
        <v>LIMPOPO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LIM_1!D6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334659</v>
      </c>
      <c r="E13" s="198">
        <f t="shared" ref="E13:K13" si="2">SUM(E14+E15+E16)</f>
        <v>-6151</v>
      </c>
      <c r="F13" s="54">
        <f t="shared" si="2"/>
        <v>328508</v>
      </c>
      <c r="G13" s="54">
        <f t="shared" si="2"/>
        <v>0</v>
      </c>
      <c r="H13" s="95">
        <f t="shared" si="2"/>
        <v>328508</v>
      </c>
      <c r="I13" s="216">
        <f t="shared" si="2"/>
        <v>0</v>
      </c>
      <c r="J13" s="101">
        <f t="shared" si="2"/>
        <v>328508</v>
      </c>
      <c r="K13" s="54">
        <f t="shared" si="2"/>
        <v>328508</v>
      </c>
      <c r="L13" s="54"/>
      <c r="M13" s="54">
        <f>SUM(M14+M15+M16)</f>
        <v>289910</v>
      </c>
      <c r="N13" s="183">
        <f>IFERROR(M13/H13,0)</f>
        <v>0.88250514447136752</v>
      </c>
      <c r="O13" s="55"/>
      <c r="R13"/>
      <c r="S13" s="53"/>
      <c r="T13" s="51" t="str">
        <f>C13</f>
        <v>Agriculture, Forestry and Fisheries (Vote 24)</v>
      </c>
      <c r="U13" s="95">
        <v>334659</v>
      </c>
      <c r="V13" s="198">
        <v>0</v>
      </c>
      <c r="W13" s="54">
        <v>334659</v>
      </c>
      <c r="X13" s="54">
        <v>0</v>
      </c>
      <c r="Y13" s="95">
        <v>334659</v>
      </c>
      <c r="Z13" s="216"/>
      <c r="AA13" s="101">
        <v>166046</v>
      </c>
      <c r="AB13" s="54">
        <v>166046</v>
      </c>
      <c r="AC13" s="54"/>
      <c r="AD13" s="54">
        <v>109138</v>
      </c>
      <c r="AE13" s="183">
        <v>0.32611703256150293</v>
      </c>
      <c r="AF13" s="55"/>
      <c r="AG13" s="442"/>
      <c r="AH13" s="442"/>
      <c r="AI13"/>
      <c r="AJ13" s="387"/>
      <c r="AK13" s="481" t="str">
        <f t="shared" ref="AK13" si="3">C13</f>
        <v>Agriculture, Forestry and Fisheries (Vote 24)</v>
      </c>
      <c r="AL13" s="388">
        <f>SUM(AL14:AL16)</f>
        <v>0</v>
      </c>
      <c r="AM13" s="389">
        <f t="shared" ref="AM13:AP13" si="4">SUM(AM14:AM16)</f>
        <v>6151</v>
      </c>
      <c r="AN13" s="390">
        <f t="shared" si="4"/>
        <v>6151</v>
      </c>
      <c r="AO13" s="390">
        <f t="shared" si="4"/>
        <v>0</v>
      </c>
      <c r="AP13" s="388">
        <f t="shared" si="4"/>
        <v>6151</v>
      </c>
      <c r="AQ13" s="391"/>
      <c r="AR13" s="392">
        <f t="shared" ref="AR13:AS13" si="5">SUM(AR14:AR16)</f>
        <v>-162462</v>
      </c>
      <c r="AS13" s="390">
        <f t="shared" si="5"/>
        <v>-162462</v>
      </c>
      <c r="AT13" s="390"/>
      <c r="AU13" s="390">
        <f>SUM(AU14:AU16)</f>
        <v>-180772</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246542</v>
      </c>
      <c r="E14" s="199">
        <f>SUM(F14-D14)</f>
        <v>0</v>
      </c>
      <c r="F14" s="497">
        <v>246542</v>
      </c>
      <c r="G14" s="497">
        <v>0</v>
      </c>
      <c r="H14" s="96">
        <f>SUM(F14:G14)</f>
        <v>246542</v>
      </c>
      <c r="I14" s="217"/>
      <c r="J14" s="499">
        <v>246542</v>
      </c>
      <c r="K14" s="497">
        <v>246542</v>
      </c>
      <c r="L14" s="59"/>
      <c r="M14" s="497">
        <v>222651</v>
      </c>
      <c r="N14" s="172">
        <f t="shared" ref="N14:N16" si="6">IFERROR(M14/H14,0)</f>
        <v>0.90309561859642573</v>
      </c>
      <c r="O14" s="60"/>
      <c r="R14"/>
      <c r="S14" s="57"/>
      <c r="T14" s="58" t="str">
        <f t="shared" ref="T14:T18" si="7">C14</f>
        <v>(a) Comprehensive Agricultural Support Programme Grant</v>
      </c>
      <c r="U14" s="96">
        <v>246542</v>
      </c>
      <c r="V14" s="199">
        <v>0</v>
      </c>
      <c r="W14" s="59">
        <v>246542</v>
      </c>
      <c r="X14" s="59">
        <v>0</v>
      </c>
      <c r="Y14" s="96">
        <v>246542</v>
      </c>
      <c r="Z14" s="217"/>
      <c r="AA14" s="102">
        <v>122631</v>
      </c>
      <c r="AB14" s="59">
        <v>122631</v>
      </c>
      <c r="AC14" s="59"/>
      <c r="AD14" s="59">
        <v>90059</v>
      </c>
      <c r="AE14" s="172">
        <v>0.36528867292388317</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0</v>
      </c>
      <c r="AP14" s="396">
        <f t="shared" si="8"/>
        <v>0</v>
      </c>
      <c r="AQ14" s="399"/>
      <c r="AR14" s="400">
        <f t="shared" ref="AR14:AS15" si="9">IFERROR(AA14-J14,0)</f>
        <v>-123911</v>
      </c>
      <c r="AS14" s="398">
        <f t="shared" si="9"/>
        <v>-123911</v>
      </c>
      <c r="AT14" s="398"/>
      <c r="AU14" s="398">
        <f>IFERROR(AD14-M14,0)</f>
        <v>-132592</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75254</v>
      </c>
      <c r="E15" s="199">
        <f t="shared" ref="E15:E16" si="10">SUM(F15-D15)</f>
        <v>-6151</v>
      </c>
      <c r="F15" s="497">
        <v>69103</v>
      </c>
      <c r="G15" s="497">
        <v>0</v>
      </c>
      <c r="H15" s="96">
        <f t="shared" ref="H15:H16" si="11">SUM(F15:G15)</f>
        <v>69103</v>
      </c>
      <c r="I15" s="217"/>
      <c r="J15" s="499">
        <v>69103</v>
      </c>
      <c r="K15" s="497">
        <v>69103</v>
      </c>
      <c r="L15" s="59"/>
      <c r="M15" s="497">
        <v>54396</v>
      </c>
      <c r="N15" s="172">
        <f t="shared" si="6"/>
        <v>0.78717277108085038</v>
      </c>
      <c r="O15" s="60"/>
      <c r="P15" s="56"/>
      <c r="Q15" s="56"/>
      <c r="R15"/>
      <c r="S15" s="57"/>
      <c r="T15" s="58" t="str">
        <f t="shared" si="7"/>
        <v>(b) Ilima/Letsema Projects Grant</v>
      </c>
      <c r="U15" s="96">
        <v>75254</v>
      </c>
      <c r="V15" s="199">
        <v>0</v>
      </c>
      <c r="W15" s="59">
        <v>75254</v>
      </c>
      <c r="X15" s="59">
        <v>0</v>
      </c>
      <c r="Y15" s="96">
        <v>75254</v>
      </c>
      <c r="Z15" s="217"/>
      <c r="AA15" s="102">
        <v>37627</v>
      </c>
      <c r="AB15" s="59">
        <v>37627</v>
      </c>
      <c r="AC15" s="59"/>
      <c r="AD15" s="59">
        <v>10716</v>
      </c>
      <c r="AE15" s="172">
        <v>0.14239774629920005</v>
      </c>
      <c r="AF15" s="60"/>
      <c r="AG15" s="443"/>
      <c r="AH15" s="443"/>
      <c r="AI15"/>
      <c r="AJ15" s="394"/>
      <c r="AK15" s="479" t="str">
        <f t="shared" ref="AK15" si="12">C15</f>
        <v>(b) Ilima/Letsema Projects Grant</v>
      </c>
      <c r="AL15" s="396">
        <f t="shared" ref="AL15" si="13">IFERROR(U15-D15,0)</f>
        <v>0</v>
      </c>
      <c r="AM15" s="397">
        <f t="shared" si="8"/>
        <v>6151</v>
      </c>
      <c r="AN15" s="398">
        <f t="shared" si="8"/>
        <v>6151</v>
      </c>
      <c r="AO15" s="398">
        <f t="shared" si="8"/>
        <v>0</v>
      </c>
      <c r="AP15" s="396">
        <f t="shared" si="8"/>
        <v>6151</v>
      </c>
      <c r="AQ15" s="399"/>
      <c r="AR15" s="400">
        <f t="shared" si="9"/>
        <v>-31476</v>
      </c>
      <c r="AS15" s="398">
        <f t="shared" si="9"/>
        <v>-31476</v>
      </c>
      <c r="AT15" s="398"/>
      <c r="AU15" s="398">
        <f t="shared" ref="AU15" si="14">IFERROR(AD15-M15,0)</f>
        <v>-43680</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12863</v>
      </c>
      <c r="E16" s="199">
        <f t="shared" si="10"/>
        <v>0</v>
      </c>
      <c r="F16" s="497">
        <v>12863</v>
      </c>
      <c r="G16" s="497">
        <v>0</v>
      </c>
      <c r="H16" s="96">
        <f t="shared" si="11"/>
        <v>12863</v>
      </c>
      <c r="I16" s="217"/>
      <c r="J16" s="499">
        <v>12863</v>
      </c>
      <c r="K16" s="497">
        <v>12863</v>
      </c>
      <c r="L16" s="59"/>
      <c r="M16" s="497">
        <v>12863</v>
      </c>
      <c r="N16" s="172">
        <f t="shared" si="6"/>
        <v>1</v>
      </c>
      <c r="O16" s="60"/>
      <c r="P16" s="56"/>
      <c r="Q16" s="56"/>
      <c r="R16"/>
      <c r="S16" s="57"/>
      <c r="T16" s="58" t="str">
        <f t="shared" si="7"/>
        <v>(c) Land Care Programme Grant: Poverty Relief and Infrastructure Development</v>
      </c>
      <c r="U16" s="96">
        <v>12863</v>
      </c>
      <c r="V16" s="199">
        <v>0</v>
      </c>
      <c r="W16" s="59">
        <v>12863</v>
      </c>
      <c r="X16" s="59">
        <v>0</v>
      </c>
      <c r="Y16" s="96">
        <v>12863</v>
      </c>
      <c r="Z16" s="217"/>
      <c r="AA16" s="102">
        <v>5788</v>
      </c>
      <c r="AB16" s="59">
        <v>5788</v>
      </c>
      <c r="AC16" s="59"/>
      <c r="AD16" s="59">
        <v>8363</v>
      </c>
      <c r="AE16" s="172">
        <v>0.65015937184171657</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-7075</v>
      </c>
      <c r="AS16" s="398">
        <f t="shared" ref="AS16:AS83" si="22">IFERROR(AB16-K16,0)</f>
        <v>-7075</v>
      </c>
      <c r="AT16" s="398"/>
      <c r="AU16" s="398">
        <f t="shared" ref="AU16:AU83" si="23">IFERROR(AD16-M16,0)</f>
        <v>-4500</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144314</v>
      </c>
      <c r="E20" s="198">
        <f t="shared" ref="E20:K20" si="27">SUM(E21)</f>
        <v>0</v>
      </c>
      <c r="F20" s="54">
        <f t="shared" si="27"/>
        <v>144314</v>
      </c>
      <c r="G20" s="54">
        <f t="shared" si="27"/>
        <v>7606</v>
      </c>
      <c r="H20" s="95">
        <f t="shared" si="27"/>
        <v>151920</v>
      </c>
      <c r="I20" s="216">
        <f t="shared" si="27"/>
        <v>0</v>
      </c>
      <c r="J20" s="101">
        <f t="shared" si="27"/>
        <v>144314</v>
      </c>
      <c r="K20" s="54">
        <f t="shared" si="27"/>
        <v>144314</v>
      </c>
      <c r="L20" s="54"/>
      <c r="M20" s="54">
        <f>SUM(M21)</f>
        <v>104203</v>
      </c>
      <c r="N20" s="183">
        <f t="shared" ref="N20:N21" si="28">IFERROR(M20/H20,0)</f>
        <v>0.68590705634544502</v>
      </c>
      <c r="O20" s="63"/>
      <c r="P20" s="64"/>
      <c r="Q20" s="64"/>
      <c r="R20"/>
      <c r="S20" s="62"/>
      <c r="T20" s="51" t="str">
        <f>C20</f>
        <v>Arts and Culture (Vote 37)</v>
      </c>
      <c r="U20" s="95">
        <v>144314</v>
      </c>
      <c r="V20" s="198">
        <v>0</v>
      </c>
      <c r="W20" s="54">
        <v>144314</v>
      </c>
      <c r="X20" s="54">
        <v>0</v>
      </c>
      <c r="Y20" s="95">
        <v>144314</v>
      </c>
      <c r="Z20" s="216"/>
      <c r="AA20" s="101">
        <v>89365</v>
      </c>
      <c r="AB20" s="54">
        <v>89365</v>
      </c>
      <c r="AC20" s="54"/>
      <c r="AD20" s="54">
        <v>44195</v>
      </c>
      <c r="AE20" s="172">
        <v>0.30624194464847487</v>
      </c>
      <c r="AF20" s="63"/>
      <c r="AG20" s="444"/>
      <c r="AH20" s="444"/>
      <c r="AI20"/>
      <c r="AJ20" s="402"/>
      <c r="AK20" s="481" t="str">
        <f t="shared" si="15"/>
        <v>Arts and Culture (Vote 37)</v>
      </c>
      <c r="AL20" s="388">
        <f t="shared" si="16"/>
        <v>0</v>
      </c>
      <c r="AM20" s="389">
        <f t="shared" si="17"/>
        <v>0</v>
      </c>
      <c r="AN20" s="390">
        <f t="shared" si="18"/>
        <v>0</v>
      </c>
      <c r="AO20" s="390">
        <f t="shared" si="19"/>
        <v>-7606</v>
      </c>
      <c r="AP20" s="388">
        <f t="shared" si="20"/>
        <v>-7606</v>
      </c>
      <c r="AQ20" s="391"/>
      <c r="AR20" s="392">
        <f t="shared" si="21"/>
        <v>-54949</v>
      </c>
      <c r="AS20" s="390">
        <f t="shared" si="22"/>
        <v>-54949</v>
      </c>
      <c r="AT20" s="390"/>
      <c r="AU20" s="390">
        <f t="shared" si="23"/>
        <v>-60008</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144314</v>
      </c>
      <c r="E21" s="199">
        <f>SUM(F21-D21)</f>
        <v>0</v>
      </c>
      <c r="F21" s="497">
        <v>144314</v>
      </c>
      <c r="G21" s="497">
        <v>7606</v>
      </c>
      <c r="H21" s="96">
        <f>SUM(F21:G21)</f>
        <v>151920</v>
      </c>
      <c r="I21" s="217"/>
      <c r="J21" s="499">
        <v>144314</v>
      </c>
      <c r="K21" s="497">
        <v>144314</v>
      </c>
      <c r="L21" s="59"/>
      <c r="M21" s="497">
        <v>104203</v>
      </c>
      <c r="N21" s="172">
        <f t="shared" si="28"/>
        <v>0.68590705634544502</v>
      </c>
      <c r="O21" s="60"/>
      <c r="P21" s="56"/>
      <c r="Q21" s="56"/>
      <c r="R21"/>
      <c r="S21" s="57"/>
      <c r="T21" s="58" t="str">
        <f t="shared" ref="T21:T25" si="29">C21</f>
        <v>Community Library Services Grant</v>
      </c>
      <c r="U21" s="96">
        <v>144314</v>
      </c>
      <c r="V21" s="199">
        <v>0</v>
      </c>
      <c r="W21" s="59">
        <v>144314</v>
      </c>
      <c r="X21" s="59">
        <v>0</v>
      </c>
      <c r="Y21" s="96">
        <v>144314</v>
      </c>
      <c r="Z21" s="217"/>
      <c r="AA21" s="102">
        <v>89365</v>
      </c>
      <c r="AB21" s="59">
        <v>89365</v>
      </c>
      <c r="AC21" s="59"/>
      <c r="AD21" s="59">
        <v>44195</v>
      </c>
      <c r="AE21" s="172">
        <v>0.30624194464847487</v>
      </c>
      <c r="AF21" s="60"/>
      <c r="AG21" s="443"/>
      <c r="AH21" s="443"/>
      <c r="AI21"/>
      <c r="AJ21" s="394"/>
      <c r="AK21" s="479" t="str">
        <f t="shared" si="15"/>
        <v>Community Library Services Grant</v>
      </c>
      <c r="AL21" s="396">
        <f t="shared" si="16"/>
        <v>0</v>
      </c>
      <c r="AM21" s="397">
        <f t="shared" si="17"/>
        <v>0</v>
      </c>
      <c r="AN21" s="398">
        <f t="shared" si="18"/>
        <v>0</v>
      </c>
      <c r="AO21" s="398">
        <f t="shared" si="19"/>
        <v>-7606</v>
      </c>
      <c r="AP21" s="396">
        <f t="shared" si="20"/>
        <v>-7606</v>
      </c>
      <c r="AQ21" s="399"/>
      <c r="AR21" s="400">
        <f t="shared" si="21"/>
        <v>-54949</v>
      </c>
      <c r="AS21" s="398">
        <f t="shared" si="22"/>
        <v>-54949</v>
      </c>
      <c r="AT21" s="398"/>
      <c r="AU21" s="398">
        <f t="shared" si="23"/>
        <v>-60008</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1393776</v>
      </c>
      <c r="E27" s="198">
        <f t="shared" ref="E27:K27" si="33">SUM(E28+E29+E30+E31)</f>
        <v>0</v>
      </c>
      <c r="F27" s="54">
        <f t="shared" si="33"/>
        <v>1393776</v>
      </c>
      <c r="G27" s="54">
        <f t="shared" si="33"/>
        <v>17728</v>
      </c>
      <c r="H27" s="95">
        <f t="shared" si="33"/>
        <v>1411504</v>
      </c>
      <c r="I27" s="216">
        <f t="shared" si="33"/>
        <v>0</v>
      </c>
      <c r="J27" s="101">
        <f t="shared" si="33"/>
        <v>1393776</v>
      </c>
      <c r="K27" s="54">
        <f t="shared" si="33"/>
        <v>1393776</v>
      </c>
      <c r="L27" s="54"/>
      <c r="M27" s="54">
        <f>SUM(M28+M29+M30+M31)</f>
        <v>1342820</v>
      </c>
      <c r="N27" s="183">
        <f t="shared" ref="N27:N31" si="34">IFERROR(M27/H27,0)</f>
        <v>0.95133984742515787</v>
      </c>
      <c r="O27" s="63"/>
      <c r="P27" s="65"/>
      <c r="Q27" s="65"/>
      <c r="R27"/>
      <c r="S27" s="62"/>
      <c r="T27" s="51" t="str">
        <f>C27</f>
        <v>Basic Education (Vote 14)</v>
      </c>
      <c r="U27" s="95">
        <v>1393776</v>
      </c>
      <c r="V27" s="198">
        <v>0</v>
      </c>
      <c r="W27" s="54">
        <v>1393776</v>
      </c>
      <c r="X27" s="54">
        <v>0</v>
      </c>
      <c r="Y27" s="95">
        <v>1393776</v>
      </c>
      <c r="Z27" s="216"/>
      <c r="AA27" s="101">
        <v>738123</v>
      </c>
      <c r="AB27" s="54">
        <v>738123</v>
      </c>
      <c r="AC27" s="54"/>
      <c r="AD27" s="54">
        <v>638606</v>
      </c>
      <c r="AE27" s="183">
        <v>0.45818409844910518</v>
      </c>
      <c r="AF27" s="63"/>
      <c r="AG27" s="444"/>
      <c r="AH27" s="444"/>
      <c r="AI27"/>
      <c r="AJ27" s="402"/>
      <c r="AK27" s="481" t="str">
        <f t="shared" si="15"/>
        <v>Basic Education (Vote 14)</v>
      </c>
      <c r="AL27" s="388">
        <f t="shared" si="16"/>
        <v>0</v>
      </c>
      <c r="AM27" s="389">
        <f t="shared" si="17"/>
        <v>0</v>
      </c>
      <c r="AN27" s="390">
        <f t="shared" si="18"/>
        <v>0</v>
      </c>
      <c r="AO27" s="390">
        <f t="shared" si="19"/>
        <v>-17728</v>
      </c>
      <c r="AP27" s="388">
        <f t="shared" si="20"/>
        <v>-17728</v>
      </c>
      <c r="AQ27" s="391"/>
      <c r="AR27" s="392">
        <f t="shared" si="21"/>
        <v>-655653</v>
      </c>
      <c r="AS27" s="390">
        <f t="shared" si="22"/>
        <v>-655653</v>
      </c>
      <c r="AT27" s="390"/>
      <c r="AU27" s="390">
        <f t="shared" si="23"/>
        <v>-704214</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29124</v>
      </c>
      <c r="E28" s="199">
        <f t="shared" ref="E28:E31" si="35">SUM(F28-D28)</f>
        <v>0</v>
      </c>
      <c r="F28" s="497">
        <v>29124</v>
      </c>
      <c r="G28" s="497">
        <v>2579</v>
      </c>
      <c r="H28" s="96">
        <f t="shared" ref="H28:H31" si="36">SUM(F28:G28)</f>
        <v>31703</v>
      </c>
      <c r="I28" s="217"/>
      <c r="J28" s="499">
        <v>29124</v>
      </c>
      <c r="K28" s="497">
        <v>29124</v>
      </c>
      <c r="L28" s="59"/>
      <c r="M28" s="497">
        <v>23667</v>
      </c>
      <c r="N28" s="172">
        <f t="shared" si="34"/>
        <v>0.74652241112828444</v>
      </c>
      <c r="O28" s="60"/>
      <c r="P28" s="22"/>
      <c r="Q28" s="22"/>
      <c r="S28" s="57"/>
      <c r="T28" s="58" t="str">
        <f t="shared" ref="T28:T32" si="37">C28</f>
        <v>(a) HIV and AIDS (Life Skills Education) Grant</v>
      </c>
      <c r="U28" s="96">
        <v>29124</v>
      </c>
      <c r="V28" s="199">
        <v>0</v>
      </c>
      <c r="W28" s="59">
        <v>29124</v>
      </c>
      <c r="X28" s="59">
        <v>0</v>
      </c>
      <c r="Y28" s="96">
        <v>29124</v>
      </c>
      <c r="Z28" s="217"/>
      <c r="AA28" s="102">
        <v>11649</v>
      </c>
      <c r="AB28" s="59">
        <v>11649</v>
      </c>
      <c r="AC28" s="59"/>
      <c r="AD28" s="59">
        <v>11227</v>
      </c>
      <c r="AE28" s="172">
        <v>0.38548963054525476</v>
      </c>
      <c r="AF28" s="60"/>
      <c r="AG28" s="443"/>
      <c r="AH28" s="443"/>
      <c r="AJ28" s="394"/>
      <c r="AK28" s="479" t="str">
        <f t="shared" si="15"/>
        <v>(a) HIV and AIDS (Life Skills Education) Grant</v>
      </c>
      <c r="AL28" s="396">
        <f t="shared" si="16"/>
        <v>0</v>
      </c>
      <c r="AM28" s="397">
        <f t="shared" si="17"/>
        <v>0</v>
      </c>
      <c r="AN28" s="398">
        <f t="shared" si="18"/>
        <v>0</v>
      </c>
      <c r="AO28" s="398">
        <f t="shared" si="19"/>
        <v>-2579</v>
      </c>
      <c r="AP28" s="396">
        <f t="shared" si="20"/>
        <v>-2579</v>
      </c>
      <c r="AQ28" s="399"/>
      <c r="AR28" s="400">
        <f t="shared" si="21"/>
        <v>-17475</v>
      </c>
      <c r="AS28" s="398">
        <f t="shared" si="22"/>
        <v>-17475</v>
      </c>
      <c r="AT28" s="398"/>
      <c r="AU28" s="398">
        <f t="shared" si="23"/>
        <v>-12440</v>
      </c>
      <c r="AV28" s="290"/>
      <c r="AW28" s="401"/>
    </row>
    <row r="29" spans="1:82" ht="15.75" customHeight="1" x14ac:dyDescent="0.3">
      <c r="B29" s="57"/>
      <c r="C29" s="58" t="s">
        <v>24</v>
      </c>
      <c r="D29" s="496">
        <v>26839</v>
      </c>
      <c r="E29" s="199">
        <f t="shared" si="35"/>
        <v>0</v>
      </c>
      <c r="F29" s="497">
        <v>26839</v>
      </c>
      <c r="G29" s="497">
        <v>243</v>
      </c>
      <c r="H29" s="96">
        <f t="shared" si="36"/>
        <v>27082</v>
      </c>
      <c r="I29" s="217"/>
      <c r="J29" s="499">
        <v>26839</v>
      </c>
      <c r="K29" s="497">
        <v>26839</v>
      </c>
      <c r="L29" s="59"/>
      <c r="M29" s="497">
        <v>25669</v>
      </c>
      <c r="N29" s="172">
        <f t="shared" si="34"/>
        <v>0.94782512369839744</v>
      </c>
      <c r="O29" s="60"/>
      <c r="P29" s="22"/>
      <c r="Q29" s="22"/>
      <c r="S29" s="57"/>
      <c r="T29" s="58" t="str">
        <f t="shared" si="37"/>
        <v>(b) Learners with Profound Intellectual Disabilities Grant</v>
      </c>
      <c r="U29" s="96">
        <v>26839</v>
      </c>
      <c r="V29" s="199">
        <v>0</v>
      </c>
      <c r="W29" s="59">
        <v>26839</v>
      </c>
      <c r="X29" s="59">
        <v>0</v>
      </c>
      <c r="Y29" s="96">
        <v>26839</v>
      </c>
      <c r="Z29" s="217"/>
      <c r="AA29" s="102">
        <v>17840</v>
      </c>
      <c r="AB29" s="59">
        <v>17840</v>
      </c>
      <c r="AC29" s="59"/>
      <c r="AD29" s="59">
        <v>12962</v>
      </c>
      <c r="AE29" s="172">
        <v>0.4829539103543351</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-243</v>
      </c>
      <c r="AP29" s="396">
        <f t="shared" si="20"/>
        <v>-243</v>
      </c>
      <c r="AQ29" s="399"/>
      <c r="AR29" s="400">
        <f t="shared" si="21"/>
        <v>-8999</v>
      </c>
      <c r="AS29" s="398">
        <f t="shared" si="22"/>
        <v>-8999</v>
      </c>
      <c r="AT29" s="398"/>
      <c r="AU29" s="398">
        <f t="shared" si="23"/>
        <v>-12707</v>
      </c>
      <c r="AV29" s="290"/>
      <c r="AW29" s="401"/>
    </row>
    <row r="30" spans="1:82" ht="15.75" customHeight="1" x14ac:dyDescent="0.3">
      <c r="B30" s="57"/>
      <c r="C30" s="58" t="s">
        <v>25</v>
      </c>
      <c r="D30" s="496">
        <v>45802</v>
      </c>
      <c r="E30" s="199">
        <f t="shared" si="35"/>
        <v>0</v>
      </c>
      <c r="F30" s="497">
        <v>45802</v>
      </c>
      <c r="G30" s="497">
        <v>0</v>
      </c>
      <c r="H30" s="96">
        <f t="shared" si="36"/>
        <v>45802</v>
      </c>
      <c r="I30" s="217"/>
      <c r="J30" s="499">
        <v>45802</v>
      </c>
      <c r="K30" s="497">
        <v>45802</v>
      </c>
      <c r="L30" s="59"/>
      <c r="M30" s="497">
        <v>5569</v>
      </c>
      <c r="N30" s="172">
        <f t="shared" si="34"/>
        <v>0.12158857691803851</v>
      </c>
      <c r="O30" s="60"/>
      <c r="P30" s="22"/>
      <c r="Q30" s="22"/>
      <c r="S30" s="57"/>
      <c r="T30" s="58" t="str">
        <f t="shared" si="37"/>
        <v>(c) Maths, Science and Technology Grant</v>
      </c>
      <c r="U30" s="96">
        <v>45802</v>
      </c>
      <c r="V30" s="199">
        <v>0</v>
      </c>
      <c r="W30" s="59">
        <v>45802</v>
      </c>
      <c r="X30" s="59">
        <v>0</v>
      </c>
      <c r="Y30" s="96">
        <v>45802</v>
      </c>
      <c r="Z30" s="217"/>
      <c r="AA30" s="102">
        <v>22902</v>
      </c>
      <c r="AB30" s="59">
        <v>22902</v>
      </c>
      <c r="AC30" s="59"/>
      <c r="AD30" s="59">
        <v>3577</v>
      </c>
      <c r="AE30" s="172">
        <v>7.8097026330727917E-2</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-22900</v>
      </c>
      <c r="AS30" s="398">
        <f t="shared" si="22"/>
        <v>-22900</v>
      </c>
      <c r="AT30" s="398"/>
      <c r="AU30" s="398">
        <f t="shared" si="23"/>
        <v>-1992</v>
      </c>
      <c r="AV30" s="290"/>
      <c r="AW30" s="401"/>
    </row>
    <row r="31" spans="1:82" ht="15.75" customHeight="1" x14ac:dyDescent="0.3">
      <c r="B31" s="57"/>
      <c r="C31" s="58" t="s">
        <v>26</v>
      </c>
      <c r="D31" s="496">
        <v>1292011</v>
      </c>
      <c r="E31" s="199">
        <f t="shared" si="35"/>
        <v>0</v>
      </c>
      <c r="F31" s="497">
        <v>1292011</v>
      </c>
      <c r="G31" s="497">
        <v>14906</v>
      </c>
      <c r="H31" s="96">
        <f t="shared" si="36"/>
        <v>1306917</v>
      </c>
      <c r="I31" s="217"/>
      <c r="J31" s="499">
        <v>1292011</v>
      </c>
      <c r="K31" s="497">
        <v>1292011</v>
      </c>
      <c r="L31" s="59"/>
      <c r="M31" s="497">
        <v>1287915</v>
      </c>
      <c r="N31" s="172">
        <f t="shared" si="34"/>
        <v>0.98546043857414056</v>
      </c>
      <c r="O31" s="60"/>
      <c r="P31" s="22"/>
      <c r="Q31" s="22"/>
      <c r="S31" s="57"/>
      <c r="T31" s="58" t="str">
        <f t="shared" si="37"/>
        <v>(d) National School Nutrition Programme Grant</v>
      </c>
      <c r="U31" s="96">
        <v>1292011</v>
      </c>
      <c r="V31" s="199">
        <v>0</v>
      </c>
      <c r="W31" s="59">
        <v>1292011</v>
      </c>
      <c r="X31" s="59">
        <v>0</v>
      </c>
      <c r="Y31" s="96">
        <v>1292011</v>
      </c>
      <c r="Z31" s="217"/>
      <c r="AA31" s="102">
        <v>685732</v>
      </c>
      <c r="AB31" s="59">
        <v>685732</v>
      </c>
      <c r="AC31" s="59"/>
      <c r="AD31" s="59">
        <v>610840</v>
      </c>
      <c r="AE31" s="172">
        <v>0.47278235247223127</v>
      </c>
      <c r="AF31" s="60"/>
      <c r="AG31" s="443"/>
      <c r="AH31" s="443"/>
      <c r="AJ31" s="394"/>
      <c r="AK31" s="479" t="str">
        <f t="shared" si="15"/>
        <v>(d) National School Nutrition Programme Grant</v>
      </c>
      <c r="AL31" s="396">
        <f t="shared" si="16"/>
        <v>0</v>
      </c>
      <c r="AM31" s="397">
        <f t="shared" si="17"/>
        <v>0</v>
      </c>
      <c r="AN31" s="398">
        <f t="shared" si="18"/>
        <v>0</v>
      </c>
      <c r="AO31" s="398">
        <f t="shared" si="19"/>
        <v>-14906</v>
      </c>
      <c r="AP31" s="396">
        <f t="shared" si="20"/>
        <v>-14906</v>
      </c>
      <c r="AQ31" s="399"/>
      <c r="AR31" s="400">
        <f t="shared" si="21"/>
        <v>-606279</v>
      </c>
      <c r="AS31" s="398">
        <f t="shared" si="22"/>
        <v>-606279</v>
      </c>
      <c r="AT31" s="398"/>
      <c r="AU31" s="398">
        <f t="shared" si="23"/>
        <v>-677075</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2477520</v>
      </c>
      <c r="E41" s="198">
        <f t="shared" ref="E41:K41" si="58">SUM(E42+E43+E44+E45+E46)</f>
        <v>189287</v>
      </c>
      <c r="F41" s="54">
        <f t="shared" si="58"/>
        <v>2666807</v>
      </c>
      <c r="G41" s="54">
        <f t="shared" si="58"/>
        <v>26208</v>
      </c>
      <c r="H41" s="95">
        <f t="shared" si="58"/>
        <v>2693015</v>
      </c>
      <c r="I41" s="216">
        <f t="shared" si="58"/>
        <v>0</v>
      </c>
      <c r="J41" s="101">
        <f t="shared" si="58"/>
        <v>2666807</v>
      </c>
      <c r="K41" s="54">
        <f t="shared" si="58"/>
        <v>2666807</v>
      </c>
      <c r="L41" s="54"/>
      <c r="M41" s="54">
        <f>SUM(M42+M43+M44+M45+M46)</f>
        <v>2688354</v>
      </c>
      <c r="N41" s="183">
        <f t="shared" ref="N41:N45" si="59">IFERROR(M41/H41,0)</f>
        <v>0.99826922612759306</v>
      </c>
      <c r="O41" s="63"/>
      <c r="P41" s="65"/>
      <c r="Q41" s="65"/>
      <c r="R41"/>
      <c r="S41" s="62"/>
      <c r="T41" s="51" t="str">
        <f>C41</f>
        <v>Health (Vote 16)</v>
      </c>
      <c r="U41" s="95">
        <v>2477520</v>
      </c>
      <c r="V41" s="198">
        <v>0</v>
      </c>
      <c r="W41" s="54">
        <v>2477520</v>
      </c>
      <c r="X41" s="54">
        <v>0</v>
      </c>
      <c r="Y41" s="95">
        <v>2477520</v>
      </c>
      <c r="Z41" s="216"/>
      <c r="AA41" s="101">
        <v>1238758</v>
      </c>
      <c r="AB41" s="54">
        <v>1238752</v>
      </c>
      <c r="AC41" s="54"/>
      <c r="AD41" s="54">
        <v>1034039</v>
      </c>
      <c r="AE41" s="183">
        <v>0.41736857825567503</v>
      </c>
      <c r="AF41" s="63"/>
      <c r="AG41" s="444"/>
      <c r="AH41" s="444"/>
      <c r="AI41"/>
      <c r="AJ41" s="402"/>
      <c r="AK41" s="481" t="str">
        <f t="shared" si="15"/>
        <v>Health (Vote 16)</v>
      </c>
      <c r="AL41" s="388">
        <f t="shared" si="16"/>
        <v>0</v>
      </c>
      <c r="AM41" s="389">
        <f t="shared" si="17"/>
        <v>-189287</v>
      </c>
      <c r="AN41" s="390">
        <f t="shared" si="18"/>
        <v>-189287</v>
      </c>
      <c r="AO41" s="390">
        <f t="shared" si="19"/>
        <v>-26208</v>
      </c>
      <c r="AP41" s="388">
        <f t="shared" si="20"/>
        <v>-215495</v>
      </c>
      <c r="AQ41" s="391"/>
      <c r="AR41" s="392">
        <f t="shared" si="21"/>
        <v>-1428049</v>
      </c>
      <c r="AS41" s="390">
        <f t="shared" si="22"/>
        <v>-1428055</v>
      </c>
      <c r="AT41" s="390"/>
      <c r="AU41" s="390">
        <f t="shared" si="23"/>
        <v>-1654315</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1947302</v>
      </c>
      <c r="E42" s="199">
        <f t="shared" ref="E42:E46" si="60">SUM(F42-D42)</f>
        <v>0</v>
      </c>
      <c r="F42" s="497">
        <v>1947302</v>
      </c>
      <c r="G42" s="497">
        <v>26208</v>
      </c>
      <c r="H42" s="96">
        <f t="shared" ref="H42:H45" si="61">SUM(F42:G42)</f>
        <v>1973510</v>
      </c>
      <c r="I42" s="217"/>
      <c r="J42" s="499">
        <v>1947302</v>
      </c>
      <c r="K42" s="497">
        <v>1947302</v>
      </c>
      <c r="L42" s="59"/>
      <c r="M42" s="497">
        <v>1961982</v>
      </c>
      <c r="N42" s="172">
        <f t="shared" si="59"/>
        <v>0.99415863106850233</v>
      </c>
      <c r="O42" s="60"/>
      <c r="P42" s="56"/>
      <c r="Q42" s="56"/>
      <c r="S42" s="57"/>
      <c r="T42" s="58" t="str">
        <f t="shared" ref="T42:T46" si="62">C42</f>
        <v>(a) HIV, TB, Malaria and Community Outreach Grant</v>
      </c>
      <c r="U42" s="96">
        <v>1947302</v>
      </c>
      <c r="V42" s="199">
        <v>0</v>
      </c>
      <c r="W42" s="59">
        <v>1947302</v>
      </c>
      <c r="X42" s="59">
        <v>0</v>
      </c>
      <c r="Y42" s="96">
        <v>1947302</v>
      </c>
      <c r="Z42" s="217"/>
      <c r="AA42" s="102">
        <v>973650</v>
      </c>
      <c r="AB42" s="59">
        <v>973644</v>
      </c>
      <c r="AC42" s="59"/>
      <c r="AD42" s="59">
        <v>770722</v>
      </c>
      <c r="AE42" s="172">
        <v>0.39578966179873487</v>
      </c>
      <c r="AF42" s="60"/>
      <c r="AG42" s="443"/>
      <c r="AH42" s="443"/>
      <c r="AJ42" s="394"/>
      <c r="AK42" s="479" t="str">
        <f t="shared" si="15"/>
        <v>(a) HIV, TB, Malaria and Community Outreach Grant</v>
      </c>
      <c r="AL42" s="396">
        <f t="shared" si="16"/>
        <v>0</v>
      </c>
      <c r="AM42" s="397">
        <f t="shared" si="17"/>
        <v>0</v>
      </c>
      <c r="AN42" s="398">
        <f t="shared" si="18"/>
        <v>0</v>
      </c>
      <c r="AO42" s="398">
        <f t="shared" si="19"/>
        <v>-26208</v>
      </c>
      <c r="AP42" s="396">
        <f t="shared" si="20"/>
        <v>-26208</v>
      </c>
      <c r="AQ42" s="399"/>
      <c r="AR42" s="400">
        <f t="shared" si="21"/>
        <v>-973652</v>
      </c>
      <c r="AS42" s="398">
        <f t="shared" si="22"/>
        <v>-973658</v>
      </c>
      <c r="AT42" s="398"/>
      <c r="AU42" s="398">
        <f t="shared" si="23"/>
        <v>-1191260</v>
      </c>
      <c r="AV42" s="290"/>
      <c r="AW42" s="401"/>
    </row>
    <row r="43" spans="1:82" s="35" customFormat="1" ht="15.75" customHeight="1" x14ac:dyDescent="0.3">
      <c r="A43"/>
      <c r="B43" s="57"/>
      <c r="C43" s="58" t="s">
        <v>28</v>
      </c>
      <c r="D43" s="496">
        <v>457951</v>
      </c>
      <c r="E43" s="199">
        <f t="shared" si="60"/>
        <v>133300</v>
      </c>
      <c r="F43" s="497">
        <v>591251</v>
      </c>
      <c r="G43" s="497">
        <v>0</v>
      </c>
      <c r="H43" s="96">
        <f t="shared" si="61"/>
        <v>591251</v>
      </c>
      <c r="I43" s="217"/>
      <c r="J43" s="499">
        <v>591251</v>
      </c>
      <c r="K43" s="497">
        <v>591251</v>
      </c>
      <c r="L43" s="59"/>
      <c r="M43" s="497">
        <v>593762</v>
      </c>
      <c r="N43" s="172">
        <f t="shared" si="59"/>
        <v>1.0042469272779242</v>
      </c>
      <c r="O43" s="60"/>
      <c r="P43" s="56"/>
      <c r="Q43" s="56"/>
      <c r="R43"/>
      <c r="S43" s="57"/>
      <c r="T43" s="58" t="str">
        <f t="shared" si="62"/>
        <v>(b) Health Facility Revitalisation Grant</v>
      </c>
      <c r="U43" s="96">
        <v>457951</v>
      </c>
      <c r="V43" s="199">
        <v>0</v>
      </c>
      <c r="W43" s="59">
        <v>457951</v>
      </c>
      <c r="X43" s="59">
        <v>0</v>
      </c>
      <c r="Y43" s="96">
        <v>457951</v>
      </c>
      <c r="Z43" s="217"/>
      <c r="AA43" s="102">
        <v>228982</v>
      </c>
      <c r="AB43" s="59">
        <v>228982</v>
      </c>
      <c r="AC43" s="59"/>
      <c r="AD43" s="59">
        <v>195553</v>
      </c>
      <c r="AE43" s="172">
        <v>0.42701730097761553</v>
      </c>
      <c r="AF43" s="60"/>
      <c r="AG43" s="443"/>
      <c r="AH43" s="443"/>
      <c r="AI43"/>
      <c r="AJ43" s="394"/>
      <c r="AK43" s="479" t="str">
        <f t="shared" si="15"/>
        <v>(b) Health Facility Revitalisation Grant</v>
      </c>
      <c r="AL43" s="396">
        <f t="shared" si="16"/>
        <v>0</v>
      </c>
      <c r="AM43" s="397">
        <f t="shared" si="17"/>
        <v>-133300</v>
      </c>
      <c r="AN43" s="398">
        <f t="shared" si="18"/>
        <v>-133300</v>
      </c>
      <c r="AO43" s="398">
        <f t="shared" si="19"/>
        <v>0</v>
      </c>
      <c r="AP43" s="396">
        <f t="shared" si="20"/>
        <v>-133300</v>
      </c>
      <c r="AQ43" s="399"/>
      <c r="AR43" s="400">
        <f t="shared" si="21"/>
        <v>-362269</v>
      </c>
      <c r="AS43" s="398">
        <f t="shared" si="22"/>
        <v>-362269</v>
      </c>
      <c r="AT43" s="398"/>
      <c r="AU43" s="398">
        <f t="shared" si="23"/>
        <v>-398209</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29009</v>
      </c>
      <c r="E44" s="199">
        <f t="shared" si="60"/>
        <v>-7417</v>
      </c>
      <c r="F44" s="497">
        <v>21592</v>
      </c>
      <c r="G44" s="497">
        <v>0</v>
      </c>
      <c r="H44" s="96">
        <f t="shared" si="61"/>
        <v>21592</v>
      </c>
      <c r="I44" s="217"/>
      <c r="J44" s="499">
        <v>21592</v>
      </c>
      <c r="K44" s="497">
        <v>21592</v>
      </c>
      <c r="L44" s="59"/>
      <c r="M44" s="497">
        <v>19871</v>
      </c>
      <c r="N44" s="172">
        <f t="shared" si="59"/>
        <v>0.92029455353834755</v>
      </c>
      <c r="O44" s="69"/>
      <c r="P44" s="70"/>
      <c r="Q44" s="70"/>
      <c r="R44"/>
      <c r="S44" s="67"/>
      <c r="T44" s="58" t="str">
        <f t="shared" si="62"/>
        <v>(c) Human Papillomavirus Vaccine Grant</v>
      </c>
      <c r="U44" s="97">
        <v>29009</v>
      </c>
      <c r="V44" s="200">
        <v>0</v>
      </c>
      <c r="W44" s="68">
        <v>29009</v>
      </c>
      <c r="X44" s="68">
        <v>0</v>
      </c>
      <c r="Y44" s="97">
        <v>29009</v>
      </c>
      <c r="Z44" s="218"/>
      <c r="AA44" s="103">
        <v>14502</v>
      </c>
      <c r="AB44" s="68">
        <v>14502</v>
      </c>
      <c r="AC44" s="68"/>
      <c r="AD44" s="68">
        <v>10105</v>
      </c>
      <c r="AE44" s="172">
        <v>0.34834017029197833</v>
      </c>
      <c r="AF44" s="69"/>
      <c r="AG44" s="445"/>
      <c r="AH44" s="445"/>
      <c r="AI44" s="71"/>
      <c r="AJ44" s="404"/>
      <c r="AK44" s="479" t="str">
        <f t="shared" si="15"/>
        <v>(c) Human Papillomavirus Vaccine Grant</v>
      </c>
      <c r="AL44" s="405">
        <f t="shared" si="16"/>
        <v>0</v>
      </c>
      <c r="AM44" s="406">
        <f t="shared" si="17"/>
        <v>7417</v>
      </c>
      <c r="AN44" s="407">
        <f t="shared" si="18"/>
        <v>7417</v>
      </c>
      <c r="AO44" s="407">
        <f t="shared" si="19"/>
        <v>0</v>
      </c>
      <c r="AP44" s="405">
        <f t="shared" si="20"/>
        <v>7417</v>
      </c>
      <c r="AQ44" s="408"/>
      <c r="AR44" s="409">
        <f t="shared" si="21"/>
        <v>-7090</v>
      </c>
      <c r="AS44" s="407">
        <f t="shared" si="22"/>
        <v>-7090</v>
      </c>
      <c r="AT44" s="407"/>
      <c r="AU44" s="407">
        <f t="shared" si="23"/>
        <v>-9766</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43258</v>
      </c>
      <c r="E45" s="199">
        <f t="shared" si="60"/>
        <v>31289</v>
      </c>
      <c r="F45" s="497">
        <v>74547</v>
      </c>
      <c r="G45" s="497">
        <v>0</v>
      </c>
      <c r="H45" s="96">
        <f t="shared" si="61"/>
        <v>74547</v>
      </c>
      <c r="I45" s="217"/>
      <c r="J45" s="499">
        <v>74547</v>
      </c>
      <c r="K45" s="497">
        <v>74547</v>
      </c>
      <c r="L45" s="59"/>
      <c r="M45" s="497">
        <v>112739</v>
      </c>
      <c r="N45" s="172">
        <f t="shared" si="59"/>
        <v>1.5123210860262652</v>
      </c>
      <c r="O45" s="60"/>
      <c r="P45" s="56"/>
      <c r="Q45" s="56"/>
      <c r="R45"/>
      <c r="S45" s="57"/>
      <c r="T45" s="58" t="str">
        <f t="shared" si="62"/>
        <v>(d) Human Resources Capacitation Grant</v>
      </c>
      <c r="U45" s="96">
        <v>43258</v>
      </c>
      <c r="V45" s="199">
        <v>0</v>
      </c>
      <c r="W45" s="59">
        <v>43258</v>
      </c>
      <c r="X45" s="59">
        <v>0</v>
      </c>
      <c r="Y45" s="96">
        <v>43258</v>
      </c>
      <c r="Z45" s="217"/>
      <c r="AA45" s="102">
        <v>21624</v>
      </c>
      <c r="AB45" s="59">
        <v>21624</v>
      </c>
      <c r="AC45" s="59"/>
      <c r="AD45" s="59">
        <v>57659</v>
      </c>
      <c r="AE45" s="172">
        <v>1.3329095196264276</v>
      </c>
      <c r="AF45" s="60"/>
      <c r="AG45" s="443"/>
      <c r="AH45" s="443"/>
      <c r="AI45"/>
      <c r="AJ45" s="394"/>
      <c r="AK45" s="479" t="str">
        <f t="shared" si="15"/>
        <v>(d) Human Resources Capacitation Grant</v>
      </c>
      <c r="AL45" s="396">
        <f t="shared" si="16"/>
        <v>0</v>
      </c>
      <c r="AM45" s="397">
        <f t="shared" si="17"/>
        <v>-31289</v>
      </c>
      <c r="AN45" s="398">
        <f t="shared" si="18"/>
        <v>-31289</v>
      </c>
      <c r="AO45" s="398">
        <f t="shared" si="19"/>
        <v>0</v>
      </c>
      <c r="AP45" s="396">
        <f t="shared" si="20"/>
        <v>-31289</v>
      </c>
      <c r="AQ45" s="399"/>
      <c r="AR45" s="400">
        <f t="shared" si="21"/>
        <v>-52923</v>
      </c>
      <c r="AS45" s="398">
        <f t="shared" si="22"/>
        <v>-52923</v>
      </c>
      <c r="AT45" s="398"/>
      <c r="AU45" s="398">
        <f t="shared" si="23"/>
        <v>-55080</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32115</v>
      </c>
      <c r="F46" s="497">
        <v>32115</v>
      </c>
      <c r="G46" s="497">
        <v>0</v>
      </c>
      <c r="H46" s="96">
        <f t="shared" ref="H46" si="63">SUM(F46:G46)</f>
        <v>32115</v>
      </c>
      <c r="I46" s="217"/>
      <c r="J46" s="499">
        <v>32115</v>
      </c>
      <c r="K46" s="497">
        <v>32115</v>
      </c>
      <c r="L46" s="59"/>
      <c r="M46" s="497">
        <v>0</v>
      </c>
      <c r="N46" s="172">
        <f>IFERROR(M46/H46,0)</f>
        <v>0</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-32115</v>
      </c>
      <c r="AN46" s="398">
        <f t="shared" si="18"/>
        <v>-32115</v>
      </c>
      <c r="AO46" s="398">
        <f t="shared" si="19"/>
        <v>0</v>
      </c>
      <c r="AP46" s="396">
        <f t="shared" si="20"/>
        <v>-32115</v>
      </c>
      <c r="AQ46" s="399"/>
      <c r="AR46" s="400">
        <f t="shared" si="21"/>
        <v>-32115</v>
      </c>
      <c r="AS46" s="398">
        <f t="shared" si="22"/>
        <v>-32115</v>
      </c>
      <c r="AT46" s="398"/>
      <c r="AU46" s="398">
        <f t="shared" si="23"/>
        <v>0</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1337497</v>
      </c>
      <c r="E48" s="198">
        <f t="shared" ref="E48:K48" si="64">SUM(E49+E50)</f>
        <v>0</v>
      </c>
      <c r="F48" s="54">
        <f t="shared" si="64"/>
        <v>1337497</v>
      </c>
      <c r="G48" s="54">
        <f t="shared" si="64"/>
        <v>72071</v>
      </c>
      <c r="H48" s="95">
        <f t="shared" si="64"/>
        <v>1409568</v>
      </c>
      <c r="I48" s="216">
        <f t="shared" si="64"/>
        <v>0</v>
      </c>
      <c r="J48" s="101">
        <f t="shared" si="64"/>
        <v>1337497</v>
      </c>
      <c r="K48" s="54">
        <f t="shared" si="64"/>
        <v>1337497</v>
      </c>
      <c r="L48" s="54"/>
      <c r="M48" s="54">
        <f>SUM(M49+M50)</f>
        <v>1373579</v>
      </c>
      <c r="N48" s="183">
        <f t="shared" ref="N48:N50" si="65">IFERROR(M48/H48,0)</f>
        <v>0.97446806397421049</v>
      </c>
      <c r="O48" s="63"/>
      <c r="P48" s="64"/>
      <c r="Q48" s="64"/>
      <c r="R48"/>
      <c r="S48" s="62"/>
      <c r="T48" s="51" t="str">
        <f>C48</f>
        <v>Human Settlements (Vote 38)</v>
      </c>
      <c r="U48" s="95">
        <v>1337497</v>
      </c>
      <c r="V48" s="198">
        <v>0</v>
      </c>
      <c r="W48" s="54">
        <v>1337497</v>
      </c>
      <c r="X48" s="54">
        <v>0</v>
      </c>
      <c r="Y48" s="95">
        <v>1337497</v>
      </c>
      <c r="Z48" s="216"/>
      <c r="AA48" s="101">
        <v>884760</v>
      </c>
      <c r="AB48" s="54">
        <v>884760</v>
      </c>
      <c r="AC48" s="54"/>
      <c r="AD48" s="54">
        <v>633495</v>
      </c>
      <c r="AE48" s="183">
        <v>0.47364218387031898</v>
      </c>
      <c r="AF48" s="63"/>
      <c r="AG48" s="444"/>
      <c r="AH48" s="444"/>
      <c r="AI48" s="73"/>
      <c r="AJ48" s="402"/>
      <c r="AK48" s="481" t="str">
        <f t="shared" si="15"/>
        <v>Human Settlements (Vote 38)</v>
      </c>
      <c r="AL48" s="388">
        <f t="shared" si="16"/>
        <v>0</v>
      </c>
      <c r="AM48" s="389">
        <f t="shared" si="17"/>
        <v>0</v>
      </c>
      <c r="AN48" s="390">
        <f t="shared" si="18"/>
        <v>0</v>
      </c>
      <c r="AO48" s="390">
        <f t="shared" si="19"/>
        <v>-72071</v>
      </c>
      <c r="AP48" s="388">
        <f t="shared" si="20"/>
        <v>-72071</v>
      </c>
      <c r="AQ48" s="391"/>
      <c r="AR48" s="392">
        <f t="shared" si="21"/>
        <v>-452737</v>
      </c>
      <c r="AS48" s="390">
        <f t="shared" si="22"/>
        <v>-452737</v>
      </c>
      <c r="AT48" s="390"/>
      <c r="AU48" s="390">
        <f t="shared" si="23"/>
        <v>-740084</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1301677</v>
      </c>
      <c r="E49" s="199">
        <f t="shared" ref="E49:E50" si="66">SUM(F49-D49)</f>
        <v>0</v>
      </c>
      <c r="F49" s="497">
        <v>1301677</v>
      </c>
      <c r="G49" s="497">
        <v>61270</v>
      </c>
      <c r="H49" s="96">
        <f t="shared" ref="H49:H50" si="67">SUM(F49:G49)</f>
        <v>1362947</v>
      </c>
      <c r="I49" s="217"/>
      <c r="J49" s="499">
        <v>1301677</v>
      </c>
      <c r="K49" s="497">
        <v>1301677</v>
      </c>
      <c r="L49" s="59"/>
      <c r="M49" s="497">
        <v>1362947</v>
      </c>
      <c r="N49" s="172">
        <f t="shared" si="65"/>
        <v>1</v>
      </c>
      <c r="O49" s="60"/>
      <c r="R49"/>
      <c r="S49" s="57"/>
      <c r="T49" s="58" t="str">
        <f t="shared" ref="T49:T53" si="68">C49</f>
        <v>(a) Human Settlements Development Grant</v>
      </c>
      <c r="U49" s="96">
        <v>1301677</v>
      </c>
      <c r="V49" s="199">
        <v>0</v>
      </c>
      <c r="W49" s="59">
        <v>1301677</v>
      </c>
      <c r="X49" s="59">
        <v>0</v>
      </c>
      <c r="Y49" s="96">
        <v>1301677</v>
      </c>
      <c r="Z49" s="217"/>
      <c r="AA49" s="102">
        <v>866912</v>
      </c>
      <c r="AB49" s="59">
        <v>866912</v>
      </c>
      <c r="AC49" s="59"/>
      <c r="AD49" s="59">
        <v>629538</v>
      </c>
      <c r="AE49" s="172">
        <v>0.48363610941884966</v>
      </c>
      <c r="AF49" s="60"/>
      <c r="AG49" s="443"/>
      <c r="AH49" s="443"/>
      <c r="AI49" s="61"/>
      <c r="AJ49" s="394"/>
      <c r="AK49" s="479" t="str">
        <f t="shared" si="15"/>
        <v>(a) Human Settlements Development Grant</v>
      </c>
      <c r="AL49" s="396">
        <f t="shared" si="16"/>
        <v>0</v>
      </c>
      <c r="AM49" s="397">
        <f t="shared" si="17"/>
        <v>0</v>
      </c>
      <c r="AN49" s="398">
        <f t="shared" si="18"/>
        <v>0</v>
      </c>
      <c r="AO49" s="398">
        <f t="shared" si="19"/>
        <v>-61270</v>
      </c>
      <c r="AP49" s="396">
        <f t="shared" si="20"/>
        <v>-61270</v>
      </c>
      <c r="AQ49" s="399"/>
      <c r="AR49" s="400">
        <f t="shared" si="21"/>
        <v>-434765</v>
      </c>
      <c r="AS49" s="398">
        <f t="shared" si="22"/>
        <v>-434765</v>
      </c>
      <c r="AT49" s="398"/>
      <c r="AU49" s="398">
        <f t="shared" si="23"/>
        <v>-733409</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35820</v>
      </c>
      <c r="E50" s="199">
        <f t="shared" si="66"/>
        <v>0</v>
      </c>
      <c r="F50" s="497">
        <v>35820</v>
      </c>
      <c r="G50" s="497">
        <v>10801</v>
      </c>
      <c r="H50" s="96">
        <f t="shared" si="67"/>
        <v>46621</v>
      </c>
      <c r="I50" s="217"/>
      <c r="J50" s="499">
        <v>35820</v>
      </c>
      <c r="K50" s="497">
        <v>35820</v>
      </c>
      <c r="L50" s="59"/>
      <c r="M50" s="497">
        <v>10632</v>
      </c>
      <c r="N50" s="172">
        <f t="shared" si="65"/>
        <v>0.2280517363419918</v>
      </c>
      <c r="O50" s="60"/>
      <c r="P50" s="56"/>
      <c r="Q50" s="56"/>
      <c r="R50"/>
      <c r="S50" s="57"/>
      <c r="T50" s="58" t="str">
        <f t="shared" si="68"/>
        <v>(b) Title Deeds Restoriation Grant</v>
      </c>
      <c r="U50" s="96">
        <v>35820</v>
      </c>
      <c r="V50" s="199">
        <v>0</v>
      </c>
      <c r="W50" s="59">
        <v>35820</v>
      </c>
      <c r="X50" s="59">
        <v>0</v>
      </c>
      <c r="Y50" s="96">
        <v>35820</v>
      </c>
      <c r="Z50" s="217"/>
      <c r="AA50" s="102">
        <v>17848</v>
      </c>
      <c r="AB50" s="59">
        <v>17848</v>
      </c>
      <c r="AC50" s="59"/>
      <c r="AD50" s="59">
        <v>3957</v>
      </c>
      <c r="AE50" s="172">
        <v>0.11046901172529314</v>
      </c>
      <c r="AF50" s="60"/>
      <c r="AG50" s="443"/>
      <c r="AH50" s="443"/>
      <c r="AI50"/>
      <c r="AJ50" s="394"/>
      <c r="AK50" s="479" t="str">
        <f t="shared" si="15"/>
        <v>(b) Title Deeds Restoriation Grant</v>
      </c>
      <c r="AL50" s="396">
        <f t="shared" si="16"/>
        <v>0</v>
      </c>
      <c r="AM50" s="397">
        <f t="shared" si="17"/>
        <v>0</v>
      </c>
      <c r="AN50" s="398">
        <f t="shared" si="18"/>
        <v>0</v>
      </c>
      <c r="AO50" s="398">
        <f t="shared" si="19"/>
        <v>-10801</v>
      </c>
      <c r="AP50" s="396">
        <f t="shared" si="20"/>
        <v>-10801</v>
      </c>
      <c r="AQ50" s="399"/>
      <c r="AR50" s="400">
        <f t="shared" si="21"/>
        <v>-17972</v>
      </c>
      <c r="AS50" s="398">
        <f t="shared" si="22"/>
        <v>-17972</v>
      </c>
      <c r="AT50" s="398"/>
      <c r="AU50" s="398">
        <f t="shared" si="23"/>
        <v>-6675</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91112</v>
      </c>
      <c r="E55" s="198">
        <f t="shared" ref="E55:K55" si="72">SUM(E56+E57)</f>
        <v>0</v>
      </c>
      <c r="F55" s="54">
        <f t="shared" si="72"/>
        <v>91112</v>
      </c>
      <c r="G55" s="54">
        <f t="shared" si="72"/>
        <v>189</v>
      </c>
      <c r="H55" s="95">
        <f t="shared" si="72"/>
        <v>91301</v>
      </c>
      <c r="I55" s="216">
        <f t="shared" si="72"/>
        <v>0</v>
      </c>
      <c r="J55" s="101">
        <f t="shared" si="72"/>
        <v>91112</v>
      </c>
      <c r="K55" s="54">
        <f t="shared" si="72"/>
        <v>91112</v>
      </c>
      <c r="L55" s="54"/>
      <c r="M55" s="54">
        <f>SUM(M56+M57)</f>
        <v>86524</v>
      </c>
      <c r="N55" s="183">
        <f t="shared" ref="N55:N57" si="73">IFERROR(M55/H55,0)</f>
        <v>0.94767855773759324</v>
      </c>
      <c r="O55" s="63"/>
      <c r="P55" s="64"/>
      <c r="Q55" s="64"/>
      <c r="R55"/>
      <c r="S55" s="62"/>
      <c r="T55" s="51" t="str">
        <f>C55</f>
        <v>Public Works (Vote 11)</v>
      </c>
      <c r="U55" s="95">
        <v>91112</v>
      </c>
      <c r="V55" s="198">
        <v>0</v>
      </c>
      <c r="W55" s="54">
        <v>91112</v>
      </c>
      <c r="X55" s="54">
        <v>0</v>
      </c>
      <c r="Y55" s="95">
        <v>91112</v>
      </c>
      <c r="Z55" s="216"/>
      <c r="AA55" s="101">
        <v>63778</v>
      </c>
      <c r="AB55" s="54">
        <v>55012</v>
      </c>
      <c r="AC55" s="54"/>
      <c r="AD55" s="54">
        <v>27452</v>
      </c>
      <c r="AE55" s="183">
        <v>0.30129949951707791</v>
      </c>
      <c r="AF55" s="63"/>
      <c r="AG55" s="444"/>
      <c r="AH55" s="444"/>
      <c r="AI55"/>
      <c r="AJ55" s="402"/>
      <c r="AK55" s="481" t="str">
        <f t="shared" si="15"/>
        <v>Public Works (Vote 11)</v>
      </c>
      <c r="AL55" s="388">
        <f t="shared" si="16"/>
        <v>0</v>
      </c>
      <c r="AM55" s="389">
        <f t="shared" si="17"/>
        <v>0</v>
      </c>
      <c r="AN55" s="390">
        <f t="shared" si="18"/>
        <v>0</v>
      </c>
      <c r="AO55" s="390">
        <f t="shared" si="19"/>
        <v>-189</v>
      </c>
      <c r="AP55" s="388">
        <f t="shared" si="20"/>
        <v>-189</v>
      </c>
      <c r="AQ55" s="391"/>
      <c r="AR55" s="392">
        <f t="shared" si="21"/>
        <v>-27334</v>
      </c>
      <c r="AS55" s="390">
        <f t="shared" si="22"/>
        <v>-36100</v>
      </c>
      <c r="AT55" s="390"/>
      <c r="AU55" s="390">
        <f t="shared" si="23"/>
        <v>-59072</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29428</v>
      </c>
      <c r="E56" s="199">
        <f t="shared" ref="E56:E57" si="74">SUM(F56-D56)</f>
        <v>0</v>
      </c>
      <c r="F56" s="497">
        <v>29428</v>
      </c>
      <c r="G56" s="497">
        <v>81</v>
      </c>
      <c r="H56" s="96">
        <f t="shared" ref="H56:H57" si="75">SUM(F56:G56)</f>
        <v>29509</v>
      </c>
      <c r="I56" s="217"/>
      <c r="J56" s="499">
        <v>29428</v>
      </c>
      <c r="K56" s="497">
        <v>29428</v>
      </c>
      <c r="L56" s="59"/>
      <c r="M56" s="497">
        <v>28000</v>
      </c>
      <c r="N56" s="172">
        <f t="shared" si="73"/>
        <v>0.94886305872784571</v>
      </c>
      <c r="O56" s="60"/>
      <c r="P56" s="56"/>
      <c r="Q56" s="56"/>
      <c r="R56"/>
      <c r="S56" s="57"/>
      <c r="T56" s="58" t="str">
        <f t="shared" ref="T56:T60" si="76">C56</f>
        <v>(a) Expanded Public Works Programme Integrated Grant for Provinces</v>
      </c>
      <c r="U56" s="96">
        <v>29428</v>
      </c>
      <c r="V56" s="199">
        <v>0</v>
      </c>
      <c r="W56" s="59">
        <v>29428</v>
      </c>
      <c r="X56" s="59">
        <v>0</v>
      </c>
      <c r="Y56" s="96">
        <v>29428</v>
      </c>
      <c r="Z56" s="217"/>
      <c r="AA56" s="102">
        <v>20600</v>
      </c>
      <c r="AB56" s="59">
        <v>11834</v>
      </c>
      <c r="AC56" s="59"/>
      <c r="AD56" s="59">
        <v>1959</v>
      </c>
      <c r="AE56" s="172">
        <v>6.6569253771917899E-2</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-81</v>
      </c>
      <c r="AP56" s="396">
        <f t="shared" si="20"/>
        <v>-81</v>
      </c>
      <c r="AQ56" s="399"/>
      <c r="AR56" s="400">
        <f t="shared" si="21"/>
        <v>-8828</v>
      </c>
      <c r="AS56" s="398">
        <f t="shared" si="22"/>
        <v>-17594</v>
      </c>
      <c r="AT56" s="398"/>
      <c r="AU56" s="398">
        <f t="shared" si="23"/>
        <v>-26041</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61684</v>
      </c>
      <c r="E57" s="199">
        <f t="shared" si="74"/>
        <v>0</v>
      </c>
      <c r="F57" s="497">
        <v>61684</v>
      </c>
      <c r="G57" s="497">
        <v>108</v>
      </c>
      <c r="H57" s="96">
        <f t="shared" si="75"/>
        <v>61792</v>
      </c>
      <c r="I57" s="217"/>
      <c r="J57" s="499">
        <v>61684</v>
      </c>
      <c r="K57" s="497">
        <v>61684</v>
      </c>
      <c r="L57" s="59"/>
      <c r="M57" s="497">
        <v>58524</v>
      </c>
      <c r="N57" s="172">
        <f t="shared" si="73"/>
        <v>0.94711289487312278</v>
      </c>
      <c r="O57" s="60"/>
      <c r="P57" s="56"/>
      <c r="Q57" s="56"/>
      <c r="R57"/>
      <c r="S57" s="57"/>
      <c r="T57" s="58" t="str">
        <f t="shared" si="76"/>
        <v>(b) Social Sector Expanded Public Works Programme Incentive Grant for Provinces</v>
      </c>
      <c r="U57" s="96">
        <v>61684</v>
      </c>
      <c r="V57" s="199">
        <v>0</v>
      </c>
      <c r="W57" s="59">
        <v>61684</v>
      </c>
      <c r="X57" s="59">
        <v>0</v>
      </c>
      <c r="Y57" s="96">
        <v>61684</v>
      </c>
      <c r="Z57" s="217"/>
      <c r="AA57" s="102">
        <v>43178</v>
      </c>
      <c r="AB57" s="59">
        <v>43178</v>
      </c>
      <c r="AC57" s="59"/>
      <c r="AD57" s="59">
        <v>25493</v>
      </c>
      <c r="AE57" s="172">
        <v>0.41328383373322092</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-108</v>
      </c>
      <c r="AP57" s="396">
        <f t="shared" si="20"/>
        <v>-108</v>
      </c>
      <c r="AQ57" s="399"/>
      <c r="AR57" s="400">
        <f t="shared" si="21"/>
        <v>-18506</v>
      </c>
      <c r="AS57" s="398">
        <f t="shared" si="22"/>
        <v>-18506</v>
      </c>
      <c r="AT57" s="398"/>
      <c r="AU57" s="398">
        <f t="shared" si="23"/>
        <v>-33031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68992</v>
      </c>
      <c r="E62" s="198">
        <f t="shared" ref="E62:K62" si="79">SUM(E63)</f>
        <v>0</v>
      </c>
      <c r="F62" s="54">
        <f t="shared" si="79"/>
        <v>68992</v>
      </c>
      <c r="G62" s="54">
        <f t="shared" si="79"/>
        <v>983</v>
      </c>
      <c r="H62" s="95">
        <f t="shared" si="79"/>
        <v>69975</v>
      </c>
      <c r="I62" s="216">
        <f t="shared" si="79"/>
        <v>0</v>
      </c>
      <c r="J62" s="101">
        <f t="shared" si="79"/>
        <v>68992</v>
      </c>
      <c r="K62" s="54">
        <f t="shared" si="79"/>
        <v>68992</v>
      </c>
      <c r="L62" s="54"/>
      <c r="M62" s="54">
        <f>SUM(M63)</f>
        <v>68992</v>
      </c>
      <c r="N62" s="183">
        <f t="shared" ref="N62:N63" si="80">IFERROR(M62/H62,0)</f>
        <v>0.98595212575919966</v>
      </c>
      <c r="O62" s="63"/>
      <c r="P62" s="64"/>
      <c r="Q62" s="64"/>
      <c r="R62"/>
      <c r="S62" s="62"/>
      <c r="T62" s="51" t="str">
        <f>C62</f>
        <v>Social Development (Vote 17)</v>
      </c>
      <c r="U62" s="95">
        <v>68992</v>
      </c>
      <c r="V62" s="198">
        <v>0</v>
      </c>
      <c r="W62" s="54">
        <v>68992</v>
      </c>
      <c r="X62" s="54">
        <v>0</v>
      </c>
      <c r="Y62" s="95">
        <v>68992</v>
      </c>
      <c r="Z62" s="216"/>
      <c r="AA62" s="101">
        <v>31966</v>
      </c>
      <c r="AB62" s="54">
        <v>31966</v>
      </c>
      <c r="AC62" s="54"/>
      <c r="AD62" s="54">
        <v>29744</v>
      </c>
      <c r="AE62" s="183">
        <v>0.43112244897959184</v>
      </c>
      <c r="AF62" s="63"/>
      <c r="AG62" s="444"/>
      <c r="AH62" s="444"/>
      <c r="AI62"/>
      <c r="AJ62" s="402"/>
      <c r="AK62" s="481" t="str">
        <f t="shared" si="15"/>
        <v>Social Development (Vote 17)</v>
      </c>
      <c r="AL62" s="388">
        <f t="shared" si="16"/>
        <v>0</v>
      </c>
      <c r="AM62" s="389">
        <f t="shared" si="17"/>
        <v>0</v>
      </c>
      <c r="AN62" s="390">
        <f t="shared" si="18"/>
        <v>0</v>
      </c>
      <c r="AO62" s="390">
        <f t="shared" si="19"/>
        <v>-983</v>
      </c>
      <c r="AP62" s="388">
        <f t="shared" si="20"/>
        <v>-983</v>
      </c>
      <c r="AQ62" s="391"/>
      <c r="AR62" s="392">
        <f t="shared" si="21"/>
        <v>-37026</v>
      </c>
      <c r="AS62" s="390">
        <f t="shared" si="22"/>
        <v>-37026</v>
      </c>
      <c r="AT62" s="390"/>
      <c r="AU62" s="390">
        <f t="shared" si="23"/>
        <v>-39248</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68992</v>
      </c>
      <c r="E63" s="199">
        <f>SUM(F63-D63)</f>
        <v>0</v>
      </c>
      <c r="F63" s="497">
        <v>68992</v>
      </c>
      <c r="G63" s="497">
        <v>983</v>
      </c>
      <c r="H63" s="96">
        <f>SUM(F63:G63)</f>
        <v>69975</v>
      </c>
      <c r="I63" s="217"/>
      <c r="J63" s="499">
        <v>68992</v>
      </c>
      <c r="K63" s="497">
        <v>68992</v>
      </c>
      <c r="L63" s="59"/>
      <c r="M63" s="497">
        <v>68992</v>
      </c>
      <c r="N63" s="172">
        <f t="shared" si="80"/>
        <v>0.98595212575919966</v>
      </c>
      <c r="O63" s="33"/>
      <c r="P63" s="21"/>
      <c r="Q63" s="21"/>
      <c r="R63"/>
      <c r="S63" s="57"/>
      <c r="T63" s="58" t="str">
        <f t="shared" ref="T63:T67" si="81">C63</f>
        <v>Early Childhood Development Grant</v>
      </c>
      <c r="U63" s="96">
        <v>68992</v>
      </c>
      <c r="V63" s="199">
        <v>0</v>
      </c>
      <c r="W63" s="59">
        <v>68992</v>
      </c>
      <c r="X63" s="59">
        <v>0</v>
      </c>
      <c r="Y63" s="96">
        <v>68992</v>
      </c>
      <c r="Z63" s="217"/>
      <c r="AA63" s="102">
        <v>31966</v>
      </c>
      <c r="AB63" s="59">
        <v>31966</v>
      </c>
      <c r="AC63" s="59"/>
      <c r="AD63" s="59">
        <v>29744</v>
      </c>
      <c r="AE63" s="172">
        <v>0.43112244897959184</v>
      </c>
      <c r="AF63" s="33"/>
      <c r="AG63" s="441"/>
      <c r="AH63" s="441"/>
      <c r="AI63"/>
      <c r="AJ63" s="394"/>
      <c r="AK63" s="479" t="str">
        <f t="shared" si="15"/>
        <v>Early Childhood Development Grant</v>
      </c>
      <c r="AL63" s="396">
        <f t="shared" si="16"/>
        <v>0</v>
      </c>
      <c r="AM63" s="397">
        <f t="shared" si="17"/>
        <v>0</v>
      </c>
      <c r="AN63" s="398">
        <f t="shared" si="18"/>
        <v>0</v>
      </c>
      <c r="AO63" s="398">
        <f t="shared" si="19"/>
        <v>-983</v>
      </c>
      <c r="AP63" s="396">
        <f t="shared" si="20"/>
        <v>-983</v>
      </c>
      <c r="AQ63" s="399"/>
      <c r="AR63" s="400">
        <f t="shared" si="21"/>
        <v>-37026</v>
      </c>
      <c r="AS63" s="398">
        <f t="shared" si="22"/>
        <v>-37026</v>
      </c>
      <c r="AT63" s="398"/>
      <c r="AU63" s="398">
        <f t="shared" si="23"/>
        <v>-39248</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71489</v>
      </c>
      <c r="E69" s="198">
        <f t="shared" ref="E69:K69" si="85">SUM(E70)</f>
        <v>0</v>
      </c>
      <c r="F69" s="54">
        <f t="shared" si="85"/>
        <v>71489</v>
      </c>
      <c r="G69" s="54">
        <f t="shared" si="85"/>
        <v>3365</v>
      </c>
      <c r="H69" s="95">
        <f t="shared" si="85"/>
        <v>74854</v>
      </c>
      <c r="I69" s="216">
        <f t="shared" si="85"/>
        <v>0</v>
      </c>
      <c r="J69" s="101">
        <f t="shared" si="85"/>
        <v>71489</v>
      </c>
      <c r="K69" s="54">
        <f t="shared" si="85"/>
        <v>71489</v>
      </c>
      <c r="L69" s="54"/>
      <c r="M69" s="54">
        <f>SUM(M70)</f>
        <v>71849</v>
      </c>
      <c r="N69" s="183">
        <f t="shared" ref="N69:N70" si="86">IFERROR(M69/H69,0)</f>
        <v>0.95985518475966547</v>
      </c>
      <c r="O69" s="63"/>
      <c r="P69" s="64"/>
      <c r="Q69" s="64"/>
      <c r="R69"/>
      <c r="S69" s="62"/>
      <c r="T69" s="51" t="str">
        <f>C69</f>
        <v>Sport and Recreation South Africa (Vote 40)</v>
      </c>
      <c r="U69" s="95">
        <v>71489</v>
      </c>
      <c r="V69" s="198">
        <v>0</v>
      </c>
      <c r="W69" s="54">
        <v>71489</v>
      </c>
      <c r="X69" s="54">
        <v>0</v>
      </c>
      <c r="Y69" s="95">
        <v>71489</v>
      </c>
      <c r="Z69" s="216"/>
      <c r="AA69" s="101">
        <v>35745</v>
      </c>
      <c r="AB69" s="54">
        <v>35745</v>
      </c>
      <c r="AC69" s="59"/>
      <c r="AD69" s="54">
        <v>38809</v>
      </c>
      <c r="AE69" s="172">
        <v>0.54286673474240787</v>
      </c>
      <c r="AF69" s="63"/>
      <c r="AG69" s="444"/>
      <c r="AH69" s="444"/>
      <c r="AI69"/>
      <c r="AJ69" s="402"/>
      <c r="AK69" s="481" t="str">
        <f t="shared" si="15"/>
        <v>Sport and Recreation South Africa (Vote 40)</v>
      </c>
      <c r="AL69" s="388">
        <f t="shared" si="16"/>
        <v>0</v>
      </c>
      <c r="AM69" s="389">
        <f t="shared" si="17"/>
        <v>0</v>
      </c>
      <c r="AN69" s="390">
        <f t="shared" si="18"/>
        <v>0</v>
      </c>
      <c r="AO69" s="390">
        <f t="shared" si="19"/>
        <v>-3365</v>
      </c>
      <c r="AP69" s="388">
        <f t="shared" si="20"/>
        <v>-3365</v>
      </c>
      <c r="AQ69" s="391"/>
      <c r="AR69" s="392">
        <f t="shared" si="21"/>
        <v>-35744</v>
      </c>
      <c r="AS69" s="390">
        <f t="shared" si="22"/>
        <v>-35744</v>
      </c>
      <c r="AT69" s="398"/>
      <c r="AU69" s="390">
        <f t="shared" si="23"/>
        <v>-33040</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71489</v>
      </c>
      <c r="E70" s="199">
        <f>SUM(F70-D70)</f>
        <v>0</v>
      </c>
      <c r="F70" s="497">
        <v>71489</v>
      </c>
      <c r="G70" s="497">
        <v>3365</v>
      </c>
      <c r="H70" s="96">
        <f>SUM(F70:G70)</f>
        <v>74854</v>
      </c>
      <c r="I70" s="217"/>
      <c r="J70" s="499">
        <v>71489</v>
      </c>
      <c r="K70" s="497">
        <v>71489</v>
      </c>
      <c r="L70" s="59"/>
      <c r="M70" s="497">
        <v>71849</v>
      </c>
      <c r="N70" s="172">
        <f t="shared" si="86"/>
        <v>0.95985518475966547</v>
      </c>
      <c r="O70" s="60"/>
      <c r="P70" s="56"/>
      <c r="Q70" s="56"/>
      <c r="R70"/>
      <c r="S70" s="57"/>
      <c r="T70" s="58" t="str">
        <f t="shared" ref="T70:T74" si="87">C70</f>
        <v>Mass Participation and Sport Development Grant</v>
      </c>
      <c r="U70" s="96">
        <v>71489</v>
      </c>
      <c r="V70" s="199">
        <v>0</v>
      </c>
      <c r="W70" s="59">
        <v>71489</v>
      </c>
      <c r="X70" s="59">
        <v>0</v>
      </c>
      <c r="Y70" s="96">
        <v>71489</v>
      </c>
      <c r="Z70" s="217"/>
      <c r="AA70" s="102">
        <v>35745</v>
      </c>
      <c r="AB70" s="59">
        <v>35745</v>
      </c>
      <c r="AC70" s="59"/>
      <c r="AD70" s="59">
        <v>38809</v>
      </c>
      <c r="AE70" s="183">
        <v>0.54286673474240787</v>
      </c>
      <c r="AF70" s="60"/>
      <c r="AG70" s="443"/>
      <c r="AH70" s="443"/>
      <c r="AI70"/>
      <c r="AJ70" s="394"/>
      <c r="AK70" s="479" t="str">
        <f t="shared" si="15"/>
        <v>Mass Participation and Sport Development Grant</v>
      </c>
      <c r="AL70" s="396">
        <f t="shared" si="16"/>
        <v>0</v>
      </c>
      <c r="AM70" s="397">
        <f t="shared" si="17"/>
        <v>0</v>
      </c>
      <c r="AN70" s="398">
        <f t="shared" si="18"/>
        <v>0</v>
      </c>
      <c r="AO70" s="398">
        <f t="shared" si="19"/>
        <v>-3365</v>
      </c>
      <c r="AP70" s="396">
        <f t="shared" si="20"/>
        <v>-3365</v>
      </c>
      <c r="AQ70" s="399"/>
      <c r="AR70" s="400">
        <f t="shared" si="21"/>
        <v>-35744</v>
      </c>
      <c r="AS70" s="398">
        <f t="shared" si="22"/>
        <v>-35744</v>
      </c>
      <c r="AT70" s="398"/>
      <c r="AU70" s="398">
        <f t="shared" si="23"/>
        <v>-33040</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5919359</v>
      </c>
      <c r="E76" s="201">
        <f t="shared" ref="E76:K76" si="90">SUM(E13+E20+E27+E34+E41+E48+E55+E62+E69)</f>
        <v>183136</v>
      </c>
      <c r="F76" s="75">
        <f t="shared" si="90"/>
        <v>6102495</v>
      </c>
      <c r="G76" s="75">
        <f t="shared" si="90"/>
        <v>128150</v>
      </c>
      <c r="H76" s="98">
        <f t="shared" si="90"/>
        <v>6230645</v>
      </c>
      <c r="I76" s="219">
        <f t="shared" si="90"/>
        <v>0</v>
      </c>
      <c r="J76" s="104">
        <f t="shared" si="90"/>
        <v>6102495</v>
      </c>
      <c r="K76" s="75">
        <f t="shared" si="90"/>
        <v>6102495</v>
      </c>
      <c r="L76" s="59"/>
      <c r="M76" s="75">
        <f>SUM(M13+M20+M27+M34+M41+M48+M55+M62+M69)</f>
        <v>6026231</v>
      </c>
      <c r="N76" s="180">
        <f>IFERROR(M76/H76,0)</f>
        <v>0.96719216068320379</v>
      </c>
      <c r="O76" s="60"/>
      <c r="P76" s="65"/>
      <c r="Q76" s="65"/>
      <c r="R76"/>
      <c r="S76" s="53"/>
      <c r="T76" s="74" t="s">
        <v>37</v>
      </c>
      <c r="U76" s="98">
        <v>5919359</v>
      </c>
      <c r="V76" s="201">
        <v>0</v>
      </c>
      <c r="W76" s="75">
        <v>5919359</v>
      </c>
      <c r="X76" s="75">
        <v>0</v>
      </c>
      <c r="Y76" s="98">
        <v>5919359</v>
      </c>
      <c r="Z76" s="219">
        <v>0</v>
      </c>
      <c r="AA76" s="104">
        <v>3248541</v>
      </c>
      <c r="AB76" s="75">
        <v>3239769</v>
      </c>
      <c r="AC76" s="59"/>
      <c r="AD76" s="75">
        <v>2555478</v>
      </c>
      <c r="AE76" s="180">
        <v>0.43171532593309514</v>
      </c>
      <c r="AF76" s="60"/>
      <c r="AG76" s="443"/>
      <c r="AH76" s="443"/>
      <c r="AI76"/>
      <c r="AJ76" s="387"/>
      <c r="AK76" s="411" t="str">
        <f t="shared" si="15"/>
        <v>Sub-Total</v>
      </c>
      <c r="AL76" s="412">
        <f t="shared" si="16"/>
        <v>0</v>
      </c>
      <c r="AM76" s="413">
        <f t="shared" si="17"/>
        <v>-183136</v>
      </c>
      <c r="AN76" s="414">
        <f t="shared" si="18"/>
        <v>-183136</v>
      </c>
      <c r="AO76" s="414">
        <f t="shared" si="19"/>
        <v>-128150</v>
      </c>
      <c r="AP76" s="412">
        <f t="shared" si="20"/>
        <v>-311286</v>
      </c>
      <c r="AQ76" s="415"/>
      <c r="AR76" s="416">
        <f t="shared" si="21"/>
        <v>-2853954</v>
      </c>
      <c r="AS76" s="414">
        <f t="shared" si="22"/>
        <v>-2862726</v>
      </c>
      <c r="AT76" s="398"/>
      <c r="AU76" s="414">
        <f t="shared" si="23"/>
        <v>-3470753</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1050160</v>
      </c>
      <c r="E80" s="198">
        <f t="shared" ref="E80:K80" si="91">SUM(E81)</f>
        <v>-131270</v>
      </c>
      <c r="F80" s="54">
        <f t="shared" si="91"/>
        <v>918890</v>
      </c>
      <c r="G80" s="54">
        <f t="shared" si="91"/>
        <v>29259</v>
      </c>
      <c r="H80" s="95">
        <f t="shared" si="91"/>
        <v>948149</v>
      </c>
      <c r="I80" s="216">
        <f t="shared" si="91"/>
        <v>0</v>
      </c>
      <c r="J80" s="101">
        <f t="shared" si="91"/>
        <v>918890</v>
      </c>
      <c r="K80" s="54">
        <f t="shared" si="91"/>
        <v>918890</v>
      </c>
      <c r="L80" s="54"/>
      <c r="M80" s="76"/>
      <c r="N80" s="439"/>
      <c r="O80" s="55"/>
      <c r="R80"/>
      <c r="S80" s="62"/>
      <c r="T80" s="51" t="str">
        <f>C80</f>
        <v>Basic Education (Vote 14)</v>
      </c>
      <c r="U80" s="95">
        <v>1050160</v>
      </c>
      <c r="V80" s="198">
        <v>0</v>
      </c>
      <c r="W80" s="54">
        <v>1050160</v>
      </c>
      <c r="X80" s="54">
        <v>0</v>
      </c>
      <c r="Y80" s="95">
        <v>1050160</v>
      </c>
      <c r="Z80" s="216"/>
      <c r="AA80" s="101">
        <v>656350</v>
      </c>
      <c r="AB80" s="54">
        <v>656350</v>
      </c>
      <c r="AC80" s="59"/>
      <c r="AD80" s="54"/>
      <c r="AE80" s="54"/>
      <c r="AF80" s="55"/>
      <c r="AG80" s="442"/>
      <c r="AH80" s="442"/>
      <c r="AI80"/>
      <c r="AJ80" s="402"/>
      <c r="AK80" s="481" t="str">
        <f t="shared" si="15"/>
        <v>Basic Education (Vote 14)</v>
      </c>
      <c r="AL80" s="388">
        <f t="shared" si="16"/>
        <v>0</v>
      </c>
      <c r="AM80" s="389">
        <f t="shared" si="17"/>
        <v>131270</v>
      </c>
      <c r="AN80" s="390">
        <f t="shared" si="18"/>
        <v>131270</v>
      </c>
      <c r="AO80" s="390">
        <f t="shared" si="19"/>
        <v>-29259</v>
      </c>
      <c r="AP80" s="388">
        <f t="shared" si="20"/>
        <v>102011</v>
      </c>
      <c r="AQ80" s="391"/>
      <c r="AR80" s="392">
        <f t="shared" si="21"/>
        <v>-262540</v>
      </c>
      <c r="AS80" s="390">
        <f t="shared" si="22"/>
        <v>-262540</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1050160</v>
      </c>
      <c r="E81" s="199">
        <f>SUM(F81-D81)</f>
        <v>-131270</v>
      </c>
      <c r="F81" s="497">
        <v>918890</v>
      </c>
      <c r="G81" s="497">
        <v>29259</v>
      </c>
      <c r="H81" s="96">
        <f>SUM(F81:G81)</f>
        <v>948149</v>
      </c>
      <c r="I81" s="217"/>
      <c r="J81" s="499">
        <v>918890</v>
      </c>
      <c r="K81" s="497">
        <v>918890</v>
      </c>
      <c r="L81" s="59"/>
      <c r="M81" s="76"/>
      <c r="N81" s="439"/>
      <c r="O81" s="33"/>
      <c r="R81"/>
      <c r="S81" s="57"/>
      <c r="T81" s="58" t="str">
        <f t="shared" ref="T81:T85" si="92">C81</f>
        <v>Education Infrastructure Grant</v>
      </c>
      <c r="U81" s="96">
        <v>1050160</v>
      </c>
      <c r="V81" s="199">
        <v>0</v>
      </c>
      <c r="W81" s="59">
        <v>1050160</v>
      </c>
      <c r="X81" s="59">
        <v>0</v>
      </c>
      <c r="Y81" s="96">
        <v>1050160</v>
      </c>
      <c r="Z81" s="217"/>
      <c r="AA81" s="102">
        <v>656350</v>
      </c>
      <c r="AB81" s="59">
        <v>656350</v>
      </c>
      <c r="AC81" s="59"/>
      <c r="AD81" s="76"/>
      <c r="AE81" s="76"/>
      <c r="AF81" s="33"/>
      <c r="AG81" s="441"/>
      <c r="AH81" s="441"/>
      <c r="AI81"/>
      <c r="AJ81" s="394"/>
      <c r="AK81" s="479" t="str">
        <f t="shared" si="15"/>
        <v>Education Infrastructure Grant</v>
      </c>
      <c r="AL81" s="396">
        <f t="shared" si="16"/>
        <v>0</v>
      </c>
      <c r="AM81" s="397">
        <f t="shared" si="17"/>
        <v>131270</v>
      </c>
      <c r="AN81" s="398">
        <f t="shared" si="18"/>
        <v>131270</v>
      </c>
      <c r="AO81" s="398">
        <f t="shared" si="19"/>
        <v>-29259</v>
      </c>
      <c r="AP81" s="396">
        <f t="shared" si="20"/>
        <v>102011</v>
      </c>
      <c r="AQ81" s="399"/>
      <c r="AR81" s="400">
        <f t="shared" si="21"/>
        <v>-262540</v>
      </c>
      <c r="AS81" s="398">
        <f t="shared" si="22"/>
        <v>-262540</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556431</v>
      </c>
      <c r="E87" s="198">
        <f t="shared" ref="E87:K87" si="104">SUM(E88+E89)</f>
        <v>0</v>
      </c>
      <c r="F87" s="54">
        <f t="shared" si="104"/>
        <v>556431</v>
      </c>
      <c r="G87" s="54">
        <f t="shared" si="104"/>
        <v>15221</v>
      </c>
      <c r="H87" s="95">
        <f t="shared" si="104"/>
        <v>571652</v>
      </c>
      <c r="I87" s="216">
        <f t="shared" si="104"/>
        <v>0</v>
      </c>
      <c r="J87" s="101">
        <f t="shared" si="104"/>
        <v>556431</v>
      </c>
      <c r="K87" s="54">
        <f t="shared" si="104"/>
        <v>556431</v>
      </c>
      <c r="L87" s="59"/>
      <c r="M87" s="591"/>
      <c r="N87" s="439"/>
      <c r="O87" s="55"/>
      <c r="R87"/>
      <c r="S87" s="62"/>
      <c r="T87" s="51" t="str">
        <f>C87</f>
        <v>Health (Vote 16)</v>
      </c>
      <c r="U87" s="95">
        <v>556431</v>
      </c>
      <c r="V87" s="198">
        <v>0</v>
      </c>
      <c r="W87" s="54">
        <v>556431</v>
      </c>
      <c r="X87" s="54">
        <v>0</v>
      </c>
      <c r="Y87" s="95">
        <v>556431</v>
      </c>
      <c r="Z87" s="216"/>
      <c r="AA87" s="101">
        <v>278214</v>
      </c>
      <c r="AB87" s="54">
        <v>278214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-15221</v>
      </c>
      <c r="AP87" s="388">
        <f t="shared" si="100"/>
        <v>-15221</v>
      </c>
      <c r="AQ87" s="391"/>
      <c r="AR87" s="392">
        <f t="shared" si="101"/>
        <v>-278217</v>
      </c>
      <c r="AS87" s="390">
        <f t="shared" si="102"/>
        <v>-278217</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147168</v>
      </c>
      <c r="E88" s="199">
        <f t="shared" ref="E88:E89" si="105">SUM(F88-D88)</f>
        <v>0</v>
      </c>
      <c r="F88" s="497">
        <v>147168</v>
      </c>
      <c r="G88" s="497">
        <v>0</v>
      </c>
      <c r="H88" s="96">
        <f t="shared" ref="H88:H89" si="106">SUM(F88:G88)</f>
        <v>147168</v>
      </c>
      <c r="I88" s="217"/>
      <c r="J88" s="499">
        <v>147168</v>
      </c>
      <c r="K88" s="497">
        <v>147168</v>
      </c>
      <c r="L88" s="59"/>
      <c r="M88" s="76"/>
      <c r="N88" s="439"/>
      <c r="O88" s="33"/>
      <c r="P88" s="21"/>
      <c r="Q88" s="21"/>
      <c r="R88"/>
      <c r="S88" s="57"/>
      <c r="T88" s="58" t="str">
        <f t="shared" ref="T88:T92" si="107">C88</f>
        <v>(a) Health Professions Training and Development Grant</v>
      </c>
      <c r="U88" s="96">
        <v>147168</v>
      </c>
      <c r="V88" s="199">
        <v>0</v>
      </c>
      <c r="W88" s="59">
        <v>147168</v>
      </c>
      <c r="X88" s="59">
        <v>0</v>
      </c>
      <c r="Y88" s="96">
        <v>147168</v>
      </c>
      <c r="Z88" s="217"/>
      <c r="AA88" s="102">
        <v>73584</v>
      </c>
      <c r="AB88" s="59">
        <v>73584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-73584</v>
      </c>
      <c r="AS88" s="398">
        <f t="shared" si="102"/>
        <v>-73584</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409263</v>
      </c>
      <c r="E89" s="199">
        <f t="shared" si="105"/>
        <v>0</v>
      </c>
      <c r="F89" s="497">
        <v>409263</v>
      </c>
      <c r="G89" s="497">
        <v>15221</v>
      </c>
      <c r="H89" s="96">
        <f t="shared" si="106"/>
        <v>424484</v>
      </c>
      <c r="I89" s="217"/>
      <c r="J89" s="499">
        <v>409263</v>
      </c>
      <c r="K89" s="497">
        <v>409263</v>
      </c>
      <c r="L89" s="59"/>
      <c r="M89" s="76"/>
      <c r="N89" s="439"/>
      <c r="O89" s="33"/>
      <c r="S89" s="57"/>
      <c r="T89" s="58" t="str">
        <f t="shared" si="107"/>
        <v>(b) National Tertiary Services Grant</v>
      </c>
      <c r="U89" s="96">
        <v>409263</v>
      </c>
      <c r="V89" s="199">
        <v>0</v>
      </c>
      <c r="W89" s="59">
        <v>409263</v>
      </c>
      <c r="X89" s="59">
        <v>0</v>
      </c>
      <c r="Y89" s="96">
        <v>409263</v>
      </c>
      <c r="Z89" s="217"/>
      <c r="AA89" s="102">
        <v>204630</v>
      </c>
      <c r="AB89" s="59">
        <v>204630</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-15221</v>
      </c>
      <c r="AP89" s="396">
        <f t="shared" si="100"/>
        <v>-15221</v>
      </c>
      <c r="AQ89" s="399"/>
      <c r="AR89" s="400">
        <f t="shared" si="101"/>
        <v>-204633</v>
      </c>
      <c r="AS89" s="398">
        <f t="shared" si="102"/>
        <v>-204633</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1535043</v>
      </c>
      <c r="E101" s="198">
        <f t="shared" ref="E101:K101" si="113">SUM(E102+E103)</f>
        <v>0</v>
      </c>
      <c r="F101" s="54">
        <f t="shared" si="113"/>
        <v>1535043</v>
      </c>
      <c r="G101" s="54">
        <f t="shared" si="113"/>
        <v>0</v>
      </c>
      <c r="H101" s="95">
        <f t="shared" si="113"/>
        <v>1535043</v>
      </c>
      <c r="I101" s="216">
        <f t="shared" si="113"/>
        <v>0</v>
      </c>
      <c r="J101" s="101">
        <f t="shared" si="113"/>
        <v>1535043</v>
      </c>
      <c r="K101" s="54">
        <f t="shared" si="113"/>
        <v>1535043</v>
      </c>
      <c r="L101" s="59"/>
      <c r="M101" s="591"/>
      <c r="N101" s="439"/>
      <c r="O101" s="55"/>
      <c r="R101"/>
      <c r="S101" s="62"/>
      <c r="T101" s="51" t="str">
        <f>C101</f>
        <v>Transport (Vote 35)</v>
      </c>
      <c r="U101" s="95">
        <v>1535043</v>
      </c>
      <c r="V101" s="198">
        <v>0</v>
      </c>
      <c r="W101" s="54">
        <v>1535043</v>
      </c>
      <c r="X101" s="54">
        <v>0</v>
      </c>
      <c r="Y101" s="95">
        <v>1535043</v>
      </c>
      <c r="Z101" s="216"/>
      <c r="AA101" s="101">
        <v>898851</v>
      </c>
      <c r="AB101" s="54">
        <v>463105</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-636192</v>
      </c>
      <c r="AS101" s="390">
        <f t="shared" si="102"/>
        <v>-1071938</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1158253</v>
      </c>
      <c r="E102" s="199">
        <f t="shared" ref="E102:E103" si="114">SUM(F102-D102)</f>
        <v>0</v>
      </c>
      <c r="F102" s="497">
        <v>1158253</v>
      </c>
      <c r="G102" s="497">
        <v>0</v>
      </c>
      <c r="H102" s="96">
        <f t="shared" ref="H102:H103" si="115">SUM(F102:G102)</f>
        <v>1158253</v>
      </c>
      <c r="I102" s="217"/>
      <c r="J102" s="499">
        <v>1158253</v>
      </c>
      <c r="K102" s="497">
        <v>1158253</v>
      </c>
      <c r="L102" s="59"/>
      <c r="M102" s="76"/>
      <c r="N102" s="439"/>
      <c r="O102" s="33"/>
      <c r="S102" s="57"/>
      <c r="T102" s="58" t="str">
        <f t="shared" ref="T102:T106" si="116">C102</f>
        <v>(a) Provincial Roads Maintenance Grant</v>
      </c>
      <c r="U102" s="96">
        <v>1158253</v>
      </c>
      <c r="V102" s="199">
        <v>0</v>
      </c>
      <c r="W102" s="59">
        <v>1158253</v>
      </c>
      <c r="X102" s="59">
        <v>0</v>
      </c>
      <c r="Y102" s="96">
        <v>1158253</v>
      </c>
      <c r="Z102" s="217"/>
      <c r="AA102" s="102">
        <v>744315</v>
      </c>
      <c r="AB102" s="59">
        <v>308569</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-413938</v>
      </c>
      <c r="AS102" s="398">
        <f t="shared" si="102"/>
        <v>-849684</v>
      </c>
      <c r="AT102" s="398"/>
      <c r="AU102" s="417">
        <f t="shared" si="103"/>
        <v>0</v>
      </c>
      <c r="AV102" s="417"/>
      <c r="AW102" s="347"/>
    </row>
    <row r="103" spans="1:82" ht="15.75" customHeight="1" x14ac:dyDescent="0.3">
      <c r="B103" s="57"/>
      <c r="C103" s="58" t="s">
        <v>44</v>
      </c>
      <c r="D103" s="496">
        <v>376790</v>
      </c>
      <c r="E103" s="199">
        <f t="shared" si="114"/>
        <v>0</v>
      </c>
      <c r="F103" s="497">
        <v>376790</v>
      </c>
      <c r="G103" s="497">
        <v>0</v>
      </c>
      <c r="H103" s="96">
        <f t="shared" si="115"/>
        <v>376790</v>
      </c>
      <c r="I103" s="217"/>
      <c r="J103" s="499">
        <v>376790</v>
      </c>
      <c r="K103" s="497">
        <v>376790</v>
      </c>
      <c r="L103" s="59"/>
      <c r="M103" s="76"/>
      <c r="N103" s="439"/>
      <c r="O103" s="33"/>
      <c r="S103" s="57"/>
      <c r="T103" s="58" t="str">
        <f t="shared" si="116"/>
        <v>(b) Public Transport Operations Grant</v>
      </c>
      <c r="U103" s="96">
        <v>376790</v>
      </c>
      <c r="V103" s="199">
        <v>0</v>
      </c>
      <c r="W103" s="59">
        <v>376790</v>
      </c>
      <c r="X103" s="59">
        <v>0</v>
      </c>
      <c r="Y103" s="96">
        <v>376790</v>
      </c>
      <c r="Z103" s="217"/>
      <c r="AA103" s="102">
        <v>154536</v>
      </c>
      <c r="AB103" s="59">
        <v>154536</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-222254</v>
      </c>
      <c r="AS103" s="398">
        <f t="shared" si="102"/>
        <v>-222254</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3141634</v>
      </c>
      <c r="E108" s="201">
        <f t="shared" ref="E108:K108" si="119">SUM(E80+E87+E101)</f>
        <v>-131270</v>
      </c>
      <c r="F108" s="75">
        <f t="shared" si="119"/>
        <v>3010364</v>
      </c>
      <c r="G108" s="75">
        <f t="shared" si="119"/>
        <v>44480</v>
      </c>
      <c r="H108" s="98">
        <f t="shared" si="119"/>
        <v>3054844</v>
      </c>
      <c r="I108" s="219">
        <f t="shared" si="119"/>
        <v>0</v>
      </c>
      <c r="J108" s="104">
        <f t="shared" si="119"/>
        <v>3010364</v>
      </c>
      <c r="K108" s="75">
        <f t="shared" si="119"/>
        <v>3010364</v>
      </c>
      <c r="L108" s="59"/>
      <c r="M108" s="77"/>
      <c r="N108" s="440"/>
      <c r="O108" s="55"/>
      <c r="R108"/>
      <c r="S108" s="53"/>
      <c r="T108" s="74" t="s">
        <v>37</v>
      </c>
      <c r="U108" s="98">
        <v>3141634</v>
      </c>
      <c r="V108" s="201">
        <v>0</v>
      </c>
      <c r="W108" s="75">
        <v>3141634</v>
      </c>
      <c r="X108" s="75">
        <v>0</v>
      </c>
      <c r="Y108" s="98">
        <v>3141634</v>
      </c>
      <c r="Z108" s="219"/>
      <c r="AA108" s="104">
        <v>1833415</v>
      </c>
      <c r="AB108" s="75">
        <v>1397669</v>
      </c>
      <c r="AC108" s="59"/>
      <c r="AD108" s="77"/>
      <c r="AE108" s="77"/>
      <c r="AF108" s="55"/>
      <c r="AG108" s="442"/>
      <c r="AH108" s="442"/>
      <c r="AI108"/>
      <c r="AJ108" s="387"/>
      <c r="AK108" s="411" t="str">
        <f t="shared" si="95"/>
        <v>Sub-Total</v>
      </c>
      <c r="AL108" s="412">
        <f t="shared" si="96"/>
        <v>0</v>
      </c>
      <c r="AM108" s="413">
        <f t="shared" si="97"/>
        <v>131270</v>
      </c>
      <c r="AN108" s="414">
        <f t="shared" si="98"/>
        <v>131270</v>
      </c>
      <c r="AO108" s="414">
        <f t="shared" si="99"/>
        <v>-44480</v>
      </c>
      <c r="AP108" s="412">
        <f t="shared" si="100"/>
        <v>86790</v>
      </c>
      <c r="AQ108" s="415"/>
      <c r="AR108" s="416">
        <f t="shared" si="101"/>
        <v>-1176949</v>
      </c>
      <c r="AS108" s="414">
        <f t="shared" si="102"/>
        <v>-1612695</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9060993</v>
      </c>
      <c r="E124" s="202">
        <f t="shared" ref="E124:K124" si="127">SUM(E76+E108+E122)</f>
        <v>51866</v>
      </c>
      <c r="F124" s="81">
        <f t="shared" si="127"/>
        <v>9112859</v>
      </c>
      <c r="G124" s="81">
        <f t="shared" si="127"/>
        <v>172630</v>
      </c>
      <c r="H124" s="80">
        <f t="shared" si="127"/>
        <v>9285489</v>
      </c>
      <c r="I124" s="220">
        <f t="shared" si="127"/>
        <v>0</v>
      </c>
      <c r="J124" s="106">
        <f t="shared" si="127"/>
        <v>9112859</v>
      </c>
      <c r="K124" s="81">
        <f t="shared" si="127"/>
        <v>9112859</v>
      </c>
      <c r="L124" s="59"/>
      <c r="M124" s="82"/>
      <c r="N124" s="440"/>
      <c r="O124" s="55"/>
      <c r="R124"/>
      <c r="S124" s="78"/>
      <c r="T124" s="79" t="s">
        <v>4</v>
      </c>
      <c r="U124" s="80">
        <v>9060993</v>
      </c>
      <c r="V124" s="202">
        <v>0</v>
      </c>
      <c r="W124" s="81">
        <v>9060993</v>
      </c>
      <c r="X124" s="81">
        <v>0</v>
      </c>
      <c r="Y124" s="80">
        <v>9060993</v>
      </c>
      <c r="Z124" s="220"/>
      <c r="AA124" s="106">
        <v>5081956</v>
      </c>
      <c r="AB124" s="81">
        <v>4637438</v>
      </c>
      <c r="AC124" s="59"/>
      <c r="AD124" s="82"/>
      <c r="AE124" s="82"/>
      <c r="AF124" s="55"/>
      <c r="AG124" s="442"/>
      <c r="AH124" s="442"/>
      <c r="AI124"/>
      <c r="AJ124" s="420"/>
      <c r="AK124" s="421" t="str">
        <f t="shared" si="95"/>
        <v>Total</v>
      </c>
      <c r="AL124" s="422">
        <f t="shared" si="96"/>
        <v>0</v>
      </c>
      <c r="AM124" s="423">
        <f t="shared" si="97"/>
        <v>-51866</v>
      </c>
      <c r="AN124" s="424">
        <f t="shared" si="98"/>
        <v>-51866</v>
      </c>
      <c r="AO124" s="424">
        <f t="shared" si="99"/>
        <v>-172630</v>
      </c>
      <c r="AP124" s="422">
        <f t="shared" si="100"/>
        <v>-224496</v>
      </c>
      <c r="AQ124" s="425"/>
      <c r="AR124" s="426">
        <f t="shared" si="101"/>
        <v>-4030903</v>
      </c>
      <c r="AS124" s="424">
        <f t="shared" si="102"/>
        <v>-4475421</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0Li0xX/Xk17BZXBgIIvDVOphscfhRkhFY/vsAD03yOEbfk+yBEvmCS638fF/mzhup0F9K9t8Bbh2LKI0grtcwA==" saltValue="7sbQpGVbrZ+ydyERoPhn2A=="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168</v>
      </c>
      <c r="D4" s="8"/>
      <c r="E4" s="8"/>
      <c r="F4" s="8"/>
      <c r="G4" s="8"/>
      <c r="H4" s="8"/>
      <c r="I4" s="8"/>
      <c r="J4" s="8"/>
      <c r="K4" s="8"/>
      <c r="L4" s="8"/>
      <c r="M4" s="8"/>
      <c r="N4" s="8"/>
      <c r="O4" s="11"/>
      <c r="P4"/>
      <c r="Q4"/>
      <c r="R4"/>
      <c r="S4" s="6"/>
      <c r="T4" s="10" t="str">
        <f>C4</f>
        <v>MPUMALANGA PROVINCE</v>
      </c>
      <c r="U4" s="8"/>
      <c r="V4" s="8"/>
      <c r="W4" s="8"/>
      <c r="X4" s="8"/>
      <c r="Y4" s="8"/>
      <c r="Z4" s="8"/>
      <c r="AA4" s="8"/>
      <c r="AB4" s="8"/>
      <c r="AC4" s="8"/>
      <c r="AD4" s="8"/>
      <c r="AE4" s="8"/>
      <c r="AF4" s="11"/>
      <c r="AG4"/>
      <c r="AH4"/>
      <c r="AI4"/>
      <c r="AJ4" s="234"/>
      <c r="AK4" s="238" t="str">
        <f>C4</f>
        <v>MPUMALANGA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49672730</v>
      </c>
      <c r="E12" s="152">
        <f>SUM(E13:E14)</f>
        <v>440325</v>
      </c>
      <c r="F12" s="153">
        <f>SUM(F13:F14)</f>
        <v>50113055</v>
      </c>
      <c r="G12" s="152"/>
      <c r="H12" s="154">
        <f>SUM(H13:H14)</f>
        <v>12450073</v>
      </c>
      <c r="I12" s="155">
        <f>SUM(I13:I14)</f>
        <v>12631028</v>
      </c>
      <c r="J12" s="155">
        <f>SUM(J13:J14)</f>
        <v>12492216</v>
      </c>
      <c r="K12" s="155">
        <f>SUM(K13:K14)</f>
        <v>12539738</v>
      </c>
      <c r="L12" s="156"/>
      <c r="M12" s="155">
        <f t="shared" ref="M12" si="0">SUM(M13:M14)</f>
        <v>50113055</v>
      </c>
      <c r="N12" s="183">
        <f>IFERROR(M12/F12,0)</f>
        <v>1</v>
      </c>
      <c r="O12" s="158"/>
      <c r="P12" s="594"/>
      <c r="Q12"/>
      <c r="R12"/>
      <c r="S12" s="119"/>
      <c r="T12" s="151" t="str">
        <f>C12</f>
        <v>Transfers from National Revenue Fund</v>
      </c>
      <c r="U12" s="152">
        <v>49672730</v>
      </c>
      <c r="V12" s="152">
        <v>0</v>
      </c>
      <c r="W12" s="153">
        <v>49672730</v>
      </c>
      <c r="X12" s="152"/>
      <c r="Y12" s="154">
        <v>12450073</v>
      </c>
      <c r="Z12" s="155">
        <v>12631028</v>
      </c>
      <c r="AA12" s="155">
        <v>0</v>
      </c>
      <c r="AB12" s="155">
        <v>0</v>
      </c>
      <c r="AC12" s="156"/>
      <c r="AD12" s="155">
        <v>25081101</v>
      </c>
      <c r="AE12" s="172">
        <v>0.50492696898277989</v>
      </c>
      <c r="AF12" s="144"/>
      <c r="AG12" s="118"/>
      <c r="AH12"/>
      <c r="AI12"/>
      <c r="AJ12" s="248"/>
      <c r="AK12" s="284" t="s">
        <v>8</v>
      </c>
      <c r="AL12" s="285">
        <f>SUM(AL13:AL14)</f>
        <v>0</v>
      </c>
      <c r="AM12" s="285">
        <f>SUM(AM13:AM14)</f>
        <v>-440325</v>
      </c>
      <c r="AN12" s="286">
        <f>SUM(AN13:AN14)</f>
        <v>-440325</v>
      </c>
      <c r="AO12" s="285"/>
      <c r="AP12" s="287">
        <f>SUM(AP13:AP14)</f>
        <v>0</v>
      </c>
      <c r="AQ12" s="288">
        <f t="shared" ref="AQ12:AS12" si="1">SUM(AQ13:AQ14)</f>
        <v>0</v>
      </c>
      <c r="AR12" s="288">
        <f t="shared" si="1"/>
        <v>-12492216</v>
      </c>
      <c r="AS12" s="288">
        <f t="shared" si="1"/>
        <v>-12539738</v>
      </c>
      <c r="AT12" s="289"/>
      <c r="AU12" s="288">
        <f t="shared" ref="AU12" si="2">SUM(AU13:AU14)</f>
        <v>-25031954</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41427976</v>
      </c>
      <c r="E13" s="482">
        <f>F13-D13</f>
        <v>0</v>
      </c>
      <c r="F13" s="483">
        <v>41427976</v>
      </c>
      <c r="G13" s="482"/>
      <c r="H13" s="484">
        <v>10356996</v>
      </c>
      <c r="I13" s="485">
        <v>10356994</v>
      </c>
      <c r="J13" s="485">
        <v>10356993</v>
      </c>
      <c r="K13" s="485">
        <v>10356993</v>
      </c>
      <c r="L13" s="150"/>
      <c r="M13" s="147">
        <f>SUM(H13:K13)</f>
        <v>41427976</v>
      </c>
      <c r="N13" s="172">
        <f t="shared" ref="N13:N14" si="3">IFERROR(M13/F13,0)</f>
        <v>1</v>
      </c>
      <c r="O13" s="158"/>
      <c r="P13" s="118"/>
      <c r="Q13"/>
      <c r="R13"/>
      <c r="S13" s="119"/>
      <c r="T13" s="157" t="str">
        <f t="shared" ref="T13:T15" si="4">C13</f>
        <v>Equitable share of revenue</v>
      </c>
      <c r="U13" s="146">
        <v>41427976</v>
      </c>
      <c r="V13" s="146">
        <v>0</v>
      </c>
      <c r="W13" s="148">
        <v>41427976</v>
      </c>
      <c r="X13" s="146"/>
      <c r="Y13" s="149">
        <v>10356996</v>
      </c>
      <c r="Z13" s="224">
        <v>10356994</v>
      </c>
      <c r="AA13" s="224"/>
      <c r="AB13" s="224"/>
      <c r="AC13" s="150"/>
      <c r="AD13" s="147">
        <v>20713990</v>
      </c>
      <c r="AE13" s="172">
        <v>0.50000004827655598</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-10356993</v>
      </c>
      <c r="AS13" s="283">
        <f t="shared" si="6"/>
        <v>-10356993</v>
      </c>
      <c r="AT13" s="280"/>
      <c r="AU13" s="283">
        <f t="shared" ref="AU13:AU15" si="7">IFERROR(AD13-M13,0)</f>
        <v>-20713986</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8244754</v>
      </c>
      <c r="E14" s="482">
        <f t="shared" ref="E14:E15" si="8">F14-D14</f>
        <v>440325</v>
      </c>
      <c r="F14" s="483">
        <v>8685079</v>
      </c>
      <c r="G14" s="486"/>
      <c r="H14" s="484">
        <v>2093077</v>
      </c>
      <c r="I14" s="485">
        <v>2274034</v>
      </c>
      <c r="J14" s="485">
        <v>2135223</v>
      </c>
      <c r="K14" s="485">
        <v>2182745</v>
      </c>
      <c r="L14" s="162"/>
      <c r="M14" s="147">
        <f t="shared" ref="M14:M15" si="9">SUM(H14:K14)</f>
        <v>8685079</v>
      </c>
      <c r="N14" s="172">
        <f t="shared" si="3"/>
        <v>1</v>
      </c>
      <c r="O14" s="163"/>
      <c r="P14" s="118"/>
      <c r="Q14"/>
      <c r="R14"/>
      <c r="S14" s="159"/>
      <c r="T14" s="160" t="str">
        <f t="shared" si="4"/>
        <v>Conditional grants</v>
      </c>
      <c r="U14" s="146">
        <v>8244754</v>
      </c>
      <c r="V14" s="146">
        <v>0</v>
      </c>
      <c r="W14" s="148">
        <v>8244754</v>
      </c>
      <c r="X14" s="161"/>
      <c r="Y14" s="149">
        <v>2093077</v>
      </c>
      <c r="Z14" s="224">
        <v>2274034</v>
      </c>
      <c r="AA14" s="224"/>
      <c r="AB14" s="224"/>
      <c r="AC14" s="162"/>
      <c r="AD14" s="147">
        <v>4367111</v>
      </c>
      <c r="AE14" s="172">
        <v>0.52968360244587043</v>
      </c>
      <c r="AF14" s="163"/>
      <c r="AG14" s="118"/>
      <c r="AH14" s="61"/>
      <c r="AI14"/>
      <c r="AJ14" s="293"/>
      <c r="AK14" s="294" t="s">
        <v>72</v>
      </c>
      <c r="AL14" s="279">
        <f t="shared" si="5"/>
        <v>0</v>
      </c>
      <c r="AM14" s="279">
        <f t="shared" si="5"/>
        <v>-440325</v>
      </c>
      <c r="AN14" s="281">
        <f t="shared" si="5"/>
        <v>-440325</v>
      </c>
      <c r="AO14" s="295"/>
      <c r="AP14" s="282">
        <f t="shared" ref="AP14:AP15" si="10">IFERROR(Y14-H14,0)</f>
        <v>0</v>
      </c>
      <c r="AQ14" s="283">
        <f t="shared" si="6"/>
        <v>0</v>
      </c>
      <c r="AR14" s="283">
        <f t="shared" si="6"/>
        <v>-2135223</v>
      </c>
      <c r="AS14" s="283">
        <f t="shared" si="6"/>
        <v>-2182745</v>
      </c>
      <c r="AT14" s="296"/>
      <c r="AU14" s="283">
        <f t="shared" si="7"/>
        <v>-4317968</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1621226</v>
      </c>
      <c r="E15" s="487">
        <f t="shared" si="8"/>
        <v>0</v>
      </c>
      <c r="F15" s="488">
        <v>1621226</v>
      </c>
      <c r="G15" s="487"/>
      <c r="H15" s="489">
        <v>353632</v>
      </c>
      <c r="I15" s="490">
        <v>407173</v>
      </c>
      <c r="J15" s="490">
        <v>381408</v>
      </c>
      <c r="K15" s="490">
        <v>364139</v>
      </c>
      <c r="L15" s="156"/>
      <c r="M15" s="155">
        <f t="shared" si="9"/>
        <v>1506352</v>
      </c>
      <c r="N15" s="183">
        <f>IFERROR(M15/F15,0)</f>
        <v>0.92914374676942013</v>
      </c>
      <c r="O15" s="158"/>
      <c r="P15" s="594"/>
      <c r="Q15"/>
      <c r="R15"/>
      <c r="S15" s="119"/>
      <c r="T15" s="151" t="str">
        <f t="shared" si="4"/>
        <v>Provincial own receipts</v>
      </c>
      <c r="U15" s="152">
        <v>1621226</v>
      </c>
      <c r="V15" s="152">
        <v>0</v>
      </c>
      <c r="W15" s="153">
        <v>1621226</v>
      </c>
      <c r="X15" s="152"/>
      <c r="Y15" s="154">
        <v>353632</v>
      </c>
      <c r="Z15" s="225">
        <v>407161</v>
      </c>
      <c r="AA15" s="225"/>
      <c r="AB15" s="225"/>
      <c r="AC15" s="156"/>
      <c r="AD15" s="155">
        <v>760793</v>
      </c>
      <c r="AE15" s="172">
        <v>0.46927016961237977</v>
      </c>
      <c r="AF15" s="158"/>
      <c r="AG15" s="118"/>
      <c r="AH15"/>
      <c r="AI15"/>
      <c r="AJ15" s="248"/>
      <c r="AK15" s="284" t="s">
        <v>9</v>
      </c>
      <c r="AL15" s="285">
        <f t="shared" si="5"/>
        <v>0</v>
      </c>
      <c r="AM15" s="285">
        <f t="shared" si="5"/>
        <v>0</v>
      </c>
      <c r="AN15" s="286">
        <f t="shared" si="5"/>
        <v>0</v>
      </c>
      <c r="AO15" s="285"/>
      <c r="AP15" s="287">
        <f t="shared" si="10"/>
        <v>0</v>
      </c>
      <c r="AQ15" s="288">
        <f t="shared" si="6"/>
        <v>-12</v>
      </c>
      <c r="AR15" s="288">
        <f t="shared" si="6"/>
        <v>-381408</v>
      </c>
      <c r="AS15" s="288">
        <f t="shared" si="6"/>
        <v>-364139</v>
      </c>
      <c r="AT15" s="289"/>
      <c r="AU15" s="288">
        <f t="shared" si="7"/>
        <v>-745559</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51293956</v>
      </c>
      <c r="E17" s="165">
        <f>E12+E15</f>
        <v>440325</v>
      </c>
      <c r="F17" s="166">
        <f t="shared" ref="F17:H17" si="12">F12+F15</f>
        <v>51734281</v>
      </c>
      <c r="G17" s="165">
        <f t="shared" si="12"/>
        <v>0</v>
      </c>
      <c r="H17" s="167">
        <f t="shared" si="12"/>
        <v>12803705</v>
      </c>
      <c r="I17" s="437">
        <f t="shared" ref="I17" si="13">I12+I15</f>
        <v>13038201</v>
      </c>
      <c r="J17" s="437">
        <f t="shared" ref="J17:K17" si="14">J12+J15</f>
        <v>12873624</v>
      </c>
      <c r="K17" s="437">
        <f t="shared" si="14"/>
        <v>12903877</v>
      </c>
      <c r="L17" s="156"/>
      <c r="M17" s="168">
        <f t="shared" ref="M17" si="15">M12+M15</f>
        <v>51619407</v>
      </c>
      <c r="N17" s="180">
        <f>IFERROR(M17/F17,0)</f>
        <v>0.99777953809776543</v>
      </c>
      <c r="O17" s="158"/>
      <c r="P17" s="594"/>
      <c r="Q17"/>
      <c r="R17"/>
      <c r="S17" s="119"/>
      <c r="T17" s="164" t="s">
        <v>10</v>
      </c>
      <c r="U17" s="165">
        <v>51293956</v>
      </c>
      <c r="V17" s="165">
        <v>0</v>
      </c>
      <c r="W17" s="166">
        <v>51293956</v>
      </c>
      <c r="X17" s="165">
        <v>0</v>
      </c>
      <c r="Y17" s="167">
        <v>12803705</v>
      </c>
      <c r="Z17" s="437">
        <v>13038189</v>
      </c>
      <c r="AA17" s="437">
        <v>0</v>
      </c>
      <c r="AB17" s="437" t="s">
        <v>52</v>
      </c>
      <c r="AC17" s="156"/>
      <c r="AD17" s="168">
        <v>25841894</v>
      </c>
      <c r="AE17" s="180">
        <v>0.50379997986507419</v>
      </c>
      <c r="AF17" s="158"/>
      <c r="AG17" s="118"/>
      <c r="AH17"/>
      <c r="AI17"/>
      <c r="AJ17" s="248"/>
      <c r="AK17" s="298" t="s">
        <v>10</v>
      </c>
      <c r="AL17" s="299">
        <f t="shared" ref="AL17:AS17" si="16">AL12+AL15</f>
        <v>0</v>
      </c>
      <c r="AM17" s="299">
        <f>AM12+AM15</f>
        <v>-440325</v>
      </c>
      <c r="AN17" s="300">
        <f t="shared" si="16"/>
        <v>-440325</v>
      </c>
      <c r="AO17" s="299">
        <f t="shared" si="16"/>
        <v>0</v>
      </c>
      <c r="AP17" s="301">
        <f t="shared" si="16"/>
        <v>0</v>
      </c>
      <c r="AQ17" s="302">
        <f t="shared" si="16"/>
        <v>-12</v>
      </c>
      <c r="AR17" s="302">
        <f t="shared" si="16"/>
        <v>-12873624</v>
      </c>
      <c r="AS17" s="302">
        <f t="shared" si="16"/>
        <v>-12903877</v>
      </c>
      <c r="AT17" s="289"/>
      <c r="AU17" s="302">
        <f t="shared" ref="AU17" si="17">AU12+AU15</f>
        <v>-25777513</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21862325</v>
      </c>
      <c r="E20" s="491">
        <f t="shared" ref="E20:E39" si="18">F20-D20</f>
        <v>503098</v>
      </c>
      <c r="F20" s="483">
        <v>22365423</v>
      </c>
      <c r="G20" s="492"/>
      <c r="H20" s="484">
        <v>5561206</v>
      </c>
      <c r="I20" s="485">
        <v>5443875</v>
      </c>
      <c r="J20" s="485">
        <v>6046003</v>
      </c>
      <c r="K20" s="485">
        <v>5362321</v>
      </c>
      <c r="L20" s="156"/>
      <c r="M20" s="147">
        <f t="shared" ref="M20:M39" si="19">SUM(H20:K20)</f>
        <v>22413405</v>
      </c>
      <c r="N20" s="172">
        <f>IFERROR(M20/F20,0)</f>
        <v>1.0021453651916175</v>
      </c>
      <c r="O20" s="163"/>
      <c r="P20" s="118"/>
      <c r="Q20"/>
      <c r="R20"/>
      <c r="S20" s="159"/>
      <c r="T20" s="170" t="str">
        <f t="shared" ref="T20:T39" si="20">C20</f>
        <v>Education</v>
      </c>
      <c r="U20" s="146">
        <v>21862325</v>
      </c>
      <c r="V20" s="150">
        <v>0</v>
      </c>
      <c r="W20" s="148">
        <v>21862325</v>
      </c>
      <c r="X20" s="171"/>
      <c r="Y20" s="149">
        <v>5561206</v>
      </c>
      <c r="Z20" s="224">
        <v>5443876</v>
      </c>
      <c r="AA20" s="224"/>
      <c r="AB20" s="224"/>
      <c r="AC20" s="156"/>
      <c r="AD20" s="147">
        <v>11005082</v>
      </c>
      <c r="AE20" s="172">
        <v>0.50338113626981573</v>
      </c>
      <c r="AF20" s="163"/>
      <c r="AG20" s="118"/>
      <c r="AH20"/>
      <c r="AI20"/>
      <c r="AJ20" s="293"/>
      <c r="AK20" s="305" t="str">
        <f>C20</f>
        <v>Education</v>
      </c>
      <c r="AL20" s="279">
        <f t="shared" ref="AL20:AN33" si="21">IFERROR(U20-D20,0)</f>
        <v>0</v>
      </c>
      <c r="AM20" s="280">
        <f t="shared" si="21"/>
        <v>-503098</v>
      </c>
      <c r="AN20" s="281">
        <f t="shared" si="21"/>
        <v>-503098</v>
      </c>
      <c r="AO20" s="306"/>
      <c r="AP20" s="282">
        <f t="shared" ref="AP20:AS33" si="22">IFERROR(Y20-H20,0)</f>
        <v>0</v>
      </c>
      <c r="AQ20" s="283">
        <f t="shared" si="22"/>
        <v>1</v>
      </c>
      <c r="AR20" s="283">
        <f t="shared" si="22"/>
        <v>-6046003</v>
      </c>
      <c r="AS20" s="283">
        <f t="shared" si="22"/>
        <v>-5362321</v>
      </c>
      <c r="AT20" s="289"/>
      <c r="AU20" s="283">
        <f t="shared" ref="AU20:AU33" si="23">IFERROR(AD20-M20,0)</f>
        <v>-11408323</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14386809</v>
      </c>
      <c r="E21" s="491">
        <f t="shared" si="18"/>
        <v>-105900</v>
      </c>
      <c r="F21" s="483">
        <v>14280909</v>
      </c>
      <c r="G21" s="487"/>
      <c r="H21" s="484">
        <v>3290100</v>
      </c>
      <c r="I21" s="485">
        <v>3425945</v>
      </c>
      <c r="J21" s="485">
        <v>3736418</v>
      </c>
      <c r="K21" s="485">
        <v>3806615</v>
      </c>
      <c r="L21" s="156"/>
      <c r="M21" s="147">
        <f t="shared" si="19"/>
        <v>14259078</v>
      </c>
      <c r="N21" s="172">
        <f t="shared" ref="N21:N39" si="25">IFERROR(M21/F21,0)</f>
        <v>0.99847131579649451</v>
      </c>
      <c r="O21" s="163"/>
      <c r="P21" s="118"/>
      <c r="Q21"/>
      <c r="R21"/>
      <c r="S21" s="159"/>
      <c r="T21" s="170" t="str">
        <f t="shared" si="20"/>
        <v>Health</v>
      </c>
      <c r="U21" s="146">
        <v>14386809</v>
      </c>
      <c r="V21" s="150">
        <v>0</v>
      </c>
      <c r="W21" s="148">
        <v>14386809</v>
      </c>
      <c r="X21" s="152"/>
      <c r="Y21" s="149">
        <v>3290103</v>
      </c>
      <c r="Z21" s="224">
        <v>3425960</v>
      </c>
      <c r="AA21" s="224"/>
      <c r="AB21" s="224"/>
      <c r="AC21" s="156"/>
      <c r="AD21" s="147">
        <v>6716063</v>
      </c>
      <c r="AE21" s="172">
        <v>0.46682089127616833</v>
      </c>
      <c r="AF21" s="163"/>
      <c r="AG21" s="118"/>
      <c r="AH21"/>
      <c r="AI21"/>
      <c r="AJ21" s="293"/>
      <c r="AK21" s="305" t="str">
        <f t="shared" ref="AK21:AK39" si="26">C21</f>
        <v>Health</v>
      </c>
      <c r="AL21" s="279">
        <f t="shared" si="21"/>
        <v>0</v>
      </c>
      <c r="AM21" s="280">
        <f t="shared" si="21"/>
        <v>105900</v>
      </c>
      <c r="AN21" s="281">
        <f t="shared" si="21"/>
        <v>105900</v>
      </c>
      <c r="AO21" s="285"/>
      <c r="AP21" s="282">
        <f t="shared" si="22"/>
        <v>3</v>
      </c>
      <c r="AQ21" s="283">
        <f t="shared" si="22"/>
        <v>15</v>
      </c>
      <c r="AR21" s="283">
        <f t="shared" si="22"/>
        <v>-3736418</v>
      </c>
      <c r="AS21" s="283">
        <f t="shared" si="22"/>
        <v>-3806615</v>
      </c>
      <c r="AT21" s="289"/>
      <c r="AU21" s="283">
        <f t="shared" si="23"/>
        <v>-7543015</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1656599</v>
      </c>
      <c r="E22" s="491">
        <f t="shared" si="18"/>
        <v>-10007</v>
      </c>
      <c r="F22" s="483">
        <v>1646592</v>
      </c>
      <c r="G22" s="492"/>
      <c r="H22" s="484">
        <v>374307</v>
      </c>
      <c r="I22" s="485">
        <v>423112</v>
      </c>
      <c r="J22" s="485">
        <v>375761</v>
      </c>
      <c r="K22" s="485">
        <v>454344</v>
      </c>
      <c r="L22" s="156"/>
      <c r="M22" s="147">
        <f t="shared" si="19"/>
        <v>1627524</v>
      </c>
      <c r="N22" s="172">
        <f t="shared" si="25"/>
        <v>0.9884197178171642</v>
      </c>
      <c r="O22" s="163"/>
      <c r="P22" s="118"/>
      <c r="S22" s="159"/>
      <c r="T22" s="170" t="str">
        <f t="shared" si="20"/>
        <v>Social Development</v>
      </c>
      <c r="U22" s="146">
        <v>1656599</v>
      </c>
      <c r="V22" s="150">
        <v>0</v>
      </c>
      <c r="W22" s="148">
        <v>1656599</v>
      </c>
      <c r="X22" s="171"/>
      <c r="Y22" s="149">
        <v>374307</v>
      </c>
      <c r="Z22" s="224">
        <v>423112</v>
      </c>
      <c r="AA22" s="224"/>
      <c r="AB22" s="224"/>
      <c r="AC22" s="156"/>
      <c r="AD22" s="147">
        <v>797419</v>
      </c>
      <c r="AE22" s="172">
        <v>0.48135909776596508</v>
      </c>
      <c r="AF22" s="163"/>
      <c r="AG22" s="118"/>
      <c r="AJ22" s="293"/>
      <c r="AK22" s="305" t="str">
        <f t="shared" si="26"/>
        <v>Social Development</v>
      </c>
      <c r="AL22" s="279">
        <f t="shared" si="21"/>
        <v>0</v>
      </c>
      <c r="AM22" s="280">
        <f t="shared" si="21"/>
        <v>10007</v>
      </c>
      <c r="AN22" s="281">
        <f t="shared" si="21"/>
        <v>10007</v>
      </c>
      <c r="AO22" s="306"/>
      <c r="AP22" s="282">
        <f t="shared" si="22"/>
        <v>0</v>
      </c>
      <c r="AQ22" s="283">
        <f t="shared" si="22"/>
        <v>0</v>
      </c>
      <c r="AR22" s="283">
        <f t="shared" si="22"/>
        <v>-375761</v>
      </c>
      <c r="AS22" s="283">
        <f t="shared" si="22"/>
        <v>-454344</v>
      </c>
      <c r="AT22" s="289"/>
      <c r="AU22" s="283">
        <f t="shared" si="23"/>
        <v>-830105</v>
      </c>
      <c r="AV22" s="290"/>
      <c r="AW22" s="297"/>
      <c r="AX22" s="118"/>
    </row>
    <row r="23" spans="1:79" ht="15.75" customHeight="1" x14ac:dyDescent="0.3">
      <c r="A23" s="446">
        <f t="shared" si="24"/>
        <v>1</v>
      </c>
      <c r="B23" s="159"/>
      <c r="C23" s="500" t="str">
        <f>PROPER("OFFICE OF THE PREMIER")</f>
        <v>Office Of The Premier</v>
      </c>
      <c r="D23" s="482">
        <v>296299</v>
      </c>
      <c r="E23" s="491">
        <f t="shared" si="18"/>
        <v>-2000</v>
      </c>
      <c r="F23" s="483">
        <v>294299</v>
      </c>
      <c r="G23" s="493"/>
      <c r="H23" s="484">
        <v>57320</v>
      </c>
      <c r="I23" s="485">
        <v>76015</v>
      </c>
      <c r="J23" s="485">
        <v>62783</v>
      </c>
      <c r="K23" s="485">
        <v>72646</v>
      </c>
      <c r="L23" s="174"/>
      <c r="M23" s="147">
        <f t="shared" si="19"/>
        <v>268764</v>
      </c>
      <c r="N23" s="172">
        <f t="shared" si="25"/>
        <v>0.91323449960754199</v>
      </c>
      <c r="O23" s="163"/>
      <c r="P23" s="118"/>
      <c r="S23" s="159"/>
      <c r="T23" s="170" t="str">
        <f t="shared" si="20"/>
        <v>Office Of The Premier</v>
      </c>
      <c r="U23" s="146">
        <v>296299</v>
      </c>
      <c r="V23" s="150">
        <v>0</v>
      </c>
      <c r="W23" s="148">
        <v>296299</v>
      </c>
      <c r="X23" s="173"/>
      <c r="Y23" s="149">
        <v>57320</v>
      </c>
      <c r="Z23" s="224">
        <v>76015</v>
      </c>
      <c r="AA23" s="224"/>
      <c r="AB23" s="224"/>
      <c r="AC23" s="174"/>
      <c r="AD23" s="147">
        <v>133335</v>
      </c>
      <c r="AE23" s="172">
        <v>0.45000151873614153</v>
      </c>
      <c r="AF23" s="163"/>
      <c r="AG23" s="118"/>
      <c r="AJ23" s="293"/>
      <c r="AK23" s="305" t="str">
        <f t="shared" si="26"/>
        <v>Office Of The Premier</v>
      </c>
      <c r="AL23" s="279">
        <f t="shared" si="21"/>
        <v>0</v>
      </c>
      <c r="AM23" s="280">
        <f t="shared" si="21"/>
        <v>2000</v>
      </c>
      <c r="AN23" s="281">
        <f t="shared" si="21"/>
        <v>2000</v>
      </c>
      <c r="AO23" s="307"/>
      <c r="AP23" s="282">
        <f t="shared" si="22"/>
        <v>0</v>
      </c>
      <c r="AQ23" s="283">
        <f t="shared" si="22"/>
        <v>0</v>
      </c>
      <c r="AR23" s="283">
        <f t="shared" si="22"/>
        <v>-62783</v>
      </c>
      <c r="AS23" s="283">
        <f t="shared" si="22"/>
        <v>-72646</v>
      </c>
      <c r="AT23" s="308"/>
      <c r="AU23" s="283">
        <f t="shared" si="23"/>
        <v>-135429</v>
      </c>
      <c r="AV23" s="290"/>
      <c r="AW23" s="297"/>
      <c r="AX23" s="118"/>
    </row>
    <row r="24" spans="1:79" ht="15.75" customHeight="1" x14ac:dyDescent="0.3">
      <c r="A24" s="446">
        <f t="shared" si="24"/>
        <v>1</v>
      </c>
      <c r="B24" s="159"/>
      <c r="C24" s="500" t="str">
        <f>PROPER("PROVINCIAL LEGISLATURE")</f>
        <v>Provincial Legislature</v>
      </c>
      <c r="D24" s="482">
        <v>374883</v>
      </c>
      <c r="E24" s="491">
        <f t="shared" si="18"/>
        <v>16935</v>
      </c>
      <c r="F24" s="483">
        <v>391818</v>
      </c>
      <c r="G24" s="487"/>
      <c r="H24" s="484">
        <v>91008</v>
      </c>
      <c r="I24" s="485">
        <v>105875</v>
      </c>
      <c r="J24" s="485">
        <v>92878</v>
      </c>
      <c r="K24" s="485">
        <v>82778</v>
      </c>
      <c r="L24" s="156"/>
      <c r="M24" s="147">
        <f t="shared" si="19"/>
        <v>372539</v>
      </c>
      <c r="N24" s="172">
        <f t="shared" si="25"/>
        <v>0.95079603285198744</v>
      </c>
      <c r="O24" s="163"/>
      <c r="P24" s="118"/>
      <c r="S24" s="159"/>
      <c r="T24" s="170" t="str">
        <f t="shared" si="20"/>
        <v>Provincial Legislature</v>
      </c>
      <c r="U24" s="146">
        <v>374883</v>
      </c>
      <c r="V24" s="150">
        <v>0</v>
      </c>
      <c r="W24" s="148">
        <v>374883</v>
      </c>
      <c r="X24" s="152"/>
      <c r="Y24" s="149">
        <v>91008</v>
      </c>
      <c r="Z24" s="224">
        <v>105875</v>
      </c>
      <c r="AA24" s="224"/>
      <c r="AB24" s="224"/>
      <c r="AC24" s="156"/>
      <c r="AD24" s="147">
        <v>196883</v>
      </c>
      <c r="AE24" s="172">
        <v>0.52518519111296058</v>
      </c>
      <c r="AF24" s="163"/>
      <c r="AG24" s="118"/>
      <c r="AJ24" s="293"/>
      <c r="AK24" s="305" t="str">
        <f t="shared" si="26"/>
        <v>Provincial Legislature</v>
      </c>
      <c r="AL24" s="279">
        <f t="shared" si="21"/>
        <v>0</v>
      </c>
      <c r="AM24" s="280">
        <f t="shared" si="21"/>
        <v>-16935</v>
      </c>
      <c r="AN24" s="281">
        <f t="shared" si="21"/>
        <v>-16935</v>
      </c>
      <c r="AO24" s="285"/>
      <c r="AP24" s="282">
        <f t="shared" si="22"/>
        <v>0</v>
      </c>
      <c r="AQ24" s="283">
        <f t="shared" si="22"/>
        <v>0</v>
      </c>
      <c r="AR24" s="283">
        <f t="shared" si="22"/>
        <v>-92878</v>
      </c>
      <c r="AS24" s="283">
        <f t="shared" si="22"/>
        <v>-82778</v>
      </c>
      <c r="AT24" s="289"/>
      <c r="AU24" s="283">
        <f t="shared" si="23"/>
        <v>-175656</v>
      </c>
      <c r="AV24" s="290"/>
      <c r="AW24" s="297"/>
      <c r="AX24" s="118"/>
    </row>
    <row r="25" spans="1:79" ht="15.75" customHeight="1" x14ac:dyDescent="0.3">
      <c r="A25" s="446">
        <f t="shared" si="24"/>
        <v>1</v>
      </c>
      <c r="B25" s="159"/>
      <c r="C25" s="500" t="str">
        <f>PROPER("PROVINCIAL TREASURY")</f>
        <v>Provincial Treasury</v>
      </c>
      <c r="D25" s="482">
        <v>365692</v>
      </c>
      <c r="E25" s="491">
        <f t="shared" si="18"/>
        <v>-10800</v>
      </c>
      <c r="F25" s="483">
        <v>354892</v>
      </c>
      <c r="G25" s="487"/>
      <c r="H25" s="484">
        <v>69397</v>
      </c>
      <c r="I25" s="485">
        <v>73207</v>
      </c>
      <c r="J25" s="485">
        <v>107513</v>
      </c>
      <c r="K25" s="485">
        <v>104074</v>
      </c>
      <c r="L25" s="156"/>
      <c r="M25" s="147">
        <f t="shared" si="19"/>
        <v>354191</v>
      </c>
      <c r="N25" s="172">
        <f t="shared" si="25"/>
        <v>0.99802475119191192</v>
      </c>
      <c r="O25" s="163"/>
      <c r="P25" s="118"/>
      <c r="S25" s="159"/>
      <c r="T25" s="170" t="str">
        <f t="shared" si="20"/>
        <v>Provincial Treasury</v>
      </c>
      <c r="U25" s="146">
        <v>365692</v>
      </c>
      <c r="V25" s="150">
        <v>0</v>
      </c>
      <c r="W25" s="148">
        <v>365692</v>
      </c>
      <c r="X25" s="152"/>
      <c r="Y25" s="149">
        <v>69397</v>
      </c>
      <c r="Z25" s="224">
        <v>73207</v>
      </c>
      <c r="AA25" s="224"/>
      <c r="AB25" s="224"/>
      <c r="AC25" s="156"/>
      <c r="AD25" s="147">
        <v>142604</v>
      </c>
      <c r="AE25" s="172">
        <v>0.38995657547881823</v>
      </c>
      <c r="AF25" s="163"/>
      <c r="AG25" s="118"/>
      <c r="AJ25" s="293"/>
      <c r="AK25" s="305" t="str">
        <f t="shared" si="26"/>
        <v>Provincial Treasury</v>
      </c>
      <c r="AL25" s="279">
        <f t="shared" si="21"/>
        <v>0</v>
      </c>
      <c r="AM25" s="280">
        <f t="shared" si="21"/>
        <v>10800</v>
      </c>
      <c r="AN25" s="281">
        <f t="shared" si="21"/>
        <v>10800</v>
      </c>
      <c r="AO25" s="285"/>
      <c r="AP25" s="282">
        <f t="shared" si="22"/>
        <v>0</v>
      </c>
      <c r="AQ25" s="283">
        <f t="shared" si="22"/>
        <v>0</v>
      </c>
      <c r="AR25" s="283">
        <f t="shared" si="22"/>
        <v>-107513</v>
      </c>
      <c r="AS25" s="283">
        <f t="shared" si="22"/>
        <v>-104074</v>
      </c>
      <c r="AT25" s="289"/>
      <c r="AU25" s="283">
        <f t="shared" si="23"/>
        <v>-211587</v>
      </c>
      <c r="AV25" s="290"/>
      <c r="AW25" s="297"/>
      <c r="AX25" s="118"/>
    </row>
    <row r="26" spans="1:79" ht="15.75" customHeight="1" x14ac:dyDescent="0.3">
      <c r="A26" s="446">
        <f t="shared" si="24"/>
        <v>1</v>
      </c>
      <c r="B26" s="175"/>
      <c r="C26" s="500" t="str">
        <f>PROPER("CO-OPERATIVE GOVERNANCE AND TRADITIONAL AFFAIRS")</f>
        <v>Co-Operative Governance And Traditional Affairs</v>
      </c>
      <c r="D26" s="482">
        <v>526014</v>
      </c>
      <c r="E26" s="491">
        <f t="shared" si="18"/>
        <v>80000</v>
      </c>
      <c r="F26" s="483">
        <v>606014</v>
      </c>
      <c r="G26" s="494"/>
      <c r="H26" s="484">
        <v>132778</v>
      </c>
      <c r="I26" s="485">
        <v>138090</v>
      </c>
      <c r="J26" s="485">
        <v>144156</v>
      </c>
      <c r="K26" s="485">
        <v>190408</v>
      </c>
      <c r="L26" s="174"/>
      <c r="M26" s="147">
        <f t="shared" si="19"/>
        <v>605432</v>
      </c>
      <c r="N26" s="172">
        <f t="shared" si="25"/>
        <v>0.99903962614725073</v>
      </c>
      <c r="O26" s="177"/>
      <c r="P26" s="118"/>
      <c r="S26" s="175"/>
      <c r="T26" s="170" t="str">
        <f t="shared" si="20"/>
        <v>Co-Operative Governance And Traditional Affairs</v>
      </c>
      <c r="U26" s="146">
        <v>526014</v>
      </c>
      <c r="V26" s="150">
        <v>0</v>
      </c>
      <c r="W26" s="148">
        <v>526014</v>
      </c>
      <c r="X26" s="176"/>
      <c r="Y26" s="149">
        <v>132778</v>
      </c>
      <c r="Z26" s="224">
        <v>138090</v>
      </c>
      <c r="AA26" s="224"/>
      <c r="AB26" s="224"/>
      <c r="AC26" s="174"/>
      <c r="AD26" s="147">
        <v>270868</v>
      </c>
      <c r="AE26" s="172">
        <v>0.51494446915861558</v>
      </c>
      <c r="AF26" s="177"/>
      <c r="AG26" s="118"/>
      <c r="AJ26" s="309"/>
      <c r="AK26" s="305" t="str">
        <f t="shared" si="26"/>
        <v>Co-Operative Governance And Traditional Affairs</v>
      </c>
      <c r="AL26" s="279">
        <f t="shared" si="21"/>
        <v>0</v>
      </c>
      <c r="AM26" s="280">
        <f t="shared" si="21"/>
        <v>-80000</v>
      </c>
      <c r="AN26" s="281">
        <f t="shared" si="21"/>
        <v>-80000</v>
      </c>
      <c r="AO26" s="310"/>
      <c r="AP26" s="282">
        <f t="shared" si="22"/>
        <v>0</v>
      </c>
      <c r="AQ26" s="283">
        <f t="shared" si="22"/>
        <v>0</v>
      </c>
      <c r="AR26" s="283">
        <f t="shared" si="22"/>
        <v>-144156</v>
      </c>
      <c r="AS26" s="283">
        <f t="shared" si="22"/>
        <v>-190408</v>
      </c>
      <c r="AT26" s="308"/>
      <c r="AU26" s="283">
        <f t="shared" si="23"/>
        <v>-334564</v>
      </c>
      <c r="AV26" s="290"/>
      <c r="AW26" s="311"/>
      <c r="AX26" s="118"/>
    </row>
    <row r="27" spans="1:79" s="22" customFormat="1" ht="15.75" customHeight="1" x14ac:dyDescent="0.3">
      <c r="A27" s="446">
        <f t="shared" si="24"/>
        <v>1</v>
      </c>
      <c r="B27" s="159"/>
      <c r="C27" s="500" t="str">
        <f>PROPER("AGRICULTURE, RURAL DEVELOPMENT, LAND AND ENVIRONMENTAL AFFAIRS")</f>
        <v>Agriculture, Rural Development, Land And Environmental Affairs</v>
      </c>
      <c r="D27" s="482">
        <v>1222473</v>
      </c>
      <c r="E27" s="491">
        <f t="shared" si="18"/>
        <v>-15198</v>
      </c>
      <c r="F27" s="483">
        <v>1207275</v>
      </c>
      <c r="G27" s="487"/>
      <c r="H27" s="484">
        <v>228202</v>
      </c>
      <c r="I27" s="485">
        <v>298133</v>
      </c>
      <c r="J27" s="485">
        <v>334965</v>
      </c>
      <c r="K27" s="485">
        <v>344441</v>
      </c>
      <c r="L27" s="156"/>
      <c r="M27" s="147">
        <f t="shared" si="19"/>
        <v>1205741</v>
      </c>
      <c r="N27" s="172">
        <f t="shared" si="25"/>
        <v>0.99872936986187899</v>
      </c>
      <c r="O27" s="163"/>
      <c r="P27" s="118"/>
      <c r="Q27"/>
      <c r="R27"/>
      <c r="S27" s="159"/>
      <c r="T27" s="170" t="str">
        <f t="shared" si="20"/>
        <v>Agriculture, Rural Development, Land And Environmental Affairs</v>
      </c>
      <c r="U27" s="146">
        <v>1222473</v>
      </c>
      <c r="V27" s="150">
        <v>0</v>
      </c>
      <c r="W27" s="148">
        <v>1222473</v>
      </c>
      <c r="X27" s="152"/>
      <c r="Y27" s="149">
        <v>228202</v>
      </c>
      <c r="Z27" s="224">
        <v>298135</v>
      </c>
      <c r="AA27" s="224"/>
      <c r="AB27" s="224"/>
      <c r="AC27" s="156"/>
      <c r="AD27" s="147">
        <v>526337</v>
      </c>
      <c r="AE27" s="172">
        <v>0.43055102239476861</v>
      </c>
      <c r="AF27" s="163"/>
      <c r="AG27" s="118"/>
      <c r="AH27" s="61"/>
      <c r="AI27"/>
      <c r="AJ27" s="293"/>
      <c r="AK27" s="305" t="str">
        <f t="shared" si="26"/>
        <v>Agriculture, Rural Development, Land And Environmental Affairs</v>
      </c>
      <c r="AL27" s="279">
        <f t="shared" si="21"/>
        <v>0</v>
      </c>
      <c r="AM27" s="280">
        <f t="shared" si="21"/>
        <v>15198</v>
      </c>
      <c r="AN27" s="281">
        <f t="shared" si="21"/>
        <v>15198</v>
      </c>
      <c r="AO27" s="285"/>
      <c r="AP27" s="282">
        <f t="shared" si="22"/>
        <v>0</v>
      </c>
      <c r="AQ27" s="283">
        <f t="shared" si="22"/>
        <v>2</v>
      </c>
      <c r="AR27" s="283">
        <f t="shared" si="22"/>
        <v>-334965</v>
      </c>
      <c r="AS27" s="283">
        <f t="shared" si="22"/>
        <v>-344441</v>
      </c>
      <c r="AT27" s="289"/>
      <c r="AU27" s="283">
        <f t="shared" si="23"/>
        <v>-679404</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PROPER("ECONOMIC DEVELOPMENT AND TOURISM")</f>
        <v>Economic Development And Tourism</v>
      </c>
      <c r="D28" s="482">
        <v>1260938</v>
      </c>
      <c r="E28" s="491">
        <f t="shared" si="18"/>
        <v>-214257</v>
      </c>
      <c r="F28" s="483">
        <v>1046681</v>
      </c>
      <c r="G28" s="487"/>
      <c r="H28" s="484">
        <v>231395</v>
      </c>
      <c r="I28" s="485">
        <v>258254</v>
      </c>
      <c r="J28" s="485">
        <v>305888</v>
      </c>
      <c r="K28" s="485">
        <v>238436</v>
      </c>
      <c r="L28" s="156"/>
      <c r="M28" s="147">
        <f t="shared" si="19"/>
        <v>1033973</v>
      </c>
      <c r="N28" s="172">
        <f t="shared" si="25"/>
        <v>0.98785876499143488</v>
      </c>
      <c r="O28" s="163"/>
      <c r="P28" s="118"/>
      <c r="Q28"/>
      <c r="R28"/>
      <c r="S28" s="159"/>
      <c r="T28" s="170" t="str">
        <f t="shared" si="20"/>
        <v>Economic Development And Tourism</v>
      </c>
      <c r="U28" s="146">
        <v>1260938</v>
      </c>
      <c r="V28" s="150">
        <v>0</v>
      </c>
      <c r="W28" s="148">
        <v>1260938</v>
      </c>
      <c r="X28" s="152"/>
      <c r="Y28" s="149">
        <v>231395</v>
      </c>
      <c r="Z28" s="224">
        <v>258254</v>
      </c>
      <c r="AA28" s="224"/>
      <c r="AB28" s="224"/>
      <c r="AC28" s="156"/>
      <c r="AD28" s="147">
        <v>489649</v>
      </c>
      <c r="AE28" s="172">
        <v>0.38832123387509931</v>
      </c>
      <c r="AF28" s="163"/>
      <c r="AG28" s="118"/>
      <c r="AH28" s="61"/>
      <c r="AI28"/>
      <c r="AJ28" s="293"/>
      <c r="AK28" s="305" t="str">
        <f t="shared" si="26"/>
        <v>Economic Development And Tourism</v>
      </c>
      <c r="AL28" s="279">
        <f t="shared" si="21"/>
        <v>0</v>
      </c>
      <c r="AM28" s="280">
        <f t="shared" si="21"/>
        <v>214257</v>
      </c>
      <c r="AN28" s="281">
        <f t="shared" si="21"/>
        <v>214257</v>
      </c>
      <c r="AO28" s="285"/>
      <c r="AP28" s="282">
        <f t="shared" si="22"/>
        <v>0</v>
      </c>
      <c r="AQ28" s="283">
        <f t="shared" si="22"/>
        <v>0</v>
      </c>
      <c r="AR28" s="283">
        <f t="shared" si="22"/>
        <v>-305888</v>
      </c>
      <c r="AS28" s="283">
        <f t="shared" si="22"/>
        <v>-238436</v>
      </c>
      <c r="AT28" s="289"/>
      <c r="AU28" s="283">
        <f t="shared" si="23"/>
        <v>-544324</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PROPER("PUBLIC WORKS, ROADS AND TRANSPORT")</f>
        <v>Public Works, Roads And Transport</v>
      </c>
      <c r="D29" s="482">
        <v>5456164</v>
      </c>
      <c r="E29" s="491">
        <f t="shared" si="18"/>
        <v>2064</v>
      </c>
      <c r="F29" s="483">
        <v>5458228</v>
      </c>
      <c r="G29" s="487"/>
      <c r="H29" s="484">
        <v>1140240</v>
      </c>
      <c r="I29" s="485">
        <v>1428640</v>
      </c>
      <c r="J29" s="485">
        <v>1487206</v>
      </c>
      <c r="K29" s="485">
        <v>1354292</v>
      </c>
      <c r="L29" s="156"/>
      <c r="M29" s="147">
        <f t="shared" si="19"/>
        <v>5410378</v>
      </c>
      <c r="N29" s="172">
        <f t="shared" si="25"/>
        <v>0.99123341861131486</v>
      </c>
      <c r="O29" s="163"/>
      <c r="P29" s="118"/>
      <c r="Q29"/>
      <c r="R29"/>
      <c r="S29" s="159"/>
      <c r="T29" s="170" t="str">
        <f t="shared" si="20"/>
        <v>Public Works, Roads And Transport</v>
      </c>
      <c r="U29" s="146">
        <v>5456164</v>
      </c>
      <c r="V29" s="150">
        <v>0</v>
      </c>
      <c r="W29" s="148">
        <v>5456164</v>
      </c>
      <c r="X29" s="152"/>
      <c r="Y29" s="149">
        <v>1140240</v>
      </c>
      <c r="Z29" s="224">
        <v>1428640</v>
      </c>
      <c r="AA29" s="224"/>
      <c r="AB29" s="224"/>
      <c r="AC29" s="156"/>
      <c r="AD29" s="147">
        <v>2568880</v>
      </c>
      <c r="AE29" s="172">
        <v>0.47082162486318224</v>
      </c>
      <c r="AF29" s="163"/>
      <c r="AG29" s="118"/>
      <c r="AH29" s="61"/>
      <c r="AI29"/>
      <c r="AJ29" s="293"/>
      <c r="AK29" s="305" t="str">
        <f t="shared" si="26"/>
        <v>Public Works, Roads And Transport</v>
      </c>
      <c r="AL29" s="279">
        <f t="shared" si="21"/>
        <v>0</v>
      </c>
      <c r="AM29" s="280">
        <f t="shared" si="21"/>
        <v>-2064</v>
      </c>
      <c r="AN29" s="281">
        <f t="shared" si="21"/>
        <v>-2064</v>
      </c>
      <c r="AO29" s="285"/>
      <c r="AP29" s="282">
        <f t="shared" si="22"/>
        <v>0</v>
      </c>
      <c r="AQ29" s="283">
        <f t="shared" si="22"/>
        <v>0</v>
      </c>
      <c r="AR29" s="283">
        <f t="shared" si="22"/>
        <v>-1487206</v>
      </c>
      <c r="AS29" s="283">
        <f t="shared" si="22"/>
        <v>-1354292</v>
      </c>
      <c r="AT29" s="289"/>
      <c r="AU29" s="283">
        <f t="shared" si="23"/>
        <v>-2841498</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PROPER("COMMUNITY SAFETY, SECURITY AND LIAISON")</f>
        <v>Community Safety, Security And Liaison</v>
      </c>
      <c r="D30" s="482">
        <v>1354331</v>
      </c>
      <c r="E30" s="491">
        <f t="shared" si="18"/>
        <v>221123</v>
      </c>
      <c r="F30" s="483">
        <v>1575454</v>
      </c>
      <c r="G30" s="492"/>
      <c r="H30" s="484">
        <v>394711</v>
      </c>
      <c r="I30" s="485">
        <v>386332</v>
      </c>
      <c r="J30" s="485">
        <v>377036</v>
      </c>
      <c r="K30" s="485">
        <v>410919</v>
      </c>
      <c r="L30" s="156"/>
      <c r="M30" s="147">
        <f t="shared" si="19"/>
        <v>1568998</v>
      </c>
      <c r="N30" s="172">
        <f t="shared" si="25"/>
        <v>0.99590213360720148</v>
      </c>
      <c r="O30" s="177"/>
      <c r="P30" s="118"/>
      <c r="Q30"/>
      <c r="R30"/>
      <c r="S30" s="175"/>
      <c r="T30" s="170" t="str">
        <f t="shared" si="20"/>
        <v>Community Safety, Security And Liaison</v>
      </c>
      <c r="U30" s="146">
        <v>1354331</v>
      </c>
      <c r="V30" s="150">
        <v>0</v>
      </c>
      <c r="W30" s="148">
        <v>1354331</v>
      </c>
      <c r="X30" s="171"/>
      <c r="Y30" s="149">
        <v>394711</v>
      </c>
      <c r="Z30" s="224">
        <v>386332</v>
      </c>
      <c r="AA30" s="224"/>
      <c r="AB30" s="224"/>
      <c r="AC30" s="156"/>
      <c r="AD30" s="147">
        <v>781043</v>
      </c>
      <c r="AE30" s="172">
        <v>0.57670023059355502</v>
      </c>
      <c r="AF30" s="177"/>
      <c r="AG30" s="118"/>
      <c r="AH30"/>
      <c r="AI30"/>
      <c r="AJ30" s="309"/>
      <c r="AK30" s="305" t="str">
        <f t="shared" si="26"/>
        <v>Community Safety, Security And Liaison</v>
      </c>
      <c r="AL30" s="279">
        <f t="shared" si="21"/>
        <v>0</v>
      </c>
      <c r="AM30" s="280">
        <f t="shared" si="21"/>
        <v>-221123</v>
      </c>
      <c r="AN30" s="281">
        <f t="shared" si="21"/>
        <v>-221123</v>
      </c>
      <c r="AO30" s="306"/>
      <c r="AP30" s="282">
        <f t="shared" si="22"/>
        <v>0</v>
      </c>
      <c r="AQ30" s="283">
        <f t="shared" si="22"/>
        <v>0</v>
      </c>
      <c r="AR30" s="283">
        <f t="shared" si="22"/>
        <v>-377036</v>
      </c>
      <c r="AS30" s="283">
        <f t="shared" si="22"/>
        <v>-410919</v>
      </c>
      <c r="AT30" s="289"/>
      <c r="AU30" s="283">
        <f t="shared" si="23"/>
        <v>-787955</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PROPER("CULTURE, SPORT AND RECREATION")</f>
        <v>Culture, Sport And Recreation</v>
      </c>
      <c r="D31" s="482">
        <v>544439</v>
      </c>
      <c r="E31" s="491">
        <f t="shared" si="18"/>
        <v>-58054</v>
      </c>
      <c r="F31" s="483">
        <v>486385</v>
      </c>
      <c r="G31" s="487"/>
      <c r="H31" s="484">
        <v>140020</v>
      </c>
      <c r="I31" s="485">
        <v>149696</v>
      </c>
      <c r="J31" s="485">
        <v>126187</v>
      </c>
      <c r="K31" s="485">
        <v>67436</v>
      </c>
      <c r="L31" s="156"/>
      <c r="M31" s="147">
        <f t="shared" si="19"/>
        <v>483339</v>
      </c>
      <c r="N31" s="172">
        <f t="shared" si="25"/>
        <v>0.99373747134471668</v>
      </c>
      <c r="O31" s="163"/>
      <c r="P31" s="118"/>
      <c r="Q31"/>
      <c r="R31"/>
      <c r="S31" s="159"/>
      <c r="T31" s="170" t="str">
        <f t="shared" si="20"/>
        <v>Culture, Sport And Recreation</v>
      </c>
      <c r="U31" s="146">
        <v>544439</v>
      </c>
      <c r="V31" s="150">
        <v>0</v>
      </c>
      <c r="W31" s="148">
        <v>544439</v>
      </c>
      <c r="X31" s="152"/>
      <c r="Y31" s="149">
        <v>140019</v>
      </c>
      <c r="Z31" s="224">
        <v>149693</v>
      </c>
      <c r="AA31" s="224"/>
      <c r="AB31" s="224"/>
      <c r="AC31" s="156"/>
      <c r="AD31" s="147">
        <v>289712</v>
      </c>
      <c r="AE31" s="172">
        <v>0.53212940292668232</v>
      </c>
      <c r="AF31" s="163"/>
      <c r="AG31" s="118"/>
      <c r="AH31"/>
      <c r="AI31"/>
      <c r="AJ31" s="293"/>
      <c r="AK31" s="305" t="str">
        <f t="shared" si="26"/>
        <v>Culture, Sport And Recreation</v>
      </c>
      <c r="AL31" s="279">
        <f t="shared" si="21"/>
        <v>0</v>
      </c>
      <c r="AM31" s="280">
        <f t="shared" si="21"/>
        <v>58054</v>
      </c>
      <c r="AN31" s="281">
        <f t="shared" si="21"/>
        <v>58054</v>
      </c>
      <c r="AO31" s="285"/>
      <c r="AP31" s="282">
        <f t="shared" si="22"/>
        <v>-1</v>
      </c>
      <c r="AQ31" s="283">
        <f t="shared" si="22"/>
        <v>-3</v>
      </c>
      <c r="AR31" s="283">
        <f t="shared" si="22"/>
        <v>-126187</v>
      </c>
      <c r="AS31" s="283">
        <f t="shared" si="22"/>
        <v>-67436</v>
      </c>
      <c r="AT31" s="289"/>
      <c r="AU31" s="283">
        <f t="shared" si="23"/>
        <v>-193627</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PROPER("HUMAN SETTLEMENTS")</f>
        <v>Human Settlements</v>
      </c>
      <c r="D32" s="482">
        <v>1674139</v>
      </c>
      <c r="E32" s="491">
        <f t="shared" si="18"/>
        <v>282909</v>
      </c>
      <c r="F32" s="483">
        <v>1957048</v>
      </c>
      <c r="G32" s="487"/>
      <c r="H32" s="484">
        <v>507348</v>
      </c>
      <c r="I32" s="485">
        <v>414588</v>
      </c>
      <c r="J32" s="485">
        <v>456072</v>
      </c>
      <c r="K32" s="485">
        <v>517039</v>
      </c>
      <c r="L32" s="156"/>
      <c r="M32" s="147">
        <f t="shared" si="19"/>
        <v>1895047</v>
      </c>
      <c r="N32" s="172">
        <f t="shared" si="25"/>
        <v>0.96831912145230981</v>
      </c>
      <c r="O32" s="163"/>
      <c r="P32" s="118"/>
      <c r="S32" s="159"/>
      <c r="T32" s="170" t="str">
        <f t="shared" si="20"/>
        <v>Human Settlements</v>
      </c>
      <c r="U32" s="146">
        <v>1674139</v>
      </c>
      <c r="V32" s="150">
        <v>0</v>
      </c>
      <c r="W32" s="148">
        <v>1674139</v>
      </c>
      <c r="X32" s="152"/>
      <c r="Y32" s="149">
        <v>507348</v>
      </c>
      <c r="Z32" s="224">
        <v>414589</v>
      </c>
      <c r="AA32" s="224"/>
      <c r="AB32" s="224"/>
      <c r="AC32" s="156"/>
      <c r="AD32" s="147">
        <v>921937</v>
      </c>
      <c r="AE32" s="172">
        <v>0.55069322200844728</v>
      </c>
      <c r="AF32" s="163"/>
      <c r="AG32" s="118"/>
      <c r="AJ32" s="293"/>
      <c r="AK32" s="305" t="str">
        <f t="shared" si="26"/>
        <v>Human Settlements</v>
      </c>
      <c r="AL32" s="279">
        <f t="shared" si="21"/>
        <v>0</v>
      </c>
      <c r="AM32" s="280">
        <f t="shared" si="21"/>
        <v>-282909</v>
      </c>
      <c r="AN32" s="281">
        <f t="shared" si="21"/>
        <v>-282909</v>
      </c>
      <c r="AO32" s="285"/>
      <c r="AP32" s="282">
        <f t="shared" si="22"/>
        <v>0</v>
      </c>
      <c r="AQ32" s="283">
        <f t="shared" si="22"/>
        <v>1</v>
      </c>
      <c r="AR32" s="283">
        <f t="shared" si="22"/>
        <v>-456072</v>
      </c>
      <c r="AS32" s="283">
        <f t="shared" si="22"/>
        <v>-517039</v>
      </c>
      <c r="AT32" s="289"/>
      <c r="AU32" s="283">
        <f t="shared" si="23"/>
        <v>-973110</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50981105</v>
      </c>
      <c r="E41" s="179">
        <f t="shared" ref="E41:F41" si="31">SUM(E20:E39)</f>
        <v>689913</v>
      </c>
      <c r="F41" s="166">
        <f t="shared" si="31"/>
        <v>51671018</v>
      </c>
      <c r="G41" s="165"/>
      <c r="H41" s="436">
        <f t="shared" ref="H41:I41" si="32">SUM(H20:H39)</f>
        <v>12218032</v>
      </c>
      <c r="I41" s="437">
        <f t="shared" si="32"/>
        <v>12621762</v>
      </c>
      <c r="J41" s="437">
        <f t="shared" ref="J41:K41" si="33">SUM(J20:J39)</f>
        <v>13652866</v>
      </c>
      <c r="K41" s="438">
        <f t="shared" si="33"/>
        <v>13005749</v>
      </c>
      <c r="L41" s="156"/>
      <c r="M41" s="168">
        <f>SUM(M20:M39)</f>
        <v>51498409</v>
      </c>
      <c r="N41" s="180">
        <f>IFERROR(M41/F41,0)</f>
        <v>0.99665946198311783</v>
      </c>
      <c r="O41" s="595"/>
      <c r="P41" s="594"/>
      <c r="Q41"/>
      <c r="R41"/>
      <c r="S41" s="119"/>
      <c r="T41" s="164" t="s">
        <v>12</v>
      </c>
      <c r="U41" s="165">
        <v>50981105</v>
      </c>
      <c r="V41" s="179">
        <v>0</v>
      </c>
      <c r="W41" s="166">
        <v>50981105</v>
      </c>
      <c r="X41" s="165"/>
      <c r="Y41" s="436">
        <v>12218034</v>
      </c>
      <c r="Z41" s="437">
        <v>12621778</v>
      </c>
      <c r="AA41" s="437">
        <v>0</v>
      </c>
      <c r="AB41" s="438" t="s">
        <v>52</v>
      </c>
      <c r="AC41" s="156"/>
      <c r="AD41" s="168">
        <v>24839812</v>
      </c>
      <c r="AE41" s="180">
        <v>0.48723565328762491</v>
      </c>
      <c r="AF41" s="163"/>
      <c r="AG41" s="118"/>
      <c r="AH41"/>
      <c r="AI41"/>
      <c r="AJ41" s="248"/>
      <c r="AK41" s="298" t="s">
        <v>12</v>
      </c>
      <c r="AL41" s="299">
        <f>SUM(AL20:AL39)</f>
        <v>0</v>
      </c>
      <c r="AM41" s="313">
        <f t="shared" ref="AM41" si="34">SUM(AM20:AM39)</f>
        <v>-689913</v>
      </c>
      <c r="AN41" s="300">
        <f>SUM(AN20:AN39)</f>
        <v>-689913</v>
      </c>
      <c r="AO41" s="299"/>
      <c r="AP41" s="301">
        <f>SUM(AP20:AP39)</f>
        <v>2</v>
      </c>
      <c r="AQ41" s="302">
        <f t="shared" ref="AQ41:AS41" si="35">SUM(AQ20:AQ39)</f>
        <v>16</v>
      </c>
      <c r="AR41" s="302">
        <f t="shared" si="35"/>
        <v>-13652866</v>
      </c>
      <c r="AS41" s="302">
        <f t="shared" si="35"/>
        <v>-13005749</v>
      </c>
      <c r="AT41" s="289"/>
      <c r="AU41" s="302">
        <f>SUM(AU20:AU39)</f>
        <v>-26658597</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40950310</v>
      </c>
      <c r="E44" s="156">
        <f t="shared" ref="E44:M44" si="36">SUM(E45:E47)</f>
        <v>650630</v>
      </c>
      <c r="F44" s="153">
        <f t="shared" si="36"/>
        <v>41600940</v>
      </c>
      <c r="G44" s="152">
        <f t="shared" si="36"/>
        <v>0</v>
      </c>
      <c r="H44" s="154">
        <f t="shared" si="36"/>
        <v>9758280</v>
      </c>
      <c r="I44" s="155">
        <f t="shared" ref="I44" si="37">SUM(I45:I47)</f>
        <v>10308946</v>
      </c>
      <c r="J44" s="155">
        <f t="shared" ref="J44:K44" si="38">SUM(J45:J47)</f>
        <v>10854099</v>
      </c>
      <c r="K44" s="155">
        <f t="shared" si="38"/>
        <v>10596597</v>
      </c>
      <c r="L44" s="156"/>
      <c r="M44" s="155">
        <f t="shared" si="36"/>
        <v>41517922</v>
      </c>
      <c r="N44" s="183">
        <f t="shared" ref="N44:N64" si="39">IFERROR(M44/F44,0)</f>
        <v>0.99800442009243062</v>
      </c>
      <c r="O44" s="595"/>
      <c r="P44" s="478"/>
      <c r="Q44"/>
      <c r="R44"/>
      <c r="S44" s="159"/>
      <c r="T44" s="182" t="str">
        <f t="shared" ref="T44:T64" si="40">C44</f>
        <v>Current payments</v>
      </c>
      <c r="U44" s="152">
        <v>40950810</v>
      </c>
      <c r="V44" s="156">
        <v>0</v>
      </c>
      <c r="W44" s="153">
        <v>40950810</v>
      </c>
      <c r="X44" s="152">
        <v>0</v>
      </c>
      <c r="Y44" s="154">
        <v>9758283</v>
      </c>
      <c r="Z44" s="155">
        <v>10308964</v>
      </c>
      <c r="AA44" s="155">
        <v>0</v>
      </c>
      <c r="AB44" s="155">
        <v>0</v>
      </c>
      <c r="AC44" s="156"/>
      <c r="AD44" s="155">
        <v>20067247</v>
      </c>
      <c r="AE44" s="172">
        <v>0.49003296882283892</v>
      </c>
      <c r="AF44" s="163"/>
      <c r="AG44" s="181"/>
      <c r="AH44"/>
      <c r="AI44"/>
      <c r="AJ44" s="293"/>
      <c r="AK44" s="314" t="s">
        <v>0</v>
      </c>
      <c r="AL44" s="285">
        <f>SUM(AL45:AL47)</f>
        <v>500</v>
      </c>
      <c r="AM44" s="289">
        <f t="shared" ref="AM44:AO44" si="41">SUM(AM45:AM47)</f>
        <v>-650630</v>
      </c>
      <c r="AN44" s="286">
        <f>SUM(AN45:AN47)</f>
        <v>-650130</v>
      </c>
      <c r="AO44" s="285">
        <f t="shared" si="41"/>
        <v>0</v>
      </c>
      <c r="AP44" s="287">
        <f>SUM(AP45:AP47)</f>
        <v>3</v>
      </c>
      <c r="AQ44" s="288">
        <f t="shared" ref="AQ44:AS44" si="42">SUM(AQ45:AQ47)</f>
        <v>18</v>
      </c>
      <c r="AR44" s="288">
        <f t="shared" si="42"/>
        <v>-10854099</v>
      </c>
      <c r="AS44" s="288">
        <f t="shared" si="42"/>
        <v>-10596597</v>
      </c>
      <c r="AT44" s="289"/>
      <c r="AU44" s="288">
        <f t="shared" ref="AU44" si="43">SUM(AU45:AU47)</f>
        <v>-21450675</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30718380</v>
      </c>
      <c r="E45" s="491">
        <f t="shared" ref="E45:E47" si="44">F45-D45</f>
        <v>-257939</v>
      </c>
      <c r="F45" s="483">
        <v>30460441</v>
      </c>
      <c r="G45" s="482"/>
      <c r="H45" s="484">
        <v>7406620</v>
      </c>
      <c r="I45" s="485">
        <v>7567472</v>
      </c>
      <c r="J45" s="485">
        <v>7810738</v>
      </c>
      <c r="K45" s="485">
        <v>7618076</v>
      </c>
      <c r="L45" s="156"/>
      <c r="M45" s="147">
        <f t="shared" ref="M45:M47" si="45">SUM(H45:K45)</f>
        <v>30402906</v>
      </c>
      <c r="N45" s="172">
        <f t="shared" si="39"/>
        <v>0.99811115669664796</v>
      </c>
      <c r="O45" s="163"/>
      <c r="P45" s="181"/>
      <c r="Q45"/>
      <c r="R45"/>
      <c r="S45" s="159"/>
      <c r="T45" s="157" t="str">
        <f t="shared" si="40"/>
        <v>Compensation of employees</v>
      </c>
      <c r="U45" s="146">
        <v>30718380</v>
      </c>
      <c r="V45" s="150">
        <v>0</v>
      </c>
      <c r="W45" s="148">
        <v>30718380</v>
      </c>
      <c r="X45" s="146"/>
      <c r="Y45" s="149">
        <v>7406621</v>
      </c>
      <c r="Z45" s="224">
        <v>7567479</v>
      </c>
      <c r="AA45" s="224"/>
      <c r="AB45" s="224"/>
      <c r="AC45" s="156"/>
      <c r="AD45" s="147">
        <v>14974100</v>
      </c>
      <c r="AE45" s="172">
        <v>0.48746385714350821</v>
      </c>
      <c r="AF45" s="163"/>
      <c r="AG45" s="181"/>
      <c r="AH45"/>
      <c r="AI45"/>
      <c r="AJ45" s="293"/>
      <c r="AK45" s="291" t="s">
        <v>54</v>
      </c>
      <c r="AL45" s="279">
        <f t="shared" ref="AL45:AN47" si="46">IFERROR(U45-D45,0)</f>
        <v>0</v>
      </c>
      <c r="AM45" s="280">
        <f t="shared" si="46"/>
        <v>257939</v>
      </c>
      <c r="AN45" s="281">
        <f t="shared" si="46"/>
        <v>257939</v>
      </c>
      <c r="AO45" s="279"/>
      <c r="AP45" s="282">
        <f t="shared" ref="AP45:AS47" si="47">IFERROR(Y45-H45,0)</f>
        <v>1</v>
      </c>
      <c r="AQ45" s="283">
        <f t="shared" si="47"/>
        <v>7</v>
      </c>
      <c r="AR45" s="283">
        <f t="shared" si="47"/>
        <v>-7810738</v>
      </c>
      <c r="AS45" s="283">
        <f t="shared" si="47"/>
        <v>-7618076</v>
      </c>
      <c r="AT45" s="289"/>
      <c r="AU45" s="283">
        <f t="shared" ref="AU45:AU47" si="48">IFERROR(AD45-M45,0)</f>
        <v>-15428806</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10231930</v>
      </c>
      <c r="E46" s="491">
        <f t="shared" si="44"/>
        <v>908569</v>
      </c>
      <c r="F46" s="483">
        <v>11140499</v>
      </c>
      <c r="G46" s="482"/>
      <c r="H46" s="484">
        <v>2351630</v>
      </c>
      <c r="I46" s="485">
        <v>2741424</v>
      </c>
      <c r="J46" s="485">
        <v>3043238</v>
      </c>
      <c r="K46" s="485">
        <v>2978507</v>
      </c>
      <c r="L46" s="156"/>
      <c r="M46" s="147">
        <f t="shared" si="45"/>
        <v>11114799</v>
      </c>
      <c r="N46" s="172">
        <f t="shared" si="39"/>
        <v>0.99769310153880897</v>
      </c>
      <c r="O46" s="163"/>
      <c r="P46" s="181"/>
      <c r="Q46"/>
      <c r="R46"/>
      <c r="S46" s="159"/>
      <c r="T46" s="157" t="str">
        <f t="shared" si="40"/>
        <v>Goods and services</v>
      </c>
      <c r="U46" s="146">
        <v>10232430</v>
      </c>
      <c r="V46" s="150">
        <v>0</v>
      </c>
      <c r="W46" s="148">
        <v>10232430</v>
      </c>
      <c r="X46" s="146"/>
      <c r="Y46" s="149">
        <v>2351632</v>
      </c>
      <c r="Z46" s="224">
        <v>2741435</v>
      </c>
      <c r="AA46" s="224"/>
      <c r="AB46" s="224"/>
      <c r="AC46" s="156"/>
      <c r="AD46" s="147">
        <v>5093067</v>
      </c>
      <c r="AE46" s="172">
        <v>0.49773778076175457</v>
      </c>
      <c r="AF46" s="163"/>
      <c r="AG46" s="181"/>
      <c r="AH46"/>
      <c r="AI46"/>
      <c r="AJ46" s="293"/>
      <c r="AK46" s="291" t="s">
        <v>55</v>
      </c>
      <c r="AL46" s="279">
        <f t="shared" si="46"/>
        <v>500</v>
      </c>
      <c r="AM46" s="280">
        <f t="shared" si="46"/>
        <v>-908569</v>
      </c>
      <c r="AN46" s="281">
        <f t="shared" si="46"/>
        <v>-908069</v>
      </c>
      <c r="AO46" s="279"/>
      <c r="AP46" s="282">
        <f t="shared" si="47"/>
        <v>2</v>
      </c>
      <c r="AQ46" s="283">
        <f t="shared" si="47"/>
        <v>11</v>
      </c>
      <c r="AR46" s="283">
        <f t="shared" si="47"/>
        <v>-3043238</v>
      </c>
      <c r="AS46" s="283">
        <f t="shared" si="47"/>
        <v>-2978507</v>
      </c>
      <c r="AT46" s="289"/>
      <c r="AU46" s="283">
        <f t="shared" si="48"/>
        <v>-6021732</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0</v>
      </c>
      <c r="E47" s="491">
        <f t="shared" si="44"/>
        <v>0</v>
      </c>
      <c r="F47" s="483">
        <v>0</v>
      </c>
      <c r="G47" s="482"/>
      <c r="H47" s="484">
        <v>30</v>
      </c>
      <c r="I47" s="485">
        <v>50</v>
      </c>
      <c r="J47" s="485">
        <v>123</v>
      </c>
      <c r="K47" s="485">
        <v>14</v>
      </c>
      <c r="L47" s="156"/>
      <c r="M47" s="147">
        <f t="shared" si="45"/>
        <v>217</v>
      </c>
      <c r="N47" s="172">
        <f t="shared" si="39"/>
        <v>0</v>
      </c>
      <c r="O47" s="163"/>
      <c r="P47" s="181"/>
      <c r="Q47"/>
      <c r="R47"/>
      <c r="S47" s="159"/>
      <c r="T47" s="157" t="str">
        <f t="shared" si="40"/>
        <v>Interest and rent on land</v>
      </c>
      <c r="U47" s="146">
        <v>0</v>
      </c>
      <c r="V47" s="150">
        <v>0</v>
      </c>
      <c r="W47" s="148">
        <v>0</v>
      </c>
      <c r="X47" s="146"/>
      <c r="Y47" s="149">
        <v>30</v>
      </c>
      <c r="Z47" s="224">
        <v>50</v>
      </c>
      <c r="AA47" s="224"/>
      <c r="AB47" s="224"/>
      <c r="AC47" s="156"/>
      <c r="AD47" s="147">
        <v>80</v>
      </c>
      <c r="AE47" s="172">
        <v>0</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-123</v>
      </c>
      <c r="AS47" s="283">
        <f t="shared" si="47"/>
        <v>-14</v>
      </c>
      <c r="AT47" s="289"/>
      <c r="AU47" s="283">
        <f t="shared" si="48"/>
        <v>-137</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5679503</v>
      </c>
      <c r="E48" s="156">
        <f t="shared" ref="E48:M48" si="49">SUM(E49:E55)</f>
        <v>333337</v>
      </c>
      <c r="F48" s="153">
        <f t="shared" si="49"/>
        <v>6012840</v>
      </c>
      <c r="G48" s="152">
        <f t="shared" si="49"/>
        <v>0</v>
      </c>
      <c r="H48" s="154">
        <f t="shared" si="49"/>
        <v>1726011</v>
      </c>
      <c r="I48" s="155">
        <f t="shared" ref="I48" si="50">SUM(I49:I55)</f>
        <v>1457956</v>
      </c>
      <c r="J48" s="155">
        <f t="shared" ref="J48:K48" si="51">SUM(J49:J55)</f>
        <v>1666336</v>
      </c>
      <c r="K48" s="155">
        <f t="shared" si="51"/>
        <v>1154522</v>
      </c>
      <c r="L48" s="156"/>
      <c r="M48" s="155">
        <f t="shared" si="49"/>
        <v>6004825</v>
      </c>
      <c r="N48" s="183">
        <f t="shared" si="39"/>
        <v>0.99866701924548129</v>
      </c>
      <c r="O48" s="595"/>
      <c r="P48" s="478"/>
      <c r="Q48"/>
      <c r="R48"/>
      <c r="S48" s="159"/>
      <c r="T48" s="182" t="str">
        <f t="shared" si="40"/>
        <v>Transfers and subsidies</v>
      </c>
      <c r="U48" s="152">
        <v>5679503</v>
      </c>
      <c r="V48" s="156">
        <v>0</v>
      </c>
      <c r="W48" s="153">
        <v>5679503</v>
      </c>
      <c r="X48" s="152">
        <v>0</v>
      </c>
      <c r="Y48" s="154">
        <v>1726012</v>
      </c>
      <c r="Z48" s="155">
        <v>1457957</v>
      </c>
      <c r="AA48" s="155">
        <v>0</v>
      </c>
      <c r="AB48" s="155">
        <v>0</v>
      </c>
      <c r="AC48" s="156"/>
      <c r="AD48" s="155">
        <v>3183969</v>
      </c>
      <c r="AE48" s="183">
        <v>0.56060697564558026</v>
      </c>
      <c r="AF48" s="163"/>
      <c r="AG48" s="181"/>
      <c r="AH48"/>
      <c r="AI48"/>
      <c r="AJ48" s="293"/>
      <c r="AK48" s="314" t="s">
        <v>1</v>
      </c>
      <c r="AL48" s="285">
        <f>SUM(AL49:AL55)</f>
        <v>0</v>
      </c>
      <c r="AM48" s="289">
        <f t="shared" ref="AM48:AO48" si="52">SUM(AM49:AM55)</f>
        <v>-333337</v>
      </c>
      <c r="AN48" s="286">
        <f>SUM(AN49:AN55)</f>
        <v>-333337</v>
      </c>
      <c r="AO48" s="285">
        <f t="shared" si="52"/>
        <v>0</v>
      </c>
      <c r="AP48" s="287">
        <f>SUM(AP49:AP55)</f>
        <v>1</v>
      </c>
      <c r="AQ48" s="288">
        <f t="shared" ref="AQ48:AS48" si="53">SUM(AQ49:AQ55)</f>
        <v>1</v>
      </c>
      <c r="AR48" s="288">
        <f t="shared" si="53"/>
        <v>-1666336</v>
      </c>
      <c r="AS48" s="288">
        <f t="shared" si="53"/>
        <v>-1154522</v>
      </c>
      <c r="AT48" s="289"/>
      <c r="AU48" s="288">
        <f t="shared" ref="AU48" si="54">SUM(AU49:AU55)</f>
        <v>-2820856</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207773</v>
      </c>
      <c r="E49" s="491">
        <f t="shared" ref="E49:E55" si="55">F49-D49</f>
        <v>5067</v>
      </c>
      <c r="F49" s="483">
        <v>212840</v>
      </c>
      <c r="G49" s="482"/>
      <c r="H49" s="484">
        <v>37804</v>
      </c>
      <c r="I49" s="485">
        <v>62342</v>
      </c>
      <c r="J49" s="485">
        <v>92112</v>
      </c>
      <c r="K49" s="485">
        <v>55591</v>
      </c>
      <c r="L49" s="156"/>
      <c r="M49" s="147">
        <f t="shared" ref="M49:M55" si="56">SUM(H49:K49)</f>
        <v>247849</v>
      </c>
      <c r="N49" s="172">
        <f t="shared" si="39"/>
        <v>1.1644850591993987</v>
      </c>
      <c r="O49" s="163"/>
      <c r="P49" s="181"/>
      <c r="Q49"/>
      <c r="R49"/>
      <c r="S49" s="159"/>
      <c r="T49" s="157" t="str">
        <f t="shared" si="40"/>
        <v>Provinces and municipalities</v>
      </c>
      <c r="U49" s="146">
        <v>207773</v>
      </c>
      <c r="V49" s="150">
        <v>0</v>
      </c>
      <c r="W49" s="148">
        <v>207773</v>
      </c>
      <c r="X49" s="146"/>
      <c r="Y49" s="149">
        <v>37804</v>
      </c>
      <c r="Z49" s="224">
        <v>62344</v>
      </c>
      <c r="AA49" s="224"/>
      <c r="AB49" s="224"/>
      <c r="AC49" s="156"/>
      <c r="AD49" s="147">
        <v>100148</v>
      </c>
      <c r="AE49" s="172">
        <v>0.48200680550408376</v>
      </c>
      <c r="AF49" s="163"/>
      <c r="AG49" s="181"/>
      <c r="AH49"/>
      <c r="AI49"/>
      <c r="AJ49" s="293"/>
      <c r="AK49" s="291" t="s">
        <v>57</v>
      </c>
      <c r="AL49" s="279">
        <f t="shared" ref="AL49:AN55" si="57">IFERROR(U49-D49,0)</f>
        <v>0</v>
      </c>
      <c r="AM49" s="280">
        <f t="shared" si="57"/>
        <v>-5067</v>
      </c>
      <c r="AN49" s="281">
        <f t="shared" si="57"/>
        <v>-5067</v>
      </c>
      <c r="AO49" s="279"/>
      <c r="AP49" s="282">
        <f t="shared" ref="AP49:AS55" si="58">IFERROR(Y49-H49,0)</f>
        <v>0</v>
      </c>
      <c r="AQ49" s="283">
        <f t="shared" si="58"/>
        <v>2</v>
      </c>
      <c r="AR49" s="283">
        <f t="shared" si="58"/>
        <v>-92112</v>
      </c>
      <c r="AS49" s="283">
        <f t="shared" si="58"/>
        <v>-55591</v>
      </c>
      <c r="AT49" s="289"/>
      <c r="AU49" s="283">
        <f t="shared" ref="AU49:AU55" si="59">IFERROR(AD49-M49,0)</f>
        <v>-147701</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553492</v>
      </c>
      <c r="E50" s="491">
        <f t="shared" si="55"/>
        <v>18074</v>
      </c>
      <c r="F50" s="483">
        <v>571566</v>
      </c>
      <c r="G50" s="482"/>
      <c r="H50" s="484">
        <v>184271</v>
      </c>
      <c r="I50" s="485">
        <v>145982</v>
      </c>
      <c r="J50" s="485">
        <v>112717</v>
      </c>
      <c r="K50" s="485">
        <v>137743</v>
      </c>
      <c r="L50" s="156"/>
      <c r="M50" s="147">
        <f t="shared" si="56"/>
        <v>580713</v>
      </c>
      <c r="N50" s="172">
        <f t="shared" si="39"/>
        <v>1.0160034011820158</v>
      </c>
      <c r="O50" s="163"/>
      <c r="P50" s="181"/>
      <c r="Q50"/>
      <c r="R50"/>
      <c r="S50" s="159"/>
      <c r="T50" s="157" t="str">
        <f t="shared" si="40"/>
        <v>Departmental agencies and accounts</v>
      </c>
      <c r="U50" s="146">
        <v>553492</v>
      </c>
      <c r="V50" s="150">
        <v>0</v>
      </c>
      <c r="W50" s="148">
        <v>553492</v>
      </c>
      <c r="X50" s="146"/>
      <c r="Y50" s="149">
        <v>184271</v>
      </c>
      <c r="Z50" s="224">
        <v>145983</v>
      </c>
      <c r="AA50" s="224"/>
      <c r="AB50" s="224"/>
      <c r="AC50" s="156"/>
      <c r="AD50" s="147">
        <v>330254</v>
      </c>
      <c r="AE50" s="172">
        <v>0.5966734839889285</v>
      </c>
      <c r="AF50" s="163"/>
      <c r="AG50" s="181"/>
      <c r="AH50"/>
      <c r="AI50"/>
      <c r="AJ50" s="293"/>
      <c r="AK50" s="291" t="s">
        <v>58</v>
      </c>
      <c r="AL50" s="279">
        <f t="shared" si="57"/>
        <v>0</v>
      </c>
      <c r="AM50" s="280">
        <f t="shared" si="57"/>
        <v>-18074</v>
      </c>
      <c r="AN50" s="281">
        <f t="shared" si="57"/>
        <v>-18074</v>
      </c>
      <c r="AO50" s="279"/>
      <c r="AP50" s="282">
        <f t="shared" si="58"/>
        <v>0</v>
      </c>
      <c r="AQ50" s="283">
        <f t="shared" si="58"/>
        <v>1</v>
      </c>
      <c r="AR50" s="283">
        <f t="shared" si="58"/>
        <v>-112717</v>
      </c>
      <c r="AS50" s="283">
        <f t="shared" si="58"/>
        <v>-137743</v>
      </c>
      <c r="AT50" s="289"/>
      <c r="AU50" s="283">
        <f t="shared" si="59"/>
        <v>-250459</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0</v>
      </c>
      <c r="E51" s="491">
        <f t="shared" si="55"/>
        <v>0</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0</v>
      </c>
      <c r="V51" s="150">
        <v>0</v>
      </c>
      <c r="W51" s="148">
        <v>0</v>
      </c>
      <c r="X51" s="146"/>
      <c r="Y51" s="149">
        <v>0</v>
      </c>
      <c r="Z51" s="224">
        <v>0</v>
      </c>
      <c r="AA51" s="224"/>
      <c r="AB51" s="224"/>
      <c r="AC51" s="156"/>
      <c r="AD51" s="147">
        <v>0</v>
      </c>
      <c r="AE51" s="172">
        <v>0</v>
      </c>
      <c r="AF51" s="163"/>
      <c r="AG51" s="181"/>
      <c r="AH51"/>
      <c r="AI51"/>
      <c r="AJ51" s="293"/>
      <c r="AK51" s="291" t="s">
        <v>59</v>
      </c>
      <c r="AL51" s="279">
        <f t="shared" si="57"/>
        <v>0</v>
      </c>
      <c r="AM51" s="280">
        <f t="shared" si="57"/>
        <v>0</v>
      </c>
      <c r="AN51" s="281">
        <f t="shared" si="57"/>
        <v>0</v>
      </c>
      <c r="AO51" s="279"/>
      <c r="AP51" s="282">
        <f t="shared" si="58"/>
        <v>0</v>
      </c>
      <c r="AQ51" s="283">
        <f t="shared" si="58"/>
        <v>0</v>
      </c>
      <c r="AR51" s="283">
        <f t="shared" si="58"/>
        <v>0</v>
      </c>
      <c r="AS51" s="283">
        <f t="shared" si="58"/>
        <v>0</v>
      </c>
      <c r="AT51" s="289"/>
      <c r="AU51" s="283">
        <f t="shared" si="59"/>
        <v>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871001</v>
      </c>
      <c r="E53" s="491">
        <f t="shared" si="55"/>
        <v>3350</v>
      </c>
      <c r="F53" s="483">
        <v>874351</v>
      </c>
      <c r="G53" s="482"/>
      <c r="H53" s="484">
        <v>158781</v>
      </c>
      <c r="I53" s="485">
        <v>245452</v>
      </c>
      <c r="J53" s="485">
        <v>218299</v>
      </c>
      <c r="K53" s="485">
        <v>249946</v>
      </c>
      <c r="L53" s="156"/>
      <c r="M53" s="147">
        <f t="shared" si="56"/>
        <v>872478</v>
      </c>
      <c r="N53" s="172">
        <f t="shared" si="39"/>
        <v>0.99785783970053221</v>
      </c>
      <c r="O53" s="163"/>
      <c r="P53" s="181"/>
      <c r="Q53"/>
      <c r="R53"/>
      <c r="S53" s="159"/>
      <c r="T53" s="157" t="str">
        <f t="shared" si="40"/>
        <v>Public corporations and private enterprises</v>
      </c>
      <c r="U53" s="146">
        <v>871001</v>
      </c>
      <c r="V53" s="150">
        <v>0</v>
      </c>
      <c r="W53" s="148">
        <v>871001</v>
      </c>
      <c r="X53" s="146"/>
      <c r="Y53" s="149">
        <v>158781</v>
      </c>
      <c r="Z53" s="224">
        <v>245452</v>
      </c>
      <c r="AA53" s="224"/>
      <c r="AB53" s="224"/>
      <c r="AC53" s="156"/>
      <c r="AD53" s="147">
        <v>404233</v>
      </c>
      <c r="AE53" s="172">
        <v>0.46410164856297526</v>
      </c>
      <c r="AF53" s="163"/>
      <c r="AG53" s="181"/>
      <c r="AH53" s="61"/>
      <c r="AI53"/>
      <c r="AJ53" s="293"/>
      <c r="AK53" s="291" t="s">
        <v>61</v>
      </c>
      <c r="AL53" s="279">
        <f t="shared" si="57"/>
        <v>0</v>
      </c>
      <c r="AM53" s="280">
        <f t="shared" si="57"/>
        <v>-3350</v>
      </c>
      <c r="AN53" s="281">
        <f t="shared" si="57"/>
        <v>-3350</v>
      </c>
      <c r="AO53" s="279"/>
      <c r="AP53" s="282">
        <f t="shared" si="58"/>
        <v>0</v>
      </c>
      <c r="AQ53" s="283">
        <f t="shared" si="58"/>
        <v>0</v>
      </c>
      <c r="AR53" s="283">
        <f t="shared" si="58"/>
        <v>-218299</v>
      </c>
      <c r="AS53" s="283">
        <f t="shared" si="58"/>
        <v>-249946</v>
      </c>
      <c r="AT53" s="289"/>
      <c r="AU53" s="283">
        <f t="shared" si="59"/>
        <v>-468245</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2212152</v>
      </c>
      <c r="E54" s="491">
        <f t="shared" si="55"/>
        <v>48735</v>
      </c>
      <c r="F54" s="483">
        <v>2260887</v>
      </c>
      <c r="G54" s="482"/>
      <c r="H54" s="484">
        <v>825297</v>
      </c>
      <c r="I54" s="485">
        <v>485194</v>
      </c>
      <c r="J54" s="485">
        <v>752324</v>
      </c>
      <c r="K54" s="485">
        <v>170261</v>
      </c>
      <c r="L54" s="156"/>
      <c r="M54" s="147">
        <f t="shared" si="56"/>
        <v>2233076</v>
      </c>
      <c r="N54" s="172">
        <f t="shared" si="39"/>
        <v>0.98769907562828219</v>
      </c>
      <c r="O54" s="163"/>
      <c r="P54" s="181"/>
      <c r="Q54"/>
      <c r="R54"/>
      <c r="S54" s="159"/>
      <c r="T54" s="157" t="str">
        <f t="shared" si="40"/>
        <v>Non profit institutions</v>
      </c>
      <c r="U54" s="146">
        <v>2212152</v>
      </c>
      <c r="V54" s="150">
        <v>0</v>
      </c>
      <c r="W54" s="148">
        <v>2212152</v>
      </c>
      <c r="X54" s="146"/>
      <c r="Y54" s="149">
        <v>825297</v>
      </c>
      <c r="Z54" s="224">
        <v>485194</v>
      </c>
      <c r="AA54" s="224"/>
      <c r="AB54" s="224"/>
      <c r="AC54" s="156"/>
      <c r="AD54" s="147">
        <v>1310491</v>
      </c>
      <c r="AE54" s="172">
        <v>0.59240549473996362</v>
      </c>
      <c r="AF54" s="163"/>
      <c r="AG54" s="181"/>
      <c r="AH54" s="61"/>
      <c r="AI54"/>
      <c r="AJ54" s="293"/>
      <c r="AK54" s="291" t="s">
        <v>62</v>
      </c>
      <c r="AL54" s="279">
        <f t="shared" si="57"/>
        <v>0</v>
      </c>
      <c r="AM54" s="280">
        <f t="shared" si="57"/>
        <v>-48735</v>
      </c>
      <c r="AN54" s="281">
        <f t="shared" si="57"/>
        <v>-48735</v>
      </c>
      <c r="AO54" s="279"/>
      <c r="AP54" s="282">
        <f t="shared" si="58"/>
        <v>0</v>
      </c>
      <c r="AQ54" s="283">
        <f t="shared" si="58"/>
        <v>0</v>
      </c>
      <c r="AR54" s="283">
        <f t="shared" si="58"/>
        <v>-752324</v>
      </c>
      <c r="AS54" s="283">
        <f t="shared" si="58"/>
        <v>-170261</v>
      </c>
      <c r="AT54" s="289"/>
      <c r="AU54" s="283">
        <f t="shared" si="59"/>
        <v>-922585</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1835085</v>
      </c>
      <c r="E55" s="491">
        <f t="shared" si="55"/>
        <v>258111</v>
      </c>
      <c r="F55" s="483">
        <v>2093196</v>
      </c>
      <c r="G55" s="482"/>
      <c r="H55" s="484">
        <v>519858</v>
      </c>
      <c r="I55" s="485">
        <v>518986</v>
      </c>
      <c r="J55" s="485">
        <v>490884</v>
      </c>
      <c r="K55" s="485">
        <v>540981</v>
      </c>
      <c r="L55" s="156"/>
      <c r="M55" s="147">
        <f t="shared" si="56"/>
        <v>2070709</v>
      </c>
      <c r="N55" s="172">
        <f t="shared" si="39"/>
        <v>0.98925709775864279</v>
      </c>
      <c r="O55" s="163"/>
      <c r="P55" s="181"/>
      <c r="Q55"/>
      <c r="R55"/>
      <c r="S55" s="159"/>
      <c r="T55" s="157" t="str">
        <f t="shared" si="40"/>
        <v>Households</v>
      </c>
      <c r="U55" s="146">
        <v>1835085</v>
      </c>
      <c r="V55" s="150">
        <v>0</v>
      </c>
      <c r="W55" s="148">
        <v>1835085</v>
      </c>
      <c r="X55" s="146"/>
      <c r="Y55" s="149">
        <v>519859</v>
      </c>
      <c r="Z55" s="224">
        <v>518984</v>
      </c>
      <c r="AA55" s="224"/>
      <c r="AB55" s="224"/>
      <c r="AC55" s="156"/>
      <c r="AD55" s="147">
        <v>1038843</v>
      </c>
      <c r="AE55" s="172">
        <v>0.56610075282616334</v>
      </c>
      <c r="AF55" s="163"/>
      <c r="AG55" s="181"/>
      <c r="AH55"/>
      <c r="AI55"/>
      <c r="AJ55" s="293"/>
      <c r="AK55" s="291" t="s">
        <v>63</v>
      </c>
      <c r="AL55" s="279">
        <f t="shared" si="57"/>
        <v>0</v>
      </c>
      <c r="AM55" s="280">
        <f t="shared" si="57"/>
        <v>-258111</v>
      </c>
      <c r="AN55" s="281">
        <f t="shared" si="57"/>
        <v>-258111</v>
      </c>
      <c r="AO55" s="279"/>
      <c r="AP55" s="282">
        <f t="shared" si="58"/>
        <v>1</v>
      </c>
      <c r="AQ55" s="283">
        <f t="shared" si="58"/>
        <v>-2</v>
      </c>
      <c r="AR55" s="283">
        <f t="shared" si="58"/>
        <v>-490884</v>
      </c>
      <c r="AS55" s="283">
        <f t="shared" si="58"/>
        <v>-540981</v>
      </c>
      <c r="AT55" s="289"/>
      <c r="AU55" s="283">
        <f t="shared" si="59"/>
        <v>-1031866</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4351292</v>
      </c>
      <c r="E56" s="156">
        <f t="shared" ref="E56:M56" si="60">SUM(E57:E63)</f>
        <v>-294054</v>
      </c>
      <c r="F56" s="153">
        <f t="shared" si="60"/>
        <v>4057238</v>
      </c>
      <c r="G56" s="152">
        <f t="shared" si="60"/>
        <v>0</v>
      </c>
      <c r="H56" s="154">
        <f t="shared" si="60"/>
        <v>733473</v>
      </c>
      <c r="I56" s="155">
        <f t="shared" ref="I56" si="61">SUM(I57:I63)</f>
        <v>854860</v>
      </c>
      <c r="J56" s="155">
        <f t="shared" ref="J56:K56" si="62">SUM(J57:J63)</f>
        <v>1132319</v>
      </c>
      <c r="K56" s="155">
        <f t="shared" si="62"/>
        <v>1253206</v>
      </c>
      <c r="L56" s="156"/>
      <c r="M56" s="155">
        <f t="shared" si="60"/>
        <v>3973858</v>
      </c>
      <c r="N56" s="183">
        <f t="shared" si="39"/>
        <v>0.97944907348299504</v>
      </c>
      <c r="O56" s="595"/>
      <c r="P56" s="478"/>
      <c r="Q56"/>
      <c r="R56"/>
      <c r="S56" s="159"/>
      <c r="T56" s="182" t="str">
        <f t="shared" si="40"/>
        <v>Payments for capital assets</v>
      </c>
      <c r="U56" s="152">
        <v>4350792</v>
      </c>
      <c r="V56" s="156">
        <v>0</v>
      </c>
      <c r="W56" s="153">
        <v>4350792</v>
      </c>
      <c r="X56" s="152">
        <v>0</v>
      </c>
      <c r="Y56" s="154">
        <v>733471</v>
      </c>
      <c r="Z56" s="155">
        <v>854857</v>
      </c>
      <c r="AA56" s="155">
        <v>0</v>
      </c>
      <c r="AB56" s="155">
        <v>0</v>
      </c>
      <c r="AC56" s="156"/>
      <c r="AD56" s="155">
        <v>1588328</v>
      </c>
      <c r="AE56" s="183">
        <v>0.3650664063002782</v>
      </c>
      <c r="AF56" s="163"/>
      <c r="AG56" s="181"/>
      <c r="AH56"/>
      <c r="AI56"/>
      <c r="AJ56" s="293"/>
      <c r="AK56" s="314" t="s">
        <v>2</v>
      </c>
      <c r="AL56" s="285">
        <f>SUM(AL57:AL63)</f>
        <v>-500</v>
      </c>
      <c r="AM56" s="289">
        <f t="shared" ref="AM56:AO56" si="63">SUM(AM57:AM63)</f>
        <v>294054</v>
      </c>
      <c r="AN56" s="286">
        <f>SUM(AN57:AN63)</f>
        <v>293554</v>
      </c>
      <c r="AO56" s="285">
        <f t="shared" si="63"/>
        <v>0</v>
      </c>
      <c r="AP56" s="287">
        <f>SUM(AP57:AP63)</f>
        <v>-2</v>
      </c>
      <c r="AQ56" s="288">
        <f t="shared" ref="AQ56:AS56" si="64">SUM(AQ57:AQ63)</f>
        <v>-3</v>
      </c>
      <c r="AR56" s="288">
        <f t="shared" si="64"/>
        <v>-1132319</v>
      </c>
      <c r="AS56" s="288">
        <f t="shared" si="64"/>
        <v>-1253206</v>
      </c>
      <c r="AT56" s="289"/>
      <c r="AU56" s="288">
        <f t="shared" ref="AU56" si="65">SUM(AU57:AU63)</f>
        <v>-2385530</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3908761</v>
      </c>
      <c r="E57" s="491">
        <f t="shared" ref="E57:E64" si="66">F57-D57</f>
        <v>-306528</v>
      </c>
      <c r="F57" s="483">
        <v>3602233</v>
      </c>
      <c r="G57" s="482"/>
      <c r="H57" s="484">
        <v>690906</v>
      </c>
      <c r="I57" s="485">
        <v>781636</v>
      </c>
      <c r="J57" s="485">
        <v>1010459</v>
      </c>
      <c r="K57" s="485">
        <v>1003256</v>
      </c>
      <c r="L57" s="156"/>
      <c r="M57" s="147">
        <f t="shared" ref="M57:M64" si="67">SUM(H57:K57)</f>
        <v>3486257</v>
      </c>
      <c r="N57" s="172">
        <f t="shared" si="39"/>
        <v>0.9678044146505792</v>
      </c>
      <c r="O57" s="163"/>
      <c r="P57" s="181"/>
      <c r="Q57"/>
      <c r="R57"/>
      <c r="S57" s="159"/>
      <c r="T57" s="157" t="str">
        <f t="shared" si="40"/>
        <v>Buildings and other fixed structures</v>
      </c>
      <c r="U57" s="146">
        <v>3908761</v>
      </c>
      <c r="V57" s="150">
        <v>0</v>
      </c>
      <c r="W57" s="148">
        <v>3908761</v>
      </c>
      <c r="X57" s="146"/>
      <c r="Y57" s="149">
        <v>690907</v>
      </c>
      <c r="Z57" s="224">
        <v>781633</v>
      </c>
      <c r="AA57" s="224"/>
      <c r="AB57" s="224"/>
      <c r="AC57" s="156"/>
      <c r="AD57" s="147">
        <v>1472540</v>
      </c>
      <c r="AE57" s="172">
        <v>0.37672807316691914</v>
      </c>
      <c r="AF57" s="163"/>
      <c r="AG57" s="181"/>
      <c r="AH57"/>
      <c r="AI57"/>
      <c r="AJ57" s="293"/>
      <c r="AK57" s="291" t="s">
        <v>64</v>
      </c>
      <c r="AL57" s="279">
        <f t="shared" ref="AL57:AN64" si="68">IFERROR(U57-D57,0)</f>
        <v>0</v>
      </c>
      <c r="AM57" s="280">
        <f t="shared" si="68"/>
        <v>306528</v>
      </c>
      <c r="AN57" s="281">
        <f t="shared" si="68"/>
        <v>306528</v>
      </c>
      <c r="AO57" s="279"/>
      <c r="AP57" s="282">
        <f t="shared" ref="AP57:AS64" si="69">IFERROR(Y57-H57,0)</f>
        <v>1</v>
      </c>
      <c r="AQ57" s="283">
        <f t="shared" si="69"/>
        <v>-3</v>
      </c>
      <c r="AR57" s="283">
        <f t="shared" si="69"/>
        <v>-1010459</v>
      </c>
      <c r="AS57" s="283">
        <f t="shared" si="69"/>
        <v>-1003256</v>
      </c>
      <c r="AT57" s="289"/>
      <c r="AU57" s="283">
        <f t="shared" ref="AU57:AU64" si="70">IFERROR(AD57-M57,0)</f>
        <v>-2013717</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440531</v>
      </c>
      <c r="E58" s="491">
        <f t="shared" si="66"/>
        <v>13974</v>
      </c>
      <c r="F58" s="483">
        <v>454505</v>
      </c>
      <c r="G58" s="482"/>
      <c r="H58" s="484">
        <v>42421</v>
      </c>
      <c r="I58" s="485">
        <v>73224</v>
      </c>
      <c r="J58" s="485">
        <v>121601</v>
      </c>
      <c r="K58" s="485">
        <v>250209</v>
      </c>
      <c r="L58" s="156"/>
      <c r="M58" s="147">
        <f t="shared" si="67"/>
        <v>487455</v>
      </c>
      <c r="N58" s="172">
        <f t="shared" si="39"/>
        <v>1.0724964521842444</v>
      </c>
      <c r="O58" s="163"/>
      <c r="P58" s="181"/>
      <c r="Q58"/>
      <c r="R58"/>
      <c r="S58" s="159"/>
      <c r="T58" s="157" t="str">
        <f t="shared" si="40"/>
        <v>Machinery and equipment</v>
      </c>
      <c r="U58" s="146">
        <v>440031</v>
      </c>
      <c r="V58" s="150">
        <v>0</v>
      </c>
      <c r="W58" s="148">
        <v>440031</v>
      </c>
      <c r="X58" s="146"/>
      <c r="Y58" s="149">
        <v>42418</v>
      </c>
      <c r="Z58" s="224">
        <v>73224</v>
      </c>
      <c r="AA58" s="224"/>
      <c r="AB58" s="224"/>
      <c r="AC58" s="156"/>
      <c r="AD58" s="147">
        <v>115642</v>
      </c>
      <c r="AE58" s="172">
        <v>0.262804211521461</v>
      </c>
      <c r="AF58" s="163"/>
      <c r="AG58" s="181"/>
      <c r="AH58"/>
      <c r="AI58"/>
      <c r="AJ58" s="293"/>
      <c r="AK58" s="291" t="s">
        <v>65</v>
      </c>
      <c r="AL58" s="279">
        <f t="shared" si="68"/>
        <v>-500</v>
      </c>
      <c r="AM58" s="280">
        <f t="shared" si="68"/>
        <v>-13974</v>
      </c>
      <c r="AN58" s="281">
        <f t="shared" si="68"/>
        <v>-14474</v>
      </c>
      <c r="AO58" s="279"/>
      <c r="AP58" s="282">
        <f t="shared" si="69"/>
        <v>-3</v>
      </c>
      <c r="AQ58" s="283">
        <f t="shared" si="69"/>
        <v>0</v>
      </c>
      <c r="AR58" s="283">
        <f t="shared" si="69"/>
        <v>-121601</v>
      </c>
      <c r="AS58" s="283">
        <f t="shared" si="69"/>
        <v>-250209</v>
      </c>
      <c r="AT58" s="289"/>
      <c r="AU58" s="283">
        <f t="shared" si="70"/>
        <v>-371813</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0</v>
      </c>
      <c r="F59" s="483">
        <v>0</v>
      </c>
      <c r="G59" s="482"/>
      <c r="H59" s="484">
        <v>146</v>
      </c>
      <c r="I59" s="485">
        <v>0</v>
      </c>
      <c r="J59" s="485">
        <v>0</v>
      </c>
      <c r="K59" s="485">
        <v>0</v>
      </c>
      <c r="L59" s="156"/>
      <c r="M59" s="147">
        <f t="shared" si="67"/>
        <v>146</v>
      </c>
      <c r="N59" s="172">
        <f t="shared" si="39"/>
        <v>0</v>
      </c>
      <c r="O59" s="163"/>
      <c r="P59" s="181"/>
      <c r="Q59"/>
      <c r="R59"/>
      <c r="S59" s="159"/>
      <c r="T59" s="157" t="str">
        <f t="shared" si="40"/>
        <v>Heritage assets</v>
      </c>
      <c r="U59" s="146">
        <v>0</v>
      </c>
      <c r="V59" s="150">
        <v>0</v>
      </c>
      <c r="W59" s="148">
        <v>0</v>
      </c>
      <c r="X59" s="146"/>
      <c r="Y59" s="149">
        <v>146</v>
      </c>
      <c r="Z59" s="224">
        <v>0</v>
      </c>
      <c r="AA59" s="224"/>
      <c r="AB59" s="224"/>
      <c r="AC59" s="156"/>
      <c r="AD59" s="147">
        <v>146</v>
      </c>
      <c r="AE59" s="172">
        <v>0</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0</v>
      </c>
      <c r="F61" s="483">
        <v>0</v>
      </c>
      <c r="G61" s="482"/>
      <c r="H61" s="484">
        <v>0</v>
      </c>
      <c r="I61" s="485">
        <v>0</v>
      </c>
      <c r="J61" s="485">
        <v>0</v>
      </c>
      <c r="K61" s="485">
        <v>0</v>
      </c>
      <c r="L61" s="156"/>
      <c r="M61" s="147">
        <f t="shared" si="67"/>
        <v>0</v>
      </c>
      <c r="N61" s="172">
        <f t="shared" si="39"/>
        <v>0</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0</v>
      </c>
      <c r="AN61" s="281">
        <f t="shared" si="68"/>
        <v>0</v>
      </c>
      <c r="AO61" s="279"/>
      <c r="AP61" s="282">
        <f t="shared" si="69"/>
        <v>0</v>
      </c>
      <c r="AQ61" s="283">
        <f t="shared" si="69"/>
        <v>0</v>
      </c>
      <c r="AR61" s="283">
        <f t="shared" si="69"/>
        <v>0</v>
      </c>
      <c r="AS61" s="283">
        <f t="shared" si="69"/>
        <v>0</v>
      </c>
      <c r="AT61" s="289"/>
      <c r="AU61" s="283">
        <f t="shared" si="70"/>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2000</v>
      </c>
      <c r="E63" s="491">
        <f t="shared" si="66"/>
        <v>-1500</v>
      </c>
      <c r="F63" s="483">
        <v>500</v>
      </c>
      <c r="G63" s="482"/>
      <c r="H63" s="484">
        <v>0</v>
      </c>
      <c r="I63" s="485">
        <v>0</v>
      </c>
      <c r="J63" s="485">
        <v>259</v>
      </c>
      <c r="K63" s="485">
        <v>-259</v>
      </c>
      <c r="L63" s="156"/>
      <c r="M63" s="147">
        <f t="shared" si="67"/>
        <v>0</v>
      </c>
      <c r="N63" s="172">
        <f t="shared" si="39"/>
        <v>0</v>
      </c>
      <c r="O63" s="163"/>
      <c r="P63" s="181"/>
      <c r="Q63"/>
      <c r="R63"/>
      <c r="S63" s="159"/>
      <c r="T63" s="157" t="str">
        <f t="shared" si="40"/>
        <v>Software and other intangible assets</v>
      </c>
      <c r="U63" s="146">
        <v>2000</v>
      </c>
      <c r="V63" s="150">
        <v>0</v>
      </c>
      <c r="W63" s="148">
        <v>2000</v>
      </c>
      <c r="X63" s="146"/>
      <c r="Y63" s="149">
        <v>0</v>
      </c>
      <c r="Z63" s="224">
        <v>0</v>
      </c>
      <c r="AA63" s="224"/>
      <c r="AB63" s="224"/>
      <c r="AC63" s="156"/>
      <c r="AD63" s="147">
        <v>0</v>
      </c>
      <c r="AE63" s="172">
        <v>0</v>
      </c>
      <c r="AF63" s="163"/>
      <c r="AG63" s="181"/>
      <c r="AH63"/>
      <c r="AI63"/>
      <c r="AJ63" s="293"/>
      <c r="AK63" s="291" t="s">
        <v>70</v>
      </c>
      <c r="AL63" s="279">
        <f t="shared" si="68"/>
        <v>0</v>
      </c>
      <c r="AM63" s="280">
        <f t="shared" si="68"/>
        <v>1500</v>
      </c>
      <c r="AN63" s="281">
        <f t="shared" si="68"/>
        <v>1500</v>
      </c>
      <c r="AO63" s="279"/>
      <c r="AP63" s="282">
        <f t="shared" si="69"/>
        <v>0</v>
      </c>
      <c r="AQ63" s="283">
        <f t="shared" si="69"/>
        <v>0</v>
      </c>
      <c r="AR63" s="283">
        <f t="shared" si="69"/>
        <v>-259</v>
      </c>
      <c r="AS63" s="283">
        <f t="shared" si="69"/>
        <v>259</v>
      </c>
      <c r="AT63" s="289"/>
      <c r="AU63" s="283">
        <f t="shared" si="70"/>
        <v>0</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268</v>
      </c>
      <c r="I64" s="490">
        <v>0</v>
      </c>
      <c r="J64" s="490">
        <v>112</v>
      </c>
      <c r="K64" s="490">
        <v>1424</v>
      </c>
      <c r="L64" s="156"/>
      <c r="M64" s="155">
        <f t="shared" si="67"/>
        <v>1804</v>
      </c>
      <c r="N64" s="183">
        <f t="shared" si="39"/>
        <v>0</v>
      </c>
      <c r="O64" s="595"/>
      <c r="P64" s="478"/>
      <c r="Q64"/>
      <c r="R64"/>
      <c r="S64" s="159"/>
      <c r="T64" s="182" t="str">
        <f t="shared" si="40"/>
        <v>Payments for financial assets</v>
      </c>
      <c r="U64" s="152">
        <v>0</v>
      </c>
      <c r="V64" s="156">
        <v>0</v>
      </c>
      <c r="W64" s="153">
        <v>0</v>
      </c>
      <c r="X64" s="152"/>
      <c r="Y64" s="154">
        <v>268</v>
      </c>
      <c r="Z64" s="224">
        <v>0</v>
      </c>
      <c r="AA64" s="224"/>
      <c r="AB64" s="224"/>
      <c r="AC64" s="156"/>
      <c r="AD64" s="155">
        <v>268</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-112</v>
      </c>
      <c r="AS64" s="288">
        <f t="shared" si="69"/>
        <v>-1424</v>
      </c>
      <c r="AT64" s="289"/>
      <c r="AU64" s="288">
        <f t="shared" si="70"/>
        <v>-1536</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50981105</v>
      </c>
      <c r="E66" s="179">
        <f t="shared" ref="E66:F66" si="71">E44+E48+E56+E64</f>
        <v>689913</v>
      </c>
      <c r="F66" s="166">
        <f t="shared" si="71"/>
        <v>51671018</v>
      </c>
      <c r="G66" s="165"/>
      <c r="H66" s="167">
        <f t="shared" ref="H66:I66" si="72">H44+H48+H56+H64</f>
        <v>12218032</v>
      </c>
      <c r="I66" s="437">
        <f t="shared" si="72"/>
        <v>12621762</v>
      </c>
      <c r="J66" s="437">
        <f t="shared" ref="J66:K66" si="73">J44+J48+J56+J64</f>
        <v>13652866</v>
      </c>
      <c r="K66" s="437">
        <f t="shared" si="73"/>
        <v>13005749</v>
      </c>
      <c r="L66" s="156"/>
      <c r="M66" s="168">
        <f>M44+M48+M56+M64</f>
        <v>51498409</v>
      </c>
      <c r="N66" s="180">
        <f>IFERROR(M66/F66,0)</f>
        <v>0.99665946198311783</v>
      </c>
      <c r="O66" s="595"/>
      <c r="P66" s="594"/>
      <c r="Q66"/>
      <c r="R66"/>
      <c r="S66" s="119"/>
      <c r="T66" s="164" t="s">
        <v>12</v>
      </c>
      <c r="U66" s="165">
        <v>50981105</v>
      </c>
      <c r="V66" s="179">
        <v>0</v>
      </c>
      <c r="W66" s="166">
        <v>50981105</v>
      </c>
      <c r="X66" s="165"/>
      <c r="Y66" s="167">
        <v>12218034</v>
      </c>
      <c r="Z66" s="437">
        <v>12621778</v>
      </c>
      <c r="AA66" s="437" t="s">
        <v>52</v>
      </c>
      <c r="AB66" s="437" t="s">
        <v>52</v>
      </c>
      <c r="AC66" s="156"/>
      <c r="AD66" s="168">
        <v>24839812</v>
      </c>
      <c r="AE66" s="180">
        <v>0.48723565328762491</v>
      </c>
      <c r="AF66" s="163"/>
      <c r="AG66" s="118"/>
      <c r="AH66"/>
      <c r="AI66"/>
      <c r="AJ66" s="248"/>
      <c r="AK66" s="298" t="s">
        <v>12</v>
      </c>
      <c r="AL66" s="299">
        <f>AL44+AL48+AL56+AL64</f>
        <v>0</v>
      </c>
      <c r="AM66" s="313">
        <f t="shared" ref="AM66" si="74">AM44+AM48+AM56+AM64</f>
        <v>-689913</v>
      </c>
      <c r="AN66" s="300">
        <f>AN44+AN48+AN56+AN64</f>
        <v>-689913</v>
      </c>
      <c r="AO66" s="299"/>
      <c r="AP66" s="301">
        <f>AP44+AP48+AP56+AP64</f>
        <v>2</v>
      </c>
      <c r="AQ66" s="302">
        <f t="shared" ref="AQ66:AS66" si="75">AQ44+AQ48+AQ56+AQ64</f>
        <v>16</v>
      </c>
      <c r="AR66" s="302">
        <f t="shared" si="75"/>
        <v>-13652866</v>
      </c>
      <c r="AS66" s="302">
        <f t="shared" si="75"/>
        <v>-13005749</v>
      </c>
      <c r="AT66" s="289"/>
      <c r="AU66" s="302">
        <f>AU44+AU48+AU56+AU64</f>
        <v>-26658597</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Settings!$X$13 &amp; "    " &amp; Settings!$Z$13 &amp; ": Provincial Treasury Mpumalanga     Tel No:  " &amp; Settings!$AB$13</f>
        <v>Information submitted by:  Gugu Mashiteng    Head Official: Provincial Treasury Mpumalanga     Tel No:  (013) 766-4571</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cxwv/o+zdm7glH+zaKLZdqTBBNndbTuQ7el8Z/znqwWMIwGVDtdQ/vryNM/UyRlc+clXxzjBEADevW7xv8EAcw==" saltValue="TD0nYsUbJXYlm3pjIEoacA==" spinCount="100000" sheet="1" objects="1" scenarios="1"/>
  <autoFilter ref="A9:A226" xr:uid="{6C98CF40-0959-48EF-8D62-E4638BEF5BF1}">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A57FC536-44CE-4621-BB4C-D5CE6ED94E68}">
            <xm:f>General!$BE$1&gt;=2</xm:f>
            <x14:dxf>
              <fill>
                <patternFill patternType="none">
                  <bgColor auto="1"/>
                </patternFill>
              </fill>
            </x14:dxf>
          </x14:cfRule>
          <xm:sqref>I66</xm:sqref>
        </x14:conditionalFormatting>
        <x14:conditionalFormatting xmlns:xm="http://schemas.microsoft.com/office/excel/2006/main">
          <x14:cfRule type="expression" priority="17" id="{9375227D-1BA8-4A38-9A16-E42C7D289594}">
            <xm:f>General!$BE$1&gt;=3</xm:f>
            <x14:dxf>
              <fill>
                <patternFill patternType="none">
                  <bgColor auto="1"/>
                </patternFill>
              </fill>
            </x14:dxf>
          </x14:cfRule>
          <xm:sqref>J66</xm:sqref>
        </x14:conditionalFormatting>
        <x14:conditionalFormatting xmlns:xm="http://schemas.microsoft.com/office/excel/2006/main">
          <x14:cfRule type="expression" priority="16" id="{3D55D035-05A8-4EA8-A1AC-D6012FE47C92}">
            <xm:f>General!$BE$1=4</xm:f>
            <x14:dxf>
              <fill>
                <patternFill patternType="none">
                  <bgColor auto="1"/>
                </patternFill>
              </fill>
            </x14:dxf>
          </x14:cfRule>
          <xm:sqref>K66</xm:sqref>
        </x14:conditionalFormatting>
        <x14:conditionalFormatting xmlns:xm="http://schemas.microsoft.com/office/excel/2006/main">
          <x14:cfRule type="expression" priority="15" id="{D8571EAF-9A2B-4B28-908D-706205A23D12}">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5FAA88E2-E2D7-4C33-AE1C-E88726CC4316}">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68D19BE3-D832-4CB2-96A2-825FF20DB273}">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A8BF65C1-C319-46C3-924E-DED7395177E2}">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B09EB339-CA55-4DB8-9C73-8F1671F2AF14}">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4BC4FF6A-74AB-4145-8F95-3CB5D2363FB4}">
            <xm:f>General!$BE$1=4</xm:f>
            <x14:dxf>
              <fill>
                <patternFill patternType="none">
                  <bgColor auto="1"/>
                </patternFill>
              </fill>
            </x14:dxf>
          </x14:cfRule>
          <xm:sqref>K13:K15 K17 K20:K39 K41 K45:K47 K49:K55 K57:K64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92D05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168</v>
      </c>
      <c r="D4" s="37"/>
      <c r="E4" s="37"/>
      <c r="F4" s="37"/>
      <c r="G4" s="37"/>
      <c r="H4" s="37"/>
      <c r="I4" s="37"/>
      <c r="J4" s="38"/>
      <c r="K4" s="38"/>
      <c r="L4" s="38"/>
      <c r="M4" s="38"/>
      <c r="N4" s="38"/>
      <c r="O4" s="33"/>
      <c r="R4"/>
      <c r="S4" s="36"/>
      <c r="T4" s="34" t="str">
        <f>C4</f>
        <v>MPUMALANGA PROVINCE</v>
      </c>
      <c r="U4" s="37"/>
      <c r="V4" s="37"/>
      <c r="W4" s="37"/>
      <c r="X4" s="37"/>
      <c r="Y4" s="37"/>
      <c r="Z4" s="37"/>
      <c r="AA4" s="38"/>
      <c r="AB4" s="38"/>
      <c r="AC4" s="38"/>
      <c r="AD4" s="38"/>
      <c r="AE4" s="38"/>
      <c r="AF4" s="33"/>
      <c r="AG4" s="441"/>
      <c r="AH4" s="441"/>
      <c r="AI4"/>
      <c r="AJ4" s="348"/>
      <c r="AK4" s="349" t="str">
        <f>C4</f>
        <v>MPUMALANGA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MPU_1!D6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224721</v>
      </c>
      <c r="E13" s="198">
        <f t="shared" ref="E13:K13" si="2">SUM(E14+E15+E16)</f>
        <v>-5251</v>
      </c>
      <c r="F13" s="54">
        <f t="shared" si="2"/>
        <v>219470</v>
      </c>
      <c r="G13" s="54">
        <f t="shared" si="2"/>
        <v>7053</v>
      </c>
      <c r="H13" s="95">
        <f t="shared" si="2"/>
        <v>226523</v>
      </c>
      <c r="I13" s="216">
        <f t="shared" si="2"/>
        <v>0</v>
      </c>
      <c r="J13" s="101">
        <f t="shared" si="2"/>
        <v>219470</v>
      </c>
      <c r="K13" s="54">
        <f t="shared" si="2"/>
        <v>219470</v>
      </c>
      <c r="L13" s="54"/>
      <c r="M13" s="54">
        <f>SUM(M14+M15+M16)</f>
        <v>226502</v>
      </c>
      <c r="N13" s="183">
        <f>IFERROR(M13/H13,0)</f>
        <v>0.99990729418204771</v>
      </c>
      <c r="O13" s="55"/>
      <c r="R13"/>
      <c r="S13" s="53"/>
      <c r="T13" s="51" t="str">
        <f>C13</f>
        <v>Agriculture, Forestry and Fisheries (Vote 24)</v>
      </c>
      <c r="U13" s="95">
        <v>224721</v>
      </c>
      <c r="V13" s="198">
        <v>0</v>
      </c>
      <c r="W13" s="54">
        <v>224721</v>
      </c>
      <c r="X13" s="54">
        <v>0</v>
      </c>
      <c r="Y13" s="95">
        <v>224721</v>
      </c>
      <c r="Z13" s="216"/>
      <c r="AA13" s="101">
        <v>85629</v>
      </c>
      <c r="AB13" s="54">
        <v>85629</v>
      </c>
      <c r="AC13" s="54"/>
      <c r="AD13" s="54">
        <v>78203</v>
      </c>
      <c r="AE13" s="183">
        <v>0.34800040939654059</v>
      </c>
      <c r="AF13" s="55"/>
      <c r="AG13" s="442"/>
      <c r="AH13" s="442"/>
      <c r="AI13"/>
      <c r="AJ13" s="387"/>
      <c r="AK13" s="481" t="str">
        <f t="shared" ref="AK13" si="3">C13</f>
        <v>Agriculture, Forestry and Fisheries (Vote 24)</v>
      </c>
      <c r="AL13" s="388">
        <f>SUM(AL14:AL16)</f>
        <v>0</v>
      </c>
      <c r="AM13" s="389">
        <f t="shared" ref="AM13:AP13" si="4">SUM(AM14:AM16)</f>
        <v>5251</v>
      </c>
      <c r="AN13" s="390">
        <f t="shared" si="4"/>
        <v>5251</v>
      </c>
      <c r="AO13" s="390">
        <f t="shared" si="4"/>
        <v>-7053</v>
      </c>
      <c r="AP13" s="388">
        <f t="shared" si="4"/>
        <v>-1802</v>
      </c>
      <c r="AQ13" s="391"/>
      <c r="AR13" s="392">
        <f t="shared" ref="AR13:AS13" si="5">SUM(AR14:AR16)</f>
        <v>-133841</v>
      </c>
      <c r="AS13" s="390">
        <f t="shared" si="5"/>
        <v>-133841</v>
      </c>
      <c r="AT13" s="390"/>
      <c r="AU13" s="390">
        <f>SUM(AU14:AU16)</f>
        <v>-148299</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154076</v>
      </c>
      <c r="E14" s="199">
        <f>SUM(F14-D14)</f>
        <v>0</v>
      </c>
      <c r="F14" s="497">
        <v>154076</v>
      </c>
      <c r="G14" s="497">
        <v>7053</v>
      </c>
      <c r="H14" s="96">
        <f>SUM(F14:G14)</f>
        <v>161129</v>
      </c>
      <c r="I14" s="217"/>
      <c r="J14" s="499">
        <v>154076</v>
      </c>
      <c r="K14" s="497">
        <v>154076</v>
      </c>
      <c r="L14" s="59"/>
      <c r="M14" s="497">
        <v>161127</v>
      </c>
      <c r="N14" s="172">
        <f t="shared" ref="N14:N16" si="6">IFERROR(M14/H14,0)</f>
        <v>0.99998758758510264</v>
      </c>
      <c r="O14" s="60"/>
      <c r="R14"/>
      <c r="S14" s="57"/>
      <c r="T14" s="58" t="str">
        <f t="shared" ref="T14:T18" si="7">C14</f>
        <v>(a) Comprehensive Agricultural Support Programme Grant</v>
      </c>
      <c r="U14" s="96">
        <v>154076</v>
      </c>
      <c r="V14" s="199">
        <v>0</v>
      </c>
      <c r="W14" s="59">
        <v>154076</v>
      </c>
      <c r="X14" s="59">
        <v>0</v>
      </c>
      <c r="Y14" s="96">
        <v>154076</v>
      </c>
      <c r="Z14" s="217"/>
      <c r="AA14" s="102">
        <v>50764</v>
      </c>
      <c r="AB14" s="59">
        <v>50764</v>
      </c>
      <c r="AC14" s="59"/>
      <c r="AD14" s="59">
        <v>28312</v>
      </c>
      <c r="AE14" s="172">
        <v>0.18375347231236533</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-7053</v>
      </c>
      <c r="AP14" s="396">
        <f t="shared" si="8"/>
        <v>-7053</v>
      </c>
      <c r="AQ14" s="399"/>
      <c r="AR14" s="400">
        <f t="shared" ref="AR14:AS15" si="9">IFERROR(AA14-J14,0)</f>
        <v>-103312</v>
      </c>
      <c r="AS14" s="398">
        <f t="shared" si="9"/>
        <v>-103312</v>
      </c>
      <c r="AT14" s="398"/>
      <c r="AU14" s="398">
        <f>IFERROR(AD14-M14,0)</f>
        <v>-132815</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61504</v>
      </c>
      <c r="E15" s="199">
        <f t="shared" ref="E15:E16" si="10">SUM(F15-D15)</f>
        <v>-5251</v>
      </c>
      <c r="F15" s="497">
        <v>56253</v>
      </c>
      <c r="G15" s="497">
        <v>0</v>
      </c>
      <c r="H15" s="96">
        <f t="shared" ref="H15:H16" si="11">SUM(F15:G15)</f>
        <v>56253</v>
      </c>
      <c r="I15" s="217"/>
      <c r="J15" s="499">
        <v>56253</v>
      </c>
      <c r="K15" s="497">
        <v>56253</v>
      </c>
      <c r="L15" s="59"/>
      <c r="M15" s="497">
        <v>56252</v>
      </c>
      <c r="N15" s="172">
        <f t="shared" si="6"/>
        <v>0.99998222317031982</v>
      </c>
      <c r="O15" s="60"/>
      <c r="P15" s="56"/>
      <c r="Q15" s="56"/>
      <c r="R15"/>
      <c r="S15" s="57"/>
      <c r="T15" s="58" t="str">
        <f t="shared" si="7"/>
        <v>(b) Ilima/Letsema Projects Grant</v>
      </c>
      <c r="U15" s="96">
        <v>61504</v>
      </c>
      <c r="V15" s="199">
        <v>0</v>
      </c>
      <c r="W15" s="59">
        <v>61504</v>
      </c>
      <c r="X15" s="59">
        <v>0</v>
      </c>
      <c r="Y15" s="96">
        <v>61504</v>
      </c>
      <c r="Z15" s="217"/>
      <c r="AA15" s="102">
        <v>30752</v>
      </c>
      <c r="AB15" s="59">
        <v>30752</v>
      </c>
      <c r="AC15" s="59"/>
      <c r="AD15" s="59">
        <v>46179</v>
      </c>
      <c r="AE15" s="172">
        <v>0.75082921436004157</v>
      </c>
      <c r="AF15" s="60"/>
      <c r="AG15" s="443"/>
      <c r="AH15" s="443"/>
      <c r="AI15"/>
      <c r="AJ15" s="394"/>
      <c r="AK15" s="479" t="str">
        <f t="shared" ref="AK15" si="12">C15</f>
        <v>(b) Ilima/Letsema Projects Grant</v>
      </c>
      <c r="AL15" s="396">
        <f t="shared" ref="AL15" si="13">IFERROR(U15-D15,0)</f>
        <v>0</v>
      </c>
      <c r="AM15" s="397">
        <f t="shared" si="8"/>
        <v>5251</v>
      </c>
      <c r="AN15" s="398">
        <f t="shared" si="8"/>
        <v>5251</v>
      </c>
      <c r="AO15" s="398">
        <f t="shared" si="8"/>
        <v>0</v>
      </c>
      <c r="AP15" s="396">
        <f t="shared" si="8"/>
        <v>5251</v>
      </c>
      <c r="AQ15" s="399"/>
      <c r="AR15" s="400">
        <f t="shared" si="9"/>
        <v>-25501</v>
      </c>
      <c r="AS15" s="398">
        <f t="shared" si="9"/>
        <v>-25501</v>
      </c>
      <c r="AT15" s="398"/>
      <c r="AU15" s="398">
        <f t="shared" ref="AU15" si="14">IFERROR(AD15-M15,0)</f>
        <v>-10073</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9141</v>
      </c>
      <c r="E16" s="199">
        <f t="shared" si="10"/>
        <v>0</v>
      </c>
      <c r="F16" s="497">
        <v>9141</v>
      </c>
      <c r="G16" s="497">
        <v>0</v>
      </c>
      <c r="H16" s="96">
        <f t="shared" si="11"/>
        <v>9141</v>
      </c>
      <c r="I16" s="217"/>
      <c r="J16" s="499">
        <v>9141</v>
      </c>
      <c r="K16" s="497">
        <v>9141</v>
      </c>
      <c r="L16" s="59"/>
      <c r="M16" s="497">
        <v>9123</v>
      </c>
      <c r="N16" s="172">
        <f t="shared" si="6"/>
        <v>0.99803085001640957</v>
      </c>
      <c r="O16" s="60"/>
      <c r="P16" s="56"/>
      <c r="Q16" s="56"/>
      <c r="R16"/>
      <c r="S16" s="57"/>
      <c r="T16" s="58" t="str">
        <f t="shared" si="7"/>
        <v>(c) Land Care Programme Grant: Poverty Relief and Infrastructure Development</v>
      </c>
      <c r="U16" s="96">
        <v>9141</v>
      </c>
      <c r="V16" s="199">
        <v>0</v>
      </c>
      <c r="W16" s="59">
        <v>9141</v>
      </c>
      <c r="X16" s="59">
        <v>0</v>
      </c>
      <c r="Y16" s="96">
        <v>9141</v>
      </c>
      <c r="Z16" s="217"/>
      <c r="AA16" s="102">
        <v>4113</v>
      </c>
      <c r="AB16" s="59">
        <v>4113</v>
      </c>
      <c r="AC16" s="59"/>
      <c r="AD16" s="59">
        <v>3712</v>
      </c>
      <c r="AE16" s="172">
        <v>0.4060824855048682</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-5028</v>
      </c>
      <c r="AS16" s="398">
        <f t="shared" ref="AS16:AS83" si="22">IFERROR(AB16-K16,0)</f>
        <v>-5028</v>
      </c>
      <c r="AT16" s="398"/>
      <c r="AU16" s="398">
        <f t="shared" ref="AU16:AU83" si="23">IFERROR(AD16-M16,0)</f>
        <v>-5411</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166389</v>
      </c>
      <c r="E20" s="198">
        <f t="shared" ref="E20:K20" si="27">SUM(E21)</f>
        <v>0</v>
      </c>
      <c r="F20" s="54">
        <f t="shared" si="27"/>
        <v>166389</v>
      </c>
      <c r="G20" s="54">
        <f t="shared" si="27"/>
        <v>0</v>
      </c>
      <c r="H20" s="95">
        <f t="shared" si="27"/>
        <v>166389</v>
      </c>
      <c r="I20" s="216">
        <f t="shared" si="27"/>
        <v>0</v>
      </c>
      <c r="J20" s="101">
        <f t="shared" si="27"/>
        <v>166389</v>
      </c>
      <c r="K20" s="54">
        <f t="shared" si="27"/>
        <v>166389</v>
      </c>
      <c r="L20" s="54"/>
      <c r="M20" s="54">
        <f>SUM(M21)</f>
        <v>155543</v>
      </c>
      <c r="N20" s="183">
        <f t="shared" ref="N20:N21" si="28">IFERROR(M20/H20,0)</f>
        <v>0.93481540246049921</v>
      </c>
      <c r="O20" s="63"/>
      <c r="P20" s="64"/>
      <c r="Q20" s="64"/>
      <c r="R20"/>
      <c r="S20" s="62"/>
      <c r="T20" s="51" t="str">
        <f>C20</f>
        <v>Arts and Culture (Vote 37)</v>
      </c>
      <c r="U20" s="95">
        <v>166389</v>
      </c>
      <c r="V20" s="198">
        <v>0</v>
      </c>
      <c r="W20" s="54">
        <v>166389</v>
      </c>
      <c r="X20" s="54">
        <v>0</v>
      </c>
      <c r="Y20" s="95">
        <v>166389</v>
      </c>
      <c r="Z20" s="216"/>
      <c r="AA20" s="101">
        <v>98000</v>
      </c>
      <c r="AB20" s="54">
        <v>98000</v>
      </c>
      <c r="AC20" s="54"/>
      <c r="AD20" s="54">
        <v>103815</v>
      </c>
      <c r="AE20" s="172">
        <v>0.62392946649117431</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-68389</v>
      </c>
      <c r="AS20" s="390">
        <f t="shared" si="22"/>
        <v>-68389</v>
      </c>
      <c r="AT20" s="390"/>
      <c r="AU20" s="390">
        <f t="shared" si="23"/>
        <v>-51728</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166389</v>
      </c>
      <c r="E21" s="199">
        <f>SUM(F21-D21)</f>
        <v>0</v>
      </c>
      <c r="F21" s="497">
        <v>166389</v>
      </c>
      <c r="G21" s="497">
        <v>0</v>
      </c>
      <c r="H21" s="96">
        <f>SUM(F21:G21)</f>
        <v>166389</v>
      </c>
      <c r="I21" s="217"/>
      <c r="J21" s="499">
        <v>166389</v>
      </c>
      <c r="K21" s="497">
        <v>166389</v>
      </c>
      <c r="L21" s="59"/>
      <c r="M21" s="497">
        <v>155543</v>
      </c>
      <c r="N21" s="172">
        <f t="shared" si="28"/>
        <v>0.93481540246049921</v>
      </c>
      <c r="O21" s="60"/>
      <c r="P21" s="56"/>
      <c r="Q21" s="56"/>
      <c r="R21"/>
      <c r="S21" s="57"/>
      <c r="T21" s="58" t="str">
        <f t="shared" ref="T21:T25" si="29">C21</f>
        <v>Community Library Services Grant</v>
      </c>
      <c r="U21" s="96">
        <v>166389</v>
      </c>
      <c r="V21" s="199">
        <v>0</v>
      </c>
      <c r="W21" s="59">
        <v>166389</v>
      </c>
      <c r="X21" s="59">
        <v>0</v>
      </c>
      <c r="Y21" s="96">
        <v>166389</v>
      </c>
      <c r="Z21" s="217"/>
      <c r="AA21" s="102">
        <v>98000</v>
      </c>
      <c r="AB21" s="59">
        <v>98000</v>
      </c>
      <c r="AC21" s="59"/>
      <c r="AD21" s="59">
        <v>103815</v>
      </c>
      <c r="AE21" s="172">
        <v>0.62392946649117431</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-68389</v>
      </c>
      <c r="AS21" s="398">
        <f t="shared" si="22"/>
        <v>-68389</v>
      </c>
      <c r="AT21" s="398"/>
      <c r="AU21" s="398">
        <f t="shared" si="23"/>
        <v>-51728</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776058</v>
      </c>
      <c r="E27" s="198">
        <f t="shared" ref="E27:K27" si="33">SUM(E28+E29+E30+E31)</f>
        <v>0</v>
      </c>
      <c r="F27" s="54">
        <f t="shared" si="33"/>
        <v>776058</v>
      </c>
      <c r="G27" s="54">
        <f t="shared" si="33"/>
        <v>16397</v>
      </c>
      <c r="H27" s="95">
        <f t="shared" si="33"/>
        <v>792455</v>
      </c>
      <c r="I27" s="216">
        <f t="shared" si="33"/>
        <v>0</v>
      </c>
      <c r="J27" s="101">
        <f t="shared" si="33"/>
        <v>776058</v>
      </c>
      <c r="K27" s="54">
        <f t="shared" si="33"/>
        <v>776058</v>
      </c>
      <c r="L27" s="54"/>
      <c r="M27" s="54">
        <f>SUM(M28+M29+M30+M31)</f>
        <v>776444</v>
      </c>
      <c r="N27" s="183">
        <f t="shared" ref="N27:N31" si="34">IFERROR(M27/H27,0)</f>
        <v>0.97979569817844547</v>
      </c>
      <c r="O27" s="63"/>
      <c r="P27" s="65"/>
      <c r="Q27" s="65"/>
      <c r="R27"/>
      <c r="S27" s="62"/>
      <c r="T27" s="51" t="str">
        <f>C27</f>
        <v>Basic Education (Vote 14)</v>
      </c>
      <c r="U27" s="95">
        <v>776058</v>
      </c>
      <c r="V27" s="198">
        <v>0</v>
      </c>
      <c r="W27" s="54">
        <v>776058</v>
      </c>
      <c r="X27" s="54">
        <v>0</v>
      </c>
      <c r="Y27" s="95">
        <v>776058</v>
      </c>
      <c r="Z27" s="216"/>
      <c r="AA27" s="101">
        <v>411240</v>
      </c>
      <c r="AB27" s="54">
        <v>411240</v>
      </c>
      <c r="AC27" s="54"/>
      <c r="AD27" s="54">
        <v>436141</v>
      </c>
      <c r="AE27" s="183">
        <v>0.56199536632571279</v>
      </c>
      <c r="AF27" s="63"/>
      <c r="AG27" s="444"/>
      <c r="AH27" s="444"/>
      <c r="AI27"/>
      <c r="AJ27" s="402"/>
      <c r="AK27" s="481" t="str">
        <f t="shared" si="15"/>
        <v>Basic Education (Vote 14)</v>
      </c>
      <c r="AL27" s="388">
        <f t="shared" si="16"/>
        <v>0</v>
      </c>
      <c r="AM27" s="389">
        <f t="shared" si="17"/>
        <v>0</v>
      </c>
      <c r="AN27" s="390">
        <f t="shared" si="18"/>
        <v>0</v>
      </c>
      <c r="AO27" s="390">
        <f t="shared" si="19"/>
        <v>-16397</v>
      </c>
      <c r="AP27" s="388">
        <f t="shared" si="20"/>
        <v>-16397</v>
      </c>
      <c r="AQ27" s="391"/>
      <c r="AR27" s="392">
        <f t="shared" si="21"/>
        <v>-364818</v>
      </c>
      <c r="AS27" s="390">
        <f t="shared" si="22"/>
        <v>-364818</v>
      </c>
      <c r="AT27" s="390"/>
      <c r="AU27" s="390">
        <f t="shared" si="23"/>
        <v>-340303</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21919</v>
      </c>
      <c r="E28" s="199">
        <f t="shared" ref="E28:E31" si="35">SUM(F28-D28)</f>
        <v>0</v>
      </c>
      <c r="F28" s="497">
        <v>21919</v>
      </c>
      <c r="G28" s="497">
        <v>525</v>
      </c>
      <c r="H28" s="96">
        <f t="shared" ref="H28:H31" si="36">SUM(F28:G28)</f>
        <v>22444</v>
      </c>
      <c r="I28" s="217"/>
      <c r="J28" s="499">
        <v>21919</v>
      </c>
      <c r="K28" s="497">
        <v>21919</v>
      </c>
      <c r="L28" s="59"/>
      <c r="M28" s="497">
        <v>21825</v>
      </c>
      <c r="N28" s="172">
        <f t="shared" si="34"/>
        <v>0.97242024594546428</v>
      </c>
      <c r="O28" s="60"/>
      <c r="P28" s="22"/>
      <c r="Q28" s="22"/>
      <c r="S28" s="57"/>
      <c r="T28" s="58" t="str">
        <f t="shared" ref="T28:T32" si="37">C28</f>
        <v>(a) HIV and AIDS (Life Skills Education) Grant</v>
      </c>
      <c r="U28" s="96">
        <v>21919</v>
      </c>
      <c r="V28" s="199">
        <v>0</v>
      </c>
      <c r="W28" s="59">
        <v>21919</v>
      </c>
      <c r="X28" s="59">
        <v>0</v>
      </c>
      <c r="Y28" s="96">
        <v>21919</v>
      </c>
      <c r="Z28" s="217"/>
      <c r="AA28" s="102">
        <v>8767</v>
      </c>
      <c r="AB28" s="59">
        <v>8767</v>
      </c>
      <c r="AC28" s="59"/>
      <c r="AD28" s="59">
        <v>17827</v>
      </c>
      <c r="AE28" s="172">
        <v>0.81331265112459505</v>
      </c>
      <c r="AF28" s="60"/>
      <c r="AG28" s="443"/>
      <c r="AH28" s="443"/>
      <c r="AJ28" s="394"/>
      <c r="AK28" s="479" t="str">
        <f t="shared" si="15"/>
        <v>(a) HIV and AIDS (Life Skills Education) Grant</v>
      </c>
      <c r="AL28" s="396">
        <f t="shared" si="16"/>
        <v>0</v>
      </c>
      <c r="AM28" s="397">
        <f t="shared" si="17"/>
        <v>0</v>
      </c>
      <c r="AN28" s="398">
        <f t="shared" si="18"/>
        <v>0</v>
      </c>
      <c r="AO28" s="398">
        <f t="shared" si="19"/>
        <v>-525</v>
      </c>
      <c r="AP28" s="396">
        <f t="shared" si="20"/>
        <v>-525</v>
      </c>
      <c r="AQ28" s="399"/>
      <c r="AR28" s="400">
        <f t="shared" si="21"/>
        <v>-13152</v>
      </c>
      <c r="AS28" s="398">
        <f t="shared" si="22"/>
        <v>-13152</v>
      </c>
      <c r="AT28" s="398"/>
      <c r="AU28" s="398">
        <f t="shared" si="23"/>
        <v>-3998</v>
      </c>
      <c r="AV28" s="290"/>
      <c r="AW28" s="401"/>
    </row>
    <row r="29" spans="1:82" ht="15.75" customHeight="1" x14ac:dyDescent="0.3">
      <c r="B29" s="57"/>
      <c r="C29" s="58" t="s">
        <v>24</v>
      </c>
      <c r="D29" s="496">
        <v>26094</v>
      </c>
      <c r="E29" s="199">
        <f t="shared" si="35"/>
        <v>0</v>
      </c>
      <c r="F29" s="497">
        <v>26094</v>
      </c>
      <c r="G29" s="497">
        <v>0</v>
      </c>
      <c r="H29" s="96">
        <f t="shared" si="36"/>
        <v>26094</v>
      </c>
      <c r="I29" s="217"/>
      <c r="J29" s="499">
        <v>26094</v>
      </c>
      <c r="K29" s="497">
        <v>26094</v>
      </c>
      <c r="L29" s="59"/>
      <c r="M29" s="497">
        <v>25529</v>
      </c>
      <c r="N29" s="172">
        <f t="shared" si="34"/>
        <v>0.97834751283820032</v>
      </c>
      <c r="O29" s="60"/>
      <c r="P29" s="22"/>
      <c r="Q29" s="22"/>
      <c r="S29" s="57"/>
      <c r="T29" s="58" t="str">
        <f t="shared" si="37"/>
        <v>(b) Learners with Profound Intellectual Disabilities Grant</v>
      </c>
      <c r="U29" s="96">
        <v>26094</v>
      </c>
      <c r="V29" s="199">
        <v>0</v>
      </c>
      <c r="W29" s="59">
        <v>26094</v>
      </c>
      <c r="X29" s="59">
        <v>0</v>
      </c>
      <c r="Y29" s="96">
        <v>26094</v>
      </c>
      <c r="Z29" s="217"/>
      <c r="AA29" s="102">
        <v>17314</v>
      </c>
      <c r="AB29" s="59">
        <v>17314</v>
      </c>
      <c r="AC29" s="59"/>
      <c r="AD29" s="59">
        <v>9718</v>
      </c>
      <c r="AE29" s="172">
        <v>0.37242277918295391</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0</v>
      </c>
      <c r="AP29" s="396">
        <f t="shared" si="20"/>
        <v>0</v>
      </c>
      <c r="AQ29" s="399"/>
      <c r="AR29" s="400">
        <f t="shared" si="21"/>
        <v>-8780</v>
      </c>
      <c r="AS29" s="398">
        <f t="shared" si="22"/>
        <v>-8780</v>
      </c>
      <c r="AT29" s="398"/>
      <c r="AU29" s="398">
        <f t="shared" si="23"/>
        <v>-15811</v>
      </c>
      <c r="AV29" s="290"/>
      <c r="AW29" s="401"/>
    </row>
    <row r="30" spans="1:82" ht="15.75" customHeight="1" x14ac:dyDescent="0.3">
      <c r="B30" s="57"/>
      <c r="C30" s="58" t="s">
        <v>25</v>
      </c>
      <c r="D30" s="496">
        <v>40354</v>
      </c>
      <c r="E30" s="199">
        <f t="shared" si="35"/>
        <v>0</v>
      </c>
      <c r="F30" s="497">
        <v>40354</v>
      </c>
      <c r="G30" s="497">
        <v>0</v>
      </c>
      <c r="H30" s="96">
        <f t="shared" si="36"/>
        <v>40354</v>
      </c>
      <c r="I30" s="217"/>
      <c r="J30" s="499">
        <v>40354</v>
      </c>
      <c r="K30" s="497">
        <v>40354</v>
      </c>
      <c r="L30" s="59"/>
      <c r="M30" s="497">
        <v>39547</v>
      </c>
      <c r="N30" s="172">
        <f t="shared" si="34"/>
        <v>0.98000198245527081</v>
      </c>
      <c r="O30" s="60"/>
      <c r="P30" s="22"/>
      <c r="Q30" s="22"/>
      <c r="S30" s="57"/>
      <c r="T30" s="58" t="str">
        <f t="shared" si="37"/>
        <v>(c) Maths, Science and Technology Grant</v>
      </c>
      <c r="U30" s="96">
        <v>40354</v>
      </c>
      <c r="V30" s="199">
        <v>0</v>
      </c>
      <c r="W30" s="59">
        <v>40354</v>
      </c>
      <c r="X30" s="59">
        <v>0</v>
      </c>
      <c r="Y30" s="96">
        <v>40354</v>
      </c>
      <c r="Z30" s="217"/>
      <c r="AA30" s="102">
        <v>20178</v>
      </c>
      <c r="AB30" s="59">
        <v>20178</v>
      </c>
      <c r="AC30" s="59"/>
      <c r="AD30" s="59">
        <v>13158</v>
      </c>
      <c r="AE30" s="172">
        <v>0.32606433067353918</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-20176</v>
      </c>
      <c r="AS30" s="398">
        <f t="shared" si="22"/>
        <v>-20176</v>
      </c>
      <c r="AT30" s="398"/>
      <c r="AU30" s="398">
        <f t="shared" si="23"/>
        <v>-26389</v>
      </c>
      <c r="AV30" s="290"/>
      <c r="AW30" s="401"/>
    </row>
    <row r="31" spans="1:82" ht="15.75" customHeight="1" x14ac:dyDescent="0.3">
      <c r="B31" s="57"/>
      <c r="C31" s="58" t="s">
        <v>26</v>
      </c>
      <c r="D31" s="496">
        <v>687691</v>
      </c>
      <c r="E31" s="199">
        <f t="shared" si="35"/>
        <v>0</v>
      </c>
      <c r="F31" s="497">
        <v>687691</v>
      </c>
      <c r="G31" s="497">
        <v>15872</v>
      </c>
      <c r="H31" s="96">
        <f t="shared" si="36"/>
        <v>703563</v>
      </c>
      <c r="I31" s="217"/>
      <c r="J31" s="499">
        <v>687691</v>
      </c>
      <c r="K31" s="497">
        <v>687691</v>
      </c>
      <c r="L31" s="59"/>
      <c r="M31" s="497">
        <v>689543</v>
      </c>
      <c r="N31" s="172">
        <f t="shared" si="34"/>
        <v>0.98007285772560526</v>
      </c>
      <c r="O31" s="60"/>
      <c r="P31" s="22"/>
      <c r="Q31" s="22"/>
      <c r="S31" s="57"/>
      <c r="T31" s="58" t="str">
        <f t="shared" si="37"/>
        <v>(d) National School Nutrition Programme Grant</v>
      </c>
      <c r="U31" s="96">
        <v>687691</v>
      </c>
      <c r="V31" s="199">
        <v>0</v>
      </c>
      <c r="W31" s="59">
        <v>687691</v>
      </c>
      <c r="X31" s="59">
        <v>0</v>
      </c>
      <c r="Y31" s="96">
        <v>687691</v>
      </c>
      <c r="Z31" s="217"/>
      <c r="AA31" s="102">
        <v>364981</v>
      </c>
      <c r="AB31" s="59">
        <v>364981</v>
      </c>
      <c r="AC31" s="59"/>
      <c r="AD31" s="59">
        <v>395438</v>
      </c>
      <c r="AE31" s="172">
        <v>0.57502279366750475</v>
      </c>
      <c r="AF31" s="60"/>
      <c r="AG31" s="443"/>
      <c r="AH31" s="443"/>
      <c r="AJ31" s="394"/>
      <c r="AK31" s="479" t="str">
        <f t="shared" si="15"/>
        <v>(d) National School Nutrition Programme Grant</v>
      </c>
      <c r="AL31" s="396">
        <f t="shared" si="16"/>
        <v>0</v>
      </c>
      <c r="AM31" s="397">
        <f t="shared" si="17"/>
        <v>0</v>
      </c>
      <c r="AN31" s="398">
        <f t="shared" si="18"/>
        <v>0</v>
      </c>
      <c r="AO31" s="398">
        <f t="shared" si="19"/>
        <v>-15872</v>
      </c>
      <c r="AP31" s="396">
        <f t="shared" si="20"/>
        <v>-15872</v>
      </c>
      <c r="AQ31" s="399"/>
      <c r="AR31" s="400">
        <f t="shared" si="21"/>
        <v>-322710</v>
      </c>
      <c r="AS31" s="398">
        <f t="shared" si="22"/>
        <v>-322710</v>
      </c>
      <c r="AT31" s="398"/>
      <c r="AU31" s="398">
        <f t="shared" si="23"/>
        <v>-294105</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2403328</v>
      </c>
      <c r="E41" s="198">
        <f t="shared" ref="E41:K41" si="58">SUM(E42+E43+E44+E45+E46)</f>
        <v>33741</v>
      </c>
      <c r="F41" s="54">
        <f t="shared" si="58"/>
        <v>2437069</v>
      </c>
      <c r="G41" s="54">
        <f t="shared" si="58"/>
        <v>2775</v>
      </c>
      <c r="H41" s="95">
        <f t="shared" si="58"/>
        <v>2439844</v>
      </c>
      <c r="I41" s="216">
        <f t="shared" si="58"/>
        <v>0</v>
      </c>
      <c r="J41" s="101">
        <f t="shared" si="58"/>
        <v>2437069</v>
      </c>
      <c r="K41" s="54">
        <f t="shared" si="58"/>
        <v>2437069</v>
      </c>
      <c r="L41" s="54"/>
      <c r="M41" s="54">
        <f>SUM(M42+M43+M44+M45+M46)</f>
        <v>2505394</v>
      </c>
      <c r="N41" s="183">
        <f t="shared" ref="N41:N45" si="59">IFERROR(M41/H41,0)</f>
        <v>1.0268664717908194</v>
      </c>
      <c r="O41" s="63"/>
      <c r="P41" s="65"/>
      <c r="Q41" s="65"/>
      <c r="R41"/>
      <c r="S41" s="62"/>
      <c r="T41" s="51" t="str">
        <f>C41</f>
        <v>Health (Vote 16)</v>
      </c>
      <c r="U41" s="95">
        <v>2403328</v>
      </c>
      <c r="V41" s="198">
        <v>0</v>
      </c>
      <c r="W41" s="54">
        <v>2403328</v>
      </c>
      <c r="X41" s="54">
        <v>0</v>
      </c>
      <c r="Y41" s="95">
        <v>2403328</v>
      </c>
      <c r="Z41" s="216"/>
      <c r="AA41" s="101">
        <v>1205105</v>
      </c>
      <c r="AB41" s="54">
        <v>1205099</v>
      </c>
      <c r="AC41" s="54"/>
      <c r="AD41" s="54">
        <v>1008804</v>
      </c>
      <c r="AE41" s="183">
        <v>0.41975294258628038</v>
      </c>
      <c r="AF41" s="63"/>
      <c r="AG41" s="444"/>
      <c r="AH41" s="444"/>
      <c r="AI41"/>
      <c r="AJ41" s="402"/>
      <c r="AK41" s="481" t="str">
        <f t="shared" si="15"/>
        <v>Health (Vote 16)</v>
      </c>
      <c r="AL41" s="388">
        <f t="shared" si="16"/>
        <v>0</v>
      </c>
      <c r="AM41" s="389">
        <f t="shared" si="17"/>
        <v>-33741</v>
      </c>
      <c r="AN41" s="390">
        <f t="shared" si="18"/>
        <v>-33741</v>
      </c>
      <c r="AO41" s="390">
        <f t="shared" si="19"/>
        <v>-2775</v>
      </c>
      <c r="AP41" s="388">
        <f t="shared" si="20"/>
        <v>-36516</v>
      </c>
      <c r="AQ41" s="391"/>
      <c r="AR41" s="392">
        <f t="shared" si="21"/>
        <v>-1231964</v>
      </c>
      <c r="AS41" s="390">
        <f t="shared" si="22"/>
        <v>-1231970</v>
      </c>
      <c r="AT41" s="390"/>
      <c r="AU41" s="390">
        <f t="shared" si="23"/>
        <v>-1496590</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1998197</v>
      </c>
      <c r="E42" s="199">
        <f t="shared" ref="E42:E46" si="60">SUM(F42-D42)</f>
        <v>0</v>
      </c>
      <c r="F42" s="497">
        <v>1998197</v>
      </c>
      <c r="G42" s="497">
        <v>0</v>
      </c>
      <c r="H42" s="96">
        <f t="shared" ref="H42:H45" si="61">SUM(F42:G42)</f>
        <v>1998197</v>
      </c>
      <c r="I42" s="217"/>
      <c r="J42" s="499">
        <v>1998197</v>
      </c>
      <c r="K42" s="497">
        <v>1998197</v>
      </c>
      <c r="L42" s="59"/>
      <c r="M42" s="497">
        <v>2007804</v>
      </c>
      <c r="N42" s="172">
        <f t="shared" si="59"/>
        <v>1.0048078342625877</v>
      </c>
      <c r="O42" s="60"/>
      <c r="P42" s="56"/>
      <c r="Q42" s="56"/>
      <c r="S42" s="57"/>
      <c r="T42" s="58" t="str">
        <f t="shared" ref="T42:T46" si="62">C42</f>
        <v>(a) HIV, TB, Malaria and Community Outreach Grant</v>
      </c>
      <c r="U42" s="96">
        <v>1998197</v>
      </c>
      <c r="V42" s="199">
        <v>0</v>
      </c>
      <c r="W42" s="59">
        <v>1998197</v>
      </c>
      <c r="X42" s="59">
        <v>0</v>
      </c>
      <c r="Y42" s="96">
        <v>1998197</v>
      </c>
      <c r="Z42" s="217"/>
      <c r="AA42" s="102">
        <v>999096</v>
      </c>
      <c r="AB42" s="59">
        <v>999090</v>
      </c>
      <c r="AC42" s="59"/>
      <c r="AD42" s="59">
        <v>818940</v>
      </c>
      <c r="AE42" s="172">
        <v>0.40983947028245965</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-999101</v>
      </c>
      <c r="AS42" s="398">
        <f t="shared" si="22"/>
        <v>-999107</v>
      </c>
      <c r="AT42" s="398"/>
      <c r="AU42" s="398">
        <f t="shared" si="23"/>
        <v>-1188864</v>
      </c>
      <c r="AV42" s="290"/>
      <c r="AW42" s="401"/>
    </row>
    <row r="43" spans="1:82" s="35" customFormat="1" ht="15.75" customHeight="1" x14ac:dyDescent="0.3">
      <c r="A43"/>
      <c r="B43" s="57"/>
      <c r="C43" s="58" t="s">
        <v>28</v>
      </c>
      <c r="D43" s="496">
        <v>344915</v>
      </c>
      <c r="E43" s="199">
        <f t="shared" si="60"/>
        <v>0</v>
      </c>
      <c r="F43" s="497">
        <v>344915</v>
      </c>
      <c r="G43" s="497">
        <v>0</v>
      </c>
      <c r="H43" s="96">
        <f t="shared" si="61"/>
        <v>344915</v>
      </c>
      <c r="I43" s="217"/>
      <c r="J43" s="499">
        <v>344915</v>
      </c>
      <c r="K43" s="497">
        <v>344915</v>
      </c>
      <c r="L43" s="59"/>
      <c r="M43" s="497">
        <v>346975</v>
      </c>
      <c r="N43" s="172">
        <f t="shared" si="59"/>
        <v>1.0059724859748054</v>
      </c>
      <c r="O43" s="60"/>
      <c r="P43" s="56"/>
      <c r="Q43" s="56"/>
      <c r="R43"/>
      <c r="S43" s="57"/>
      <c r="T43" s="58" t="str">
        <f t="shared" si="62"/>
        <v>(b) Health Facility Revitalisation Grant</v>
      </c>
      <c r="U43" s="96">
        <v>344915</v>
      </c>
      <c r="V43" s="199">
        <v>0</v>
      </c>
      <c r="W43" s="59">
        <v>344915</v>
      </c>
      <c r="X43" s="59">
        <v>0</v>
      </c>
      <c r="Y43" s="96">
        <v>344915</v>
      </c>
      <c r="Z43" s="217"/>
      <c r="AA43" s="102">
        <v>175907</v>
      </c>
      <c r="AB43" s="59">
        <v>175907</v>
      </c>
      <c r="AC43" s="59"/>
      <c r="AD43" s="59">
        <v>128968</v>
      </c>
      <c r="AE43" s="172">
        <v>0.37391241320325297</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-169008</v>
      </c>
      <c r="AS43" s="398">
        <f t="shared" si="22"/>
        <v>-169008</v>
      </c>
      <c r="AT43" s="398"/>
      <c r="AU43" s="398">
        <f t="shared" si="23"/>
        <v>-218007</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18654</v>
      </c>
      <c r="E44" s="199">
        <f t="shared" si="60"/>
        <v>-6076</v>
      </c>
      <c r="F44" s="497">
        <v>12578</v>
      </c>
      <c r="G44" s="497">
        <v>2775</v>
      </c>
      <c r="H44" s="96">
        <f t="shared" si="61"/>
        <v>15353</v>
      </c>
      <c r="I44" s="217"/>
      <c r="J44" s="499">
        <v>12578</v>
      </c>
      <c r="K44" s="497">
        <v>12578</v>
      </c>
      <c r="L44" s="59"/>
      <c r="M44" s="497">
        <v>15163</v>
      </c>
      <c r="N44" s="172">
        <f t="shared" si="59"/>
        <v>0.98762456848824332</v>
      </c>
      <c r="O44" s="69"/>
      <c r="P44" s="70"/>
      <c r="Q44" s="70"/>
      <c r="R44"/>
      <c r="S44" s="67"/>
      <c r="T44" s="58" t="str">
        <f t="shared" si="62"/>
        <v>(c) Human Papillomavirus Vaccine Grant</v>
      </c>
      <c r="U44" s="97">
        <v>18654</v>
      </c>
      <c r="V44" s="200">
        <v>0</v>
      </c>
      <c r="W44" s="68">
        <v>18654</v>
      </c>
      <c r="X44" s="68">
        <v>0</v>
      </c>
      <c r="Y44" s="97">
        <v>18654</v>
      </c>
      <c r="Z44" s="218"/>
      <c r="AA44" s="103">
        <v>9324</v>
      </c>
      <c r="AB44" s="68">
        <v>9324</v>
      </c>
      <c r="AC44" s="68"/>
      <c r="AD44" s="68">
        <v>4212</v>
      </c>
      <c r="AE44" s="172">
        <v>0.22579607590865231</v>
      </c>
      <c r="AF44" s="69"/>
      <c r="AG44" s="445"/>
      <c r="AH44" s="445"/>
      <c r="AI44" s="71"/>
      <c r="AJ44" s="404"/>
      <c r="AK44" s="479" t="str">
        <f t="shared" si="15"/>
        <v>(c) Human Papillomavirus Vaccine Grant</v>
      </c>
      <c r="AL44" s="405">
        <f t="shared" si="16"/>
        <v>0</v>
      </c>
      <c r="AM44" s="406">
        <f t="shared" si="17"/>
        <v>6076</v>
      </c>
      <c r="AN44" s="407">
        <f t="shared" si="18"/>
        <v>6076</v>
      </c>
      <c r="AO44" s="407">
        <f t="shared" si="19"/>
        <v>-2775</v>
      </c>
      <c r="AP44" s="405">
        <f t="shared" si="20"/>
        <v>3301</v>
      </c>
      <c r="AQ44" s="408"/>
      <c r="AR44" s="409">
        <f t="shared" si="21"/>
        <v>-3254</v>
      </c>
      <c r="AS44" s="407">
        <f t="shared" si="22"/>
        <v>-3254</v>
      </c>
      <c r="AT44" s="407"/>
      <c r="AU44" s="407">
        <f t="shared" si="23"/>
        <v>-10951</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41562</v>
      </c>
      <c r="E45" s="199">
        <f t="shared" si="60"/>
        <v>18681</v>
      </c>
      <c r="F45" s="497">
        <v>60243</v>
      </c>
      <c r="G45" s="497">
        <v>0</v>
      </c>
      <c r="H45" s="96">
        <f t="shared" si="61"/>
        <v>60243</v>
      </c>
      <c r="I45" s="217"/>
      <c r="J45" s="499">
        <v>60243</v>
      </c>
      <c r="K45" s="497">
        <v>60243</v>
      </c>
      <c r="L45" s="59"/>
      <c r="M45" s="497">
        <v>113084</v>
      </c>
      <c r="N45" s="172">
        <f t="shared" si="59"/>
        <v>1.8771309529737894</v>
      </c>
      <c r="O45" s="60"/>
      <c r="P45" s="56"/>
      <c r="Q45" s="56"/>
      <c r="R45"/>
      <c r="S45" s="57"/>
      <c r="T45" s="58" t="str">
        <f t="shared" si="62"/>
        <v>(d) Human Resources Capacitation Grant</v>
      </c>
      <c r="U45" s="96">
        <v>41562</v>
      </c>
      <c r="V45" s="199">
        <v>0</v>
      </c>
      <c r="W45" s="59">
        <v>41562</v>
      </c>
      <c r="X45" s="59">
        <v>0</v>
      </c>
      <c r="Y45" s="96">
        <v>41562</v>
      </c>
      <c r="Z45" s="217"/>
      <c r="AA45" s="102">
        <v>20778</v>
      </c>
      <c r="AB45" s="59">
        <v>20778</v>
      </c>
      <c r="AC45" s="59"/>
      <c r="AD45" s="59">
        <v>56684</v>
      </c>
      <c r="AE45" s="172">
        <v>1.3638419710312304</v>
      </c>
      <c r="AF45" s="60"/>
      <c r="AG45" s="443"/>
      <c r="AH45" s="443"/>
      <c r="AI45"/>
      <c r="AJ45" s="394"/>
      <c r="AK45" s="479" t="str">
        <f t="shared" si="15"/>
        <v>(d) Human Resources Capacitation Grant</v>
      </c>
      <c r="AL45" s="396">
        <f t="shared" si="16"/>
        <v>0</v>
      </c>
      <c r="AM45" s="397">
        <f t="shared" si="17"/>
        <v>-18681</v>
      </c>
      <c r="AN45" s="398">
        <f t="shared" si="18"/>
        <v>-18681</v>
      </c>
      <c r="AO45" s="398">
        <f t="shared" si="19"/>
        <v>0</v>
      </c>
      <c r="AP45" s="396">
        <f t="shared" si="20"/>
        <v>-18681</v>
      </c>
      <c r="AQ45" s="399"/>
      <c r="AR45" s="400">
        <f t="shared" si="21"/>
        <v>-39465</v>
      </c>
      <c r="AS45" s="398">
        <f t="shared" si="22"/>
        <v>-39465</v>
      </c>
      <c r="AT45" s="398"/>
      <c r="AU45" s="398">
        <f t="shared" si="23"/>
        <v>-56400</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21136</v>
      </c>
      <c r="F46" s="497">
        <v>21136</v>
      </c>
      <c r="G46" s="497">
        <v>0</v>
      </c>
      <c r="H46" s="96">
        <f t="shared" ref="H46" si="63">SUM(F46:G46)</f>
        <v>21136</v>
      </c>
      <c r="I46" s="217"/>
      <c r="J46" s="499">
        <v>21136</v>
      </c>
      <c r="K46" s="497">
        <v>21136</v>
      </c>
      <c r="L46" s="59"/>
      <c r="M46" s="497">
        <v>22368</v>
      </c>
      <c r="N46" s="172">
        <f>IFERROR(M46/H46,0)</f>
        <v>1.0582891748675245</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-21136</v>
      </c>
      <c r="AN46" s="398">
        <f t="shared" si="18"/>
        <v>-21136</v>
      </c>
      <c r="AO46" s="398">
        <f t="shared" si="19"/>
        <v>0</v>
      </c>
      <c r="AP46" s="396">
        <f t="shared" si="20"/>
        <v>-21136</v>
      </c>
      <c r="AQ46" s="399"/>
      <c r="AR46" s="400">
        <f t="shared" si="21"/>
        <v>-21136</v>
      </c>
      <c r="AS46" s="398">
        <f t="shared" si="22"/>
        <v>-21136</v>
      </c>
      <c r="AT46" s="398"/>
      <c r="AU46" s="398">
        <f t="shared" si="23"/>
        <v>-22368</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1332536</v>
      </c>
      <c r="E48" s="198">
        <f t="shared" ref="E48:K48" si="64">SUM(E49+E50)</f>
        <v>98500</v>
      </c>
      <c r="F48" s="54">
        <f t="shared" si="64"/>
        <v>1431036</v>
      </c>
      <c r="G48" s="54">
        <f t="shared" si="64"/>
        <v>0</v>
      </c>
      <c r="H48" s="95">
        <f t="shared" si="64"/>
        <v>1431036</v>
      </c>
      <c r="I48" s="216">
        <f t="shared" si="64"/>
        <v>0</v>
      </c>
      <c r="J48" s="101">
        <f t="shared" si="64"/>
        <v>1431036</v>
      </c>
      <c r="K48" s="54">
        <f t="shared" si="64"/>
        <v>1431036</v>
      </c>
      <c r="L48" s="54"/>
      <c r="M48" s="54">
        <f>SUM(M49+M50)</f>
        <v>1430527</v>
      </c>
      <c r="N48" s="183">
        <f t="shared" ref="N48:N50" si="65">IFERROR(M48/H48,0)</f>
        <v>0.99964431363012529</v>
      </c>
      <c r="O48" s="63"/>
      <c r="P48" s="64"/>
      <c r="Q48" s="64"/>
      <c r="R48"/>
      <c r="S48" s="62"/>
      <c r="T48" s="51" t="str">
        <f>C48</f>
        <v>Human Settlements (Vote 38)</v>
      </c>
      <c r="U48" s="95">
        <v>1332536</v>
      </c>
      <c r="V48" s="198">
        <v>0</v>
      </c>
      <c r="W48" s="54">
        <v>1332536</v>
      </c>
      <c r="X48" s="54">
        <v>0</v>
      </c>
      <c r="Y48" s="95">
        <v>1332536</v>
      </c>
      <c r="Z48" s="216"/>
      <c r="AA48" s="101">
        <v>699146</v>
      </c>
      <c r="AB48" s="54">
        <v>699146</v>
      </c>
      <c r="AC48" s="54"/>
      <c r="AD48" s="54">
        <v>638547</v>
      </c>
      <c r="AE48" s="183">
        <v>0.47919680969219591</v>
      </c>
      <c r="AF48" s="63"/>
      <c r="AG48" s="444"/>
      <c r="AH48" s="444"/>
      <c r="AI48" s="73"/>
      <c r="AJ48" s="402"/>
      <c r="AK48" s="481" t="str">
        <f t="shared" si="15"/>
        <v>Human Settlements (Vote 38)</v>
      </c>
      <c r="AL48" s="388">
        <f t="shared" si="16"/>
        <v>0</v>
      </c>
      <c r="AM48" s="389">
        <f t="shared" si="17"/>
        <v>-98500</v>
      </c>
      <c r="AN48" s="390">
        <f t="shared" si="18"/>
        <v>-98500</v>
      </c>
      <c r="AO48" s="390">
        <f t="shared" si="19"/>
        <v>0</v>
      </c>
      <c r="AP48" s="388">
        <f t="shared" si="20"/>
        <v>-98500</v>
      </c>
      <c r="AQ48" s="391"/>
      <c r="AR48" s="392">
        <f t="shared" si="21"/>
        <v>-731890</v>
      </c>
      <c r="AS48" s="390">
        <f t="shared" si="22"/>
        <v>-731890</v>
      </c>
      <c r="AT48" s="390"/>
      <c r="AU48" s="390">
        <f t="shared" si="23"/>
        <v>-791980</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1296059</v>
      </c>
      <c r="E49" s="199">
        <f t="shared" ref="E49:E50" si="66">SUM(F49-D49)</f>
        <v>98500</v>
      </c>
      <c r="F49" s="497">
        <v>1394559</v>
      </c>
      <c r="G49" s="497">
        <v>0</v>
      </c>
      <c r="H49" s="96">
        <f t="shared" ref="H49:H50" si="67">SUM(F49:G49)</f>
        <v>1394559</v>
      </c>
      <c r="I49" s="217"/>
      <c r="J49" s="499">
        <v>1394559</v>
      </c>
      <c r="K49" s="497">
        <v>1394559</v>
      </c>
      <c r="L49" s="59"/>
      <c r="M49" s="497">
        <v>1394556</v>
      </c>
      <c r="N49" s="172">
        <f t="shared" si="65"/>
        <v>0.99999784878230324</v>
      </c>
      <c r="O49" s="60"/>
      <c r="R49"/>
      <c r="S49" s="57"/>
      <c r="T49" s="58" t="str">
        <f t="shared" ref="T49:T53" si="68">C49</f>
        <v>(a) Human Settlements Development Grant</v>
      </c>
      <c r="U49" s="96">
        <v>1296059</v>
      </c>
      <c r="V49" s="199">
        <v>0</v>
      </c>
      <c r="W49" s="59">
        <v>1296059</v>
      </c>
      <c r="X49" s="59">
        <v>0</v>
      </c>
      <c r="Y49" s="96">
        <v>1296059</v>
      </c>
      <c r="Z49" s="217"/>
      <c r="AA49" s="102">
        <v>680909</v>
      </c>
      <c r="AB49" s="59">
        <v>680909</v>
      </c>
      <c r="AC49" s="59"/>
      <c r="AD49" s="59">
        <v>625486</v>
      </c>
      <c r="AE49" s="172">
        <v>0.48260611592527808</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0</v>
      </c>
      <c r="AP49" s="396">
        <f t="shared" si="20"/>
        <v>-98500</v>
      </c>
      <c r="AQ49" s="399"/>
      <c r="AR49" s="400">
        <f t="shared" si="21"/>
        <v>-713650</v>
      </c>
      <c r="AS49" s="398">
        <f t="shared" si="22"/>
        <v>-713650</v>
      </c>
      <c r="AT49" s="398"/>
      <c r="AU49" s="398">
        <f t="shared" si="23"/>
        <v>-769070</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36477</v>
      </c>
      <c r="E50" s="199">
        <f t="shared" si="66"/>
        <v>0</v>
      </c>
      <c r="F50" s="497">
        <v>36477</v>
      </c>
      <c r="G50" s="497">
        <v>0</v>
      </c>
      <c r="H50" s="96">
        <f t="shared" si="67"/>
        <v>36477</v>
      </c>
      <c r="I50" s="217"/>
      <c r="J50" s="499">
        <v>36477</v>
      </c>
      <c r="K50" s="497">
        <v>36477</v>
      </c>
      <c r="L50" s="59"/>
      <c r="M50" s="497">
        <v>35971</v>
      </c>
      <c r="N50" s="172">
        <f t="shared" si="65"/>
        <v>0.98612824519560272</v>
      </c>
      <c r="O50" s="60"/>
      <c r="P50" s="56"/>
      <c r="Q50" s="56"/>
      <c r="R50"/>
      <c r="S50" s="57"/>
      <c r="T50" s="58" t="str">
        <f t="shared" si="68"/>
        <v>(b) Title Deeds Restoriation Grant</v>
      </c>
      <c r="U50" s="96">
        <v>36477</v>
      </c>
      <c r="V50" s="199">
        <v>0</v>
      </c>
      <c r="W50" s="59">
        <v>36477</v>
      </c>
      <c r="X50" s="59">
        <v>0</v>
      </c>
      <c r="Y50" s="96">
        <v>36477</v>
      </c>
      <c r="Z50" s="217"/>
      <c r="AA50" s="102">
        <v>18237</v>
      </c>
      <c r="AB50" s="59">
        <v>18237</v>
      </c>
      <c r="AC50" s="59"/>
      <c r="AD50" s="59">
        <v>13061</v>
      </c>
      <c r="AE50" s="172">
        <v>0.35806124407160678</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-18240</v>
      </c>
      <c r="AS50" s="398">
        <f t="shared" si="22"/>
        <v>-18240</v>
      </c>
      <c r="AT50" s="398"/>
      <c r="AU50" s="398">
        <f t="shared" si="23"/>
        <v>-22910</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66557</v>
      </c>
      <c r="E55" s="198">
        <f t="shared" ref="E55:K55" si="72">SUM(E56+E57)</f>
        <v>0</v>
      </c>
      <c r="F55" s="54">
        <f t="shared" si="72"/>
        <v>66557</v>
      </c>
      <c r="G55" s="54">
        <f t="shared" si="72"/>
        <v>420</v>
      </c>
      <c r="H55" s="95">
        <f t="shared" si="72"/>
        <v>66977</v>
      </c>
      <c r="I55" s="216">
        <f t="shared" si="72"/>
        <v>0</v>
      </c>
      <c r="J55" s="101">
        <f t="shared" si="72"/>
        <v>66557</v>
      </c>
      <c r="K55" s="54">
        <f t="shared" si="72"/>
        <v>66557</v>
      </c>
      <c r="L55" s="54"/>
      <c r="M55" s="54">
        <f>SUM(M56+M57)</f>
        <v>60457</v>
      </c>
      <c r="N55" s="183">
        <f t="shared" ref="N55:N57" si="73">IFERROR(M55/H55,0)</f>
        <v>0.90265314958866472</v>
      </c>
      <c r="O55" s="63"/>
      <c r="P55" s="64"/>
      <c r="Q55" s="64"/>
      <c r="R55"/>
      <c r="S55" s="62"/>
      <c r="T55" s="51" t="str">
        <f>C55</f>
        <v>Public Works (Vote 11)</v>
      </c>
      <c r="U55" s="95">
        <v>66557</v>
      </c>
      <c r="V55" s="198">
        <v>0</v>
      </c>
      <c r="W55" s="54">
        <v>66557</v>
      </c>
      <c r="X55" s="54">
        <v>0</v>
      </c>
      <c r="Y55" s="95">
        <v>66557</v>
      </c>
      <c r="Z55" s="216"/>
      <c r="AA55" s="101">
        <v>46592</v>
      </c>
      <c r="AB55" s="54">
        <v>39785</v>
      </c>
      <c r="AC55" s="54"/>
      <c r="AD55" s="54">
        <v>40138</v>
      </c>
      <c r="AE55" s="183">
        <v>0.60306203705094885</v>
      </c>
      <c r="AF55" s="63"/>
      <c r="AG55" s="444"/>
      <c r="AH55" s="444"/>
      <c r="AI55"/>
      <c r="AJ55" s="402"/>
      <c r="AK55" s="481" t="str">
        <f t="shared" si="15"/>
        <v>Public Works (Vote 11)</v>
      </c>
      <c r="AL55" s="388">
        <f t="shared" si="16"/>
        <v>0</v>
      </c>
      <c r="AM55" s="389">
        <f t="shared" si="17"/>
        <v>0</v>
      </c>
      <c r="AN55" s="390">
        <f t="shared" si="18"/>
        <v>0</v>
      </c>
      <c r="AO55" s="390">
        <f t="shared" si="19"/>
        <v>-420</v>
      </c>
      <c r="AP55" s="388">
        <f t="shared" si="20"/>
        <v>-420</v>
      </c>
      <c r="AQ55" s="391"/>
      <c r="AR55" s="392">
        <f t="shared" si="21"/>
        <v>-19965</v>
      </c>
      <c r="AS55" s="390">
        <f t="shared" si="22"/>
        <v>-26772</v>
      </c>
      <c r="AT55" s="390"/>
      <c r="AU55" s="390">
        <f t="shared" si="23"/>
        <v>-20319</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27249</v>
      </c>
      <c r="E56" s="199">
        <f t="shared" ref="E56:E57" si="74">SUM(F56-D56)</f>
        <v>0</v>
      </c>
      <c r="F56" s="497">
        <v>27249</v>
      </c>
      <c r="G56" s="497">
        <v>393</v>
      </c>
      <c r="H56" s="96">
        <f t="shared" ref="H56:H57" si="75">SUM(F56:G56)</f>
        <v>27642</v>
      </c>
      <c r="I56" s="217"/>
      <c r="J56" s="499">
        <v>27249</v>
      </c>
      <c r="K56" s="497">
        <v>27249</v>
      </c>
      <c r="L56" s="59"/>
      <c r="M56" s="497">
        <v>25251</v>
      </c>
      <c r="N56" s="172">
        <f t="shared" si="73"/>
        <v>0.9135011938354678</v>
      </c>
      <c r="O56" s="60"/>
      <c r="P56" s="56"/>
      <c r="Q56" s="56"/>
      <c r="R56"/>
      <c r="S56" s="57"/>
      <c r="T56" s="58" t="str">
        <f t="shared" ref="T56:T60" si="76">C56</f>
        <v>(a) Expanded Public Works Programme Integrated Grant for Provinces</v>
      </c>
      <c r="U56" s="96">
        <v>27249</v>
      </c>
      <c r="V56" s="199">
        <v>0</v>
      </c>
      <c r="W56" s="59">
        <v>27249</v>
      </c>
      <c r="X56" s="59">
        <v>0</v>
      </c>
      <c r="Y56" s="96">
        <v>27249</v>
      </c>
      <c r="Z56" s="217"/>
      <c r="AA56" s="102">
        <v>19074</v>
      </c>
      <c r="AB56" s="59">
        <v>12267</v>
      </c>
      <c r="AC56" s="59"/>
      <c r="AD56" s="59">
        <v>22035</v>
      </c>
      <c r="AE56" s="172">
        <v>0.80865352856985573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-393</v>
      </c>
      <c r="AP56" s="396">
        <f t="shared" si="20"/>
        <v>-393</v>
      </c>
      <c r="AQ56" s="399"/>
      <c r="AR56" s="400">
        <f t="shared" si="21"/>
        <v>-8175</v>
      </c>
      <c r="AS56" s="398">
        <f t="shared" si="22"/>
        <v>-14982</v>
      </c>
      <c r="AT56" s="398"/>
      <c r="AU56" s="398">
        <f t="shared" si="23"/>
        <v>-3216</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39308</v>
      </c>
      <c r="E57" s="199">
        <f t="shared" si="74"/>
        <v>0</v>
      </c>
      <c r="F57" s="497">
        <v>39308</v>
      </c>
      <c r="G57" s="497">
        <v>27</v>
      </c>
      <c r="H57" s="96">
        <f t="shared" si="75"/>
        <v>39335</v>
      </c>
      <c r="I57" s="217"/>
      <c r="J57" s="499">
        <v>39308</v>
      </c>
      <c r="K57" s="497">
        <v>39308</v>
      </c>
      <c r="L57" s="59"/>
      <c r="M57" s="497">
        <v>35206</v>
      </c>
      <c r="N57" s="172">
        <f t="shared" si="73"/>
        <v>0.89502987161560954</v>
      </c>
      <c r="O57" s="60"/>
      <c r="P57" s="56"/>
      <c r="Q57" s="56"/>
      <c r="R57"/>
      <c r="S57" s="57"/>
      <c r="T57" s="58" t="str">
        <f t="shared" si="76"/>
        <v>(b) Social Sector Expanded Public Works Programme Incentive Grant for Provinces</v>
      </c>
      <c r="U57" s="96">
        <v>39308</v>
      </c>
      <c r="V57" s="199">
        <v>0</v>
      </c>
      <c r="W57" s="59">
        <v>39308</v>
      </c>
      <c r="X57" s="59">
        <v>0</v>
      </c>
      <c r="Y57" s="96">
        <v>39308</v>
      </c>
      <c r="Z57" s="217"/>
      <c r="AA57" s="102">
        <v>27518</v>
      </c>
      <c r="AB57" s="59">
        <v>27518</v>
      </c>
      <c r="AC57" s="59"/>
      <c r="AD57" s="59">
        <v>18103</v>
      </c>
      <c r="AE57" s="172">
        <v>0.46054238322987689</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-27</v>
      </c>
      <c r="AP57" s="396">
        <f t="shared" si="20"/>
        <v>-27</v>
      </c>
      <c r="AQ57" s="399"/>
      <c r="AR57" s="400">
        <f t="shared" si="21"/>
        <v>-11790</v>
      </c>
      <c r="AS57" s="398">
        <f t="shared" si="22"/>
        <v>-11790</v>
      </c>
      <c r="AT57" s="398"/>
      <c r="AU57" s="398">
        <f t="shared" si="23"/>
        <v>-17103</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44351</v>
      </c>
      <c r="E62" s="198">
        <f t="shared" ref="E62:K62" si="79">SUM(E63)</f>
        <v>0</v>
      </c>
      <c r="F62" s="54">
        <f t="shared" si="79"/>
        <v>44351</v>
      </c>
      <c r="G62" s="54">
        <f t="shared" si="79"/>
        <v>0</v>
      </c>
      <c r="H62" s="95">
        <f t="shared" si="79"/>
        <v>44351</v>
      </c>
      <c r="I62" s="216">
        <f t="shared" si="79"/>
        <v>0</v>
      </c>
      <c r="J62" s="101">
        <f t="shared" si="79"/>
        <v>44351</v>
      </c>
      <c r="K62" s="54">
        <f t="shared" si="79"/>
        <v>44351</v>
      </c>
      <c r="L62" s="54"/>
      <c r="M62" s="54">
        <f>SUM(M63)</f>
        <v>40740</v>
      </c>
      <c r="N62" s="183">
        <f t="shared" ref="N62:N63" si="80">IFERROR(M62/H62,0)</f>
        <v>0.91858131721945391</v>
      </c>
      <c r="O62" s="63"/>
      <c r="P62" s="64"/>
      <c r="Q62" s="64"/>
      <c r="R62"/>
      <c r="S62" s="62"/>
      <c r="T62" s="51" t="str">
        <f>C62</f>
        <v>Social Development (Vote 17)</v>
      </c>
      <c r="U62" s="95">
        <v>44351</v>
      </c>
      <c r="V62" s="198">
        <v>0</v>
      </c>
      <c r="W62" s="54">
        <v>44351</v>
      </c>
      <c r="X62" s="54">
        <v>0</v>
      </c>
      <c r="Y62" s="95">
        <v>44351</v>
      </c>
      <c r="Z62" s="216"/>
      <c r="AA62" s="101">
        <v>23840</v>
      </c>
      <c r="AB62" s="54">
        <v>23840</v>
      </c>
      <c r="AC62" s="54"/>
      <c r="AD62" s="54">
        <v>19947</v>
      </c>
      <c r="AE62" s="183">
        <v>0.4497531059051656</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-20511</v>
      </c>
      <c r="AS62" s="390">
        <f t="shared" si="22"/>
        <v>-20511</v>
      </c>
      <c r="AT62" s="390"/>
      <c r="AU62" s="390">
        <f t="shared" si="23"/>
        <v>-20793</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44351</v>
      </c>
      <c r="E63" s="199">
        <f>SUM(F63-D63)</f>
        <v>0</v>
      </c>
      <c r="F63" s="497">
        <v>44351</v>
      </c>
      <c r="G63" s="497">
        <v>0</v>
      </c>
      <c r="H63" s="96">
        <f>SUM(F63:G63)</f>
        <v>44351</v>
      </c>
      <c r="I63" s="217"/>
      <c r="J63" s="499">
        <v>44351</v>
      </c>
      <c r="K63" s="497">
        <v>44351</v>
      </c>
      <c r="L63" s="59"/>
      <c r="M63" s="497">
        <v>40740</v>
      </c>
      <c r="N63" s="172">
        <f t="shared" si="80"/>
        <v>0.91858131721945391</v>
      </c>
      <c r="O63" s="33"/>
      <c r="P63" s="21"/>
      <c r="Q63" s="21"/>
      <c r="R63"/>
      <c r="S63" s="57"/>
      <c r="T63" s="58" t="str">
        <f t="shared" ref="T63:T67" si="81">C63</f>
        <v>Early Childhood Development Grant</v>
      </c>
      <c r="U63" s="96">
        <v>44351</v>
      </c>
      <c r="V63" s="199">
        <v>0</v>
      </c>
      <c r="W63" s="59">
        <v>44351</v>
      </c>
      <c r="X63" s="59">
        <v>0</v>
      </c>
      <c r="Y63" s="96">
        <v>44351</v>
      </c>
      <c r="Z63" s="217"/>
      <c r="AA63" s="102">
        <v>23840</v>
      </c>
      <c r="AB63" s="59">
        <v>23840</v>
      </c>
      <c r="AC63" s="59"/>
      <c r="AD63" s="59">
        <v>19947</v>
      </c>
      <c r="AE63" s="172">
        <v>0.4497531059051656</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-20511</v>
      </c>
      <c r="AS63" s="398">
        <f t="shared" si="22"/>
        <v>-20511</v>
      </c>
      <c r="AT63" s="398"/>
      <c r="AU63" s="398">
        <f t="shared" si="23"/>
        <v>-20793</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48791</v>
      </c>
      <c r="E69" s="198">
        <f t="shared" ref="E69:K69" si="85">SUM(E70)</f>
        <v>0</v>
      </c>
      <c r="F69" s="54">
        <f t="shared" si="85"/>
        <v>48791</v>
      </c>
      <c r="G69" s="54">
        <f t="shared" si="85"/>
        <v>2946</v>
      </c>
      <c r="H69" s="95">
        <f t="shared" si="85"/>
        <v>51737</v>
      </c>
      <c r="I69" s="216">
        <f t="shared" si="85"/>
        <v>0</v>
      </c>
      <c r="J69" s="101">
        <f t="shared" si="85"/>
        <v>48791</v>
      </c>
      <c r="K69" s="54">
        <f t="shared" si="85"/>
        <v>48791</v>
      </c>
      <c r="L69" s="54"/>
      <c r="M69" s="54">
        <f>SUM(M70)</f>
        <v>43305</v>
      </c>
      <c r="N69" s="183">
        <f t="shared" ref="N69:N70" si="86">IFERROR(M69/H69,0)</f>
        <v>0.8370218605640064</v>
      </c>
      <c r="O69" s="63"/>
      <c r="P69" s="64"/>
      <c r="Q69" s="64"/>
      <c r="R69"/>
      <c r="S69" s="62"/>
      <c r="T69" s="51" t="str">
        <f>C69</f>
        <v>Sport and Recreation South Africa (Vote 40)</v>
      </c>
      <c r="U69" s="95">
        <v>48791</v>
      </c>
      <c r="V69" s="198">
        <v>0</v>
      </c>
      <c r="W69" s="54">
        <v>48791</v>
      </c>
      <c r="X69" s="54">
        <v>0</v>
      </c>
      <c r="Y69" s="95">
        <v>48791</v>
      </c>
      <c r="Z69" s="216"/>
      <c r="AA69" s="101">
        <v>24395</v>
      </c>
      <c r="AB69" s="54">
        <v>24395</v>
      </c>
      <c r="AC69" s="59"/>
      <c r="AD69" s="54">
        <v>38906</v>
      </c>
      <c r="AE69" s="172">
        <v>0.79740116005000927</v>
      </c>
      <c r="AF69" s="63"/>
      <c r="AG69" s="444"/>
      <c r="AH69" s="444"/>
      <c r="AI69"/>
      <c r="AJ69" s="402"/>
      <c r="AK69" s="481" t="str">
        <f t="shared" si="15"/>
        <v>Sport and Recreation South Africa (Vote 40)</v>
      </c>
      <c r="AL69" s="388">
        <f t="shared" si="16"/>
        <v>0</v>
      </c>
      <c r="AM69" s="389">
        <f t="shared" si="17"/>
        <v>0</v>
      </c>
      <c r="AN69" s="390">
        <f t="shared" si="18"/>
        <v>0</v>
      </c>
      <c r="AO69" s="390">
        <f t="shared" si="19"/>
        <v>-2946</v>
      </c>
      <c r="AP69" s="388">
        <f t="shared" si="20"/>
        <v>-2946</v>
      </c>
      <c r="AQ69" s="391"/>
      <c r="AR69" s="392">
        <f t="shared" si="21"/>
        <v>-24396</v>
      </c>
      <c r="AS69" s="390">
        <f t="shared" si="22"/>
        <v>-24396</v>
      </c>
      <c r="AT69" s="398"/>
      <c r="AU69" s="390">
        <f t="shared" si="23"/>
        <v>-4399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48791</v>
      </c>
      <c r="E70" s="199">
        <f>SUM(F70-D70)</f>
        <v>0</v>
      </c>
      <c r="F70" s="497">
        <v>48791</v>
      </c>
      <c r="G70" s="497">
        <v>2946</v>
      </c>
      <c r="H70" s="96">
        <f>SUM(F70:G70)</f>
        <v>51737</v>
      </c>
      <c r="I70" s="217"/>
      <c r="J70" s="499">
        <v>48791</v>
      </c>
      <c r="K70" s="497">
        <v>48791</v>
      </c>
      <c r="L70" s="59"/>
      <c r="M70" s="497">
        <v>43305</v>
      </c>
      <c r="N70" s="172">
        <f t="shared" si="86"/>
        <v>0.8370218605640064</v>
      </c>
      <c r="O70" s="60"/>
      <c r="P70" s="56"/>
      <c r="Q70" s="56"/>
      <c r="R70"/>
      <c r="S70" s="57"/>
      <c r="T70" s="58" t="str">
        <f t="shared" ref="T70:T74" si="87">C70</f>
        <v>Mass Participation and Sport Development Grant</v>
      </c>
      <c r="U70" s="96">
        <v>48791</v>
      </c>
      <c r="V70" s="199">
        <v>0</v>
      </c>
      <c r="W70" s="59">
        <v>48791</v>
      </c>
      <c r="X70" s="59">
        <v>0</v>
      </c>
      <c r="Y70" s="96">
        <v>48791</v>
      </c>
      <c r="Z70" s="217"/>
      <c r="AA70" s="102">
        <v>24395</v>
      </c>
      <c r="AB70" s="59">
        <v>24395</v>
      </c>
      <c r="AC70" s="59"/>
      <c r="AD70" s="59">
        <v>38906</v>
      </c>
      <c r="AE70" s="183">
        <v>0.79740116005000927</v>
      </c>
      <c r="AF70" s="60"/>
      <c r="AG70" s="443"/>
      <c r="AH70" s="443"/>
      <c r="AI70"/>
      <c r="AJ70" s="394"/>
      <c r="AK70" s="479" t="str">
        <f t="shared" si="15"/>
        <v>Mass Participation and Sport Development Grant</v>
      </c>
      <c r="AL70" s="396">
        <f t="shared" si="16"/>
        <v>0</v>
      </c>
      <c r="AM70" s="397">
        <f t="shared" si="17"/>
        <v>0</v>
      </c>
      <c r="AN70" s="398">
        <f t="shared" si="18"/>
        <v>0</v>
      </c>
      <c r="AO70" s="398">
        <f t="shared" si="19"/>
        <v>-2946</v>
      </c>
      <c r="AP70" s="396">
        <f t="shared" si="20"/>
        <v>-2946</v>
      </c>
      <c r="AQ70" s="399"/>
      <c r="AR70" s="400">
        <f t="shared" si="21"/>
        <v>-24396</v>
      </c>
      <c r="AS70" s="398">
        <f t="shared" si="22"/>
        <v>-24396</v>
      </c>
      <c r="AT70" s="398"/>
      <c r="AU70" s="398">
        <f t="shared" si="23"/>
        <v>-4399</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5062731</v>
      </c>
      <c r="E76" s="201">
        <f t="shared" ref="E76:K76" si="90">SUM(E13+E20+E27+E34+E41+E48+E55+E62+E69)</f>
        <v>126990</v>
      </c>
      <c r="F76" s="75">
        <f t="shared" si="90"/>
        <v>5189721</v>
      </c>
      <c r="G76" s="75">
        <f t="shared" si="90"/>
        <v>29591</v>
      </c>
      <c r="H76" s="98">
        <f t="shared" si="90"/>
        <v>5219312</v>
      </c>
      <c r="I76" s="219">
        <f t="shared" si="90"/>
        <v>0</v>
      </c>
      <c r="J76" s="104">
        <f t="shared" si="90"/>
        <v>5189721</v>
      </c>
      <c r="K76" s="75">
        <f t="shared" si="90"/>
        <v>5189721</v>
      </c>
      <c r="L76" s="59"/>
      <c r="M76" s="75">
        <f>SUM(M13+M20+M27+M34+M41+M48+M55+M62+M69)</f>
        <v>5238912</v>
      </c>
      <c r="N76" s="180">
        <f>IFERROR(M76/H76,0)</f>
        <v>1.0037552842213686</v>
      </c>
      <c r="O76" s="60"/>
      <c r="P76" s="65"/>
      <c r="Q76" s="65"/>
      <c r="R76"/>
      <c r="S76" s="53"/>
      <c r="T76" s="74" t="s">
        <v>37</v>
      </c>
      <c r="U76" s="98">
        <v>5062731</v>
      </c>
      <c r="V76" s="201">
        <v>0</v>
      </c>
      <c r="W76" s="75">
        <v>5062731</v>
      </c>
      <c r="X76" s="75">
        <v>0</v>
      </c>
      <c r="Y76" s="98">
        <v>5062731</v>
      </c>
      <c r="Z76" s="219">
        <v>0</v>
      </c>
      <c r="AA76" s="104">
        <v>2593947</v>
      </c>
      <c r="AB76" s="75">
        <v>2587134</v>
      </c>
      <c r="AC76" s="59"/>
      <c r="AD76" s="75">
        <v>2364501</v>
      </c>
      <c r="AE76" s="180">
        <v>0.46704061503563987</v>
      </c>
      <c r="AF76" s="60"/>
      <c r="AG76" s="443"/>
      <c r="AH76" s="443"/>
      <c r="AI76"/>
      <c r="AJ76" s="387"/>
      <c r="AK76" s="411" t="str">
        <f t="shared" si="15"/>
        <v>Sub-Total</v>
      </c>
      <c r="AL76" s="412">
        <f t="shared" si="16"/>
        <v>0</v>
      </c>
      <c r="AM76" s="413">
        <f t="shared" si="17"/>
        <v>-126990</v>
      </c>
      <c r="AN76" s="414">
        <f t="shared" si="18"/>
        <v>-126990</v>
      </c>
      <c r="AO76" s="414">
        <f t="shared" si="19"/>
        <v>-29591</v>
      </c>
      <c r="AP76" s="412">
        <f t="shared" si="20"/>
        <v>-156581</v>
      </c>
      <c r="AQ76" s="415"/>
      <c r="AR76" s="416">
        <f t="shared" si="21"/>
        <v>-2595774</v>
      </c>
      <c r="AS76" s="414">
        <f t="shared" si="22"/>
        <v>-2602587</v>
      </c>
      <c r="AT76" s="398"/>
      <c r="AU76" s="414">
        <f t="shared" si="23"/>
        <v>-2874411</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731792</v>
      </c>
      <c r="E80" s="198">
        <f t="shared" ref="E80:K80" si="91">SUM(E81)</f>
        <v>313335</v>
      </c>
      <c r="F80" s="54">
        <f t="shared" si="91"/>
        <v>1045127</v>
      </c>
      <c r="G80" s="54">
        <f t="shared" si="91"/>
        <v>365</v>
      </c>
      <c r="H80" s="95">
        <f t="shared" si="91"/>
        <v>1045492</v>
      </c>
      <c r="I80" s="216">
        <f t="shared" si="91"/>
        <v>0</v>
      </c>
      <c r="J80" s="101">
        <f t="shared" si="91"/>
        <v>1045127</v>
      </c>
      <c r="K80" s="54">
        <f t="shared" si="91"/>
        <v>1045127</v>
      </c>
      <c r="L80" s="54"/>
      <c r="M80" s="76"/>
      <c r="N80" s="439"/>
      <c r="O80" s="55"/>
      <c r="R80"/>
      <c r="S80" s="62"/>
      <c r="T80" s="51" t="str">
        <f>C80</f>
        <v>Basic Education (Vote 14)</v>
      </c>
      <c r="U80" s="95">
        <v>731792</v>
      </c>
      <c r="V80" s="198">
        <v>0</v>
      </c>
      <c r="W80" s="54">
        <v>731792</v>
      </c>
      <c r="X80" s="54">
        <v>0</v>
      </c>
      <c r="Y80" s="95">
        <v>731792</v>
      </c>
      <c r="Z80" s="216"/>
      <c r="AA80" s="101">
        <v>457370</v>
      </c>
      <c r="AB80" s="54">
        <v>457370</v>
      </c>
      <c r="AC80" s="59"/>
      <c r="AD80" s="54"/>
      <c r="AE80" s="54"/>
      <c r="AF80" s="55"/>
      <c r="AG80" s="442"/>
      <c r="AH80" s="442"/>
      <c r="AI80"/>
      <c r="AJ80" s="402"/>
      <c r="AK80" s="481" t="str">
        <f t="shared" si="15"/>
        <v>Basic Education (Vote 14)</v>
      </c>
      <c r="AL80" s="388">
        <f t="shared" si="16"/>
        <v>0</v>
      </c>
      <c r="AM80" s="389">
        <f t="shared" si="17"/>
        <v>-313335</v>
      </c>
      <c r="AN80" s="390">
        <f t="shared" si="18"/>
        <v>-313335</v>
      </c>
      <c r="AO80" s="390">
        <f t="shared" si="19"/>
        <v>-365</v>
      </c>
      <c r="AP80" s="388">
        <f t="shared" si="20"/>
        <v>-313700</v>
      </c>
      <c r="AQ80" s="391"/>
      <c r="AR80" s="392">
        <f t="shared" si="21"/>
        <v>-587757</v>
      </c>
      <c r="AS80" s="390">
        <f t="shared" si="22"/>
        <v>-587757</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731792</v>
      </c>
      <c r="E81" s="199">
        <f>SUM(F81-D81)</f>
        <v>313335</v>
      </c>
      <c r="F81" s="497">
        <v>1045127</v>
      </c>
      <c r="G81" s="497">
        <v>365</v>
      </c>
      <c r="H81" s="96">
        <f>SUM(F81:G81)</f>
        <v>1045492</v>
      </c>
      <c r="I81" s="217"/>
      <c r="J81" s="499">
        <v>1045127</v>
      </c>
      <c r="K81" s="497">
        <v>1045127</v>
      </c>
      <c r="L81" s="59"/>
      <c r="M81" s="76"/>
      <c r="N81" s="439"/>
      <c r="O81" s="33"/>
      <c r="R81"/>
      <c r="S81" s="57"/>
      <c r="T81" s="58" t="str">
        <f t="shared" ref="T81:T85" si="92">C81</f>
        <v>Education Infrastructure Grant</v>
      </c>
      <c r="U81" s="96">
        <v>731792</v>
      </c>
      <c r="V81" s="199">
        <v>0</v>
      </c>
      <c r="W81" s="59">
        <v>731792</v>
      </c>
      <c r="X81" s="59">
        <v>0</v>
      </c>
      <c r="Y81" s="96">
        <v>731792</v>
      </c>
      <c r="Z81" s="217"/>
      <c r="AA81" s="102">
        <v>457370</v>
      </c>
      <c r="AB81" s="59">
        <v>457370</v>
      </c>
      <c r="AC81" s="59"/>
      <c r="AD81" s="76"/>
      <c r="AE81" s="76"/>
      <c r="AF81" s="33"/>
      <c r="AG81" s="441"/>
      <c r="AH81" s="441"/>
      <c r="AI81"/>
      <c r="AJ81" s="394"/>
      <c r="AK81" s="479" t="str">
        <f t="shared" si="15"/>
        <v>Education Infrastructure Grant</v>
      </c>
      <c r="AL81" s="396">
        <f t="shared" si="16"/>
        <v>0</v>
      </c>
      <c r="AM81" s="397">
        <f t="shared" si="17"/>
        <v>-313335</v>
      </c>
      <c r="AN81" s="398">
        <f t="shared" si="18"/>
        <v>-313335</v>
      </c>
      <c r="AO81" s="398">
        <f t="shared" si="19"/>
        <v>-365</v>
      </c>
      <c r="AP81" s="396">
        <f t="shared" si="20"/>
        <v>-313700</v>
      </c>
      <c r="AQ81" s="399"/>
      <c r="AR81" s="400">
        <f t="shared" si="21"/>
        <v>-587757</v>
      </c>
      <c r="AS81" s="398">
        <f t="shared" si="22"/>
        <v>-587757</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243671</v>
      </c>
      <c r="E87" s="198">
        <f t="shared" ref="E87:K87" si="104">SUM(E88+E89)</f>
        <v>0</v>
      </c>
      <c r="F87" s="54">
        <f t="shared" si="104"/>
        <v>243671</v>
      </c>
      <c r="G87" s="54">
        <f t="shared" si="104"/>
        <v>1620</v>
      </c>
      <c r="H87" s="95">
        <f t="shared" si="104"/>
        <v>245291</v>
      </c>
      <c r="I87" s="216">
        <f t="shared" si="104"/>
        <v>0</v>
      </c>
      <c r="J87" s="101">
        <f t="shared" si="104"/>
        <v>243671</v>
      </c>
      <c r="K87" s="54">
        <f t="shared" si="104"/>
        <v>243671</v>
      </c>
      <c r="L87" s="59"/>
      <c r="M87" s="591"/>
      <c r="N87" s="439"/>
      <c r="O87" s="55"/>
      <c r="R87"/>
      <c r="S87" s="62"/>
      <c r="T87" s="51" t="str">
        <f>C87</f>
        <v>Health (Vote 16)</v>
      </c>
      <c r="U87" s="95">
        <v>243671</v>
      </c>
      <c r="V87" s="198">
        <v>0</v>
      </c>
      <c r="W87" s="54">
        <v>243671</v>
      </c>
      <c r="X87" s="54">
        <v>0</v>
      </c>
      <c r="Y87" s="95">
        <v>243671</v>
      </c>
      <c r="Z87" s="216"/>
      <c r="AA87" s="101">
        <v>121830</v>
      </c>
      <c r="AB87" s="54">
        <v>121830</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-1620</v>
      </c>
      <c r="AP87" s="388">
        <f t="shared" si="100"/>
        <v>-1620</v>
      </c>
      <c r="AQ87" s="391"/>
      <c r="AR87" s="392">
        <f t="shared" si="101"/>
        <v>-121841</v>
      </c>
      <c r="AS87" s="390">
        <f t="shared" si="102"/>
        <v>-121841</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120678</v>
      </c>
      <c r="E88" s="199">
        <f t="shared" ref="E88:E89" si="105">SUM(F88-D88)</f>
        <v>0</v>
      </c>
      <c r="F88" s="497">
        <v>120678</v>
      </c>
      <c r="G88" s="497">
        <v>223</v>
      </c>
      <c r="H88" s="96">
        <f t="shared" ref="H88:H89" si="106">SUM(F88:G88)</f>
        <v>120901</v>
      </c>
      <c r="I88" s="217"/>
      <c r="J88" s="499">
        <v>120678</v>
      </c>
      <c r="K88" s="497">
        <v>120678</v>
      </c>
      <c r="L88" s="59"/>
      <c r="M88" s="76"/>
      <c r="N88" s="439"/>
      <c r="O88" s="33"/>
      <c r="P88" s="21"/>
      <c r="Q88" s="21"/>
      <c r="R88"/>
      <c r="S88" s="57"/>
      <c r="T88" s="58" t="str">
        <f t="shared" ref="T88:T92" si="107">C88</f>
        <v>(a) Health Professions Training and Development Grant</v>
      </c>
      <c r="U88" s="96">
        <v>120678</v>
      </c>
      <c r="V88" s="199">
        <v>0</v>
      </c>
      <c r="W88" s="59">
        <v>120678</v>
      </c>
      <c r="X88" s="59">
        <v>0</v>
      </c>
      <c r="Y88" s="96">
        <v>120678</v>
      </c>
      <c r="Z88" s="217"/>
      <c r="AA88" s="102">
        <v>60336</v>
      </c>
      <c r="AB88" s="59">
        <v>60336</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-223</v>
      </c>
      <c r="AP88" s="396">
        <f t="shared" si="100"/>
        <v>-223</v>
      </c>
      <c r="AQ88" s="399"/>
      <c r="AR88" s="400">
        <f t="shared" si="101"/>
        <v>-60342</v>
      </c>
      <c r="AS88" s="398">
        <f t="shared" si="102"/>
        <v>-60342</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122993</v>
      </c>
      <c r="E89" s="199">
        <f t="shared" si="105"/>
        <v>0</v>
      </c>
      <c r="F89" s="497">
        <v>122993</v>
      </c>
      <c r="G89" s="497">
        <v>1397</v>
      </c>
      <c r="H89" s="96">
        <f t="shared" si="106"/>
        <v>124390</v>
      </c>
      <c r="I89" s="217"/>
      <c r="J89" s="499">
        <v>122993</v>
      </c>
      <c r="K89" s="497">
        <v>122993</v>
      </c>
      <c r="L89" s="59"/>
      <c r="M89" s="76"/>
      <c r="N89" s="439"/>
      <c r="O89" s="33"/>
      <c r="S89" s="57"/>
      <c r="T89" s="58" t="str">
        <f t="shared" si="107"/>
        <v>(b) National Tertiary Services Grant</v>
      </c>
      <c r="U89" s="96">
        <v>122993</v>
      </c>
      <c r="V89" s="199">
        <v>0</v>
      </c>
      <c r="W89" s="59">
        <v>122993</v>
      </c>
      <c r="X89" s="59">
        <v>0</v>
      </c>
      <c r="Y89" s="96">
        <v>122993</v>
      </c>
      <c r="Z89" s="217"/>
      <c r="AA89" s="102">
        <v>61494</v>
      </c>
      <c r="AB89" s="59">
        <v>61494</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-1397</v>
      </c>
      <c r="AP89" s="396">
        <f t="shared" si="100"/>
        <v>-1397</v>
      </c>
      <c r="AQ89" s="399"/>
      <c r="AR89" s="400">
        <f t="shared" si="101"/>
        <v>-61499</v>
      </c>
      <c r="AS89" s="398">
        <f t="shared" si="102"/>
        <v>-61499</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2206560</v>
      </c>
      <c r="E101" s="198">
        <f t="shared" ref="E101:K101" si="113">SUM(E102+E103)</f>
        <v>0</v>
      </c>
      <c r="F101" s="54">
        <f t="shared" si="113"/>
        <v>2206560</v>
      </c>
      <c r="G101" s="54">
        <f t="shared" si="113"/>
        <v>0</v>
      </c>
      <c r="H101" s="95">
        <f t="shared" si="113"/>
        <v>2206560</v>
      </c>
      <c r="I101" s="216">
        <f t="shared" si="113"/>
        <v>0</v>
      </c>
      <c r="J101" s="101">
        <f t="shared" si="113"/>
        <v>2206560</v>
      </c>
      <c r="K101" s="54">
        <f t="shared" si="113"/>
        <v>2206560</v>
      </c>
      <c r="L101" s="59"/>
      <c r="M101" s="591"/>
      <c r="N101" s="439"/>
      <c r="O101" s="55"/>
      <c r="R101"/>
      <c r="S101" s="62"/>
      <c r="T101" s="51" t="str">
        <f>C101</f>
        <v>Transport (Vote 35)</v>
      </c>
      <c r="U101" s="95">
        <v>2206560</v>
      </c>
      <c r="V101" s="198">
        <v>0</v>
      </c>
      <c r="W101" s="54">
        <v>2206560</v>
      </c>
      <c r="X101" s="54">
        <v>0</v>
      </c>
      <c r="Y101" s="95">
        <v>2206560</v>
      </c>
      <c r="Z101" s="216"/>
      <c r="AA101" s="101">
        <v>1200777</v>
      </c>
      <c r="AB101" s="54">
        <v>1200777</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-1005783</v>
      </c>
      <c r="AS101" s="390">
        <f t="shared" si="102"/>
        <v>-1005783</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1572126</v>
      </c>
      <c r="E102" s="199">
        <f t="shared" ref="E102:E103" si="114">SUM(F102-D102)</f>
        <v>0</v>
      </c>
      <c r="F102" s="497">
        <v>1572126</v>
      </c>
      <c r="G102" s="497">
        <v>0</v>
      </c>
      <c r="H102" s="96">
        <f t="shared" ref="H102:H103" si="115">SUM(F102:G102)</f>
        <v>1572126</v>
      </c>
      <c r="I102" s="217"/>
      <c r="J102" s="499">
        <v>1572126</v>
      </c>
      <c r="K102" s="497">
        <v>1572126</v>
      </c>
      <c r="L102" s="59"/>
      <c r="M102" s="76"/>
      <c r="N102" s="439"/>
      <c r="O102" s="33"/>
      <c r="S102" s="57"/>
      <c r="T102" s="58" t="str">
        <f t="shared" ref="T102:T106" si="116">C102</f>
        <v>(a) Provincial Roads Maintenance Grant</v>
      </c>
      <c r="U102" s="96">
        <v>1572126</v>
      </c>
      <c r="V102" s="199">
        <v>0</v>
      </c>
      <c r="W102" s="59">
        <v>1572126</v>
      </c>
      <c r="X102" s="59">
        <v>0</v>
      </c>
      <c r="Y102" s="96">
        <v>1572126</v>
      </c>
      <c r="Z102" s="217"/>
      <c r="AA102" s="102">
        <v>926431</v>
      </c>
      <c r="AB102" s="59">
        <v>926431</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-645695</v>
      </c>
      <c r="AS102" s="398">
        <f t="shared" si="102"/>
        <v>-645695</v>
      </c>
      <c r="AT102" s="398"/>
      <c r="AU102" s="417">
        <f t="shared" si="103"/>
        <v>0</v>
      </c>
      <c r="AV102" s="417"/>
      <c r="AW102" s="347"/>
    </row>
    <row r="103" spans="1:82" ht="15.75" customHeight="1" x14ac:dyDescent="0.3">
      <c r="B103" s="57"/>
      <c r="C103" s="58" t="s">
        <v>44</v>
      </c>
      <c r="D103" s="496">
        <v>634434</v>
      </c>
      <c r="E103" s="199">
        <f t="shared" si="114"/>
        <v>0</v>
      </c>
      <c r="F103" s="497">
        <v>634434</v>
      </c>
      <c r="G103" s="497">
        <v>0</v>
      </c>
      <c r="H103" s="96">
        <f t="shared" si="115"/>
        <v>634434</v>
      </c>
      <c r="I103" s="217"/>
      <c r="J103" s="499">
        <v>634434</v>
      </c>
      <c r="K103" s="497">
        <v>634434</v>
      </c>
      <c r="L103" s="59"/>
      <c r="M103" s="76"/>
      <c r="N103" s="439"/>
      <c r="O103" s="33"/>
      <c r="S103" s="57"/>
      <c r="T103" s="58" t="str">
        <f t="shared" si="116"/>
        <v>(b) Public Transport Operations Grant</v>
      </c>
      <c r="U103" s="96">
        <v>634434</v>
      </c>
      <c r="V103" s="199">
        <v>0</v>
      </c>
      <c r="W103" s="59">
        <v>634434</v>
      </c>
      <c r="X103" s="59">
        <v>0</v>
      </c>
      <c r="Y103" s="96">
        <v>634434</v>
      </c>
      <c r="Z103" s="217"/>
      <c r="AA103" s="102">
        <v>274346</v>
      </c>
      <c r="AB103" s="59">
        <v>274346</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-360088</v>
      </c>
      <c r="AS103" s="398">
        <f t="shared" si="102"/>
        <v>-360088</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3182023</v>
      </c>
      <c r="E108" s="201">
        <f t="shared" ref="E108:K108" si="119">SUM(E80+E87+E101)</f>
        <v>313335</v>
      </c>
      <c r="F108" s="75">
        <f t="shared" si="119"/>
        <v>3495358</v>
      </c>
      <c r="G108" s="75">
        <f t="shared" si="119"/>
        <v>1985</v>
      </c>
      <c r="H108" s="98">
        <f t="shared" si="119"/>
        <v>3497343</v>
      </c>
      <c r="I108" s="219">
        <f t="shared" si="119"/>
        <v>0</v>
      </c>
      <c r="J108" s="104">
        <f t="shared" si="119"/>
        <v>3495358</v>
      </c>
      <c r="K108" s="75">
        <f t="shared" si="119"/>
        <v>3495358</v>
      </c>
      <c r="L108" s="59"/>
      <c r="M108" s="77"/>
      <c r="N108" s="440"/>
      <c r="O108" s="55"/>
      <c r="R108"/>
      <c r="S108" s="53"/>
      <c r="T108" s="74" t="s">
        <v>37</v>
      </c>
      <c r="U108" s="98">
        <v>3182023</v>
      </c>
      <c r="V108" s="201">
        <v>0</v>
      </c>
      <c r="W108" s="75">
        <v>3182023</v>
      </c>
      <c r="X108" s="75">
        <v>0</v>
      </c>
      <c r="Y108" s="98">
        <v>3182023</v>
      </c>
      <c r="Z108" s="219"/>
      <c r="AA108" s="104">
        <v>1779977</v>
      </c>
      <c r="AB108" s="75">
        <v>1779977</v>
      </c>
      <c r="AC108" s="59"/>
      <c r="AD108" s="77"/>
      <c r="AE108" s="77"/>
      <c r="AF108" s="55"/>
      <c r="AG108" s="442"/>
      <c r="AH108" s="442"/>
      <c r="AI108"/>
      <c r="AJ108" s="387"/>
      <c r="AK108" s="411" t="str">
        <f t="shared" si="95"/>
        <v>Sub-Total</v>
      </c>
      <c r="AL108" s="412">
        <f t="shared" si="96"/>
        <v>0</v>
      </c>
      <c r="AM108" s="413">
        <f t="shared" si="97"/>
        <v>-313335</v>
      </c>
      <c r="AN108" s="414">
        <f t="shared" si="98"/>
        <v>-313335</v>
      </c>
      <c r="AO108" s="414">
        <f t="shared" si="99"/>
        <v>-1985</v>
      </c>
      <c r="AP108" s="412">
        <f t="shared" si="100"/>
        <v>-315320</v>
      </c>
      <c r="AQ108" s="415"/>
      <c r="AR108" s="416">
        <f t="shared" si="101"/>
        <v>-1715381</v>
      </c>
      <c r="AS108" s="414">
        <f t="shared" si="102"/>
        <v>-1715381</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53409</v>
      </c>
      <c r="H117" s="95">
        <f t="shared" si="124"/>
        <v>53409</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-53409</v>
      </c>
      <c r="AP117" s="388">
        <f t="shared" si="100"/>
        <v>-53409</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53409</v>
      </c>
      <c r="H118" s="96">
        <f>SUM(F118:G118)</f>
        <v>53409</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-53409</v>
      </c>
      <c r="AP118" s="396">
        <f t="shared" si="100"/>
        <v>-53409</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53409</v>
      </c>
      <c r="H122" s="98">
        <f t="shared" si="126"/>
        <v>53409</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-53409</v>
      </c>
      <c r="AP122" s="412">
        <f t="shared" si="100"/>
        <v>-53409</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8244754</v>
      </c>
      <c r="E124" s="202">
        <f t="shared" ref="E124:K124" si="127">SUM(E76+E108+E122)</f>
        <v>440325</v>
      </c>
      <c r="F124" s="81">
        <f t="shared" si="127"/>
        <v>8685079</v>
      </c>
      <c r="G124" s="81">
        <f t="shared" si="127"/>
        <v>84985</v>
      </c>
      <c r="H124" s="80">
        <f t="shared" si="127"/>
        <v>8770064</v>
      </c>
      <c r="I124" s="220">
        <f t="shared" si="127"/>
        <v>0</v>
      </c>
      <c r="J124" s="106">
        <f t="shared" si="127"/>
        <v>8685079</v>
      </c>
      <c r="K124" s="81">
        <f t="shared" si="127"/>
        <v>8685079</v>
      </c>
      <c r="L124" s="59"/>
      <c r="M124" s="82"/>
      <c r="N124" s="440"/>
      <c r="O124" s="55"/>
      <c r="R124"/>
      <c r="S124" s="78"/>
      <c r="T124" s="79" t="s">
        <v>4</v>
      </c>
      <c r="U124" s="80">
        <v>8244754</v>
      </c>
      <c r="V124" s="202">
        <v>0</v>
      </c>
      <c r="W124" s="81">
        <v>8244754</v>
      </c>
      <c r="X124" s="81">
        <v>0</v>
      </c>
      <c r="Y124" s="80">
        <v>8244754</v>
      </c>
      <c r="Z124" s="220"/>
      <c r="AA124" s="106">
        <v>4373924</v>
      </c>
      <c r="AB124" s="81">
        <v>4367111</v>
      </c>
      <c r="AC124" s="59"/>
      <c r="AD124" s="82"/>
      <c r="AE124" s="82"/>
      <c r="AF124" s="55"/>
      <c r="AG124" s="442"/>
      <c r="AH124" s="442"/>
      <c r="AI124"/>
      <c r="AJ124" s="420"/>
      <c r="AK124" s="421" t="str">
        <f t="shared" si="95"/>
        <v>Total</v>
      </c>
      <c r="AL124" s="422">
        <f t="shared" si="96"/>
        <v>0</v>
      </c>
      <c r="AM124" s="423">
        <f t="shared" si="97"/>
        <v>-440325</v>
      </c>
      <c r="AN124" s="424">
        <f t="shared" si="98"/>
        <v>-440325</v>
      </c>
      <c r="AO124" s="424">
        <f t="shared" si="99"/>
        <v>-84985</v>
      </c>
      <c r="AP124" s="422">
        <f t="shared" si="100"/>
        <v>-525310</v>
      </c>
      <c r="AQ124" s="425"/>
      <c r="AR124" s="426">
        <f t="shared" si="101"/>
        <v>-4311155</v>
      </c>
      <c r="AS124" s="424">
        <f t="shared" si="102"/>
        <v>-4317968</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rt5QumoD7x6PTrFOKxKspTWsJdxjGIxou8zC2H42xwfwHBlC+662LXBPj+VQHCb2qRVwxAU6tMRQyy19PKOhaQ==" saltValue="lAoDSbyZSFgJ6bwoF5Ffa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167</v>
      </c>
      <c r="D4" s="8"/>
      <c r="E4" s="8"/>
      <c r="F4" s="8"/>
      <c r="G4" s="8"/>
      <c r="H4" s="8"/>
      <c r="I4" s="8"/>
      <c r="J4" s="8"/>
      <c r="K4" s="8"/>
      <c r="L4" s="8"/>
      <c r="M4" s="8"/>
      <c r="N4" s="8"/>
      <c r="O4" s="11"/>
      <c r="P4"/>
      <c r="Q4"/>
      <c r="R4"/>
      <c r="S4" s="6"/>
      <c r="T4" s="10" t="str">
        <f>C4</f>
        <v>NORTHERN CAPE PROVINCE</v>
      </c>
      <c r="U4" s="8"/>
      <c r="V4" s="8"/>
      <c r="W4" s="8"/>
      <c r="X4" s="8"/>
      <c r="Y4" s="8"/>
      <c r="Z4" s="8"/>
      <c r="AA4" s="8"/>
      <c r="AB4" s="8"/>
      <c r="AC4" s="8"/>
      <c r="AD4" s="8"/>
      <c r="AE4" s="8"/>
      <c r="AF4" s="11"/>
      <c r="AG4"/>
      <c r="AH4"/>
      <c r="AI4"/>
      <c r="AJ4" s="234"/>
      <c r="AK4" s="238" t="str">
        <f>C4</f>
        <v>NORTHERN CAPE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17907454</v>
      </c>
      <c r="E12" s="152">
        <f>SUM(E13:E14)</f>
        <v>-897</v>
      </c>
      <c r="F12" s="153">
        <f>SUM(F13:F14)</f>
        <v>17906557</v>
      </c>
      <c r="G12" s="152"/>
      <c r="H12" s="154">
        <f>SUM(H13:H14)</f>
        <v>4656766</v>
      </c>
      <c r="I12" s="155">
        <f>SUM(I13:I14)</f>
        <v>4676166</v>
      </c>
      <c r="J12" s="155">
        <f>SUM(J13:J14)</f>
        <v>4458674</v>
      </c>
      <c r="K12" s="155">
        <f>SUM(K13:K14)</f>
        <v>4114951</v>
      </c>
      <c r="L12" s="156"/>
      <c r="M12" s="155">
        <f t="shared" ref="M12" si="0">SUM(M13:M14)</f>
        <v>17906557</v>
      </c>
      <c r="N12" s="183">
        <f>IFERROR(M12/F12,0)</f>
        <v>1</v>
      </c>
      <c r="O12" s="158"/>
      <c r="P12" s="594"/>
      <c r="Q12"/>
      <c r="R12"/>
      <c r="S12" s="119"/>
      <c r="T12" s="151" t="str">
        <f>C12</f>
        <v>Transfers from National Revenue Fund</v>
      </c>
      <c r="U12" s="152">
        <v>17907454</v>
      </c>
      <c r="V12" s="152">
        <v>0</v>
      </c>
      <c r="W12" s="153">
        <v>17907454</v>
      </c>
      <c r="X12" s="152"/>
      <c r="Y12" s="154">
        <v>4656766</v>
      </c>
      <c r="Z12" s="155">
        <v>4674493</v>
      </c>
      <c r="AA12" s="155">
        <v>0</v>
      </c>
      <c r="AB12" s="155">
        <v>0</v>
      </c>
      <c r="AC12" s="156"/>
      <c r="AD12" s="155">
        <v>9331259</v>
      </c>
      <c r="AE12" s="172">
        <v>0.52108239395728728</v>
      </c>
      <c r="AF12" s="144"/>
      <c r="AG12" s="118"/>
      <c r="AH12"/>
      <c r="AI12"/>
      <c r="AJ12" s="248"/>
      <c r="AK12" s="284" t="s">
        <v>8</v>
      </c>
      <c r="AL12" s="285">
        <f>SUM(AL13:AL14)</f>
        <v>0</v>
      </c>
      <c r="AM12" s="285">
        <f>SUM(AM13:AM14)</f>
        <v>897</v>
      </c>
      <c r="AN12" s="286">
        <f>SUM(AN13:AN14)</f>
        <v>897</v>
      </c>
      <c r="AO12" s="285"/>
      <c r="AP12" s="287">
        <f>SUM(AP13:AP14)</f>
        <v>0</v>
      </c>
      <c r="AQ12" s="288">
        <f t="shared" ref="AQ12:AS12" si="1">SUM(AQ13:AQ14)</f>
        <v>-1673</v>
      </c>
      <c r="AR12" s="288">
        <f t="shared" si="1"/>
        <v>-4458674</v>
      </c>
      <c r="AS12" s="288">
        <f t="shared" si="1"/>
        <v>-4114951</v>
      </c>
      <c r="AT12" s="289"/>
      <c r="AU12" s="288">
        <f t="shared" ref="AU12" si="2">SUM(AU13:AU14)</f>
        <v>-8575298</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13424046</v>
      </c>
      <c r="E13" s="482">
        <f>F13-D13</f>
        <v>0</v>
      </c>
      <c r="F13" s="483">
        <v>13424046</v>
      </c>
      <c r="G13" s="482"/>
      <c r="H13" s="484">
        <v>3356013</v>
      </c>
      <c r="I13" s="485">
        <v>3356013</v>
      </c>
      <c r="J13" s="485">
        <v>3356010</v>
      </c>
      <c r="K13" s="485">
        <v>3356010</v>
      </c>
      <c r="L13" s="150"/>
      <c r="M13" s="147">
        <f>SUM(H13:K13)</f>
        <v>13424046</v>
      </c>
      <c r="N13" s="172">
        <f t="shared" ref="N13:N14" si="3">IFERROR(M13/F13,0)</f>
        <v>1</v>
      </c>
      <c r="O13" s="158"/>
      <c r="P13" s="118"/>
      <c r="Q13"/>
      <c r="R13"/>
      <c r="S13" s="119"/>
      <c r="T13" s="157" t="str">
        <f t="shared" ref="T13:T15" si="4">C13</f>
        <v>Equitable share of revenue</v>
      </c>
      <c r="U13" s="146">
        <v>13424046</v>
      </c>
      <c r="V13" s="146">
        <v>0</v>
      </c>
      <c r="W13" s="148">
        <v>13424046</v>
      </c>
      <c r="X13" s="146"/>
      <c r="Y13" s="149">
        <v>3356013</v>
      </c>
      <c r="Z13" s="224">
        <v>3356013</v>
      </c>
      <c r="AA13" s="224"/>
      <c r="AB13" s="224"/>
      <c r="AC13" s="150"/>
      <c r="AD13" s="147">
        <v>6712026</v>
      </c>
      <c r="AE13" s="172">
        <v>0.50000022347956796</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-3356010</v>
      </c>
      <c r="AS13" s="283">
        <f t="shared" si="6"/>
        <v>-3356010</v>
      </c>
      <c r="AT13" s="280"/>
      <c r="AU13" s="283">
        <f t="shared" ref="AU13:AU15" si="7">IFERROR(AD13-M13,0)</f>
        <v>-6712020</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4483408</v>
      </c>
      <c r="E14" s="482">
        <f t="shared" ref="E14:E15" si="8">F14-D14</f>
        <v>-897</v>
      </c>
      <c r="F14" s="483">
        <v>4482511</v>
      </c>
      <c r="G14" s="486"/>
      <c r="H14" s="484">
        <v>1300753</v>
      </c>
      <c r="I14" s="485">
        <v>1320153</v>
      </c>
      <c r="J14" s="485">
        <v>1102664</v>
      </c>
      <c r="K14" s="485">
        <v>758941</v>
      </c>
      <c r="L14" s="162"/>
      <c r="M14" s="147">
        <f t="shared" ref="M14:M15" si="9">SUM(H14:K14)</f>
        <v>4482511</v>
      </c>
      <c r="N14" s="172">
        <f t="shared" si="3"/>
        <v>1</v>
      </c>
      <c r="O14" s="163"/>
      <c r="P14" s="118"/>
      <c r="Q14"/>
      <c r="R14"/>
      <c r="S14" s="159"/>
      <c r="T14" s="160" t="str">
        <f t="shared" si="4"/>
        <v>Conditional grants</v>
      </c>
      <c r="U14" s="146">
        <v>4483408</v>
      </c>
      <c r="V14" s="146">
        <v>0</v>
      </c>
      <c r="W14" s="148">
        <v>4483408</v>
      </c>
      <c r="X14" s="161"/>
      <c r="Y14" s="149">
        <v>1300753</v>
      </c>
      <c r="Z14" s="224">
        <v>1318480</v>
      </c>
      <c r="AA14" s="224"/>
      <c r="AB14" s="224"/>
      <c r="AC14" s="162"/>
      <c r="AD14" s="147">
        <v>2619233</v>
      </c>
      <c r="AE14" s="172">
        <v>0.58420580950919476</v>
      </c>
      <c r="AF14" s="163"/>
      <c r="AG14" s="118"/>
      <c r="AH14" s="61"/>
      <c r="AI14"/>
      <c r="AJ14" s="293"/>
      <c r="AK14" s="294" t="s">
        <v>72</v>
      </c>
      <c r="AL14" s="279">
        <f t="shared" si="5"/>
        <v>0</v>
      </c>
      <c r="AM14" s="279">
        <f t="shared" si="5"/>
        <v>897</v>
      </c>
      <c r="AN14" s="281">
        <f t="shared" si="5"/>
        <v>897</v>
      </c>
      <c r="AO14" s="295"/>
      <c r="AP14" s="282">
        <f t="shared" ref="AP14:AP15" si="10">IFERROR(Y14-H14,0)</f>
        <v>0</v>
      </c>
      <c r="AQ14" s="283">
        <f t="shared" si="6"/>
        <v>-1673</v>
      </c>
      <c r="AR14" s="283">
        <f t="shared" si="6"/>
        <v>-1102664</v>
      </c>
      <c r="AS14" s="283">
        <f t="shared" si="6"/>
        <v>-758941</v>
      </c>
      <c r="AT14" s="296"/>
      <c r="AU14" s="283">
        <f t="shared" si="7"/>
        <v>-1863278</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384688.57999999996</v>
      </c>
      <c r="E15" s="487">
        <f t="shared" si="8"/>
        <v>0</v>
      </c>
      <c r="F15" s="488">
        <v>384688.57999999996</v>
      </c>
      <c r="G15" s="487"/>
      <c r="H15" s="489">
        <v>106685</v>
      </c>
      <c r="I15" s="490">
        <v>106251</v>
      </c>
      <c r="J15" s="490">
        <v>102911</v>
      </c>
      <c r="K15" s="490">
        <v>96543</v>
      </c>
      <c r="L15" s="156"/>
      <c r="M15" s="155">
        <f t="shared" si="9"/>
        <v>412390</v>
      </c>
      <c r="N15" s="183">
        <f>IFERROR(M15/F15,0)</f>
        <v>1.0720099879232183</v>
      </c>
      <c r="O15" s="158"/>
      <c r="P15" s="594"/>
      <c r="Q15"/>
      <c r="R15"/>
      <c r="S15" s="119"/>
      <c r="T15" s="151" t="str">
        <f t="shared" si="4"/>
        <v>Provincial own receipts</v>
      </c>
      <c r="U15" s="152">
        <v>384688.57999999996</v>
      </c>
      <c r="V15" s="152">
        <v>0</v>
      </c>
      <c r="W15" s="153">
        <v>384688.57999999996</v>
      </c>
      <c r="X15" s="152"/>
      <c r="Y15" s="154">
        <v>106530</v>
      </c>
      <c r="Z15" s="225">
        <v>106406</v>
      </c>
      <c r="AA15" s="225"/>
      <c r="AB15" s="225"/>
      <c r="AC15" s="156"/>
      <c r="AD15" s="155">
        <v>212936</v>
      </c>
      <c r="AE15" s="172">
        <v>0.5535282591440589</v>
      </c>
      <c r="AF15" s="158"/>
      <c r="AG15" s="118"/>
      <c r="AH15"/>
      <c r="AI15"/>
      <c r="AJ15" s="248"/>
      <c r="AK15" s="284" t="s">
        <v>9</v>
      </c>
      <c r="AL15" s="285">
        <f t="shared" si="5"/>
        <v>0</v>
      </c>
      <c r="AM15" s="285">
        <f t="shared" si="5"/>
        <v>0</v>
      </c>
      <c r="AN15" s="286">
        <f t="shared" si="5"/>
        <v>0</v>
      </c>
      <c r="AO15" s="285"/>
      <c r="AP15" s="287">
        <f t="shared" si="10"/>
        <v>-155</v>
      </c>
      <c r="AQ15" s="288">
        <f t="shared" si="6"/>
        <v>155</v>
      </c>
      <c r="AR15" s="288">
        <f t="shared" si="6"/>
        <v>-102911</v>
      </c>
      <c r="AS15" s="288">
        <f t="shared" si="6"/>
        <v>-96543</v>
      </c>
      <c r="AT15" s="289"/>
      <c r="AU15" s="288">
        <f t="shared" si="7"/>
        <v>-199454</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18292142.579999998</v>
      </c>
      <c r="E17" s="165">
        <f>E12+E15</f>
        <v>-897</v>
      </c>
      <c r="F17" s="166">
        <f t="shared" ref="F17:H17" si="12">F12+F15</f>
        <v>18291245.579999998</v>
      </c>
      <c r="G17" s="165">
        <f t="shared" si="12"/>
        <v>0</v>
      </c>
      <c r="H17" s="167">
        <f t="shared" si="12"/>
        <v>4763451</v>
      </c>
      <c r="I17" s="437">
        <f t="shared" ref="I17" si="13">I12+I15</f>
        <v>4782417</v>
      </c>
      <c r="J17" s="437">
        <f t="shared" ref="J17:K17" si="14">J12+J15</f>
        <v>4561585</v>
      </c>
      <c r="K17" s="437">
        <f t="shared" si="14"/>
        <v>4211494</v>
      </c>
      <c r="L17" s="156"/>
      <c r="M17" s="168">
        <f t="shared" ref="M17" si="15">M12+M15</f>
        <v>18318947</v>
      </c>
      <c r="N17" s="180">
        <f>IFERROR(M17/F17,0)</f>
        <v>1.0015144632922259</v>
      </c>
      <c r="O17" s="158"/>
      <c r="P17" s="594"/>
      <c r="Q17"/>
      <c r="R17"/>
      <c r="S17" s="119"/>
      <c r="T17" s="164" t="s">
        <v>10</v>
      </c>
      <c r="U17" s="165">
        <v>18292142.579999998</v>
      </c>
      <c r="V17" s="165">
        <v>0</v>
      </c>
      <c r="W17" s="166">
        <v>18292142.579999998</v>
      </c>
      <c r="X17" s="165">
        <v>0</v>
      </c>
      <c r="Y17" s="167">
        <v>4763296</v>
      </c>
      <c r="Z17" s="437">
        <v>4780899</v>
      </c>
      <c r="AA17" s="437">
        <v>0</v>
      </c>
      <c r="AB17" s="437" t="s">
        <v>52</v>
      </c>
      <c r="AC17" s="156"/>
      <c r="AD17" s="168">
        <v>9544195</v>
      </c>
      <c r="AE17" s="180">
        <v>0.52176473905442311</v>
      </c>
      <c r="AF17" s="158"/>
      <c r="AG17" s="118"/>
      <c r="AH17"/>
      <c r="AI17"/>
      <c r="AJ17" s="248"/>
      <c r="AK17" s="298" t="s">
        <v>10</v>
      </c>
      <c r="AL17" s="299">
        <f t="shared" ref="AL17:AS17" si="16">AL12+AL15</f>
        <v>0</v>
      </c>
      <c r="AM17" s="299">
        <f>AM12+AM15</f>
        <v>897</v>
      </c>
      <c r="AN17" s="300">
        <f t="shared" si="16"/>
        <v>897</v>
      </c>
      <c r="AO17" s="299">
        <f t="shared" si="16"/>
        <v>0</v>
      </c>
      <c r="AP17" s="301">
        <f t="shared" si="16"/>
        <v>-155</v>
      </c>
      <c r="AQ17" s="302">
        <f t="shared" si="16"/>
        <v>-1518</v>
      </c>
      <c r="AR17" s="302">
        <f t="shared" si="16"/>
        <v>-4561585</v>
      </c>
      <c r="AS17" s="302">
        <f t="shared" si="16"/>
        <v>-4211494</v>
      </c>
      <c r="AT17" s="289"/>
      <c r="AU17" s="302">
        <f t="shared" ref="AU17" si="17">AU12+AU15</f>
        <v>-8774752</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6905811</v>
      </c>
      <c r="E20" s="491">
        <f t="shared" ref="E20:E39" si="18">F20-D20</f>
        <v>0</v>
      </c>
      <c r="F20" s="483">
        <v>6905811</v>
      </c>
      <c r="G20" s="492"/>
      <c r="H20" s="484">
        <v>1821917</v>
      </c>
      <c r="I20" s="485">
        <v>1721484</v>
      </c>
      <c r="J20" s="485">
        <v>1864308</v>
      </c>
      <c r="K20" s="485">
        <v>1502861</v>
      </c>
      <c r="L20" s="156"/>
      <c r="M20" s="147">
        <f t="shared" ref="M20:M39" si="19">SUM(H20:K20)</f>
        <v>6910570</v>
      </c>
      <c r="N20" s="172">
        <f>IFERROR(M20/F20,0)</f>
        <v>1.000689129777806</v>
      </c>
      <c r="O20" s="163"/>
      <c r="P20" s="118"/>
      <c r="Q20"/>
      <c r="R20"/>
      <c r="S20" s="159"/>
      <c r="T20" s="170" t="str">
        <f t="shared" ref="T20:T39" si="20">C20</f>
        <v>Education</v>
      </c>
      <c r="U20" s="146">
        <v>6905811.4100000001</v>
      </c>
      <c r="V20" s="150">
        <v>0</v>
      </c>
      <c r="W20" s="148">
        <v>6905811.4100000001</v>
      </c>
      <c r="X20" s="171"/>
      <c r="Y20" s="149">
        <v>1821917</v>
      </c>
      <c r="Z20" s="224">
        <v>1721483</v>
      </c>
      <c r="AA20" s="224"/>
      <c r="AB20" s="224"/>
      <c r="AC20" s="156"/>
      <c r="AD20" s="147">
        <v>3543400</v>
      </c>
      <c r="AE20" s="172">
        <v>0.51310407852565432</v>
      </c>
      <c r="AF20" s="163"/>
      <c r="AG20" s="118"/>
      <c r="AH20"/>
      <c r="AI20"/>
      <c r="AJ20" s="293"/>
      <c r="AK20" s="305" t="str">
        <f>C20</f>
        <v>Education</v>
      </c>
      <c r="AL20" s="279">
        <f t="shared" ref="AL20:AN33" si="21">IFERROR(U20-D20,0)</f>
        <v>0.41000000014901161</v>
      </c>
      <c r="AM20" s="280">
        <f t="shared" si="21"/>
        <v>0</v>
      </c>
      <c r="AN20" s="281">
        <f t="shared" si="21"/>
        <v>0.41000000014901161</v>
      </c>
      <c r="AO20" s="306"/>
      <c r="AP20" s="282">
        <f t="shared" ref="AP20:AS33" si="22">IFERROR(Y20-H20,0)</f>
        <v>0</v>
      </c>
      <c r="AQ20" s="283">
        <f t="shared" si="22"/>
        <v>-1</v>
      </c>
      <c r="AR20" s="283">
        <f t="shared" si="22"/>
        <v>-1864308</v>
      </c>
      <c r="AS20" s="283">
        <f t="shared" si="22"/>
        <v>-1502861</v>
      </c>
      <c r="AT20" s="289"/>
      <c r="AU20" s="283">
        <f t="shared" ref="AU20:AU33" si="23">IFERROR(AD20-M20,0)</f>
        <v>-3367170</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5197311</v>
      </c>
      <c r="E21" s="491">
        <f t="shared" si="18"/>
        <v>32880</v>
      </c>
      <c r="F21" s="483">
        <v>5230191</v>
      </c>
      <c r="G21" s="487"/>
      <c r="H21" s="484">
        <v>1376486</v>
      </c>
      <c r="I21" s="485">
        <v>1259130.2850000001</v>
      </c>
      <c r="J21" s="485">
        <v>1356379.09</v>
      </c>
      <c r="K21" s="485">
        <v>1192010</v>
      </c>
      <c r="L21" s="156"/>
      <c r="M21" s="147">
        <f t="shared" si="19"/>
        <v>5184005.375</v>
      </c>
      <c r="N21" s="172">
        <f t="shared" ref="N21:N39" si="25">IFERROR(M21/F21,0)</f>
        <v>0.991169419051809</v>
      </c>
      <c r="O21" s="163"/>
      <c r="P21" s="118"/>
      <c r="Q21"/>
      <c r="R21"/>
      <c r="S21" s="159"/>
      <c r="T21" s="170" t="str">
        <f t="shared" si="20"/>
        <v>Health</v>
      </c>
      <c r="U21" s="146">
        <v>5197311</v>
      </c>
      <c r="V21" s="150">
        <v>0</v>
      </c>
      <c r="W21" s="148">
        <v>5197311</v>
      </c>
      <c r="X21" s="152"/>
      <c r="Y21" s="149">
        <v>1376486</v>
      </c>
      <c r="Z21" s="224">
        <v>1259130.2850000001</v>
      </c>
      <c r="AA21" s="224"/>
      <c r="AB21" s="224"/>
      <c r="AC21" s="156"/>
      <c r="AD21" s="147">
        <v>2635616.2850000001</v>
      </c>
      <c r="AE21" s="172">
        <v>0.50711152074601662</v>
      </c>
      <c r="AF21" s="163"/>
      <c r="AG21" s="118"/>
      <c r="AH21"/>
      <c r="AI21"/>
      <c r="AJ21" s="293"/>
      <c r="AK21" s="305" t="str">
        <f t="shared" ref="AK21:AK39" si="26">C21</f>
        <v>Health</v>
      </c>
      <c r="AL21" s="279">
        <f t="shared" si="21"/>
        <v>0</v>
      </c>
      <c r="AM21" s="280">
        <f t="shared" si="21"/>
        <v>-32880</v>
      </c>
      <c r="AN21" s="281">
        <f t="shared" si="21"/>
        <v>-32880</v>
      </c>
      <c r="AO21" s="285"/>
      <c r="AP21" s="282">
        <f t="shared" si="22"/>
        <v>0</v>
      </c>
      <c r="AQ21" s="283">
        <f t="shared" si="22"/>
        <v>0</v>
      </c>
      <c r="AR21" s="283">
        <f t="shared" si="22"/>
        <v>-1356379.09</v>
      </c>
      <c r="AS21" s="283">
        <f t="shared" si="22"/>
        <v>-1192010</v>
      </c>
      <c r="AT21" s="289"/>
      <c r="AU21" s="283">
        <f t="shared" si="23"/>
        <v>-2548389.09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920594</v>
      </c>
      <c r="E22" s="491">
        <f t="shared" si="18"/>
        <v>4579</v>
      </c>
      <c r="F22" s="483">
        <v>925173</v>
      </c>
      <c r="G22" s="492"/>
      <c r="H22" s="484">
        <v>210383</v>
      </c>
      <c r="I22" s="485">
        <v>226672</v>
      </c>
      <c r="J22" s="485">
        <v>246069</v>
      </c>
      <c r="K22" s="485">
        <v>228063</v>
      </c>
      <c r="L22" s="156"/>
      <c r="M22" s="147">
        <f t="shared" si="19"/>
        <v>911187</v>
      </c>
      <c r="N22" s="172">
        <f t="shared" si="25"/>
        <v>0.98488282731986343</v>
      </c>
      <c r="O22" s="163"/>
      <c r="P22" s="118"/>
      <c r="S22" s="159"/>
      <c r="T22" s="170" t="str">
        <f t="shared" si="20"/>
        <v>Social Development</v>
      </c>
      <c r="U22" s="146">
        <v>920594</v>
      </c>
      <c r="V22" s="150">
        <v>0</v>
      </c>
      <c r="W22" s="148">
        <v>920594</v>
      </c>
      <c r="X22" s="171"/>
      <c r="Y22" s="149">
        <v>210383</v>
      </c>
      <c r="Z22" s="224">
        <v>226672</v>
      </c>
      <c r="AA22" s="224"/>
      <c r="AB22" s="224"/>
      <c r="AC22" s="156"/>
      <c r="AD22" s="147">
        <v>437055</v>
      </c>
      <c r="AE22" s="172">
        <v>0.47475325713615341</v>
      </c>
      <c r="AF22" s="163"/>
      <c r="AG22" s="118"/>
      <c r="AJ22" s="293"/>
      <c r="AK22" s="305" t="str">
        <f t="shared" si="26"/>
        <v>Social Development</v>
      </c>
      <c r="AL22" s="279">
        <f t="shared" si="21"/>
        <v>0</v>
      </c>
      <c r="AM22" s="280">
        <f t="shared" si="21"/>
        <v>-4579</v>
      </c>
      <c r="AN22" s="281">
        <f t="shared" si="21"/>
        <v>-4579</v>
      </c>
      <c r="AO22" s="306"/>
      <c r="AP22" s="282">
        <f t="shared" si="22"/>
        <v>0</v>
      </c>
      <c r="AQ22" s="283">
        <f t="shared" si="22"/>
        <v>0</v>
      </c>
      <c r="AR22" s="283">
        <f t="shared" si="22"/>
        <v>-246069</v>
      </c>
      <c r="AS22" s="283">
        <f t="shared" si="22"/>
        <v>-228063</v>
      </c>
      <c r="AT22" s="289"/>
      <c r="AU22" s="283">
        <f t="shared" si="23"/>
        <v>-474132</v>
      </c>
      <c r="AV22" s="290"/>
      <c r="AW22" s="297"/>
      <c r="AX22" s="118"/>
    </row>
    <row r="23" spans="1:79" ht="15.75" customHeight="1" x14ac:dyDescent="0.3">
      <c r="A23" s="446">
        <f t="shared" si="24"/>
        <v>1</v>
      </c>
      <c r="B23" s="159"/>
      <c r="C23" s="500" t="str">
        <f>PROPER("OFFICE OF THE PREMIER")</f>
        <v>Office Of The Premier</v>
      </c>
      <c r="D23" s="482">
        <v>273403</v>
      </c>
      <c r="E23" s="491">
        <f t="shared" si="18"/>
        <v>4606</v>
      </c>
      <c r="F23" s="483">
        <v>278009</v>
      </c>
      <c r="G23" s="493"/>
      <c r="H23" s="484">
        <v>91617</v>
      </c>
      <c r="I23" s="485">
        <v>55106</v>
      </c>
      <c r="J23" s="485">
        <v>57465</v>
      </c>
      <c r="K23" s="485">
        <v>56485</v>
      </c>
      <c r="L23" s="174"/>
      <c r="M23" s="147">
        <f t="shared" si="19"/>
        <v>260673</v>
      </c>
      <c r="N23" s="172">
        <f t="shared" si="25"/>
        <v>0.9376423065440328</v>
      </c>
      <c r="O23" s="163"/>
      <c r="P23" s="118"/>
      <c r="S23" s="159"/>
      <c r="T23" s="170" t="str">
        <f t="shared" si="20"/>
        <v>Office Of The Premier</v>
      </c>
      <c r="U23" s="146">
        <v>273403</v>
      </c>
      <c r="V23" s="150">
        <v>0</v>
      </c>
      <c r="W23" s="148">
        <v>273403</v>
      </c>
      <c r="X23" s="173"/>
      <c r="Y23" s="149">
        <v>91617</v>
      </c>
      <c r="Z23" s="224">
        <v>55106</v>
      </c>
      <c r="AA23" s="224"/>
      <c r="AB23" s="224"/>
      <c r="AC23" s="174"/>
      <c r="AD23" s="147">
        <v>146723</v>
      </c>
      <c r="AE23" s="172">
        <v>0.53665468191643839</v>
      </c>
      <c r="AF23" s="163"/>
      <c r="AG23" s="118"/>
      <c r="AJ23" s="293"/>
      <c r="AK23" s="305" t="str">
        <f t="shared" si="26"/>
        <v>Office Of The Premier</v>
      </c>
      <c r="AL23" s="279">
        <f t="shared" si="21"/>
        <v>0</v>
      </c>
      <c r="AM23" s="280">
        <f t="shared" si="21"/>
        <v>-4606</v>
      </c>
      <c r="AN23" s="281">
        <f t="shared" si="21"/>
        <v>-4606</v>
      </c>
      <c r="AO23" s="307"/>
      <c r="AP23" s="282">
        <f t="shared" si="22"/>
        <v>0</v>
      </c>
      <c r="AQ23" s="283">
        <f t="shared" si="22"/>
        <v>0</v>
      </c>
      <c r="AR23" s="283">
        <f t="shared" si="22"/>
        <v>-57465</v>
      </c>
      <c r="AS23" s="283">
        <f t="shared" si="22"/>
        <v>-56485</v>
      </c>
      <c r="AT23" s="308"/>
      <c r="AU23" s="283">
        <f t="shared" si="23"/>
        <v>-113950</v>
      </c>
      <c r="AV23" s="290"/>
      <c r="AW23" s="297"/>
      <c r="AX23" s="118"/>
    </row>
    <row r="24" spans="1:79" ht="15.75" customHeight="1" x14ac:dyDescent="0.3">
      <c r="A24" s="446">
        <f t="shared" si="24"/>
        <v>1</v>
      </c>
      <c r="B24" s="159"/>
      <c r="C24" s="500" t="str">
        <f>PROPER("PROVINCIAL LEGISLATURE")</f>
        <v>Provincial Legislature</v>
      </c>
      <c r="D24" s="482">
        <v>197929</v>
      </c>
      <c r="E24" s="491">
        <f t="shared" si="18"/>
        <v>28000</v>
      </c>
      <c r="F24" s="483">
        <v>225929</v>
      </c>
      <c r="G24" s="487"/>
      <c r="H24" s="484">
        <v>49830</v>
      </c>
      <c r="I24" s="485">
        <v>36393</v>
      </c>
      <c r="J24" s="485">
        <v>73961</v>
      </c>
      <c r="K24" s="485">
        <v>54455</v>
      </c>
      <c r="L24" s="156"/>
      <c r="M24" s="147">
        <f t="shared" si="19"/>
        <v>214639</v>
      </c>
      <c r="N24" s="172">
        <f t="shared" si="25"/>
        <v>0.95002854879187715</v>
      </c>
      <c r="O24" s="163"/>
      <c r="P24" s="118"/>
      <c r="S24" s="159"/>
      <c r="T24" s="170" t="str">
        <f t="shared" si="20"/>
        <v>Provincial Legislature</v>
      </c>
      <c r="U24" s="146">
        <v>197929</v>
      </c>
      <c r="V24" s="150">
        <v>0</v>
      </c>
      <c r="W24" s="148">
        <v>197929</v>
      </c>
      <c r="X24" s="152"/>
      <c r="Y24" s="149">
        <v>49830</v>
      </c>
      <c r="Z24" s="224">
        <v>36393</v>
      </c>
      <c r="AA24" s="224"/>
      <c r="AB24" s="224"/>
      <c r="AC24" s="156"/>
      <c r="AD24" s="147">
        <v>86223</v>
      </c>
      <c r="AE24" s="172">
        <v>0.43562590625931519</v>
      </c>
      <c r="AF24" s="163"/>
      <c r="AG24" s="118"/>
      <c r="AJ24" s="293"/>
      <c r="AK24" s="305" t="str">
        <f t="shared" si="26"/>
        <v>Provincial Legislature</v>
      </c>
      <c r="AL24" s="279">
        <f t="shared" si="21"/>
        <v>0</v>
      </c>
      <c r="AM24" s="280">
        <f t="shared" si="21"/>
        <v>-28000</v>
      </c>
      <c r="AN24" s="281">
        <f t="shared" si="21"/>
        <v>-28000</v>
      </c>
      <c r="AO24" s="285"/>
      <c r="AP24" s="282">
        <f t="shared" si="22"/>
        <v>0</v>
      </c>
      <c r="AQ24" s="283">
        <f t="shared" si="22"/>
        <v>0</v>
      </c>
      <c r="AR24" s="283">
        <f t="shared" si="22"/>
        <v>-73961</v>
      </c>
      <c r="AS24" s="283">
        <f t="shared" si="22"/>
        <v>-54455</v>
      </c>
      <c r="AT24" s="289"/>
      <c r="AU24" s="283">
        <f t="shared" si="23"/>
        <v>-128416</v>
      </c>
      <c r="AV24" s="290"/>
      <c r="AW24" s="297"/>
      <c r="AX24" s="118"/>
    </row>
    <row r="25" spans="1:79" ht="15.75" customHeight="1" x14ac:dyDescent="0.3">
      <c r="A25" s="446">
        <f t="shared" si="24"/>
        <v>1</v>
      </c>
      <c r="B25" s="159"/>
      <c r="C25" s="500" t="str">
        <f>PROPER("TRANSPORT, SAFETY AND LIAISON")</f>
        <v>Transport, Safety And Liaison</v>
      </c>
      <c r="D25" s="482">
        <v>309515</v>
      </c>
      <c r="E25" s="491">
        <f t="shared" si="18"/>
        <v>31276</v>
      </c>
      <c r="F25" s="483">
        <v>340791</v>
      </c>
      <c r="G25" s="487"/>
      <c r="H25" s="484">
        <v>92152</v>
      </c>
      <c r="I25" s="485">
        <v>79463</v>
      </c>
      <c r="J25" s="485">
        <v>86111</v>
      </c>
      <c r="K25" s="485">
        <v>78523</v>
      </c>
      <c r="L25" s="156"/>
      <c r="M25" s="147">
        <f t="shared" si="19"/>
        <v>336249</v>
      </c>
      <c r="N25" s="172">
        <f t="shared" si="25"/>
        <v>0.98667218324427586</v>
      </c>
      <c r="O25" s="163"/>
      <c r="P25" s="118"/>
      <c r="S25" s="159"/>
      <c r="T25" s="170" t="str">
        <f t="shared" si="20"/>
        <v>Transport, Safety And Liaison</v>
      </c>
      <c r="U25" s="146">
        <v>309515</v>
      </c>
      <c r="V25" s="150">
        <v>0</v>
      </c>
      <c r="W25" s="148">
        <v>309515</v>
      </c>
      <c r="X25" s="152"/>
      <c r="Y25" s="149">
        <v>92152</v>
      </c>
      <c r="Z25" s="224">
        <v>79463</v>
      </c>
      <c r="AA25" s="224"/>
      <c r="AB25" s="224"/>
      <c r="AC25" s="156"/>
      <c r="AD25" s="147">
        <v>171615</v>
      </c>
      <c r="AE25" s="172">
        <v>0.55446424244382342</v>
      </c>
      <c r="AF25" s="163"/>
      <c r="AG25" s="118"/>
      <c r="AJ25" s="293"/>
      <c r="AK25" s="305" t="str">
        <f t="shared" si="26"/>
        <v>Transport, Safety And Liaison</v>
      </c>
      <c r="AL25" s="279">
        <f t="shared" si="21"/>
        <v>0</v>
      </c>
      <c r="AM25" s="280">
        <f t="shared" si="21"/>
        <v>-31276</v>
      </c>
      <c r="AN25" s="281">
        <f t="shared" si="21"/>
        <v>-31276</v>
      </c>
      <c r="AO25" s="285"/>
      <c r="AP25" s="282">
        <f t="shared" si="22"/>
        <v>0</v>
      </c>
      <c r="AQ25" s="283">
        <f t="shared" si="22"/>
        <v>0</v>
      </c>
      <c r="AR25" s="283">
        <f t="shared" si="22"/>
        <v>-86111</v>
      </c>
      <c r="AS25" s="283">
        <f t="shared" si="22"/>
        <v>-78523</v>
      </c>
      <c r="AT25" s="289"/>
      <c r="AU25" s="283">
        <f t="shared" si="23"/>
        <v>-164634</v>
      </c>
      <c r="AV25" s="290"/>
      <c r="AW25" s="297"/>
      <c r="AX25" s="118"/>
    </row>
    <row r="26" spans="1:79" ht="15.75" customHeight="1" x14ac:dyDescent="0.3">
      <c r="A26" s="446">
        <f t="shared" si="24"/>
        <v>1</v>
      </c>
      <c r="B26" s="175"/>
      <c r="C26" s="500" t="str">
        <f>PROPER("ROADS AND PUBLIC WORKS ")</f>
        <v xml:space="preserve">Roads And Public Works </v>
      </c>
      <c r="D26" s="482">
        <v>1839387</v>
      </c>
      <c r="E26" s="491">
        <f t="shared" si="18"/>
        <v>74100</v>
      </c>
      <c r="F26" s="483">
        <v>1913487</v>
      </c>
      <c r="G26" s="494"/>
      <c r="H26" s="484">
        <v>398823</v>
      </c>
      <c r="I26" s="485">
        <v>455948</v>
      </c>
      <c r="J26" s="485">
        <v>787211</v>
      </c>
      <c r="K26" s="485">
        <v>270775</v>
      </c>
      <c r="L26" s="174"/>
      <c r="M26" s="147">
        <f t="shared" si="19"/>
        <v>1912757</v>
      </c>
      <c r="N26" s="172">
        <f t="shared" si="25"/>
        <v>0.99961849753878651</v>
      </c>
      <c r="O26" s="177"/>
      <c r="P26" s="118"/>
      <c r="S26" s="175"/>
      <c r="T26" s="170" t="str">
        <f t="shared" si="20"/>
        <v xml:space="preserve">Roads And Public Works </v>
      </c>
      <c r="U26" s="146">
        <v>1839387</v>
      </c>
      <c r="V26" s="150">
        <v>0</v>
      </c>
      <c r="W26" s="148">
        <v>1839387</v>
      </c>
      <c r="X26" s="176"/>
      <c r="Y26" s="149">
        <v>398823</v>
      </c>
      <c r="Z26" s="224">
        <v>455948</v>
      </c>
      <c r="AA26" s="224"/>
      <c r="AB26" s="224"/>
      <c r="AC26" s="174"/>
      <c r="AD26" s="147">
        <v>854771</v>
      </c>
      <c r="AE26" s="172">
        <v>0.46470427376076923</v>
      </c>
      <c r="AF26" s="177"/>
      <c r="AG26" s="118"/>
      <c r="AJ26" s="309"/>
      <c r="AK26" s="305" t="str">
        <f t="shared" si="26"/>
        <v xml:space="preserve">Roads And Public Works </v>
      </c>
      <c r="AL26" s="279">
        <f t="shared" si="21"/>
        <v>0</v>
      </c>
      <c r="AM26" s="280">
        <f t="shared" si="21"/>
        <v>-74100</v>
      </c>
      <c r="AN26" s="281">
        <f t="shared" si="21"/>
        <v>-74100</v>
      </c>
      <c r="AO26" s="310"/>
      <c r="AP26" s="282">
        <f t="shared" si="22"/>
        <v>0</v>
      </c>
      <c r="AQ26" s="283">
        <f t="shared" si="22"/>
        <v>0</v>
      </c>
      <c r="AR26" s="283">
        <f t="shared" si="22"/>
        <v>-787211</v>
      </c>
      <c r="AS26" s="283">
        <f t="shared" si="22"/>
        <v>-270775</v>
      </c>
      <c r="AT26" s="308"/>
      <c r="AU26" s="283">
        <f t="shared" si="23"/>
        <v>-1057986</v>
      </c>
      <c r="AV26" s="290"/>
      <c r="AW26" s="311"/>
      <c r="AX26" s="118"/>
    </row>
    <row r="27" spans="1:79" s="22" customFormat="1" ht="15.75" customHeight="1" x14ac:dyDescent="0.3">
      <c r="A27" s="446">
        <f t="shared" si="24"/>
        <v>1</v>
      </c>
      <c r="B27" s="159"/>
      <c r="C27" s="500" t="str">
        <f>PROPER("ECONOMIC DEVELOPMENT AND TOURISM")</f>
        <v>Economic Development And Tourism</v>
      </c>
      <c r="D27" s="482">
        <v>327997</v>
      </c>
      <c r="E27" s="491">
        <f t="shared" si="18"/>
        <v>-17028</v>
      </c>
      <c r="F27" s="483">
        <v>310969</v>
      </c>
      <c r="G27" s="487"/>
      <c r="H27" s="484">
        <v>70224</v>
      </c>
      <c r="I27" s="485">
        <v>73514</v>
      </c>
      <c r="J27" s="485">
        <v>84415</v>
      </c>
      <c r="K27" s="485">
        <v>74564</v>
      </c>
      <c r="L27" s="156"/>
      <c r="M27" s="147">
        <f t="shared" si="19"/>
        <v>302717</v>
      </c>
      <c r="N27" s="172">
        <f t="shared" si="25"/>
        <v>0.9734635928340124</v>
      </c>
      <c r="O27" s="163"/>
      <c r="P27" s="118"/>
      <c r="Q27"/>
      <c r="R27"/>
      <c r="S27" s="159"/>
      <c r="T27" s="170" t="str">
        <f t="shared" si="20"/>
        <v>Economic Development And Tourism</v>
      </c>
      <c r="U27" s="146">
        <v>327997</v>
      </c>
      <c r="V27" s="150">
        <v>0</v>
      </c>
      <c r="W27" s="148">
        <v>327997</v>
      </c>
      <c r="X27" s="152"/>
      <c r="Y27" s="149">
        <v>70224</v>
      </c>
      <c r="Z27" s="224">
        <v>73514</v>
      </c>
      <c r="AA27" s="224"/>
      <c r="AB27" s="224"/>
      <c r="AC27" s="156"/>
      <c r="AD27" s="147">
        <v>143738</v>
      </c>
      <c r="AE27" s="172">
        <v>0.43822961795382276</v>
      </c>
      <c r="AF27" s="163"/>
      <c r="AG27" s="118"/>
      <c r="AH27" s="61"/>
      <c r="AI27"/>
      <c r="AJ27" s="293"/>
      <c r="AK27" s="305" t="str">
        <f t="shared" si="26"/>
        <v>Economic Development And Tourism</v>
      </c>
      <c r="AL27" s="279">
        <f t="shared" si="21"/>
        <v>0</v>
      </c>
      <c r="AM27" s="280">
        <f t="shared" si="21"/>
        <v>17028</v>
      </c>
      <c r="AN27" s="281">
        <f t="shared" si="21"/>
        <v>17028</v>
      </c>
      <c r="AO27" s="285"/>
      <c r="AP27" s="282">
        <f t="shared" si="22"/>
        <v>0</v>
      </c>
      <c r="AQ27" s="283">
        <f t="shared" si="22"/>
        <v>0</v>
      </c>
      <c r="AR27" s="283">
        <f t="shared" si="22"/>
        <v>-84415</v>
      </c>
      <c r="AS27" s="283">
        <f t="shared" si="22"/>
        <v>-74564</v>
      </c>
      <c r="AT27" s="289"/>
      <c r="AU27" s="283">
        <f t="shared" si="23"/>
        <v>-158979</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PROPER("SPORT, ARTS AND CULTURE")</f>
        <v>Sport, Arts And Culture</v>
      </c>
      <c r="D28" s="482">
        <v>404882</v>
      </c>
      <c r="E28" s="491">
        <f t="shared" si="18"/>
        <v>723</v>
      </c>
      <c r="F28" s="483">
        <v>405605</v>
      </c>
      <c r="G28" s="487"/>
      <c r="H28" s="484">
        <v>80766</v>
      </c>
      <c r="I28" s="485">
        <v>106815</v>
      </c>
      <c r="J28" s="485">
        <v>109678</v>
      </c>
      <c r="K28" s="485">
        <v>96846</v>
      </c>
      <c r="L28" s="156"/>
      <c r="M28" s="147">
        <f t="shared" si="19"/>
        <v>394105</v>
      </c>
      <c r="N28" s="172">
        <f t="shared" si="25"/>
        <v>0.97164729231641622</v>
      </c>
      <c r="O28" s="163"/>
      <c r="P28" s="118"/>
      <c r="Q28"/>
      <c r="R28"/>
      <c r="S28" s="159"/>
      <c r="T28" s="170" t="str">
        <f t="shared" si="20"/>
        <v>Sport, Arts And Culture</v>
      </c>
      <c r="U28" s="146">
        <v>404882</v>
      </c>
      <c r="V28" s="150">
        <v>0</v>
      </c>
      <c r="W28" s="148">
        <v>404882</v>
      </c>
      <c r="X28" s="152"/>
      <c r="Y28" s="149">
        <v>80766</v>
      </c>
      <c r="Z28" s="224">
        <v>106815</v>
      </c>
      <c r="AA28" s="224"/>
      <c r="AB28" s="224"/>
      <c r="AC28" s="156"/>
      <c r="AD28" s="147">
        <v>187581</v>
      </c>
      <c r="AE28" s="172">
        <v>0.46329794853809259</v>
      </c>
      <c r="AF28" s="163"/>
      <c r="AG28" s="118"/>
      <c r="AH28" s="61"/>
      <c r="AI28"/>
      <c r="AJ28" s="293"/>
      <c r="AK28" s="305" t="str">
        <f t="shared" si="26"/>
        <v>Sport, Arts And Culture</v>
      </c>
      <c r="AL28" s="279">
        <f t="shared" si="21"/>
        <v>0</v>
      </c>
      <c r="AM28" s="280">
        <f t="shared" si="21"/>
        <v>-723</v>
      </c>
      <c r="AN28" s="281">
        <f t="shared" si="21"/>
        <v>-723</v>
      </c>
      <c r="AO28" s="285"/>
      <c r="AP28" s="282">
        <f t="shared" si="22"/>
        <v>0</v>
      </c>
      <c r="AQ28" s="283">
        <f t="shared" si="22"/>
        <v>0</v>
      </c>
      <c r="AR28" s="283">
        <f t="shared" si="22"/>
        <v>-109678</v>
      </c>
      <c r="AS28" s="283">
        <f t="shared" si="22"/>
        <v>-96846</v>
      </c>
      <c r="AT28" s="289"/>
      <c r="AU28" s="283">
        <f t="shared" si="23"/>
        <v>-206524</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PROPER("PROVINCIAL TREASURY")</f>
        <v>Provincial Treasury</v>
      </c>
      <c r="D29" s="482">
        <v>313606</v>
      </c>
      <c r="E29" s="491">
        <f t="shared" si="18"/>
        <v>-21398</v>
      </c>
      <c r="F29" s="483">
        <v>292208</v>
      </c>
      <c r="G29" s="487"/>
      <c r="H29" s="484">
        <v>68511</v>
      </c>
      <c r="I29" s="485">
        <v>74199</v>
      </c>
      <c r="J29" s="485">
        <v>70162</v>
      </c>
      <c r="K29" s="485">
        <v>68361</v>
      </c>
      <c r="L29" s="156"/>
      <c r="M29" s="147">
        <f t="shared" si="19"/>
        <v>281233</v>
      </c>
      <c r="N29" s="172">
        <f t="shared" si="25"/>
        <v>0.96244113781963536</v>
      </c>
      <c r="O29" s="163"/>
      <c r="P29" s="118"/>
      <c r="Q29"/>
      <c r="R29"/>
      <c r="S29" s="159"/>
      <c r="T29" s="170" t="str">
        <f t="shared" si="20"/>
        <v>Provincial Treasury</v>
      </c>
      <c r="U29" s="146">
        <v>313606</v>
      </c>
      <c r="V29" s="150">
        <v>0</v>
      </c>
      <c r="W29" s="148">
        <v>313606</v>
      </c>
      <c r="X29" s="152"/>
      <c r="Y29" s="149">
        <v>68508</v>
      </c>
      <c r="Z29" s="224">
        <v>74203</v>
      </c>
      <c r="AA29" s="224"/>
      <c r="AB29" s="224"/>
      <c r="AC29" s="156"/>
      <c r="AD29" s="147">
        <v>142711</v>
      </c>
      <c r="AE29" s="172">
        <v>0.45506463524294816</v>
      </c>
      <c r="AF29" s="163"/>
      <c r="AG29" s="118"/>
      <c r="AH29" s="61"/>
      <c r="AI29"/>
      <c r="AJ29" s="293"/>
      <c r="AK29" s="305" t="str">
        <f t="shared" si="26"/>
        <v>Provincial Treasury</v>
      </c>
      <c r="AL29" s="279">
        <f t="shared" si="21"/>
        <v>0</v>
      </c>
      <c r="AM29" s="280">
        <f t="shared" si="21"/>
        <v>21398</v>
      </c>
      <c r="AN29" s="281">
        <f t="shared" si="21"/>
        <v>21398</v>
      </c>
      <c r="AO29" s="285"/>
      <c r="AP29" s="282">
        <f t="shared" si="22"/>
        <v>-3</v>
      </c>
      <c r="AQ29" s="283">
        <f t="shared" si="22"/>
        <v>4</v>
      </c>
      <c r="AR29" s="283">
        <f t="shared" si="22"/>
        <v>-70162</v>
      </c>
      <c r="AS29" s="283">
        <f t="shared" si="22"/>
        <v>-68361</v>
      </c>
      <c r="AT29" s="289"/>
      <c r="AU29" s="283">
        <f t="shared" si="23"/>
        <v>-138522</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PROPER("COOPERATIVE GOVERNANCE, HUMAN SETTLEMENTS AND TRADITIONAL AFFAIRS")</f>
        <v>Cooperative Governance, Human Settlements And Traditional Affairs</v>
      </c>
      <c r="D30" s="482">
        <v>858851</v>
      </c>
      <c r="E30" s="491">
        <f t="shared" si="18"/>
        <v>-6078</v>
      </c>
      <c r="F30" s="483">
        <v>852773</v>
      </c>
      <c r="G30" s="492"/>
      <c r="H30" s="484">
        <v>130584</v>
      </c>
      <c r="I30" s="485">
        <v>196514</v>
      </c>
      <c r="J30" s="485">
        <v>273631</v>
      </c>
      <c r="K30" s="485">
        <v>248450</v>
      </c>
      <c r="L30" s="156"/>
      <c r="M30" s="147">
        <f t="shared" si="19"/>
        <v>849179</v>
      </c>
      <c r="N30" s="172">
        <f t="shared" si="25"/>
        <v>0.99578551384717851</v>
      </c>
      <c r="O30" s="177"/>
      <c r="P30" s="118"/>
      <c r="Q30"/>
      <c r="R30"/>
      <c r="S30" s="175"/>
      <c r="T30" s="170" t="str">
        <f t="shared" si="20"/>
        <v>Cooperative Governance, Human Settlements And Traditional Affairs</v>
      </c>
      <c r="U30" s="146">
        <v>858851</v>
      </c>
      <c r="V30" s="150">
        <v>0</v>
      </c>
      <c r="W30" s="148">
        <v>858851</v>
      </c>
      <c r="X30" s="171"/>
      <c r="Y30" s="149">
        <v>130584</v>
      </c>
      <c r="Z30" s="224">
        <v>196514</v>
      </c>
      <c r="AA30" s="224"/>
      <c r="AB30" s="224"/>
      <c r="AC30" s="156"/>
      <c r="AD30" s="147">
        <v>327098</v>
      </c>
      <c r="AE30" s="172">
        <v>0.38085535209250498</v>
      </c>
      <c r="AF30" s="177"/>
      <c r="AG30" s="118"/>
      <c r="AH30"/>
      <c r="AI30"/>
      <c r="AJ30" s="309"/>
      <c r="AK30" s="305" t="str">
        <f t="shared" si="26"/>
        <v>Cooperative Governance, Human Settlements And Traditional Affairs</v>
      </c>
      <c r="AL30" s="279">
        <f t="shared" si="21"/>
        <v>0</v>
      </c>
      <c r="AM30" s="280">
        <f t="shared" si="21"/>
        <v>6078</v>
      </c>
      <c r="AN30" s="281">
        <f t="shared" si="21"/>
        <v>6078</v>
      </c>
      <c r="AO30" s="306"/>
      <c r="AP30" s="282">
        <f t="shared" si="22"/>
        <v>0</v>
      </c>
      <c r="AQ30" s="283">
        <f t="shared" si="22"/>
        <v>0</v>
      </c>
      <c r="AR30" s="283">
        <f t="shared" si="22"/>
        <v>-273631</v>
      </c>
      <c r="AS30" s="283">
        <f t="shared" si="22"/>
        <v>-248450</v>
      </c>
      <c r="AT30" s="289"/>
      <c r="AU30" s="283">
        <f t="shared" si="23"/>
        <v>-522081</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PROPER("AGRICULTURE, LAND REFORM AND RURAL DEVELOPMENT")</f>
        <v>Agriculture, Land Reform And Rural Development</v>
      </c>
      <c r="D31" s="482">
        <v>538960</v>
      </c>
      <c r="E31" s="491">
        <f t="shared" si="18"/>
        <v>30450</v>
      </c>
      <c r="F31" s="483">
        <v>569410</v>
      </c>
      <c r="G31" s="487"/>
      <c r="H31" s="484">
        <v>142179</v>
      </c>
      <c r="I31" s="485">
        <v>125269</v>
      </c>
      <c r="J31" s="485">
        <v>158987</v>
      </c>
      <c r="K31" s="485">
        <v>139506</v>
      </c>
      <c r="L31" s="156"/>
      <c r="M31" s="147">
        <f t="shared" si="19"/>
        <v>565941</v>
      </c>
      <c r="N31" s="172">
        <f t="shared" si="25"/>
        <v>0.99390772905287927</v>
      </c>
      <c r="O31" s="163"/>
      <c r="P31" s="118"/>
      <c r="Q31"/>
      <c r="R31"/>
      <c r="S31" s="159"/>
      <c r="T31" s="170" t="str">
        <f t="shared" si="20"/>
        <v>Agriculture, Land Reform And Rural Development</v>
      </c>
      <c r="U31" s="146">
        <v>538960</v>
      </c>
      <c r="V31" s="150">
        <v>0</v>
      </c>
      <c r="W31" s="148">
        <v>538960</v>
      </c>
      <c r="X31" s="152"/>
      <c r="Y31" s="149">
        <v>142179</v>
      </c>
      <c r="Z31" s="224">
        <v>125269</v>
      </c>
      <c r="AA31" s="224"/>
      <c r="AB31" s="224"/>
      <c r="AC31" s="156"/>
      <c r="AD31" s="147">
        <v>267448</v>
      </c>
      <c r="AE31" s="172">
        <v>0.49622977586462819</v>
      </c>
      <c r="AF31" s="163"/>
      <c r="AG31" s="118"/>
      <c r="AH31"/>
      <c r="AI31"/>
      <c r="AJ31" s="293"/>
      <c r="AK31" s="305" t="str">
        <f t="shared" si="26"/>
        <v>Agriculture, Land Reform And Rural Development</v>
      </c>
      <c r="AL31" s="279">
        <f t="shared" si="21"/>
        <v>0</v>
      </c>
      <c r="AM31" s="280">
        <f t="shared" si="21"/>
        <v>-30450</v>
      </c>
      <c r="AN31" s="281">
        <f t="shared" si="21"/>
        <v>-30450</v>
      </c>
      <c r="AO31" s="285"/>
      <c r="AP31" s="282">
        <f t="shared" si="22"/>
        <v>0</v>
      </c>
      <c r="AQ31" s="283">
        <f t="shared" si="22"/>
        <v>0</v>
      </c>
      <c r="AR31" s="283">
        <f t="shared" si="22"/>
        <v>-158987</v>
      </c>
      <c r="AS31" s="283">
        <f t="shared" si="22"/>
        <v>-139506</v>
      </c>
      <c r="AT31" s="289"/>
      <c r="AU31" s="283">
        <f t="shared" si="23"/>
        <v>-298493</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PROPER("ENVIRONMENT AND NATURE CONSERVATION")</f>
        <v>Environment And Nature Conservation</v>
      </c>
      <c r="D32" s="482">
        <v>167170</v>
      </c>
      <c r="E32" s="491">
        <f t="shared" si="18"/>
        <v>-1553</v>
      </c>
      <c r="F32" s="483">
        <v>165617</v>
      </c>
      <c r="G32" s="487"/>
      <c r="H32" s="484">
        <v>35963</v>
      </c>
      <c r="I32" s="485">
        <v>40800</v>
      </c>
      <c r="J32" s="485">
        <v>39380</v>
      </c>
      <c r="K32" s="485">
        <v>46619</v>
      </c>
      <c r="L32" s="156"/>
      <c r="M32" s="147">
        <f t="shared" si="19"/>
        <v>162762</v>
      </c>
      <c r="N32" s="172">
        <f t="shared" si="25"/>
        <v>0.98276143149555906</v>
      </c>
      <c r="O32" s="163"/>
      <c r="P32" s="118"/>
      <c r="S32" s="159"/>
      <c r="T32" s="170" t="str">
        <f t="shared" si="20"/>
        <v>Environment And Nature Conservation</v>
      </c>
      <c r="U32" s="146">
        <v>167170</v>
      </c>
      <c r="V32" s="150">
        <v>0</v>
      </c>
      <c r="W32" s="148">
        <v>167170</v>
      </c>
      <c r="X32" s="152"/>
      <c r="Y32" s="149">
        <v>35963</v>
      </c>
      <c r="Z32" s="224">
        <v>40800</v>
      </c>
      <c r="AA32" s="224"/>
      <c r="AB32" s="224"/>
      <c r="AC32" s="156"/>
      <c r="AD32" s="147">
        <v>76763</v>
      </c>
      <c r="AE32" s="172">
        <v>0.45919124244780762</v>
      </c>
      <c r="AF32" s="163"/>
      <c r="AG32" s="118"/>
      <c r="AJ32" s="293"/>
      <c r="AK32" s="305" t="str">
        <f t="shared" si="26"/>
        <v>Environment And Nature Conservation</v>
      </c>
      <c r="AL32" s="279">
        <f t="shared" si="21"/>
        <v>0</v>
      </c>
      <c r="AM32" s="280">
        <f t="shared" si="21"/>
        <v>1553</v>
      </c>
      <c r="AN32" s="281">
        <f t="shared" si="21"/>
        <v>1553</v>
      </c>
      <c r="AO32" s="285"/>
      <c r="AP32" s="282">
        <f t="shared" si="22"/>
        <v>0</v>
      </c>
      <c r="AQ32" s="283">
        <f t="shared" si="22"/>
        <v>0</v>
      </c>
      <c r="AR32" s="283">
        <f t="shared" si="22"/>
        <v>-39380</v>
      </c>
      <c r="AS32" s="283">
        <f t="shared" si="22"/>
        <v>-46619</v>
      </c>
      <c r="AT32" s="289"/>
      <c r="AU32" s="283">
        <f t="shared" si="23"/>
        <v>-85999</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18255416</v>
      </c>
      <c r="E41" s="179">
        <f t="shared" ref="E41:F41" si="31">SUM(E20:E39)</f>
        <v>160557</v>
      </c>
      <c r="F41" s="166">
        <f t="shared" si="31"/>
        <v>18415973</v>
      </c>
      <c r="G41" s="165"/>
      <c r="H41" s="436">
        <f t="shared" ref="H41:I41" si="32">SUM(H20:H39)</f>
        <v>4569435</v>
      </c>
      <c r="I41" s="437">
        <f t="shared" si="32"/>
        <v>4451307.2850000001</v>
      </c>
      <c r="J41" s="437">
        <f t="shared" ref="J41:K41" si="33">SUM(J20:J39)</f>
        <v>5207757.09</v>
      </c>
      <c r="K41" s="438">
        <f t="shared" si="33"/>
        <v>4057518</v>
      </c>
      <c r="L41" s="156"/>
      <c r="M41" s="168">
        <f>SUM(M20:M39)</f>
        <v>18286017.375</v>
      </c>
      <c r="N41" s="180">
        <f>IFERROR(M41/F41,0)</f>
        <v>0.9929433201818878</v>
      </c>
      <c r="O41" s="595"/>
      <c r="P41" s="594"/>
      <c r="Q41"/>
      <c r="R41"/>
      <c r="S41" s="119"/>
      <c r="T41" s="164" t="s">
        <v>12</v>
      </c>
      <c r="U41" s="165">
        <v>18255416.41</v>
      </c>
      <c r="V41" s="179">
        <v>0</v>
      </c>
      <c r="W41" s="166">
        <v>18255416.41</v>
      </c>
      <c r="X41" s="165"/>
      <c r="Y41" s="436">
        <v>4569432</v>
      </c>
      <c r="Z41" s="437">
        <v>4451310.2850000001</v>
      </c>
      <c r="AA41" s="437">
        <v>0</v>
      </c>
      <c r="AB41" s="438" t="s">
        <v>52</v>
      </c>
      <c r="AC41" s="156"/>
      <c r="AD41" s="168">
        <v>9020742.2850000001</v>
      </c>
      <c r="AE41" s="180">
        <v>0.49414059270971183</v>
      </c>
      <c r="AF41" s="163"/>
      <c r="AG41" s="118"/>
      <c r="AH41"/>
      <c r="AI41"/>
      <c r="AJ41" s="248"/>
      <c r="AK41" s="298" t="s">
        <v>12</v>
      </c>
      <c r="AL41" s="299">
        <f>SUM(AL20:AL39)</f>
        <v>0.41000000014901161</v>
      </c>
      <c r="AM41" s="313">
        <f t="shared" ref="AM41" si="34">SUM(AM20:AM39)</f>
        <v>-160557</v>
      </c>
      <c r="AN41" s="300">
        <f>SUM(AN20:AN39)</f>
        <v>-160556.58999999985</v>
      </c>
      <c r="AO41" s="299"/>
      <c r="AP41" s="301">
        <f>SUM(AP20:AP39)</f>
        <v>-3</v>
      </c>
      <c r="AQ41" s="302">
        <f t="shared" ref="AQ41:AS41" si="35">SUM(AQ20:AQ39)</f>
        <v>3</v>
      </c>
      <c r="AR41" s="302">
        <f t="shared" si="35"/>
        <v>-5207757.09</v>
      </c>
      <c r="AS41" s="302">
        <f t="shared" si="35"/>
        <v>-4057518</v>
      </c>
      <c r="AT41" s="289"/>
      <c r="AU41" s="302">
        <f>SUM(AU20:AU39)</f>
        <v>-9265275.0899999999</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15243605.896642273</v>
      </c>
      <c r="E44" s="156">
        <f t="shared" ref="E44:M44" si="36">SUM(E45:E47)</f>
        <v>232356.00000000093</v>
      </c>
      <c r="F44" s="153">
        <f t="shared" si="36"/>
        <v>15475961.896642275</v>
      </c>
      <c r="G44" s="152">
        <f t="shared" si="36"/>
        <v>0</v>
      </c>
      <c r="H44" s="154">
        <f t="shared" si="36"/>
        <v>3855200</v>
      </c>
      <c r="I44" s="155">
        <f t="shared" ref="I44" si="37">SUM(I45:I47)</f>
        <v>3827000.1929999995</v>
      </c>
      <c r="J44" s="155">
        <f t="shared" ref="J44:K44" si="38">SUM(J45:J47)</f>
        <v>4279168.5279999999</v>
      </c>
      <c r="K44" s="155">
        <f t="shared" si="38"/>
        <v>3418886</v>
      </c>
      <c r="L44" s="156"/>
      <c r="M44" s="155">
        <f t="shared" si="36"/>
        <v>15380254.721000001</v>
      </c>
      <c r="N44" s="183">
        <f t="shared" ref="N44:N64" si="39">IFERROR(M44/F44,0)</f>
        <v>0.99381575269560207</v>
      </c>
      <c r="O44" s="595"/>
      <c r="P44" s="478"/>
      <c r="Q44"/>
      <c r="R44"/>
      <c r="S44" s="159"/>
      <c r="T44" s="182" t="str">
        <f t="shared" ref="T44:T64" si="40">C44</f>
        <v>Current payments</v>
      </c>
      <c r="U44" s="152">
        <v>15243606.399999999</v>
      </c>
      <c r="V44" s="156">
        <v>0</v>
      </c>
      <c r="W44" s="153">
        <v>15243606.399999999</v>
      </c>
      <c r="X44" s="152">
        <v>0</v>
      </c>
      <c r="Y44" s="154">
        <v>3855197</v>
      </c>
      <c r="Z44" s="155">
        <v>3826999.1929999995</v>
      </c>
      <c r="AA44" s="155">
        <v>0</v>
      </c>
      <c r="AB44" s="155">
        <v>0</v>
      </c>
      <c r="AC44" s="156"/>
      <c r="AD44" s="155">
        <v>7682196.193</v>
      </c>
      <c r="AE44" s="172">
        <v>0.50396185728070231</v>
      </c>
      <c r="AF44" s="163"/>
      <c r="AG44" s="181"/>
      <c r="AH44"/>
      <c r="AI44"/>
      <c r="AJ44" s="293"/>
      <c r="AK44" s="314" t="s">
        <v>0</v>
      </c>
      <c r="AL44" s="285">
        <f>SUM(AL45:AL47)</f>
        <v>0.503357726149261</v>
      </c>
      <c r="AM44" s="289">
        <f t="shared" ref="AM44:AO44" si="41">SUM(AM45:AM47)</f>
        <v>-232356.00000000093</v>
      </c>
      <c r="AN44" s="286">
        <f>SUM(AN45:AN47)</f>
        <v>-232355.49664227478</v>
      </c>
      <c r="AO44" s="285">
        <f t="shared" si="41"/>
        <v>0</v>
      </c>
      <c r="AP44" s="287">
        <f>SUM(AP45:AP47)</f>
        <v>-3</v>
      </c>
      <c r="AQ44" s="288">
        <f t="shared" ref="AQ44:AS44" si="42">SUM(AQ45:AQ47)</f>
        <v>-1</v>
      </c>
      <c r="AR44" s="288">
        <f t="shared" si="42"/>
        <v>-4279168.5279999999</v>
      </c>
      <c r="AS44" s="288">
        <f t="shared" si="42"/>
        <v>-3418886</v>
      </c>
      <c r="AT44" s="289"/>
      <c r="AU44" s="288">
        <f t="shared" ref="AU44" si="43">SUM(AU45:AU47)</f>
        <v>-7698058.5280000009</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10835887.172642274</v>
      </c>
      <c r="E45" s="491">
        <f t="shared" ref="E45:E47" si="44">F45-D45</f>
        <v>-58962</v>
      </c>
      <c r="F45" s="483">
        <v>10776925.172642274</v>
      </c>
      <c r="G45" s="482"/>
      <c r="H45" s="484">
        <v>2641322</v>
      </c>
      <c r="I45" s="485">
        <v>2651813.227</v>
      </c>
      <c r="J45" s="485">
        <v>2772076.04</v>
      </c>
      <c r="K45" s="485">
        <v>2588413</v>
      </c>
      <c r="L45" s="156"/>
      <c r="M45" s="147">
        <f t="shared" ref="M45:M47" si="45">SUM(H45:K45)</f>
        <v>10653624.267000001</v>
      </c>
      <c r="N45" s="172">
        <f t="shared" si="39"/>
        <v>0.98855880469920321</v>
      </c>
      <c r="O45" s="163"/>
      <c r="P45" s="181"/>
      <c r="Q45"/>
      <c r="R45"/>
      <c r="S45" s="159"/>
      <c r="T45" s="157" t="str">
        <f t="shared" si="40"/>
        <v>Compensation of employees</v>
      </c>
      <c r="U45" s="146">
        <v>10835887.16</v>
      </c>
      <c r="V45" s="150">
        <v>0</v>
      </c>
      <c r="W45" s="148">
        <v>10835887.16</v>
      </c>
      <c r="X45" s="146"/>
      <c r="Y45" s="149">
        <v>2641322</v>
      </c>
      <c r="Z45" s="224">
        <v>2651812.227</v>
      </c>
      <c r="AA45" s="224"/>
      <c r="AB45" s="224"/>
      <c r="AC45" s="156"/>
      <c r="AD45" s="147">
        <v>5293134.227</v>
      </c>
      <c r="AE45" s="172">
        <v>0.48848185190957633</v>
      </c>
      <c r="AF45" s="163"/>
      <c r="AG45" s="181"/>
      <c r="AH45"/>
      <c r="AI45"/>
      <c r="AJ45" s="293"/>
      <c r="AK45" s="291" t="s">
        <v>54</v>
      </c>
      <c r="AL45" s="279">
        <f t="shared" ref="AL45:AN47" si="46">IFERROR(U45-D45,0)</f>
        <v>-1.2642273679375648E-2</v>
      </c>
      <c r="AM45" s="280">
        <f t="shared" si="46"/>
        <v>58962</v>
      </c>
      <c r="AN45" s="281">
        <f t="shared" si="46"/>
        <v>58961.987357726321</v>
      </c>
      <c r="AO45" s="279"/>
      <c r="AP45" s="282">
        <f t="shared" ref="AP45:AS47" si="47">IFERROR(Y45-H45,0)</f>
        <v>0</v>
      </c>
      <c r="AQ45" s="283">
        <f t="shared" si="47"/>
        <v>-1</v>
      </c>
      <c r="AR45" s="283">
        <f t="shared" si="47"/>
        <v>-2772076.04</v>
      </c>
      <c r="AS45" s="283">
        <f t="shared" si="47"/>
        <v>-2588413</v>
      </c>
      <c r="AT45" s="289"/>
      <c r="AU45" s="283">
        <f t="shared" ref="AU45:AU47" si="48">IFERROR(AD45-M45,0)</f>
        <v>-5360490.040000001</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4407568.7239999995</v>
      </c>
      <c r="E46" s="491">
        <f t="shared" si="44"/>
        <v>290934.00000000093</v>
      </c>
      <c r="F46" s="483">
        <v>4698502.7240000004</v>
      </c>
      <c r="G46" s="482"/>
      <c r="H46" s="484">
        <v>1212837</v>
      </c>
      <c r="I46" s="485">
        <v>1174558.777</v>
      </c>
      <c r="J46" s="485">
        <v>1504383.628</v>
      </c>
      <c r="K46" s="485">
        <v>826239</v>
      </c>
      <c r="L46" s="156"/>
      <c r="M46" s="147">
        <f t="shared" si="45"/>
        <v>4718018.4049999993</v>
      </c>
      <c r="N46" s="172">
        <f t="shared" si="39"/>
        <v>1.0041535957615417</v>
      </c>
      <c r="O46" s="163"/>
      <c r="P46" s="181"/>
      <c r="Q46"/>
      <c r="R46"/>
      <c r="S46" s="159"/>
      <c r="T46" s="157" t="str">
        <f t="shared" si="40"/>
        <v>Goods and services</v>
      </c>
      <c r="U46" s="146">
        <v>4407569.2399999993</v>
      </c>
      <c r="V46" s="150">
        <v>0</v>
      </c>
      <c r="W46" s="148">
        <v>4407569.2399999993</v>
      </c>
      <c r="X46" s="146"/>
      <c r="Y46" s="149">
        <v>1212834</v>
      </c>
      <c r="Z46" s="224">
        <v>1174557.777</v>
      </c>
      <c r="AA46" s="224"/>
      <c r="AB46" s="224"/>
      <c r="AC46" s="156"/>
      <c r="AD46" s="147">
        <v>2387391.7769999998</v>
      </c>
      <c r="AE46" s="172">
        <v>0.54165723713055047</v>
      </c>
      <c r="AF46" s="163"/>
      <c r="AG46" s="181"/>
      <c r="AH46"/>
      <c r="AI46"/>
      <c r="AJ46" s="293"/>
      <c r="AK46" s="291" t="s">
        <v>55</v>
      </c>
      <c r="AL46" s="279">
        <f t="shared" si="46"/>
        <v>0.51599999982863665</v>
      </c>
      <c r="AM46" s="280">
        <f t="shared" si="46"/>
        <v>-290934.00000000093</v>
      </c>
      <c r="AN46" s="281">
        <f t="shared" si="46"/>
        <v>-290933.4840000011</v>
      </c>
      <c r="AO46" s="279"/>
      <c r="AP46" s="282">
        <f t="shared" si="47"/>
        <v>-3</v>
      </c>
      <c r="AQ46" s="283">
        <f t="shared" si="47"/>
        <v>-1</v>
      </c>
      <c r="AR46" s="283">
        <f t="shared" si="47"/>
        <v>-1504383.628</v>
      </c>
      <c r="AS46" s="283">
        <f t="shared" si="47"/>
        <v>-826239</v>
      </c>
      <c r="AT46" s="289"/>
      <c r="AU46" s="283">
        <f t="shared" si="48"/>
        <v>-2330626.6279999996</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150</v>
      </c>
      <c r="E47" s="491">
        <f t="shared" si="44"/>
        <v>384</v>
      </c>
      <c r="F47" s="483">
        <v>534</v>
      </c>
      <c r="G47" s="482"/>
      <c r="H47" s="484">
        <v>1041</v>
      </c>
      <c r="I47" s="485">
        <v>628.18899999999996</v>
      </c>
      <c r="J47" s="485">
        <v>2708.8599999999997</v>
      </c>
      <c r="K47" s="485">
        <v>4234</v>
      </c>
      <c r="L47" s="156"/>
      <c r="M47" s="147">
        <f t="shared" si="45"/>
        <v>8612.0489999999991</v>
      </c>
      <c r="N47" s="172">
        <f t="shared" si="39"/>
        <v>16.127432584269663</v>
      </c>
      <c r="O47" s="163"/>
      <c r="P47" s="181"/>
      <c r="Q47"/>
      <c r="R47"/>
      <c r="S47" s="159"/>
      <c r="T47" s="157" t="str">
        <f t="shared" si="40"/>
        <v>Interest and rent on land</v>
      </c>
      <c r="U47" s="146">
        <v>150</v>
      </c>
      <c r="V47" s="150">
        <v>0</v>
      </c>
      <c r="W47" s="148">
        <v>150</v>
      </c>
      <c r="X47" s="146"/>
      <c r="Y47" s="149">
        <v>1041</v>
      </c>
      <c r="Z47" s="224">
        <v>629.18899999999996</v>
      </c>
      <c r="AA47" s="224"/>
      <c r="AB47" s="224"/>
      <c r="AC47" s="156"/>
      <c r="AD47" s="147">
        <v>1670.1889999999999</v>
      </c>
      <c r="AE47" s="172">
        <v>11.134593333333333</v>
      </c>
      <c r="AF47" s="163"/>
      <c r="AG47" s="181"/>
      <c r="AH47"/>
      <c r="AI47"/>
      <c r="AJ47" s="293"/>
      <c r="AK47" s="291" t="s">
        <v>56</v>
      </c>
      <c r="AL47" s="279">
        <f t="shared" si="46"/>
        <v>0</v>
      </c>
      <c r="AM47" s="280">
        <f t="shared" si="46"/>
        <v>-384</v>
      </c>
      <c r="AN47" s="281">
        <f t="shared" si="46"/>
        <v>-384</v>
      </c>
      <c r="AO47" s="279"/>
      <c r="AP47" s="282">
        <f t="shared" si="47"/>
        <v>0</v>
      </c>
      <c r="AQ47" s="283">
        <f t="shared" si="47"/>
        <v>1</v>
      </c>
      <c r="AR47" s="283">
        <f t="shared" si="47"/>
        <v>-2708.8599999999997</v>
      </c>
      <c r="AS47" s="283">
        <f t="shared" si="47"/>
        <v>-4234</v>
      </c>
      <c r="AT47" s="289"/>
      <c r="AU47" s="283">
        <f t="shared" si="48"/>
        <v>-6941.8599999999988</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1813971</v>
      </c>
      <c r="E48" s="156">
        <f t="shared" ref="E48:M48" si="49">SUM(E49:E55)</f>
        <v>-73617</v>
      </c>
      <c r="F48" s="153">
        <f t="shared" si="49"/>
        <v>1740354</v>
      </c>
      <c r="G48" s="152">
        <f t="shared" si="49"/>
        <v>0</v>
      </c>
      <c r="H48" s="154">
        <f t="shared" si="49"/>
        <v>468011</v>
      </c>
      <c r="I48" s="155">
        <f t="shared" ref="I48" si="50">SUM(I49:I55)</f>
        <v>375195.19799999997</v>
      </c>
      <c r="J48" s="155">
        <f t="shared" ref="J48:K48" si="51">SUM(J49:J55)</f>
        <v>555139.74900000007</v>
      </c>
      <c r="K48" s="155">
        <f t="shared" si="51"/>
        <v>365483</v>
      </c>
      <c r="L48" s="156"/>
      <c r="M48" s="155">
        <f t="shared" si="49"/>
        <v>1763828.9470000002</v>
      </c>
      <c r="N48" s="183">
        <f t="shared" si="39"/>
        <v>1.0134886046172216</v>
      </c>
      <c r="O48" s="595"/>
      <c r="P48" s="478"/>
      <c r="Q48"/>
      <c r="R48"/>
      <c r="S48" s="159"/>
      <c r="T48" s="182" t="str">
        <f t="shared" si="40"/>
        <v>Transfers and subsidies</v>
      </c>
      <c r="U48" s="152">
        <v>1813971</v>
      </c>
      <c r="V48" s="156">
        <v>0</v>
      </c>
      <c r="W48" s="153">
        <v>1813971</v>
      </c>
      <c r="X48" s="152">
        <v>0</v>
      </c>
      <c r="Y48" s="154">
        <v>468010</v>
      </c>
      <c r="Z48" s="155">
        <v>375198.19799999997</v>
      </c>
      <c r="AA48" s="155">
        <v>0</v>
      </c>
      <c r="AB48" s="155">
        <v>0</v>
      </c>
      <c r="AC48" s="156"/>
      <c r="AD48" s="155">
        <v>843208.19799999997</v>
      </c>
      <c r="AE48" s="183">
        <v>0.46484105754722649</v>
      </c>
      <c r="AF48" s="163"/>
      <c r="AG48" s="181"/>
      <c r="AH48"/>
      <c r="AI48"/>
      <c r="AJ48" s="293"/>
      <c r="AK48" s="314" t="s">
        <v>1</v>
      </c>
      <c r="AL48" s="285">
        <f>SUM(AL49:AL55)</f>
        <v>0</v>
      </c>
      <c r="AM48" s="289">
        <f t="shared" ref="AM48:AO48" si="52">SUM(AM49:AM55)</f>
        <v>73617</v>
      </c>
      <c r="AN48" s="286">
        <f>SUM(AN49:AN55)</f>
        <v>73617</v>
      </c>
      <c r="AO48" s="285">
        <f t="shared" si="52"/>
        <v>0</v>
      </c>
      <c r="AP48" s="287">
        <f>SUM(AP49:AP55)</f>
        <v>-1</v>
      </c>
      <c r="AQ48" s="288">
        <f t="shared" ref="AQ48:AS48" si="53">SUM(AQ49:AQ55)</f>
        <v>3</v>
      </c>
      <c r="AR48" s="288">
        <f t="shared" si="53"/>
        <v>-555139.74900000007</v>
      </c>
      <c r="AS48" s="288">
        <f t="shared" si="53"/>
        <v>-365483</v>
      </c>
      <c r="AT48" s="289"/>
      <c r="AU48" s="288">
        <f t="shared" ref="AU48" si="54">SUM(AU49:AU55)</f>
        <v>-920620.74900000007</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177952</v>
      </c>
      <c r="E49" s="491">
        <f t="shared" ref="E49:E55" si="55">F49-D49</f>
        <v>43336</v>
      </c>
      <c r="F49" s="483">
        <v>221288</v>
      </c>
      <c r="G49" s="482"/>
      <c r="H49" s="484">
        <v>52518</v>
      </c>
      <c r="I49" s="485">
        <v>11172</v>
      </c>
      <c r="J49" s="485">
        <v>102025.266</v>
      </c>
      <c r="K49" s="485">
        <v>49601</v>
      </c>
      <c r="L49" s="156"/>
      <c r="M49" s="147">
        <f t="shared" ref="M49:M55" si="56">SUM(H49:K49)</f>
        <v>215316.266</v>
      </c>
      <c r="N49" s="172">
        <f t="shared" si="39"/>
        <v>0.97301374679151154</v>
      </c>
      <c r="O49" s="163"/>
      <c r="P49" s="181"/>
      <c r="Q49"/>
      <c r="R49"/>
      <c r="S49" s="159"/>
      <c r="T49" s="157" t="str">
        <f t="shared" si="40"/>
        <v>Provinces and municipalities</v>
      </c>
      <c r="U49" s="146">
        <v>177952</v>
      </c>
      <c r="V49" s="150">
        <v>0</v>
      </c>
      <c r="W49" s="148">
        <v>177952</v>
      </c>
      <c r="X49" s="146"/>
      <c r="Y49" s="149">
        <v>52518</v>
      </c>
      <c r="Z49" s="224">
        <v>11174</v>
      </c>
      <c r="AA49" s="224"/>
      <c r="AB49" s="224"/>
      <c r="AC49" s="156"/>
      <c r="AD49" s="147">
        <v>63692</v>
      </c>
      <c r="AE49" s="172">
        <v>0.35791674159323861</v>
      </c>
      <c r="AF49" s="163"/>
      <c r="AG49" s="181"/>
      <c r="AH49"/>
      <c r="AI49"/>
      <c r="AJ49" s="293"/>
      <c r="AK49" s="291" t="s">
        <v>57</v>
      </c>
      <c r="AL49" s="279">
        <f t="shared" ref="AL49:AN55" si="57">IFERROR(U49-D49,0)</f>
        <v>0</v>
      </c>
      <c r="AM49" s="280">
        <f t="shared" si="57"/>
        <v>-43336</v>
      </c>
      <c r="AN49" s="281">
        <f t="shared" si="57"/>
        <v>-43336</v>
      </c>
      <c r="AO49" s="279"/>
      <c r="AP49" s="282">
        <f t="shared" ref="AP49:AS55" si="58">IFERROR(Y49-H49,0)</f>
        <v>0</v>
      </c>
      <c r="AQ49" s="283">
        <f t="shared" si="58"/>
        <v>2</v>
      </c>
      <c r="AR49" s="283">
        <f t="shared" si="58"/>
        <v>-102025.266</v>
      </c>
      <c r="AS49" s="283">
        <f t="shared" si="58"/>
        <v>-49601</v>
      </c>
      <c r="AT49" s="289"/>
      <c r="AU49" s="283">
        <f t="shared" ref="AU49:AU55" si="59">IFERROR(AD49-M49,0)</f>
        <v>-151624.266</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117378</v>
      </c>
      <c r="E50" s="491">
        <f t="shared" si="55"/>
        <v>-995</v>
      </c>
      <c r="F50" s="483">
        <v>116383</v>
      </c>
      <c r="G50" s="482"/>
      <c r="H50" s="484">
        <v>38738</v>
      </c>
      <c r="I50" s="485">
        <v>30412</v>
      </c>
      <c r="J50" s="485">
        <v>30064</v>
      </c>
      <c r="K50" s="485">
        <v>28912</v>
      </c>
      <c r="L50" s="156"/>
      <c r="M50" s="147">
        <f t="shared" si="56"/>
        <v>128126</v>
      </c>
      <c r="N50" s="172">
        <f t="shared" si="39"/>
        <v>1.1008996159232878</v>
      </c>
      <c r="O50" s="163"/>
      <c r="P50" s="181"/>
      <c r="Q50"/>
      <c r="R50"/>
      <c r="S50" s="159"/>
      <c r="T50" s="157" t="str">
        <f t="shared" si="40"/>
        <v>Departmental agencies and accounts</v>
      </c>
      <c r="U50" s="146">
        <v>117378</v>
      </c>
      <c r="V50" s="150">
        <v>0</v>
      </c>
      <c r="W50" s="148">
        <v>117378</v>
      </c>
      <c r="X50" s="146"/>
      <c r="Y50" s="149">
        <v>38738</v>
      </c>
      <c r="Z50" s="224">
        <v>27912</v>
      </c>
      <c r="AA50" s="224"/>
      <c r="AB50" s="224"/>
      <c r="AC50" s="156"/>
      <c r="AD50" s="147">
        <v>66650</v>
      </c>
      <c r="AE50" s="172">
        <v>0.56782361260202086</v>
      </c>
      <c r="AF50" s="163"/>
      <c r="AG50" s="181"/>
      <c r="AH50"/>
      <c r="AI50"/>
      <c r="AJ50" s="293"/>
      <c r="AK50" s="291" t="s">
        <v>58</v>
      </c>
      <c r="AL50" s="279">
        <f t="shared" si="57"/>
        <v>0</v>
      </c>
      <c r="AM50" s="280">
        <f t="shared" si="57"/>
        <v>995</v>
      </c>
      <c r="AN50" s="281">
        <f t="shared" si="57"/>
        <v>995</v>
      </c>
      <c r="AO50" s="279"/>
      <c r="AP50" s="282">
        <f t="shared" si="58"/>
        <v>0</v>
      </c>
      <c r="AQ50" s="283">
        <f t="shared" si="58"/>
        <v>-2500</v>
      </c>
      <c r="AR50" s="283">
        <f t="shared" si="58"/>
        <v>-30064</v>
      </c>
      <c r="AS50" s="283">
        <f t="shared" si="58"/>
        <v>-28912</v>
      </c>
      <c r="AT50" s="289"/>
      <c r="AU50" s="283">
        <f t="shared" si="59"/>
        <v>-61476</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3788</v>
      </c>
      <c r="E51" s="491">
        <f t="shared" si="55"/>
        <v>-1318</v>
      </c>
      <c r="F51" s="483">
        <v>2470</v>
      </c>
      <c r="G51" s="482"/>
      <c r="H51" s="484">
        <v>0</v>
      </c>
      <c r="I51" s="485">
        <v>0</v>
      </c>
      <c r="J51" s="485">
        <v>0</v>
      </c>
      <c r="K51" s="485">
        <v>800</v>
      </c>
      <c r="L51" s="156"/>
      <c r="M51" s="147">
        <f t="shared" si="56"/>
        <v>800</v>
      </c>
      <c r="N51" s="172">
        <f t="shared" si="39"/>
        <v>0.32388663967611336</v>
      </c>
      <c r="O51" s="163"/>
      <c r="P51" s="181"/>
      <c r="Q51"/>
      <c r="R51"/>
      <c r="S51" s="159"/>
      <c r="T51" s="157" t="str">
        <f t="shared" si="40"/>
        <v>Higher education and institutions</v>
      </c>
      <c r="U51" s="146">
        <v>3788</v>
      </c>
      <c r="V51" s="150">
        <v>0</v>
      </c>
      <c r="W51" s="148">
        <v>3788</v>
      </c>
      <c r="X51" s="146"/>
      <c r="Y51" s="149">
        <v>0</v>
      </c>
      <c r="Z51" s="224">
        <v>0</v>
      </c>
      <c r="AA51" s="224"/>
      <c r="AB51" s="224"/>
      <c r="AC51" s="156"/>
      <c r="AD51" s="147">
        <v>0</v>
      </c>
      <c r="AE51" s="172">
        <v>0</v>
      </c>
      <c r="AF51" s="163"/>
      <c r="AG51" s="181"/>
      <c r="AH51"/>
      <c r="AI51"/>
      <c r="AJ51" s="293"/>
      <c r="AK51" s="291" t="s">
        <v>59</v>
      </c>
      <c r="AL51" s="279">
        <f t="shared" si="57"/>
        <v>0</v>
      </c>
      <c r="AM51" s="280">
        <f t="shared" si="57"/>
        <v>1318</v>
      </c>
      <c r="AN51" s="281">
        <f t="shared" si="57"/>
        <v>1318</v>
      </c>
      <c r="AO51" s="279"/>
      <c r="AP51" s="282">
        <f t="shared" si="58"/>
        <v>0</v>
      </c>
      <c r="AQ51" s="283">
        <f t="shared" si="58"/>
        <v>0</v>
      </c>
      <c r="AR51" s="283">
        <f t="shared" si="58"/>
        <v>0</v>
      </c>
      <c r="AS51" s="283">
        <f t="shared" si="58"/>
        <v>-800</v>
      </c>
      <c r="AT51" s="289"/>
      <c r="AU51" s="283">
        <f t="shared" si="59"/>
        <v>-800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133573</v>
      </c>
      <c r="E53" s="491">
        <f t="shared" si="55"/>
        <v>-13498</v>
      </c>
      <c r="F53" s="483">
        <v>120075</v>
      </c>
      <c r="G53" s="482"/>
      <c r="H53" s="484">
        <v>8750</v>
      </c>
      <c r="I53" s="485">
        <v>11609.621999999999</v>
      </c>
      <c r="J53" s="485">
        <v>16472</v>
      </c>
      <c r="K53" s="485">
        <v>19786</v>
      </c>
      <c r="L53" s="156"/>
      <c r="M53" s="147">
        <f t="shared" si="56"/>
        <v>56617.622000000003</v>
      </c>
      <c r="N53" s="172">
        <f t="shared" si="39"/>
        <v>0.47151881740578805</v>
      </c>
      <c r="O53" s="163"/>
      <c r="P53" s="181"/>
      <c r="Q53"/>
      <c r="R53"/>
      <c r="S53" s="159"/>
      <c r="T53" s="157" t="str">
        <f t="shared" si="40"/>
        <v>Public corporations and private enterprises</v>
      </c>
      <c r="U53" s="146">
        <v>133573</v>
      </c>
      <c r="V53" s="150">
        <v>0</v>
      </c>
      <c r="W53" s="148">
        <v>133573</v>
      </c>
      <c r="X53" s="146"/>
      <c r="Y53" s="149">
        <v>8750</v>
      </c>
      <c r="Z53" s="224">
        <v>14109.621999999999</v>
      </c>
      <c r="AA53" s="224"/>
      <c r="AB53" s="224"/>
      <c r="AC53" s="156"/>
      <c r="AD53" s="147">
        <v>22859.621999999999</v>
      </c>
      <c r="AE53" s="172">
        <v>0.17113954167384127</v>
      </c>
      <c r="AF53" s="163"/>
      <c r="AG53" s="181"/>
      <c r="AH53" s="61"/>
      <c r="AI53"/>
      <c r="AJ53" s="293"/>
      <c r="AK53" s="291" t="s">
        <v>61</v>
      </c>
      <c r="AL53" s="279">
        <f t="shared" si="57"/>
        <v>0</v>
      </c>
      <c r="AM53" s="280">
        <f t="shared" si="57"/>
        <v>13498</v>
      </c>
      <c r="AN53" s="281">
        <f t="shared" si="57"/>
        <v>13498</v>
      </c>
      <c r="AO53" s="279"/>
      <c r="AP53" s="282">
        <f t="shared" si="58"/>
        <v>0</v>
      </c>
      <c r="AQ53" s="283">
        <f t="shared" si="58"/>
        <v>2500</v>
      </c>
      <c r="AR53" s="283">
        <f t="shared" si="58"/>
        <v>-16472</v>
      </c>
      <c r="AS53" s="283">
        <f t="shared" si="58"/>
        <v>-19786</v>
      </c>
      <c r="AT53" s="289"/>
      <c r="AU53" s="283">
        <f t="shared" si="59"/>
        <v>-33758</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822057</v>
      </c>
      <c r="E54" s="491">
        <f t="shared" si="55"/>
        <v>-113031</v>
      </c>
      <c r="F54" s="483">
        <v>709026</v>
      </c>
      <c r="G54" s="482"/>
      <c r="H54" s="484">
        <v>258744</v>
      </c>
      <c r="I54" s="485">
        <v>177084</v>
      </c>
      <c r="J54" s="485">
        <v>201415</v>
      </c>
      <c r="K54" s="485">
        <v>87415</v>
      </c>
      <c r="L54" s="156"/>
      <c r="M54" s="147">
        <f t="shared" si="56"/>
        <v>724658</v>
      </c>
      <c r="N54" s="172">
        <f t="shared" si="39"/>
        <v>1.022047146366988</v>
      </c>
      <c r="O54" s="163"/>
      <c r="P54" s="181"/>
      <c r="Q54"/>
      <c r="R54"/>
      <c r="S54" s="159"/>
      <c r="T54" s="157" t="str">
        <f t="shared" si="40"/>
        <v>Non profit institutions</v>
      </c>
      <c r="U54" s="146">
        <v>822057</v>
      </c>
      <c r="V54" s="150">
        <v>0</v>
      </c>
      <c r="W54" s="148">
        <v>822057</v>
      </c>
      <c r="X54" s="146"/>
      <c r="Y54" s="149">
        <v>258744</v>
      </c>
      <c r="Z54" s="224">
        <v>177084</v>
      </c>
      <c r="AA54" s="224"/>
      <c r="AB54" s="224"/>
      <c r="AC54" s="156"/>
      <c r="AD54" s="147">
        <v>435828</v>
      </c>
      <c r="AE54" s="172">
        <v>0.53016761611421104</v>
      </c>
      <c r="AF54" s="163"/>
      <c r="AG54" s="181"/>
      <c r="AH54" s="61"/>
      <c r="AI54"/>
      <c r="AJ54" s="293"/>
      <c r="AK54" s="291" t="s">
        <v>62</v>
      </c>
      <c r="AL54" s="279">
        <f t="shared" si="57"/>
        <v>0</v>
      </c>
      <c r="AM54" s="280">
        <f t="shared" si="57"/>
        <v>113031</v>
      </c>
      <c r="AN54" s="281">
        <f t="shared" si="57"/>
        <v>113031</v>
      </c>
      <c r="AO54" s="279"/>
      <c r="AP54" s="282">
        <f t="shared" si="58"/>
        <v>0</v>
      </c>
      <c r="AQ54" s="283">
        <f t="shared" si="58"/>
        <v>0</v>
      </c>
      <c r="AR54" s="283">
        <f t="shared" si="58"/>
        <v>-201415</v>
      </c>
      <c r="AS54" s="283">
        <f t="shared" si="58"/>
        <v>-87415</v>
      </c>
      <c r="AT54" s="289"/>
      <c r="AU54" s="283">
        <f t="shared" si="59"/>
        <v>-288830</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559223</v>
      </c>
      <c r="E55" s="491">
        <f t="shared" si="55"/>
        <v>11889</v>
      </c>
      <c r="F55" s="483">
        <v>571112</v>
      </c>
      <c r="G55" s="482"/>
      <c r="H55" s="484">
        <v>109261</v>
      </c>
      <c r="I55" s="485">
        <v>144917.576</v>
      </c>
      <c r="J55" s="485">
        <v>205163.48300000001</v>
      </c>
      <c r="K55" s="485">
        <v>178969</v>
      </c>
      <c r="L55" s="156"/>
      <c r="M55" s="147">
        <f t="shared" si="56"/>
        <v>638311.05900000001</v>
      </c>
      <c r="N55" s="172">
        <f t="shared" si="39"/>
        <v>1.1176635388505232</v>
      </c>
      <c r="O55" s="163"/>
      <c r="P55" s="181"/>
      <c r="Q55"/>
      <c r="R55"/>
      <c r="S55" s="159"/>
      <c r="T55" s="157" t="str">
        <f t="shared" si="40"/>
        <v>Households</v>
      </c>
      <c r="U55" s="146">
        <v>559223</v>
      </c>
      <c r="V55" s="150">
        <v>0</v>
      </c>
      <c r="W55" s="148">
        <v>559223</v>
      </c>
      <c r="X55" s="146"/>
      <c r="Y55" s="149">
        <v>109260</v>
      </c>
      <c r="Z55" s="224">
        <v>144918.576</v>
      </c>
      <c r="AA55" s="224"/>
      <c r="AB55" s="224"/>
      <c r="AC55" s="156"/>
      <c r="AD55" s="147">
        <v>254178.576</v>
      </c>
      <c r="AE55" s="172">
        <v>0.45452096212065668</v>
      </c>
      <c r="AF55" s="163"/>
      <c r="AG55" s="181"/>
      <c r="AH55"/>
      <c r="AI55"/>
      <c r="AJ55" s="293"/>
      <c r="AK55" s="291" t="s">
        <v>63</v>
      </c>
      <c r="AL55" s="279">
        <f t="shared" si="57"/>
        <v>0</v>
      </c>
      <c r="AM55" s="280">
        <f t="shared" si="57"/>
        <v>-11889</v>
      </c>
      <c r="AN55" s="281">
        <f t="shared" si="57"/>
        <v>-11889</v>
      </c>
      <c r="AO55" s="279"/>
      <c r="AP55" s="282">
        <f t="shared" si="58"/>
        <v>-1</v>
      </c>
      <c r="AQ55" s="283">
        <f t="shared" si="58"/>
        <v>1</v>
      </c>
      <c r="AR55" s="283">
        <f t="shared" si="58"/>
        <v>-205163.48300000001</v>
      </c>
      <c r="AS55" s="283">
        <f t="shared" si="58"/>
        <v>-178969</v>
      </c>
      <c r="AT55" s="289"/>
      <c r="AU55" s="283">
        <f t="shared" si="59"/>
        <v>-384132.48300000001</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1197838.7</v>
      </c>
      <c r="E56" s="156">
        <f t="shared" ref="E56:M56" si="60">SUM(E57:E63)</f>
        <v>1818</v>
      </c>
      <c r="F56" s="153">
        <f t="shared" si="60"/>
        <v>1199656.7</v>
      </c>
      <c r="G56" s="152">
        <f t="shared" si="60"/>
        <v>0</v>
      </c>
      <c r="H56" s="154">
        <f t="shared" si="60"/>
        <v>246224</v>
      </c>
      <c r="I56" s="155">
        <f t="shared" ref="I56" si="61">SUM(I57:I63)</f>
        <v>249111.69699999999</v>
      </c>
      <c r="J56" s="155">
        <f t="shared" ref="J56:K56" si="62">SUM(J57:J63)</f>
        <v>373448.70899999997</v>
      </c>
      <c r="K56" s="155">
        <f t="shared" si="62"/>
        <v>273149</v>
      </c>
      <c r="L56" s="156"/>
      <c r="M56" s="155">
        <f t="shared" si="60"/>
        <v>1141933.406</v>
      </c>
      <c r="N56" s="183">
        <f t="shared" si="39"/>
        <v>0.95188348966833591</v>
      </c>
      <c r="O56" s="595"/>
      <c r="P56" s="478"/>
      <c r="Q56"/>
      <c r="R56"/>
      <c r="S56" s="159"/>
      <c r="T56" s="182" t="str">
        <f t="shared" si="40"/>
        <v>Payments for capital assets</v>
      </c>
      <c r="U56" s="152">
        <v>1197839</v>
      </c>
      <c r="V56" s="156">
        <v>0</v>
      </c>
      <c r="W56" s="153">
        <v>1197839</v>
      </c>
      <c r="X56" s="152">
        <v>0</v>
      </c>
      <c r="Y56" s="154">
        <v>246225</v>
      </c>
      <c r="Z56" s="155">
        <v>249112.69699999999</v>
      </c>
      <c r="AA56" s="155">
        <v>0</v>
      </c>
      <c r="AB56" s="155">
        <v>0</v>
      </c>
      <c r="AC56" s="156"/>
      <c r="AD56" s="155">
        <v>495337.69699999999</v>
      </c>
      <c r="AE56" s="183">
        <v>0.41352610576212662</v>
      </c>
      <c r="AF56" s="163"/>
      <c r="AG56" s="181"/>
      <c r="AH56"/>
      <c r="AI56"/>
      <c r="AJ56" s="293"/>
      <c r="AK56" s="314" t="s">
        <v>2</v>
      </c>
      <c r="AL56" s="285">
        <f>SUM(AL57:AL63)</f>
        <v>0.29999999999995453</v>
      </c>
      <c r="AM56" s="289">
        <f t="shared" ref="AM56:AO56" si="63">SUM(AM57:AM63)</f>
        <v>-1818</v>
      </c>
      <c r="AN56" s="286">
        <f>SUM(AN57:AN63)</f>
        <v>-1817.7</v>
      </c>
      <c r="AO56" s="285">
        <f t="shared" si="63"/>
        <v>0</v>
      </c>
      <c r="AP56" s="287">
        <f>SUM(AP57:AP63)</f>
        <v>1</v>
      </c>
      <c r="AQ56" s="288">
        <f t="shared" ref="AQ56:AS56" si="64">SUM(AQ57:AQ63)</f>
        <v>1</v>
      </c>
      <c r="AR56" s="288">
        <f t="shared" si="64"/>
        <v>-373448.70899999997</v>
      </c>
      <c r="AS56" s="288">
        <f t="shared" si="64"/>
        <v>-273149</v>
      </c>
      <c r="AT56" s="289"/>
      <c r="AU56" s="288">
        <f t="shared" ref="AU56" si="65">SUM(AU57:AU63)</f>
        <v>-646595.7089999998</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913489</v>
      </c>
      <c r="E57" s="491">
        <f t="shared" ref="E57:E64" si="66">F57-D57</f>
        <v>22828</v>
      </c>
      <c r="F57" s="483">
        <v>936317</v>
      </c>
      <c r="G57" s="482"/>
      <c r="H57" s="484">
        <v>201290</v>
      </c>
      <c r="I57" s="485">
        <v>199628.31</v>
      </c>
      <c r="J57" s="485">
        <v>321542.97499999998</v>
      </c>
      <c r="K57" s="485">
        <v>220491</v>
      </c>
      <c r="L57" s="156"/>
      <c r="M57" s="147">
        <f t="shared" ref="M57:M64" si="67">SUM(H57:K57)</f>
        <v>942952.28499999992</v>
      </c>
      <c r="N57" s="172">
        <f t="shared" si="39"/>
        <v>1.0070865796519768</v>
      </c>
      <c r="O57" s="163"/>
      <c r="P57" s="181"/>
      <c r="Q57"/>
      <c r="R57"/>
      <c r="S57" s="159"/>
      <c r="T57" s="157" t="str">
        <f t="shared" si="40"/>
        <v>Buildings and other fixed structures</v>
      </c>
      <c r="U57" s="146">
        <v>913489</v>
      </c>
      <c r="V57" s="150">
        <v>0</v>
      </c>
      <c r="W57" s="148">
        <v>913489</v>
      </c>
      <c r="X57" s="146"/>
      <c r="Y57" s="149">
        <v>201291</v>
      </c>
      <c r="Z57" s="224">
        <v>199629.31</v>
      </c>
      <c r="AA57" s="224"/>
      <c r="AB57" s="224"/>
      <c r="AC57" s="156"/>
      <c r="AD57" s="147">
        <v>400920.31</v>
      </c>
      <c r="AE57" s="172">
        <v>0.43888903971476395</v>
      </c>
      <c r="AF57" s="163"/>
      <c r="AG57" s="181"/>
      <c r="AH57"/>
      <c r="AI57"/>
      <c r="AJ57" s="293"/>
      <c r="AK57" s="291" t="s">
        <v>64</v>
      </c>
      <c r="AL57" s="279">
        <f t="shared" ref="AL57:AN64" si="68">IFERROR(U57-D57,0)</f>
        <v>0</v>
      </c>
      <c r="AM57" s="280">
        <f t="shared" si="68"/>
        <v>-22828</v>
      </c>
      <c r="AN57" s="281">
        <f t="shared" si="68"/>
        <v>-22828</v>
      </c>
      <c r="AO57" s="279"/>
      <c r="AP57" s="282">
        <f t="shared" ref="AP57:AS64" si="69">IFERROR(Y57-H57,0)</f>
        <v>1</v>
      </c>
      <c r="AQ57" s="283">
        <f t="shared" si="69"/>
        <v>1</v>
      </c>
      <c r="AR57" s="283">
        <f t="shared" si="69"/>
        <v>-321542.97499999998</v>
      </c>
      <c r="AS57" s="283">
        <f t="shared" si="69"/>
        <v>-220491</v>
      </c>
      <c r="AT57" s="289"/>
      <c r="AU57" s="283">
        <f t="shared" ref="AU57:AU64" si="70">IFERROR(AD57-M57,0)</f>
        <v>-542031.97499999986</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283322</v>
      </c>
      <c r="E58" s="491">
        <f t="shared" si="66"/>
        <v>-21907</v>
      </c>
      <c r="F58" s="483">
        <v>261415</v>
      </c>
      <c r="G58" s="482"/>
      <c r="H58" s="484">
        <v>44773</v>
      </c>
      <c r="I58" s="485">
        <v>49035.387000000002</v>
      </c>
      <c r="J58" s="485">
        <v>51716.733999999997</v>
      </c>
      <c r="K58" s="485">
        <v>49722</v>
      </c>
      <c r="L58" s="156"/>
      <c r="M58" s="147">
        <f t="shared" si="67"/>
        <v>195247.12099999998</v>
      </c>
      <c r="N58" s="172">
        <f t="shared" si="39"/>
        <v>0.74688568368303265</v>
      </c>
      <c r="O58" s="163"/>
      <c r="P58" s="181"/>
      <c r="Q58"/>
      <c r="R58"/>
      <c r="S58" s="159"/>
      <c r="T58" s="157" t="str">
        <f t="shared" si="40"/>
        <v>Machinery and equipment</v>
      </c>
      <c r="U58" s="146">
        <v>283322</v>
      </c>
      <c r="V58" s="150">
        <v>0</v>
      </c>
      <c r="W58" s="148">
        <v>283322</v>
      </c>
      <c r="X58" s="146"/>
      <c r="Y58" s="149">
        <v>44773</v>
      </c>
      <c r="Z58" s="224">
        <v>49034.387000000002</v>
      </c>
      <c r="AA58" s="224"/>
      <c r="AB58" s="224"/>
      <c r="AC58" s="156"/>
      <c r="AD58" s="147">
        <v>93807.387000000002</v>
      </c>
      <c r="AE58" s="172">
        <v>0.33109813921968645</v>
      </c>
      <c r="AF58" s="163"/>
      <c r="AG58" s="181"/>
      <c r="AH58"/>
      <c r="AI58"/>
      <c r="AJ58" s="293"/>
      <c r="AK58" s="291" t="s">
        <v>65</v>
      </c>
      <c r="AL58" s="279">
        <f t="shared" si="68"/>
        <v>0</v>
      </c>
      <c r="AM58" s="280">
        <f t="shared" si="68"/>
        <v>21907</v>
      </c>
      <c r="AN58" s="281">
        <f t="shared" si="68"/>
        <v>21907</v>
      </c>
      <c r="AO58" s="279"/>
      <c r="AP58" s="282">
        <f t="shared" si="69"/>
        <v>0</v>
      </c>
      <c r="AQ58" s="283">
        <f t="shared" si="69"/>
        <v>-1</v>
      </c>
      <c r="AR58" s="283">
        <f t="shared" si="69"/>
        <v>-51716.733999999997</v>
      </c>
      <c r="AS58" s="283">
        <f t="shared" si="69"/>
        <v>-49722</v>
      </c>
      <c r="AT58" s="289"/>
      <c r="AU58" s="283">
        <f t="shared" si="70"/>
        <v>-101439.73399999998</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85</v>
      </c>
      <c r="E59" s="491">
        <f t="shared" si="66"/>
        <v>-85</v>
      </c>
      <c r="F59" s="483">
        <v>0</v>
      </c>
      <c r="G59" s="482"/>
      <c r="H59" s="484">
        <v>0</v>
      </c>
      <c r="I59" s="485">
        <v>0</v>
      </c>
      <c r="J59" s="485">
        <v>0</v>
      </c>
      <c r="K59" s="485">
        <v>349</v>
      </c>
      <c r="L59" s="156"/>
      <c r="M59" s="147">
        <f t="shared" si="67"/>
        <v>349</v>
      </c>
      <c r="N59" s="172">
        <f t="shared" si="39"/>
        <v>0</v>
      </c>
      <c r="O59" s="163"/>
      <c r="P59" s="181"/>
      <c r="Q59"/>
      <c r="R59"/>
      <c r="S59" s="159"/>
      <c r="T59" s="157" t="str">
        <f t="shared" si="40"/>
        <v>Heritage assets</v>
      </c>
      <c r="U59" s="146">
        <v>85</v>
      </c>
      <c r="V59" s="150">
        <v>0</v>
      </c>
      <c r="W59" s="148">
        <v>85</v>
      </c>
      <c r="X59" s="146"/>
      <c r="Y59" s="149">
        <v>0</v>
      </c>
      <c r="Z59" s="224">
        <v>0</v>
      </c>
      <c r="AA59" s="224"/>
      <c r="AB59" s="224"/>
      <c r="AC59" s="156"/>
      <c r="AD59" s="147">
        <v>0</v>
      </c>
      <c r="AE59" s="172">
        <v>0</v>
      </c>
      <c r="AF59" s="163"/>
      <c r="AG59" s="181"/>
      <c r="AH59"/>
      <c r="AI59"/>
      <c r="AJ59" s="293"/>
      <c r="AK59" s="291" t="s">
        <v>66</v>
      </c>
      <c r="AL59" s="279">
        <f t="shared" si="68"/>
        <v>0</v>
      </c>
      <c r="AM59" s="280">
        <f t="shared" si="68"/>
        <v>85</v>
      </c>
      <c r="AN59" s="281">
        <f t="shared" si="68"/>
        <v>85</v>
      </c>
      <c r="AO59" s="279"/>
      <c r="AP59" s="282">
        <f t="shared" si="69"/>
        <v>0</v>
      </c>
      <c r="AQ59" s="283">
        <f t="shared" si="69"/>
        <v>0</v>
      </c>
      <c r="AR59" s="283">
        <f t="shared" si="69"/>
        <v>0</v>
      </c>
      <c r="AS59" s="283">
        <f t="shared" si="69"/>
        <v>-349</v>
      </c>
      <c r="AT59" s="289"/>
      <c r="AU59" s="283">
        <f t="shared" si="70"/>
        <v>-349</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0</v>
      </c>
      <c r="F61" s="483">
        <v>0</v>
      </c>
      <c r="G61" s="482"/>
      <c r="H61" s="484">
        <v>0</v>
      </c>
      <c r="I61" s="485">
        <v>0</v>
      </c>
      <c r="J61" s="485">
        <v>0</v>
      </c>
      <c r="K61" s="485">
        <v>0</v>
      </c>
      <c r="L61" s="156"/>
      <c r="M61" s="147">
        <f t="shared" si="67"/>
        <v>0</v>
      </c>
      <c r="N61" s="172">
        <f t="shared" si="39"/>
        <v>0</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0</v>
      </c>
      <c r="AN61" s="281">
        <f t="shared" si="68"/>
        <v>0</v>
      </c>
      <c r="AO61" s="279"/>
      <c r="AP61" s="282">
        <f t="shared" si="69"/>
        <v>0</v>
      </c>
      <c r="AQ61" s="283">
        <f t="shared" si="69"/>
        <v>0</v>
      </c>
      <c r="AR61" s="283">
        <f t="shared" si="69"/>
        <v>0</v>
      </c>
      <c r="AS61" s="283">
        <f t="shared" si="69"/>
        <v>0</v>
      </c>
      <c r="AT61" s="289"/>
      <c r="AU61" s="283">
        <f t="shared" si="70"/>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942.7</v>
      </c>
      <c r="E63" s="491">
        <f t="shared" si="66"/>
        <v>982</v>
      </c>
      <c r="F63" s="483">
        <v>1924.7</v>
      </c>
      <c r="G63" s="482"/>
      <c r="H63" s="484">
        <v>161</v>
      </c>
      <c r="I63" s="485">
        <v>448</v>
      </c>
      <c r="J63" s="485">
        <v>189</v>
      </c>
      <c r="K63" s="485">
        <v>2587</v>
      </c>
      <c r="L63" s="156"/>
      <c r="M63" s="147">
        <f t="shared" si="67"/>
        <v>3385</v>
      </c>
      <c r="N63" s="172">
        <f t="shared" si="39"/>
        <v>1.7587156439964668</v>
      </c>
      <c r="O63" s="163"/>
      <c r="P63" s="181"/>
      <c r="Q63"/>
      <c r="R63"/>
      <c r="S63" s="159"/>
      <c r="T63" s="157" t="str">
        <f t="shared" si="40"/>
        <v>Software and other intangible assets</v>
      </c>
      <c r="U63" s="146">
        <v>943</v>
      </c>
      <c r="V63" s="150">
        <v>0</v>
      </c>
      <c r="W63" s="148">
        <v>943</v>
      </c>
      <c r="X63" s="146"/>
      <c r="Y63" s="149">
        <v>161</v>
      </c>
      <c r="Z63" s="224">
        <v>449</v>
      </c>
      <c r="AA63" s="224"/>
      <c r="AB63" s="224"/>
      <c r="AC63" s="156"/>
      <c r="AD63" s="147">
        <v>610</v>
      </c>
      <c r="AE63" s="172">
        <v>0.64687168610816548</v>
      </c>
      <c r="AF63" s="163"/>
      <c r="AG63" s="181"/>
      <c r="AH63"/>
      <c r="AI63"/>
      <c r="AJ63" s="293"/>
      <c r="AK63" s="291" t="s">
        <v>70</v>
      </c>
      <c r="AL63" s="279">
        <f t="shared" si="68"/>
        <v>0.29999999999995453</v>
      </c>
      <c r="AM63" s="280">
        <f t="shared" si="68"/>
        <v>-982</v>
      </c>
      <c r="AN63" s="281">
        <f t="shared" si="68"/>
        <v>-981.7</v>
      </c>
      <c r="AO63" s="279"/>
      <c r="AP63" s="282">
        <f t="shared" si="69"/>
        <v>0</v>
      </c>
      <c r="AQ63" s="283">
        <f t="shared" si="69"/>
        <v>1</v>
      </c>
      <c r="AR63" s="283">
        <f t="shared" si="69"/>
        <v>-189</v>
      </c>
      <c r="AS63" s="283">
        <f t="shared" si="69"/>
        <v>-2587</v>
      </c>
      <c r="AT63" s="289"/>
      <c r="AU63" s="283">
        <f t="shared" si="70"/>
        <v>-2775</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0</v>
      </c>
      <c r="I64" s="490">
        <v>0</v>
      </c>
      <c r="J64" s="490">
        <v>0</v>
      </c>
      <c r="K64" s="490">
        <v>0</v>
      </c>
      <c r="L64" s="156"/>
      <c r="M64" s="155">
        <f t="shared" si="67"/>
        <v>0</v>
      </c>
      <c r="N64" s="183">
        <f t="shared" si="39"/>
        <v>0</v>
      </c>
      <c r="O64" s="595"/>
      <c r="P64" s="478"/>
      <c r="Q64"/>
      <c r="R64"/>
      <c r="S64" s="159"/>
      <c r="T64" s="182" t="str">
        <f t="shared" si="40"/>
        <v>Payments for financial assets</v>
      </c>
      <c r="U64" s="152">
        <v>0</v>
      </c>
      <c r="V64" s="156">
        <v>0</v>
      </c>
      <c r="W64" s="153">
        <v>0</v>
      </c>
      <c r="X64" s="152"/>
      <c r="Y64" s="154">
        <v>0</v>
      </c>
      <c r="Z64" s="224">
        <v>0</v>
      </c>
      <c r="AA64" s="224"/>
      <c r="AB64" s="224"/>
      <c r="AC64" s="156"/>
      <c r="AD64" s="155">
        <v>0</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0</v>
      </c>
      <c r="AS64" s="288">
        <f t="shared" si="69"/>
        <v>0</v>
      </c>
      <c r="AT64" s="289"/>
      <c r="AU64" s="288">
        <f t="shared" si="70"/>
        <v>0</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18255415.596642274</v>
      </c>
      <c r="E66" s="179">
        <f t="shared" ref="E66:F66" si="71">E44+E48+E56+E64</f>
        <v>160557.00000000093</v>
      </c>
      <c r="F66" s="166">
        <f t="shared" si="71"/>
        <v>18415972.596642274</v>
      </c>
      <c r="G66" s="165"/>
      <c r="H66" s="167">
        <f t="shared" ref="H66:I66" si="72">H44+H48+H56+H64</f>
        <v>4569435</v>
      </c>
      <c r="I66" s="437">
        <f t="shared" si="72"/>
        <v>4451307.0879999995</v>
      </c>
      <c r="J66" s="437">
        <f t="shared" ref="J66:K66" si="73">J44+J48+J56+J64</f>
        <v>5207756.9859999996</v>
      </c>
      <c r="K66" s="437">
        <f t="shared" si="73"/>
        <v>4057518</v>
      </c>
      <c r="L66" s="156"/>
      <c r="M66" s="168">
        <f>M44+M48+M56+M64</f>
        <v>18286017.074000001</v>
      </c>
      <c r="N66" s="180">
        <f>IFERROR(M66/F66,0)</f>
        <v>0.9929433255854232</v>
      </c>
      <c r="O66" s="595"/>
      <c r="P66" s="594"/>
      <c r="Q66"/>
      <c r="R66"/>
      <c r="S66" s="119"/>
      <c r="T66" s="164" t="s">
        <v>12</v>
      </c>
      <c r="U66" s="165">
        <v>18255416.399999999</v>
      </c>
      <c r="V66" s="179">
        <v>0</v>
      </c>
      <c r="W66" s="166">
        <v>18255416.399999999</v>
      </c>
      <c r="X66" s="165"/>
      <c r="Y66" s="167">
        <v>4569432</v>
      </c>
      <c r="Z66" s="437">
        <v>4451310.0879999995</v>
      </c>
      <c r="AA66" s="437" t="s">
        <v>52</v>
      </c>
      <c r="AB66" s="437" t="s">
        <v>52</v>
      </c>
      <c r="AC66" s="156"/>
      <c r="AD66" s="168">
        <v>9020742.0880000014</v>
      </c>
      <c r="AE66" s="180">
        <v>0.49414058218907581</v>
      </c>
      <c r="AF66" s="163"/>
      <c r="AG66" s="118"/>
      <c r="AH66"/>
      <c r="AI66"/>
      <c r="AJ66" s="248"/>
      <c r="AK66" s="298" t="s">
        <v>12</v>
      </c>
      <c r="AL66" s="299">
        <f>AL44+AL48+AL56+AL64</f>
        <v>0.80335772614921552</v>
      </c>
      <c r="AM66" s="313">
        <f t="shared" ref="AM66" si="74">AM44+AM48+AM56+AM64</f>
        <v>-160557.00000000093</v>
      </c>
      <c r="AN66" s="300">
        <f>AN44+AN48+AN56+AN64</f>
        <v>-160556.19664227479</v>
      </c>
      <c r="AO66" s="299"/>
      <c r="AP66" s="301">
        <f>AP44+AP48+AP56+AP64</f>
        <v>-3</v>
      </c>
      <c r="AQ66" s="302">
        <f t="shared" ref="AQ66:AS66" si="75">AQ44+AQ48+AQ56+AQ64</f>
        <v>3</v>
      </c>
      <c r="AR66" s="302">
        <f t="shared" si="75"/>
        <v>-5207756.9859999996</v>
      </c>
      <c r="AS66" s="302">
        <f t="shared" si="75"/>
        <v>-4057518</v>
      </c>
      <c r="AT66" s="289"/>
      <c r="AU66" s="302">
        <f>AU44+AU48+AU56+AU64</f>
        <v>-9265274.9860000014</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Settings!$X$14 &amp; "    " &amp; Settings!$Z$14 &amp; ": Provincial Treasury Northern Cape     Tel No:  " &amp; Settings!$AB$14</f>
        <v>Information submitted by:  Lephina Bosvark    Acting Head Official: Provincial Treasury Northern Cape     Tel No:  (053) 830-8357</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5mbwiEZOUf0anyXl/b78KnFGMKcl96FaKKPBkfkGvrbhcu+9foVPop08jI4XBT31axJt8pZyJqA46H5MJ3x4iQ==" saltValue="jM3e5Vb+EVnD9//r/lZa1g==" spinCount="100000" sheet="1" objects="1" scenarios="1"/>
  <autoFilter ref="A9:A226" xr:uid="{E530FAF7-3893-46C4-94F8-2EC5BFAFD80F}">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81A98AA5-CE73-453C-A21D-8FEC5DC448FF}">
            <xm:f>General!$BE$1&gt;=2</xm:f>
            <x14:dxf>
              <fill>
                <patternFill patternType="none">
                  <bgColor auto="1"/>
                </patternFill>
              </fill>
            </x14:dxf>
          </x14:cfRule>
          <xm:sqref>I66</xm:sqref>
        </x14:conditionalFormatting>
        <x14:conditionalFormatting xmlns:xm="http://schemas.microsoft.com/office/excel/2006/main">
          <x14:cfRule type="expression" priority="17" id="{995F3D4D-193E-47EC-8828-AF6787BF7C84}">
            <xm:f>General!$BE$1&gt;=3</xm:f>
            <x14:dxf>
              <fill>
                <patternFill patternType="none">
                  <bgColor auto="1"/>
                </patternFill>
              </fill>
            </x14:dxf>
          </x14:cfRule>
          <xm:sqref>J66</xm:sqref>
        </x14:conditionalFormatting>
        <x14:conditionalFormatting xmlns:xm="http://schemas.microsoft.com/office/excel/2006/main">
          <x14:cfRule type="expression" priority="16" id="{5A512462-E092-49D4-86F2-1813E3D64E64}">
            <xm:f>General!$BE$1=4</xm:f>
            <x14:dxf>
              <fill>
                <patternFill patternType="none">
                  <bgColor auto="1"/>
                </patternFill>
              </fill>
            </x14:dxf>
          </x14:cfRule>
          <xm:sqref>K66</xm:sqref>
        </x14:conditionalFormatting>
        <x14:conditionalFormatting xmlns:xm="http://schemas.microsoft.com/office/excel/2006/main">
          <x14:cfRule type="expression" priority="15" id="{117E5E6B-3AA3-4A4B-90BD-B45166BF44ED}">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EF67AFF2-3ED4-4041-921C-7DE30EA9011C}">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8216E914-7ADE-4220-AF51-D1C908E972F1}">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4884BD0C-21C1-438E-85C8-48C01791A016}">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249B0808-753C-4C4D-B7DF-16B0FA73DBBF}">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F1788CBD-9DD2-4C68-BA1A-F069834035F2}">
            <xm:f>General!$BE$1=4</xm:f>
            <x14:dxf>
              <fill>
                <patternFill patternType="none">
                  <bgColor auto="1"/>
                </patternFill>
              </fill>
            </x14:dxf>
          </x14:cfRule>
          <xm:sqref>K13:K15 K17 K20:K39 K41 K45:K47 K49:K55 K57:K64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167</v>
      </c>
      <c r="D4" s="37"/>
      <c r="E4" s="37"/>
      <c r="F4" s="37"/>
      <c r="G4" s="37"/>
      <c r="H4" s="37"/>
      <c r="I4" s="37"/>
      <c r="J4" s="38"/>
      <c r="K4" s="38"/>
      <c r="L4" s="38"/>
      <c r="M4" s="38"/>
      <c r="N4" s="38"/>
      <c r="O4" s="33"/>
      <c r="R4"/>
      <c r="S4" s="36"/>
      <c r="T4" s="34" t="str">
        <f>C4</f>
        <v>NORTHERN CAPE PROVINCE</v>
      </c>
      <c r="U4" s="37"/>
      <c r="V4" s="37"/>
      <c r="W4" s="37"/>
      <c r="X4" s="37"/>
      <c r="Y4" s="37"/>
      <c r="Z4" s="37"/>
      <c r="AA4" s="38"/>
      <c r="AB4" s="38"/>
      <c r="AC4" s="38"/>
      <c r="AD4" s="38"/>
      <c r="AE4" s="38"/>
      <c r="AF4" s="33"/>
      <c r="AG4" s="441"/>
      <c r="AH4" s="441"/>
      <c r="AI4"/>
      <c r="AJ4" s="348"/>
      <c r="AK4" s="349" t="str">
        <f>C4</f>
        <v>NORTHERN CAPE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NC_1!D6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191793</v>
      </c>
      <c r="E13" s="198">
        <f t="shared" ref="E13:K13" si="2">SUM(E14+E15+E16)</f>
        <v>-2777</v>
      </c>
      <c r="F13" s="54">
        <f t="shared" si="2"/>
        <v>189016</v>
      </c>
      <c r="G13" s="54">
        <f t="shared" si="2"/>
        <v>40416</v>
      </c>
      <c r="H13" s="95">
        <f t="shared" si="2"/>
        <v>229432</v>
      </c>
      <c r="I13" s="216">
        <f t="shared" si="2"/>
        <v>0</v>
      </c>
      <c r="J13" s="101">
        <f t="shared" si="2"/>
        <v>189016</v>
      </c>
      <c r="K13" s="54">
        <f t="shared" si="2"/>
        <v>189016</v>
      </c>
      <c r="L13" s="54"/>
      <c r="M13" s="54">
        <f>SUM(M14+M15+M16)</f>
        <v>226890</v>
      </c>
      <c r="N13" s="183">
        <f>IFERROR(M13/H13,0)</f>
        <v>0.98892046445134074</v>
      </c>
      <c r="O13" s="55"/>
      <c r="R13"/>
      <c r="S13" s="53"/>
      <c r="T13" s="51" t="str">
        <f>C13</f>
        <v>Agriculture, Forestry and Fisheries (Vote 24)</v>
      </c>
      <c r="U13" s="95">
        <v>191793</v>
      </c>
      <c r="V13" s="198">
        <v>0</v>
      </c>
      <c r="W13" s="54">
        <v>191793</v>
      </c>
      <c r="X13" s="54">
        <v>0</v>
      </c>
      <c r="Y13" s="95">
        <v>191793</v>
      </c>
      <c r="Z13" s="216"/>
      <c r="AA13" s="101">
        <v>77570</v>
      </c>
      <c r="AB13" s="54">
        <v>77570</v>
      </c>
      <c r="AC13" s="54"/>
      <c r="AD13" s="54">
        <v>85660</v>
      </c>
      <c r="AE13" s="183">
        <v>0.4466273534487703</v>
      </c>
      <c r="AF13" s="55"/>
      <c r="AG13" s="442"/>
      <c r="AH13" s="442"/>
      <c r="AI13"/>
      <c r="AJ13" s="387"/>
      <c r="AK13" s="481" t="str">
        <f t="shared" ref="AK13" si="3">C13</f>
        <v>Agriculture, Forestry and Fisheries (Vote 24)</v>
      </c>
      <c r="AL13" s="388">
        <f>SUM(AL14:AL16)</f>
        <v>0</v>
      </c>
      <c r="AM13" s="389">
        <f t="shared" ref="AM13:AP13" si="4">SUM(AM14:AM16)</f>
        <v>2777</v>
      </c>
      <c r="AN13" s="390">
        <f t="shared" si="4"/>
        <v>2777</v>
      </c>
      <c r="AO13" s="390">
        <f t="shared" si="4"/>
        <v>-40416</v>
      </c>
      <c r="AP13" s="388">
        <f t="shared" si="4"/>
        <v>-37639</v>
      </c>
      <c r="AQ13" s="391"/>
      <c r="AR13" s="392">
        <f t="shared" ref="AR13:AS13" si="5">SUM(AR14:AR16)</f>
        <v>-111446</v>
      </c>
      <c r="AS13" s="390">
        <f t="shared" si="5"/>
        <v>-111446</v>
      </c>
      <c r="AT13" s="390"/>
      <c r="AU13" s="390">
        <f>SUM(AU14:AU16)</f>
        <v>-141230</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119458</v>
      </c>
      <c r="E14" s="199">
        <f>SUM(F14-D14)</f>
        <v>0</v>
      </c>
      <c r="F14" s="497">
        <v>119458</v>
      </c>
      <c r="G14" s="497">
        <v>36861</v>
      </c>
      <c r="H14" s="96">
        <f>SUM(F14:G14)</f>
        <v>156319</v>
      </c>
      <c r="I14" s="217"/>
      <c r="J14" s="499">
        <v>119458</v>
      </c>
      <c r="K14" s="497">
        <v>119458</v>
      </c>
      <c r="L14" s="59"/>
      <c r="M14" s="497">
        <v>156283</v>
      </c>
      <c r="N14" s="172">
        <f t="shared" ref="N14:N16" si="6">IFERROR(M14/H14,0)</f>
        <v>0.99976970169972945</v>
      </c>
      <c r="O14" s="60"/>
      <c r="R14"/>
      <c r="S14" s="57"/>
      <c r="T14" s="58" t="str">
        <f t="shared" ref="T14:T18" si="7">C14</f>
        <v>(a) Comprehensive Agricultural Support Programme Grant</v>
      </c>
      <c r="U14" s="96">
        <v>119458</v>
      </c>
      <c r="V14" s="199">
        <v>0</v>
      </c>
      <c r="W14" s="59">
        <v>119458</v>
      </c>
      <c r="X14" s="59">
        <v>0</v>
      </c>
      <c r="Y14" s="96">
        <v>119458</v>
      </c>
      <c r="Z14" s="217"/>
      <c r="AA14" s="102">
        <v>41811</v>
      </c>
      <c r="AB14" s="59">
        <v>41811</v>
      </c>
      <c r="AC14" s="59"/>
      <c r="AD14" s="59">
        <v>55511</v>
      </c>
      <c r="AE14" s="172">
        <v>0.46469051884344287</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-36861</v>
      </c>
      <c r="AP14" s="396">
        <f t="shared" si="8"/>
        <v>-36861</v>
      </c>
      <c r="AQ14" s="399"/>
      <c r="AR14" s="400">
        <f t="shared" ref="AR14:AS15" si="9">IFERROR(AA14-J14,0)</f>
        <v>-77647</v>
      </c>
      <c r="AS14" s="398">
        <f t="shared" si="9"/>
        <v>-77647</v>
      </c>
      <c r="AT14" s="398"/>
      <c r="AU14" s="398">
        <f>IFERROR(AD14-M14,0)</f>
        <v>-100772</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64169</v>
      </c>
      <c r="E15" s="199">
        <f t="shared" ref="E15:E16" si="10">SUM(F15-D15)</f>
        <v>-2777</v>
      </c>
      <c r="F15" s="497">
        <v>61392</v>
      </c>
      <c r="G15" s="497">
        <v>2624</v>
      </c>
      <c r="H15" s="96">
        <f t="shared" ref="H15:H16" si="11">SUM(F15:G15)</f>
        <v>64016</v>
      </c>
      <c r="I15" s="217"/>
      <c r="J15" s="499">
        <v>61392</v>
      </c>
      <c r="K15" s="497">
        <v>61392</v>
      </c>
      <c r="L15" s="59"/>
      <c r="M15" s="497">
        <v>62795</v>
      </c>
      <c r="N15" s="172">
        <f t="shared" si="6"/>
        <v>0.98092664333916524</v>
      </c>
      <c r="O15" s="60"/>
      <c r="P15" s="56"/>
      <c r="Q15" s="56"/>
      <c r="R15"/>
      <c r="S15" s="57"/>
      <c r="T15" s="58" t="str">
        <f t="shared" si="7"/>
        <v>(b) Ilima/Letsema Projects Grant</v>
      </c>
      <c r="U15" s="96">
        <v>64169</v>
      </c>
      <c r="V15" s="199">
        <v>0</v>
      </c>
      <c r="W15" s="59">
        <v>64169</v>
      </c>
      <c r="X15" s="59">
        <v>0</v>
      </c>
      <c r="Y15" s="96">
        <v>64169</v>
      </c>
      <c r="Z15" s="217"/>
      <c r="AA15" s="102">
        <v>32084</v>
      </c>
      <c r="AB15" s="59">
        <v>32084</v>
      </c>
      <c r="AC15" s="59"/>
      <c r="AD15" s="59">
        <v>27783</v>
      </c>
      <c r="AE15" s="172">
        <v>0.43296607396094688</v>
      </c>
      <c r="AF15" s="60"/>
      <c r="AG15" s="443"/>
      <c r="AH15" s="443"/>
      <c r="AI15"/>
      <c r="AJ15" s="394"/>
      <c r="AK15" s="479" t="str">
        <f t="shared" ref="AK15" si="12">C15</f>
        <v>(b) Ilima/Letsema Projects Grant</v>
      </c>
      <c r="AL15" s="396">
        <f t="shared" ref="AL15" si="13">IFERROR(U15-D15,0)</f>
        <v>0</v>
      </c>
      <c r="AM15" s="397">
        <f t="shared" si="8"/>
        <v>2777</v>
      </c>
      <c r="AN15" s="398">
        <f t="shared" si="8"/>
        <v>2777</v>
      </c>
      <c r="AO15" s="398">
        <f t="shared" si="8"/>
        <v>-2624</v>
      </c>
      <c r="AP15" s="396">
        <f t="shared" si="8"/>
        <v>153</v>
      </c>
      <c r="AQ15" s="399"/>
      <c r="AR15" s="400">
        <f t="shared" si="9"/>
        <v>-29308</v>
      </c>
      <c r="AS15" s="398">
        <f t="shared" si="9"/>
        <v>-29308</v>
      </c>
      <c r="AT15" s="398"/>
      <c r="AU15" s="398">
        <f t="shared" ref="AU15" si="14">IFERROR(AD15-M15,0)</f>
        <v>-35012</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8166</v>
      </c>
      <c r="E16" s="199">
        <f t="shared" si="10"/>
        <v>0</v>
      </c>
      <c r="F16" s="497">
        <v>8166</v>
      </c>
      <c r="G16" s="497">
        <v>931</v>
      </c>
      <c r="H16" s="96">
        <f t="shared" si="11"/>
        <v>9097</v>
      </c>
      <c r="I16" s="217"/>
      <c r="J16" s="499">
        <v>8166</v>
      </c>
      <c r="K16" s="497">
        <v>8166</v>
      </c>
      <c r="L16" s="59"/>
      <c r="M16" s="497">
        <v>7812</v>
      </c>
      <c r="N16" s="172">
        <f t="shared" si="6"/>
        <v>0.85874464109046944</v>
      </c>
      <c r="O16" s="60"/>
      <c r="P16" s="56"/>
      <c r="Q16" s="56"/>
      <c r="R16"/>
      <c r="S16" s="57"/>
      <c r="T16" s="58" t="str">
        <f t="shared" si="7"/>
        <v>(c) Land Care Programme Grant: Poverty Relief and Infrastructure Development</v>
      </c>
      <c r="U16" s="96">
        <v>8166</v>
      </c>
      <c r="V16" s="199">
        <v>0</v>
      </c>
      <c r="W16" s="59">
        <v>8166</v>
      </c>
      <c r="X16" s="59">
        <v>0</v>
      </c>
      <c r="Y16" s="96">
        <v>8166</v>
      </c>
      <c r="Z16" s="217"/>
      <c r="AA16" s="102">
        <v>3675</v>
      </c>
      <c r="AB16" s="59">
        <v>3675</v>
      </c>
      <c r="AC16" s="59"/>
      <c r="AD16" s="59">
        <v>2366</v>
      </c>
      <c r="AE16" s="172">
        <v>0.28973793779084006</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-931</v>
      </c>
      <c r="AP16" s="396">
        <f t="shared" ref="AP16:AP83" si="20">IFERROR(Y16-H16,0)</f>
        <v>-931</v>
      </c>
      <c r="AQ16" s="399"/>
      <c r="AR16" s="400">
        <f t="shared" ref="AR16:AR83" si="21">IFERROR(AA16-J16,0)</f>
        <v>-4491</v>
      </c>
      <c r="AS16" s="398">
        <f t="shared" ref="AS16:AS83" si="22">IFERROR(AB16-K16,0)</f>
        <v>-4491</v>
      </c>
      <c r="AT16" s="398"/>
      <c r="AU16" s="398">
        <f t="shared" ref="AU16:AU83" si="23">IFERROR(AD16-M16,0)</f>
        <v>-5446</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168750</v>
      </c>
      <c r="E20" s="198">
        <f t="shared" ref="E20:K20" si="27">SUM(E21)</f>
        <v>0</v>
      </c>
      <c r="F20" s="54">
        <f t="shared" si="27"/>
        <v>168750</v>
      </c>
      <c r="G20" s="54">
        <f t="shared" si="27"/>
        <v>3304</v>
      </c>
      <c r="H20" s="95">
        <f t="shared" si="27"/>
        <v>172054</v>
      </c>
      <c r="I20" s="216">
        <f t="shared" si="27"/>
        <v>0</v>
      </c>
      <c r="J20" s="101">
        <f t="shared" si="27"/>
        <v>168750</v>
      </c>
      <c r="K20" s="54">
        <f t="shared" si="27"/>
        <v>168750</v>
      </c>
      <c r="L20" s="54"/>
      <c r="M20" s="54">
        <f>SUM(M21)</f>
        <v>171945</v>
      </c>
      <c r="N20" s="183">
        <f t="shared" ref="N20:N21" si="28">IFERROR(M20/H20,0)</f>
        <v>0.99936647796621991</v>
      </c>
      <c r="O20" s="63"/>
      <c r="P20" s="64"/>
      <c r="Q20" s="64"/>
      <c r="R20"/>
      <c r="S20" s="62"/>
      <c r="T20" s="51" t="str">
        <f>C20</f>
        <v>Arts and Culture (Vote 37)</v>
      </c>
      <c r="U20" s="95">
        <v>168750</v>
      </c>
      <c r="V20" s="198">
        <v>0</v>
      </c>
      <c r="W20" s="54">
        <v>168750</v>
      </c>
      <c r="X20" s="54">
        <v>0</v>
      </c>
      <c r="Y20" s="95">
        <v>168750</v>
      </c>
      <c r="Z20" s="216"/>
      <c r="AA20" s="101">
        <v>95976</v>
      </c>
      <c r="AB20" s="54">
        <v>95976</v>
      </c>
      <c r="AC20" s="54"/>
      <c r="AD20" s="54">
        <v>71915</v>
      </c>
      <c r="AE20" s="172">
        <v>0.42616296296296297</v>
      </c>
      <c r="AF20" s="63"/>
      <c r="AG20" s="444"/>
      <c r="AH20" s="444"/>
      <c r="AI20"/>
      <c r="AJ20" s="402"/>
      <c r="AK20" s="481" t="str">
        <f t="shared" si="15"/>
        <v>Arts and Culture (Vote 37)</v>
      </c>
      <c r="AL20" s="388">
        <f t="shared" si="16"/>
        <v>0</v>
      </c>
      <c r="AM20" s="389">
        <f t="shared" si="17"/>
        <v>0</v>
      </c>
      <c r="AN20" s="390">
        <f t="shared" si="18"/>
        <v>0</v>
      </c>
      <c r="AO20" s="390">
        <f t="shared" si="19"/>
        <v>-3304</v>
      </c>
      <c r="AP20" s="388">
        <f t="shared" si="20"/>
        <v>-3304</v>
      </c>
      <c r="AQ20" s="391"/>
      <c r="AR20" s="392">
        <f t="shared" si="21"/>
        <v>-72774</v>
      </c>
      <c r="AS20" s="390">
        <f t="shared" si="22"/>
        <v>-72774</v>
      </c>
      <c r="AT20" s="390"/>
      <c r="AU20" s="390">
        <f t="shared" si="23"/>
        <v>-100030</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168750</v>
      </c>
      <c r="E21" s="199">
        <f>SUM(F21-D21)</f>
        <v>0</v>
      </c>
      <c r="F21" s="497">
        <v>168750</v>
      </c>
      <c r="G21" s="497">
        <v>3304</v>
      </c>
      <c r="H21" s="96">
        <f>SUM(F21:G21)</f>
        <v>172054</v>
      </c>
      <c r="I21" s="217"/>
      <c r="J21" s="499">
        <v>168750</v>
      </c>
      <c r="K21" s="497">
        <v>168750</v>
      </c>
      <c r="L21" s="59"/>
      <c r="M21" s="497">
        <v>171945</v>
      </c>
      <c r="N21" s="172">
        <f t="shared" si="28"/>
        <v>0.99936647796621991</v>
      </c>
      <c r="O21" s="60"/>
      <c r="P21" s="56"/>
      <c r="Q21" s="56"/>
      <c r="R21"/>
      <c r="S21" s="57"/>
      <c r="T21" s="58" t="str">
        <f t="shared" ref="T21:T25" si="29">C21</f>
        <v>Community Library Services Grant</v>
      </c>
      <c r="U21" s="96">
        <v>168750</v>
      </c>
      <c r="V21" s="199">
        <v>0</v>
      </c>
      <c r="W21" s="59">
        <v>168750</v>
      </c>
      <c r="X21" s="59">
        <v>0</v>
      </c>
      <c r="Y21" s="96">
        <v>168750</v>
      </c>
      <c r="Z21" s="217"/>
      <c r="AA21" s="102">
        <v>95976</v>
      </c>
      <c r="AB21" s="59">
        <v>95976</v>
      </c>
      <c r="AC21" s="59"/>
      <c r="AD21" s="59">
        <v>71915</v>
      </c>
      <c r="AE21" s="172">
        <v>0.42616296296296297</v>
      </c>
      <c r="AF21" s="60"/>
      <c r="AG21" s="443"/>
      <c r="AH21" s="443"/>
      <c r="AI21"/>
      <c r="AJ21" s="394"/>
      <c r="AK21" s="479" t="str">
        <f t="shared" si="15"/>
        <v>Community Library Services Grant</v>
      </c>
      <c r="AL21" s="396">
        <f t="shared" si="16"/>
        <v>0</v>
      </c>
      <c r="AM21" s="397">
        <f t="shared" si="17"/>
        <v>0</v>
      </c>
      <c r="AN21" s="398">
        <f t="shared" si="18"/>
        <v>0</v>
      </c>
      <c r="AO21" s="398">
        <f t="shared" si="19"/>
        <v>-3304</v>
      </c>
      <c r="AP21" s="396">
        <f t="shared" si="20"/>
        <v>-3304</v>
      </c>
      <c r="AQ21" s="399"/>
      <c r="AR21" s="400">
        <f t="shared" si="21"/>
        <v>-72774</v>
      </c>
      <c r="AS21" s="398">
        <f t="shared" si="22"/>
        <v>-72774</v>
      </c>
      <c r="AT21" s="398"/>
      <c r="AU21" s="398">
        <f t="shared" si="23"/>
        <v>-100030</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232064</v>
      </c>
      <c r="E27" s="198">
        <f t="shared" ref="E27:K27" si="33">SUM(E28+E29+E30+E31)</f>
        <v>0</v>
      </c>
      <c r="F27" s="54">
        <f t="shared" si="33"/>
        <v>232064</v>
      </c>
      <c r="G27" s="54">
        <f t="shared" si="33"/>
        <v>0</v>
      </c>
      <c r="H27" s="95">
        <f t="shared" si="33"/>
        <v>232064</v>
      </c>
      <c r="I27" s="216">
        <f t="shared" si="33"/>
        <v>0</v>
      </c>
      <c r="J27" s="101">
        <f t="shared" si="33"/>
        <v>232064</v>
      </c>
      <c r="K27" s="54">
        <f t="shared" si="33"/>
        <v>232064</v>
      </c>
      <c r="L27" s="54"/>
      <c r="M27" s="54">
        <f>SUM(M28+M29+M30+M31)</f>
        <v>228780</v>
      </c>
      <c r="N27" s="183">
        <f t="shared" ref="N27:N31" si="34">IFERROR(M27/H27,0)</f>
        <v>0.98584873138444562</v>
      </c>
      <c r="O27" s="63"/>
      <c r="P27" s="65"/>
      <c r="Q27" s="65"/>
      <c r="R27"/>
      <c r="S27" s="62"/>
      <c r="T27" s="51" t="str">
        <f>C27</f>
        <v>Basic Education (Vote 14)</v>
      </c>
      <c r="U27" s="95">
        <v>232064</v>
      </c>
      <c r="V27" s="198">
        <v>0</v>
      </c>
      <c r="W27" s="54">
        <v>232064</v>
      </c>
      <c r="X27" s="54">
        <v>0</v>
      </c>
      <c r="Y27" s="95">
        <v>232064</v>
      </c>
      <c r="Z27" s="216"/>
      <c r="AA27" s="101">
        <v>165063</v>
      </c>
      <c r="AB27" s="54">
        <v>165063</v>
      </c>
      <c r="AC27" s="54"/>
      <c r="AD27" s="54">
        <v>153880</v>
      </c>
      <c r="AE27" s="183">
        <v>0.66309293987865414</v>
      </c>
      <c r="AF27" s="63"/>
      <c r="AG27" s="444"/>
      <c r="AH27" s="444"/>
      <c r="AI27"/>
      <c r="AJ27" s="402"/>
      <c r="AK27" s="481" t="str">
        <f t="shared" si="15"/>
        <v>Basic Education (Vote 14)</v>
      </c>
      <c r="AL27" s="388">
        <f t="shared" si="16"/>
        <v>0</v>
      </c>
      <c r="AM27" s="389">
        <f t="shared" si="17"/>
        <v>0</v>
      </c>
      <c r="AN27" s="390">
        <f t="shared" si="18"/>
        <v>0</v>
      </c>
      <c r="AO27" s="390">
        <f t="shared" si="19"/>
        <v>0</v>
      </c>
      <c r="AP27" s="388">
        <f t="shared" si="20"/>
        <v>0</v>
      </c>
      <c r="AQ27" s="391"/>
      <c r="AR27" s="392">
        <f t="shared" si="21"/>
        <v>-67001</v>
      </c>
      <c r="AS27" s="390">
        <f t="shared" si="22"/>
        <v>-67001</v>
      </c>
      <c r="AT27" s="390"/>
      <c r="AU27" s="390">
        <f t="shared" si="23"/>
        <v>-74900</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5594</v>
      </c>
      <c r="E28" s="199">
        <f t="shared" ref="E28:E31" si="35">SUM(F28-D28)</f>
        <v>0</v>
      </c>
      <c r="F28" s="497">
        <v>5594</v>
      </c>
      <c r="G28" s="497">
        <v>0</v>
      </c>
      <c r="H28" s="96">
        <f t="shared" ref="H28:H31" si="36">SUM(F28:G28)</f>
        <v>5594</v>
      </c>
      <c r="I28" s="217"/>
      <c r="J28" s="499">
        <v>5594</v>
      </c>
      <c r="K28" s="497">
        <v>5594</v>
      </c>
      <c r="L28" s="59"/>
      <c r="M28" s="497">
        <v>6270</v>
      </c>
      <c r="N28" s="172">
        <f t="shared" si="34"/>
        <v>1.1208437611726849</v>
      </c>
      <c r="O28" s="60"/>
      <c r="P28" s="22"/>
      <c r="Q28" s="22"/>
      <c r="S28" s="57"/>
      <c r="T28" s="58" t="str">
        <f t="shared" ref="T28:T32" si="37">C28</f>
        <v>(a) HIV and AIDS (Life Skills Education) Grant</v>
      </c>
      <c r="U28" s="96">
        <v>5594</v>
      </c>
      <c r="V28" s="199">
        <v>0</v>
      </c>
      <c r="W28" s="59">
        <v>5594</v>
      </c>
      <c r="X28" s="59">
        <v>0</v>
      </c>
      <c r="Y28" s="96">
        <v>5594</v>
      </c>
      <c r="Z28" s="217"/>
      <c r="AA28" s="102">
        <v>2237</v>
      </c>
      <c r="AB28" s="59">
        <v>2237</v>
      </c>
      <c r="AC28" s="59"/>
      <c r="AD28" s="59">
        <v>3273</v>
      </c>
      <c r="AE28" s="172">
        <v>0.58509116910976045</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-3357</v>
      </c>
      <c r="AS28" s="398">
        <f t="shared" si="22"/>
        <v>-3357</v>
      </c>
      <c r="AT28" s="398"/>
      <c r="AU28" s="398">
        <f t="shared" si="23"/>
        <v>-2997</v>
      </c>
      <c r="AV28" s="290"/>
      <c r="AW28" s="401"/>
    </row>
    <row r="29" spans="1:82" ht="15.75" customHeight="1" x14ac:dyDescent="0.3">
      <c r="B29" s="57"/>
      <c r="C29" s="58" t="s">
        <v>24</v>
      </c>
      <c r="D29" s="496">
        <v>11298</v>
      </c>
      <c r="E29" s="199">
        <f t="shared" si="35"/>
        <v>0</v>
      </c>
      <c r="F29" s="497">
        <v>11298</v>
      </c>
      <c r="G29" s="497">
        <v>0</v>
      </c>
      <c r="H29" s="96">
        <f t="shared" si="36"/>
        <v>11298</v>
      </c>
      <c r="I29" s="217"/>
      <c r="J29" s="499">
        <v>11298</v>
      </c>
      <c r="K29" s="497">
        <v>11298</v>
      </c>
      <c r="L29" s="59"/>
      <c r="M29" s="497">
        <v>7866</v>
      </c>
      <c r="N29" s="172">
        <f t="shared" si="34"/>
        <v>0.69622942113648434</v>
      </c>
      <c r="O29" s="60"/>
      <c r="P29" s="22"/>
      <c r="Q29" s="22"/>
      <c r="S29" s="57"/>
      <c r="T29" s="58" t="str">
        <f t="shared" si="37"/>
        <v>(b) Learners with Profound Intellectual Disabilities Grant</v>
      </c>
      <c r="U29" s="96">
        <v>11298</v>
      </c>
      <c r="V29" s="199">
        <v>0</v>
      </c>
      <c r="W29" s="59">
        <v>11298</v>
      </c>
      <c r="X29" s="59">
        <v>0</v>
      </c>
      <c r="Y29" s="96">
        <v>11298</v>
      </c>
      <c r="Z29" s="217"/>
      <c r="AA29" s="102">
        <v>7428</v>
      </c>
      <c r="AB29" s="59">
        <v>7428</v>
      </c>
      <c r="AC29" s="59"/>
      <c r="AD29" s="59">
        <v>3405</v>
      </c>
      <c r="AE29" s="172">
        <v>0.30138077535847052</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0</v>
      </c>
      <c r="AP29" s="396">
        <f t="shared" si="20"/>
        <v>0</v>
      </c>
      <c r="AQ29" s="399"/>
      <c r="AR29" s="400">
        <f t="shared" si="21"/>
        <v>-3870</v>
      </c>
      <c r="AS29" s="398">
        <f t="shared" si="22"/>
        <v>-3870</v>
      </c>
      <c r="AT29" s="398"/>
      <c r="AU29" s="398">
        <f t="shared" si="23"/>
        <v>-4461</v>
      </c>
      <c r="AV29" s="290"/>
      <c r="AW29" s="401"/>
    </row>
    <row r="30" spans="1:82" ht="15.75" customHeight="1" x14ac:dyDescent="0.3">
      <c r="B30" s="57"/>
      <c r="C30" s="58" t="s">
        <v>25</v>
      </c>
      <c r="D30" s="496">
        <v>25948</v>
      </c>
      <c r="E30" s="199">
        <f t="shared" si="35"/>
        <v>0</v>
      </c>
      <c r="F30" s="497">
        <v>25948</v>
      </c>
      <c r="G30" s="497">
        <v>0</v>
      </c>
      <c r="H30" s="96">
        <f t="shared" si="36"/>
        <v>25948</v>
      </c>
      <c r="I30" s="217"/>
      <c r="J30" s="499">
        <v>25948</v>
      </c>
      <c r="K30" s="497">
        <v>25948</v>
      </c>
      <c r="L30" s="59"/>
      <c r="M30" s="497">
        <v>24026</v>
      </c>
      <c r="N30" s="172">
        <f t="shared" si="34"/>
        <v>0.9259287806381995</v>
      </c>
      <c r="O30" s="60"/>
      <c r="P30" s="22"/>
      <c r="Q30" s="22"/>
      <c r="S30" s="57"/>
      <c r="T30" s="58" t="str">
        <f t="shared" si="37"/>
        <v>(c) Maths, Science and Technology Grant</v>
      </c>
      <c r="U30" s="96">
        <v>25948</v>
      </c>
      <c r="V30" s="199">
        <v>0</v>
      </c>
      <c r="W30" s="59">
        <v>25948</v>
      </c>
      <c r="X30" s="59">
        <v>0</v>
      </c>
      <c r="Y30" s="96">
        <v>25948</v>
      </c>
      <c r="Z30" s="217"/>
      <c r="AA30" s="102">
        <v>12974</v>
      </c>
      <c r="AB30" s="59">
        <v>12974</v>
      </c>
      <c r="AC30" s="59"/>
      <c r="AD30" s="59">
        <v>11597</v>
      </c>
      <c r="AE30" s="172">
        <v>0.44693232619084322</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-12974</v>
      </c>
      <c r="AS30" s="398">
        <f t="shared" si="22"/>
        <v>-12974</v>
      </c>
      <c r="AT30" s="398"/>
      <c r="AU30" s="398">
        <f t="shared" si="23"/>
        <v>-12429</v>
      </c>
      <c r="AV30" s="290"/>
      <c r="AW30" s="401"/>
    </row>
    <row r="31" spans="1:82" ht="15.75" customHeight="1" x14ac:dyDescent="0.3">
      <c r="B31" s="57"/>
      <c r="C31" s="58" t="s">
        <v>26</v>
      </c>
      <c r="D31" s="496">
        <v>189224</v>
      </c>
      <c r="E31" s="199">
        <f t="shared" si="35"/>
        <v>0</v>
      </c>
      <c r="F31" s="497">
        <v>189224</v>
      </c>
      <c r="G31" s="497">
        <v>0</v>
      </c>
      <c r="H31" s="96">
        <f t="shared" si="36"/>
        <v>189224</v>
      </c>
      <c r="I31" s="217"/>
      <c r="J31" s="499">
        <v>189224</v>
      </c>
      <c r="K31" s="497">
        <v>189224</v>
      </c>
      <c r="L31" s="59"/>
      <c r="M31" s="497">
        <v>190618</v>
      </c>
      <c r="N31" s="172">
        <f t="shared" si="34"/>
        <v>1.007366930199129</v>
      </c>
      <c r="O31" s="60"/>
      <c r="P31" s="22"/>
      <c r="Q31" s="22"/>
      <c r="S31" s="57"/>
      <c r="T31" s="58" t="str">
        <f t="shared" si="37"/>
        <v>(d) National School Nutrition Programme Grant</v>
      </c>
      <c r="U31" s="96">
        <v>189224</v>
      </c>
      <c r="V31" s="199">
        <v>0</v>
      </c>
      <c r="W31" s="59">
        <v>189224</v>
      </c>
      <c r="X31" s="59">
        <v>0</v>
      </c>
      <c r="Y31" s="96">
        <v>189224</v>
      </c>
      <c r="Z31" s="217"/>
      <c r="AA31" s="102">
        <v>142424</v>
      </c>
      <c r="AB31" s="59">
        <v>142424</v>
      </c>
      <c r="AC31" s="59"/>
      <c r="AD31" s="59">
        <v>135605</v>
      </c>
      <c r="AE31" s="172">
        <v>0.71663742442819089</v>
      </c>
      <c r="AF31" s="60"/>
      <c r="AG31" s="443"/>
      <c r="AH31" s="443"/>
      <c r="AJ31" s="394"/>
      <c r="AK31" s="479" t="str">
        <f t="shared" si="15"/>
        <v>(d) National School Nutrition Programme Grant</v>
      </c>
      <c r="AL31" s="396">
        <f t="shared" si="16"/>
        <v>0</v>
      </c>
      <c r="AM31" s="397">
        <f t="shared" si="17"/>
        <v>0</v>
      </c>
      <c r="AN31" s="398">
        <f t="shared" si="18"/>
        <v>0</v>
      </c>
      <c r="AO31" s="398">
        <f t="shared" si="19"/>
        <v>0</v>
      </c>
      <c r="AP31" s="396">
        <f t="shared" si="20"/>
        <v>0</v>
      </c>
      <c r="AQ31" s="399"/>
      <c r="AR31" s="400">
        <f t="shared" si="21"/>
        <v>-46800</v>
      </c>
      <c r="AS31" s="398">
        <f t="shared" si="22"/>
        <v>-46800</v>
      </c>
      <c r="AT31" s="398"/>
      <c r="AU31" s="398">
        <f t="shared" si="23"/>
        <v>-55013</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999482</v>
      </c>
      <c r="E41" s="198">
        <f t="shared" ref="E41:K41" si="58">SUM(E42+E43+E44+E45+E46)</f>
        <v>27880</v>
      </c>
      <c r="F41" s="54">
        <f t="shared" si="58"/>
        <v>1027362</v>
      </c>
      <c r="G41" s="54">
        <f t="shared" si="58"/>
        <v>0</v>
      </c>
      <c r="H41" s="95">
        <f t="shared" si="58"/>
        <v>1027362</v>
      </c>
      <c r="I41" s="216">
        <f t="shared" si="58"/>
        <v>0</v>
      </c>
      <c r="J41" s="101">
        <f t="shared" si="58"/>
        <v>1027362</v>
      </c>
      <c r="K41" s="54">
        <f t="shared" si="58"/>
        <v>1027362</v>
      </c>
      <c r="L41" s="54"/>
      <c r="M41" s="54">
        <f>SUM(M42+M43+M44+M45+M46)</f>
        <v>1025750.642</v>
      </c>
      <c r="N41" s="183">
        <f t="shared" ref="N41:N45" si="59">IFERROR(M41/H41,0)</f>
        <v>0.99843155771772751</v>
      </c>
      <c r="O41" s="63"/>
      <c r="P41" s="65"/>
      <c r="Q41" s="65"/>
      <c r="R41"/>
      <c r="S41" s="62"/>
      <c r="T41" s="51" t="str">
        <f>C41</f>
        <v>Health (Vote 16)</v>
      </c>
      <c r="U41" s="95">
        <v>999482</v>
      </c>
      <c r="V41" s="198">
        <v>0</v>
      </c>
      <c r="W41" s="54">
        <v>999482</v>
      </c>
      <c r="X41" s="54">
        <v>0</v>
      </c>
      <c r="Y41" s="95">
        <v>999482</v>
      </c>
      <c r="Z41" s="216"/>
      <c r="AA41" s="101">
        <v>618465</v>
      </c>
      <c r="AB41" s="54">
        <v>618465</v>
      </c>
      <c r="AC41" s="54"/>
      <c r="AD41" s="54">
        <v>461078</v>
      </c>
      <c r="AE41" s="183">
        <v>0.46131696218641255</v>
      </c>
      <c r="AF41" s="63"/>
      <c r="AG41" s="444"/>
      <c r="AH41" s="444"/>
      <c r="AI41"/>
      <c r="AJ41" s="402"/>
      <c r="AK41" s="481" t="str">
        <f t="shared" si="15"/>
        <v>Health (Vote 16)</v>
      </c>
      <c r="AL41" s="388">
        <f t="shared" si="16"/>
        <v>0</v>
      </c>
      <c r="AM41" s="389">
        <f t="shared" si="17"/>
        <v>-27880</v>
      </c>
      <c r="AN41" s="390">
        <f t="shared" si="18"/>
        <v>-27880</v>
      </c>
      <c r="AO41" s="390">
        <f t="shared" si="19"/>
        <v>0</v>
      </c>
      <c r="AP41" s="388">
        <f t="shared" si="20"/>
        <v>-27880</v>
      </c>
      <c r="AQ41" s="391"/>
      <c r="AR41" s="392">
        <f t="shared" si="21"/>
        <v>-408897</v>
      </c>
      <c r="AS41" s="390">
        <f t="shared" si="22"/>
        <v>-408897</v>
      </c>
      <c r="AT41" s="390"/>
      <c r="AU41" s="390">
        <f t="shared" si="23"/>
        <v>-564672.64199999999</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596276</v>
      </c>
      <c r="E42" s="199">
        <f t="shared" ref="E42:E46" si="60">SUM(F42-D42)</f>
        <v>0</v>
      </c>
      <c r="F42" s="497">
        <v>596276</v>
      </c>
      <c r="G42" s="497">
        <v>0</v>
      </c>
      <c r="H42" s="96">
        <f t="shared" ref="H42:H45" si="61">SUM(F42:G42)</f>
        <v>596276</v>
      </c>
      <c r="I42" s="217"/>
      <c r="J42" s="499">
        <v>596276</v>
      </c>
      <c r="K42" s="497">
        <v>596276</v>
      </c>
      <c r="L42" s="59"/>
      <c r="M42" s="497">
        <v>599644.68900000001</v>
      </c>
      <c r="N42" s="172">
        <f t="shared" si="59"/>
        <v>1.0056495465187263</v>
      </c>
      <c r="O42" s="60"/>
      <c r="P42" s="56"/>
      <c r="Q42" s="56"/>
      <c r="S42" s="57"/>
      <c r="T42" s="58" t="str">
        <f t="shared" ref="T42:T46" si="62">C42</f>
        <v>(a) HIV, TB, Malaria and Community Outreach Grant</v>
      </c>
      <c r="U42" s="96">
        <v>596276</v>
      </c>
      <c r="V42" s="199">
        <v>0</v>
      </c>
      <c r="W42" s="59">
        <v>596276</v>
      </c>
      <c r="X42" s="59">
        <v>0</v>
      </c>
      <c r="Y42" s="96">
        <v>596276</v>
      </c>
      <c r="Z42" s="217"/>
      <c r="AA42" s="102">
        <v>298134</v>
      </c>
      <c r="AB42" s="59">
        <v>298134</v>
      </c>
      <c r="AC42" s="59"/>
      <c r="AD42" s="59">
        <v>230420</v>
      </c>
      <c r="AE42" s="172">
        <v>0.38643178662230243</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-298142</v>
      </c>
      <c r="AS42" s="398">
        <f t="shared" si="22"/>
        <v>-298142</v>
      </c>
      <c r="AT42" s="398"/>
      <c r="AU42" s="398">
        <f t="shared" si="23"/>
        <v>-369224.68900000001</v>
      </c>
      <c r="AV42" s="290"/>
      <c r="AW42" s="401"/>
    </row>
    <row r="43" spans="1:82" s="35" customFormat="1" ht="15.75" customHeight="1" x14ac:dyDescent="0.3">
      <c r="A43"/>
      <c r="B43" s="57"/>
      <c r="C43" s="58" t="s">
        <v>28</v>
      </c>
      <c r="D43" s="496">
        <v>386706</v>
      </c>
      <c r="E43" s="199">
        <f t="shared" si="60"/>
        <v>0</v>
      </c>
      <c r="F43" s="497">
        <v>386706</v>
      </c>
      <c r="G43" s="497">
        <v>0</v>
      </c>
      <c r="H43" s="96">
        <f t="shared" si="61"/>
        <v>386706</v>
      </c>
      <c r="I43" s="217"/>
      <c r="J43" s="499">
        <v>386706</v>
      </c>
      <c r="K43" s="497">
        <v>386706</v>
      </c>
      <c r="L43" s="59"/>
      <c r="M43" s="497">
        <v>391337.815</v>
      </c>
      <c r="N43" s="172">
        <f t="shared" si="59"/>
        <v>1.0119776134841456</v>
      </c>
      <c r="O43" s="60"/>
      <c r="P43" s="56"/>
      <c r="Q43" s="56"/>
      <c r="R43"/>
      <c r="S43" s="57"/>
      <c r="T43" s="58" t="str">
        <f t="shared" si="62"/>
        <v>(b) Health Facility Revitalisation Grant</v>
      </c>
      <c r="U43" s="96">
        <v>386706</v>
      </c>
      <c r="V43" s="199">
        <v>0</v>
      </c>
      <c r="W43" s="59">
        <v>386706</v>
      </c>
      <c r="X43" s="59">
        <v>0</v>
      </c>
      <c r="Y43" s="96">
        <v>386706</v>
      </c>
      <c r="Z43" s="217"/>
      <c r="AA43" s="102">
        <v>312087</v>
      </c>
      <c r="AB43" s="59">
        <v>312087</v>
      </c>
      <c r="AC43" s="59"/>
      <c r="AD43" s="59">
        <v>225931</v>
      </c>
      <c r="AE43" s="172">
        <v>0.58424487853821772</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-74619</v>
      </c>
      <c r="AS43" s="398">
        <f t="shared" si="22"/>
        <v>-74619</v>
      </c>
      <c r="AT43" s="398"/>
      <c r="AU43" s="398">
        <f t="shared" si="23"/>
        <v>-165406.815</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4894</v>
      </c>
      <c r="E44" s="199">
        <f t="shared" si="60"/>
        <v>-1251</v>
      </c>
      <c r="F44" s="497">
        <v>3643</v>
      </c>
      <c r="G44" s="497">
        <v>0</v>
      </c>
      <c r="H44" s="96">
        <f t="shared" si="61"/>
        <v>3643</v>
      </c>
      <c r="I44" s="217"/>
      <c r="J44" s="499">
        <v>3643</v>
      </c>
      <c r="K44" s="497">
        <v>3643</v>
      </c>
      <c r="L44" s="59"/>
      <c r="M44" s="497">
        <v>3583.5740000000001</v>
      </c>
      <c r="N44" s="172">
        <f t="shared" si="59"/>
        <v>0.98368762009332966</v>
      </c>
      <c r="O44" s="69"/>
      <c r="P44" s="70"/>
      <c r="Q44" s="70"/>
      <c r="R44"/>
      <c r="S44" s="67"/>
      <c r="T44" s="58" t="str">
        <f t="shared" si="62"/>
        <v>(c) Human Papillomavirus Vaccine Grant</v>
      </c>
      <c r="U44" s="97">
        <v>4894</v>
      </c>
      <c r="V44" s="200">
        <v>0</v>
      </c>
      <c r="W44" s="68">
        <v>4894</v>
      </c>
      <c r="X44" s="68">
        <v>0</v>
      </c>
      <c r="Y44" s="97">
        <v>4894</v>
      </c>
      <c r="Z44" s="218"/>
      <c r="AA44" s="103">
        <v>2442</v>
      </c>
      <c r="AB44" s="68">
        <v>2442</v>
      </c>
      <c r="AC44" s="68"/>
      <c r="AD44" s="68">
        <v>873</v>
      </c>
      <c r="AE44" s="172">
        <v>0.17838169186759298</v>
      </c>
      <c r="AF44" s="69"/>
      <c r="AG44" s="445"/>
      <c r="AH44" s="445"/>
      <c r="AI44" s="71"/>
      <c r="AJ44" s="404"/>
      <c r="AK44" s="479" t="str">
        <f t="shared" si="15"/>
        <v>(c) Human Papillomavirus Vaccine Grant</v>
      </c>
      <c r="AL44" s="405">
        <f t="shared" si="16"/>
        <v>0</v>
      </c>
      <c r="AM44" s="406">
        <f t="shared" si="17"/>
        <v>1251</v>
      </c>
      <c r="AN44" s="407">
        <f t="shared" si="18"/>
        <v>1251</v>
      </c>
      <c r="AO44" s="407">
        <f t="shared" si="19"/>
        <v>0</v>
      </c>
      <c r="AP44" s="405">
        <f t="shared" si="20"/>
        <v>1251</v>
      </c>
      <c r="AQ44" s="408"/>
      <c r="AR44" s="409">
        <f t="shared" si="21"/>
        <v>-1201</v>
      </c>
      <c r="AS44" s="407">
        <f t="shared" si="22"/>
        <v>-1201</v>
      </c>
      <c r="AT44" s="407"/>
      <c r="AU44" s="407">
        <f t="shared" si="23"/>
        <v>-2710.5740000000001</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11606</v>
      </c>
      <c r="E45" s="199">
        <f t="shared" si="60"/>
        <v>9825</v>
      </c>
      <c r="F45" s="497">
        <v>21431</v>
      </c>
      <c r="G45" s="497">
        <v>0</v>
      </c>
      <c r="H45" s="96">
        <f t="shared" si="61"/>
        <v>21431</v>
      </c>
      <c r="I45" s="217"/>
      <c r="J45" s="499">
        <v>21431</v>
      </c>
      <c r="K45" s="497">
        <v>21431</v>
      </c>
      <c r="L45" s="59"/>
      <c r="M45" s="497">
        <v>16863.563999999998</v>
      </c>
      <c r="N45" s="172">
        <f t="shared" si="59"/>
        <v>0.78687714059073299</v>
      </c>
      <c r="O45" s="60"/>
      <c r="P45" s="56"/>
      <c r="Q45" s="56"/>
      <c r="R45"/>
      <c r="S45" s="57"/>
      <c r="T45" s="58" t="str">
        <f t="shared" si="62"/>
        <v>(d) Human Resources Capacitation Grant</v>
      </c>
      <c r="U45" s="96">
        <v>11606</v>
      </c>
      <c r="V45" s="199">
        <v>0</v>
      </c>
      <c r="W45" s="59">
        <v>11606</v>
      </c>
      <c r="X45" s="59">
        <v>0</v>
      </c>
      <c r="Y45" s="96">
        <v>11606</v>
      </c>
      <c r="Z45" s="217"/>
      <c r="AA45" s="102">
        <v>5802</v>
      </c>
      <c r="AB45" s="59">
        <v>5802</v>
      </c>
      <c r="AC45" s="59"/>
      <c r="AD45" s="59">
        <v>3854</v>
      </c>
      <c r="AE45" s="172">
        <v>0.33206961916250216</v>
      </c>
      <c r="AF45" s="60"/>
      <c r="AG45" s="443"/>
      <c r="AH45" s="443"/>
      <c r="AI45"/>
      <c r="AJ45" s="394"/>
      <c r="AK45" s="479" t="str">
        <f t="shared" si="15"/>
        <v>(d) Human Resources Capacitation Grant</v>
      </c>
      <c r="AL45" s="396">
        <f t="shared" si="16"/>
        <v>0</v>
      </c>
      <c r="AM45" s="397">
        <f t="shared" si="17"/>
        <v>-9825</v>
      </c>
      <c r="AN45" s="398">
        <f t="shared" si="18"/>
        <v>-9825</v>
      </c>
      <c r="AO45" s="398">
        <f t="shared" si="19"/>
        <v>0</v>
      </c>
      <c r="AP45" s="396">
        <f t="shared" si="20"/>
        <v>-9825</v>
      </c>
      <c r="AQ45" s="399"/>
      <c r="AR45" s="400">
        <f t="shared" si="21"/>
        <v>-15629</v>
      </c>
      <c r="AS45" s="398">
        <f t="shared" si="22"/>
        <v>-15629</v>
      </c>
      <c r="AT45" s="398"/>
      <c r="AU45" s="398">
        <f t="shared" si="23"/>
        <v>-13009.563999999998</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19306</v>
      </c>
      <c r="F46" s="497">
        <v>19306</v>
      </c>
      <c r="G46" s="497">
        <v>0</v>
      </c>
      <c r="H46" s="96">
        <f t="shared" ref="H46" si="63">SUM(F46:G46)</f>
        <v>19306</v>
      </c>
      <c r="I46" s="217"/>
      <c r="J46" s="499">
        <v>19306</v>
      </c>
      <c r="K46" s="497">
        <v>19306</v>
      </c>
      <c r="L46" s="59"/>
      <c r="M46" s="497">
        <v>14321</v>
      </c>
      <c r="N46" s="172">
        <f>IFERROR(M46/H46,0)</f>
        <v>0.74179011706205322</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-19306</v>
      </c>
      <c r="AN46" s="398">
        <f t="shared" si="18"/>
        <v>-19306</v>
      </c>
      <c r="AO46" s="398">
        <f t="shared" si="19"/>
        <v>0</v>
      </c>
      <c r="AP46" s="396">
        <f t="shared" si="20"/>
        <v>-19306</v>
      </c>
      <c r="AQ46" s="399"/>
      <c r="AR46" s="400">
        <f t="shared" si="21"/>
        <v>-19306</v>
      </c>
      <c r="AS46" s="398">
        <f t="shared" si="22"/>
        <v>-19306</v>
      </c>
      <c r="AT46" s="398"/>
      <c r="AU46" s="398">
        <f t="shared" si="23"/>
        <v>-14321</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481052</v>
      </c>
      <c r="E48" s="198">
        <f t="shared" ref="E48:K48" si="64">SUM(E49+E50)</f>
        <v>-26000</v>
      </c>
      <c r="F48" s="54">
        <f t="shared" si="64"/>
        <v>455052</v>
      </c>
      <c r="G48" s="54">
        <f t="shared" si="64"/>
        <v>7127</v>
      </c>
      <c r="H48" s="95">
        <f t="shared" si="64"/>
        <v>462179</v>
      </c>
      <c r="I48" s="216">
        <f t="shared" si="64"/>
        <v>0</v>
      </c>
      <c r="J48" s="101">
        <f t="shared" si="64"/>
        <v>455052</v>
      </c>
      <c r="K48" s="54">
        <f t="shared" si="64"/>
        <v>455052</v>
      </c>
      <c r="L48" s="54"/>
      <c r="M48" s="54">
        <f>SUM(M49+M50)</f>
        <v>435490</v>
      </c>
      <c r="N48" s="183">
        <f t="shared" ref="N48:N50" si="65">IFERROR(M48/H48,0)</f>
        <v>0.94225397519143017</v>
      </c>
      <c r="O48" s="63"/>
      <c r="P48" s="64"/>
      <c r="Q48" s="64"/>
      <c r="R48"/>
      <c r="S48" s="62"/>
      <c r="T48" s="51" t="str">
        <f>C48</f>
        <v>Human Settlements (Vote 38)</v>
      </c>
      <c r="U48" s="95">
        <v>481052</v>
      </c>
      <c r="V48" s="198">
        <v>0</v>
      </c>
      <c r="W48" s="54">
        <v>481052</v>
      </c>
      <c r="X48" s="54">
        <v>0</v>
      </c>
      <c r="Y48" s="95">
        <v>481052</v>
      </c>
      <c r="Z48" s="216"/>
      <c r="AA48" s="101">
        <v>272294</v>
      </c>
      <c r="AB48" s="54">
        <v>272294</v>
      </c>
      <c r="AC48" s="54"/>
      <c r="AD48" s="54">
        <v>132863</v>
      </c>
      <c r="AE48" s="183">
        <v>0.27619259456358147</v>
      </c>
      <c r="AF48" s="63"/>
      <c r="AG48" s="444"/>
      <c r="AH48" s="444"/>
      <c r="AI48" s="73"/>
      <c r="AJ48" s="402"/>
      <c r="AK48" s="481" t="str">
        <f t="shared" si="15"/>
        <v>Human Settlements (Vote 38)</v>
      </c>
      <c r="AL48" s="388">
        <f t="shared" si="16"/>
        <v>0</v>
      </c>
      <c r="AM48" s="389">
        <f t="shared" si="17"/>
        <v>26000</v>
      </c>
      <c r="AN48" s="390">
        <f t="shared" si="18"/>
        <v>26000</v>
      </c>
      <c r="AO48" s="390">
        <f t="shared" si="19"/>
        <v>-7127</v>
      </c>
      <c r="AP48" s="388">
        <f t="shared" si="20"/>
        <v>18873</v>
      </c>
      <c r="AQ48" s="391"/>
      <c r="AR48" s="392">
        <f t="shared" si="21"/>
        <v>-182758</v>
      </c>
      <c r="AS48" s="390">
        <f t="shared" si="22"/>
        <v>-182758</v>
      </c>
      <c r="AT48" s="390"/>
      <c r="AU48" s="390">
        <f t="shared" si="23"/>
        <v>-302627</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470262</v>
      </c>
      <c r="E49" s="199">
        <f t="shared" ref="E49:E50" si="66">SUM(F49-D49)</f>
        <v>-26000</v>
      </c>
      <c r="F49" s="497">
        <v>444262</v>
      </c>
      <c r="G49" s="497">
        <v>7127</v>
      </c>
      <c r="H49" s="96">
        <f t="shared" ref="H49:H50" si="67">SUM(F49:G49)</f>
        <v>451389</v>
      </c>
      <c r="I49" s="217"/>
      <c r="J49" s="499">
        <v>444262</v>
      </c>
      <c r="K49" s="497">
        <v>444262</v>
      </c>
      <c r="L49" s="59"/>
      <c r="M49" s="497">
        <v>421588</v>
      </c>
      <c r="N49" s="172">
        <f t="shared" si="65"/>
        <v>0.93397933932816257</v>
      </c>
      <c r="O49" s="60"/>
      <c r="R49"/>
      <c r="S49" s="57"/>
      <c r="T49" s="58" t="str">
        <f t="shared" ref="T49:T53" si="68">C49</f>
        <v>(a) Human Settlements Development Grant</v>
      </c>
      <c r="U49" s="96">
        <v>470262</v>
      </c>
      <c r="V49" s="199">
        <v>0</v>
      </c>
      <c r="W49" s="59">
        <v>470262</v>
      </c>
      <c r="X49" s="59">
        <v>0</v>
      </c>
      <c r="Y49" s="96">
        <v>470262</v>
      </c>
      <c r="Z49" s="217"/>
      <c r="AA49" s="102">
        <v>268054</v>
      </c>
      <c r="AB49" s="59">
        <v>268054</v>
      </c>
      <c r="AC49" s="59"/>
      <c r="AD49" s="59">
        <v>131389</v>
      </c>
      <c r="AE49" s="172">
        <v>0.27939531580268023</v>
      </c>
      <c r="AF49" s="60"/>
      <c r="AG49" s="443"/>
      <c r="AH49" s="443"/>
      <c r="AI49" s="61"/>
      <c r="AJ49" s="394"/>
      <c r="AK49" s="479" t="str">
        <f t="shared" si="15"/>
        <v>(a) Human Settlements Development Grant</v>
      </c>
      <c r="AL49" s="396">
        <f t="shared" si="16"/>
        <v>0</v>
      </c>
      <c r="AM49" s="397">
        <f t="shared" si="17"/>
        <v>26000</v>
      </c>
      <c r="AN49" s="398">
        <f t="shared" si="18"/>
        <v>26000</v>
      </c>
      <c r="AO49" s="398">
        <f t="shared" si="19"/>
        <v>-7127</v>
      </c>
      <c r="AP49" s="396">
        <f t="shared" si="20"/>
        <v>18873</v>
      </c>
      <c r="AQ49" s="399"/>
      <c r="AR49" s="400">
        <f t="shared" si="21"/>
        <v>-176208</v>
      </c>
      <c r="AS49" s="398">
        <f t="shared" si="22"/>
        <v>-176208</v>
      </c>
      <c r="AT49" s="398"/>
      <c r="AU49" s="398">
        <f t="shared" si="23"/>
        <v>-290199</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10790</v>
      </c>
      <c r="E50" s="199">
        <f t="shared" si="66"/>
        <v>0</v>
      </c>
      <c r="F50" s="497">
        <v>10790</v>
      </c>
      <c r="G50" s="497">
        <v>0</v>
      </c>
      <c r="H50" s="96">
        <f t="shared" si="67"/>
        <v>10790</v>
      </c>
      <c r="I50" s="217"/>
      <c r="J50" s="499">
        <v>10790</v>
      </c>
      <c r="K50" s="497">
        <v>10790</v>
      </c>
      <c r="L50" s="59"/>
      <c r="M50" s="497">
        <v>13902</v>
      </c>
      <c r="N50" s="172">
        <f t="shared" si="65"/>
        <v>1.2884151992585728</v>
      </c>
      <c r="O50" s="60"/>
      <c r="P50" s="56"/>
      <c r="Q50" s="56"/>
      <c r="R50"/>
      <c r="S50" s="57"/>
      <c r="T50" s="58" t="str">
        <f t="shared" si="68"/>
        <v>(b) Title Deeds Restoriation Grant</v>
      </c>
      <c r="U50" s="96">
        <v>10790</v>
      </c>
      <c r="V50" s="199">
        <v>0</v>
      </c>
      <c r="W50" s="59">
        <v>10790</v>
      </c>
      <c r="X50" s="59">
        <v>0</v>
      </c>
      <c r="Y50" s="96">
        <v>10790</v>
      </c>
      <c r="Z50" s="217"/>
      <c r="AA50" s="102">
        <v>4240</v>
      </c>
      <c r="AB50" s="59">
        <v>4240</v>
      </c>
      <c r="AC50" s="59"/>
      <c r="AD50" s="59">
        <v>1474</v>
      </c>
      <c r="AE50" s="172">
        <v>0.13660797034291011</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-6550</v>
      </c>
      <c r="AS50" s="398">
        <f t="shared" si="22"/>
        <v>-6550</v>
      </c>
      <c r="AT50" s="398"/>
      <c r="AU50" s="398">
        <f t="shared" si="23"/>
        <v>-12428</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45517</v>
      </c>
      <c r="E55" s="198">
        <f t="shared" ref="E55:K55" si="72">SUM(E56+E57)</f>
        <v>0</v>
      </c>
      <c r="F55" s="54">
        <f t="shared" si="72"/>
        <v>45517</v>
      </c>
      <c r="G55" s="54">
        <f t="shared" si="72"/>
        <v>466</v>
      </c>
      <c r="H55" s="95">
        <f t="shared" si="72"/>
        <v>45983</v>
      </c>
      <c r="I55" s="216">
        <f t="shared" si="72"/>
        <v>0</v>
      </c>
      <c r="J55" s="101">
        <f t="shared" si="72"/>
        <v>45517</v>
      </c>
      <c r="K55" s="54">
        <f t="shared" si="72"/>
        <v>45517</v>
      </c>
      <c r="L55" s="54"/>
      <c r="M55" s="54">
        <f>SUM(M56+M57)</f>
        <v>44574.574999999997</v>
      </c>
      <c r="N55" s="183">
        <f t="shared" ref="N55:N57" si="73">IFERROR(M55/H55,0)</f>
        <v>0.96937074571037118</v>
      </c>
      <c r="O55" s="63"/>
      <c r="P55" s="64"/>
      <c r="Q55" s="64"/>
      <c r="R55"/>
      <c r="S55" s="62"/>
      <c r="T55" s="51" t="str">
        <f>C55</f>
        <v>Public Works (Vote 11)</v>
      </c>
      <c r="U55" s="95">
        <v>45517</v>
      </c>
      <c r="V55" s="198">
        <v>0</v>
      </c>
      <c r="W55" s="54">
        <v>45517</v>
      </c>
      <c r="X55" s="54">
        <v>0</v>
      </c>
      <c r="Y55" s="95">
        <v>45517</v>
      </c>
      <c r="Z55" s="216"/>
      <c r="AA55" s="101">
        <v>31861</v>
      </c>
      <c r="AB55" s="54">
        <v>27845</v>
      </c>
      <c r="AC55" s="54"/>
      <c r="AD55" s="54">
        <v>10577</v>
      </c>
      <c r="AE55" s="183">
        <v>0.23237471713865149</v>
      </c>
      <c r="AF55" s="63"/>
      <c r="AG55" s="444"/>
      <c r="AH55" s="444"/>
      <c r="AI55"/>
      <c r="AJ55" s="402"/>
      <c r="AK55" s="481" t="str">
        <f t="shared" si="15"/>
        <v>Public Works (Vote 11)</v>
      </c>
      <c r="AL55" s="388">
        <f t="shared" si="16"/>
        <v>0</v>
      </c>
      <c r="AM55" s="389">
        <f t="shared" si="17"/>
        <v>0</v>
      </c>
      <c r="AN55" s="390">
        <f t="shared" si="18"/>
        <v>0</v>
      </c>
      <c r="AO55" s="390">
        <f t="shared" si="19"/>
        <v>-466</v>
      </c>
      <c r="AP55" s="388">
        <f t="shared" si="20"/>
        <v>-466</v>
      </c>
      <c r="AQ55" s="391"/>
      <c r="AR55" s="392">
        <f t="shared" si="21"/>
        <v>-13656</v>
      </c>
      <c r="AS55" s="390">
        <f t="shared" si="22"/>
        <v>-17672</v>
      </c>
      <c r="AT55" s="390"/>
      <c r="AU55" s="390">
        <f t="shared" si="23"/>
        <v>-33997.574999999997</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20321</v>
      </c>
      <c r="E56" s="199">
        <f t="shared" ref="E56:E57" si="74">SUM(F56-D56)</f>
        <v>0</v>
      </c>
      <c r="F56" s="497">
        <v>20321</v>
      </c>
      <c r="G56" s="497">
        <v>466</v>
      </c>
      <c r="H56" s="96">
        <f t="shared" ref="H56:H57" si="75">SUM(F56:G56)</f>
        <v>20787</v>
      </c>
      <c r="I56" s="217"/>
      <c r="J56" s="499">
        <v>20321</v>
      </c>
      <c r="K56" s="497">
        <v>20321</v>
      </c>
      <c r="L56" s="59"/>
      <c r="M56" s="497">
        <v>20018</v>
      </c>
      <c r="N56" s="172">
        <f t="shared" si="73"/>
        <v>0.96300572473180357</v>
      </c>
      <c r="O56" s="60"/>
      <c r="P56" s="56"/>
      <c r="Q56" s="56"/>
      <c r="R56"/>
      <c r="S56" s="57"/>
      <c r="T56" s="58" t="str">
        <f t="shared" ref="T56:T60" si="76">C56</f>
        <v>(a) Expanded Public Works Programme Integrated Grant for Provinces</v>
      </c>
      <c r="U56" s="96">
        <v>20321</v>
      </c>
      <c r="V56" s="199">
        <v>0</v>
      </c>
      <c r="W56" s="59">
        <v>20321</v>
      </c>
      <c r="X56" s="59">
        <v>0</v>
      </c>
      <c r="Y56" s="96">
        <v>20321</v>
      </c>
      <c r="Z56" s="217"/>
      <c r="AA56" s="102">
        <v>14224</v>
      </c>
      <c r="AB56" s="59">
        <v>10208</v>
      </c>
      <c r="AC56" s="59"/>
      <c r="AD56" s="59">
        <v>4215</v>
      </c>
      <c r="AE56" s="172">
        <v>0.20742089464101177</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-466</v>
      </c>
      <c r="AP56" s="396">
        <f t="shared" si="20"/>
        <v>-466</v>
      </c>
      <c r="AQ56" s="399"/>
      <c r="AR56" s="400">
        <f t="shared" si="21"/>
        <v>-6097</v>
      </c>
      <c r="AS56" s="398">
        <f t="shared" si="22"/>
        <v>-10113</v>
      </c>
      <c r="AT56" s="398"/>
      <c r="AU56" s="398">
        <f t="shared" si="23"/>
        <v>-15803</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25196</v>
      </c>
      <c r="E57" s="199">
        <f t="shared" si="74"/>
        <v>0</v>
      </c>
      <c r="F57" s="497">
        <v>25196</v>
      </c>
      <c r="G57" s="497">
        <v>0</v>
      </c>
      <c r="H57" s="96">
        <f t="shared" si="75"/>
        <v>25196</v>
      </c>
      <c r="I57" s="217"/>
      <c r="J57" s="499">
        <v>25196</v>
      </c>
      <c r="K57" s="497">
        <v>25196</v>
      </c>
      <c r="L57" s="59"/>
      <c r="M57" s="497">
        <v>24556.575000000001</v>
      </c>
      <c r="N57" s="172">
        <f t="shared" si="73"/>
        <v>0.97462196380377841</v>
      </c>
      <c r="O57" s="60"/>
      <c r="P57" s="56"/>
      <c r="Q57" s="56"/>
      <c r="R57"/>
      <c r="S57" s="57"/>
      <c r="T57" s="58" t="str">
        <f t="shared" si="76"/>
        <v>(b) Social Sector Expanded Public Works Programme Incentive Grant for Provinces</v>
      </c>
      <c r="U57" s="96">
        <v>25196</v>
      </c>
      <c r="V57" s="199">
        <v>0</v>
      </c>
      <c r="W57" s="59">
        <v>25196</v>
      </c>
      <c r="X57" s="59">
        <v>0</v>
      </c>
      <c r="Y57" s="96">
        <v>25196</v>
      </c>
      <c r="Z57" s="217"/>
      <c r="AA57" s="102">
        <v>17637</v>
      </c>
      <c r="AB57" s="59">
        <v>17637</v>
      </c>
      <c r="AC57" s="59"/>
      <c r="AD57" s="59">
        <v>6362</v>
      </c>
      <c r="AE57" s="172">
        <v>0.25250039688839498</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-7559</v>
      </c>
      <c r="AS57" s="398">
        <f t="shared" si="22"/>
        <v>-7559</v>
      </c>
      <c r="AT57" s="398"/>
      <c r="AU57" s="398">
        <f t="shared" si="23"/>
        <v>-18194.575000000001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14199</v>
      </c>
      <c r="E62" s="198">
        <f t="shared" ref="E62:K62" si="79">SUM(E63)</f>
        <v>0</v>
      </c>
      <c r="F62" s="54">
        <f t="shared" si="79"/>
        <v>14199</v>
      </c>
      <c r="G62" s="54">
        <f t="shared" si="79"/>
        <v>0</v>
      </c>
      <c r="H62" s="95">
        <f t="shared" si="79"/>
        <v>14199</v>
      </c>
      <c r="I62" s="216">
        <f t="shared" si="79"/>
        <v>0</v>
      </c>
      <c r="J62" s="101">
        <f t="shared" si="79"/>
        <v>14199</v>
      </c>
      <c r="K62" s="54">
        <f t="shared" si="79"/>
        <v>14199</v>
      </c>
      <c r="L62" s="54"/>
      <c r="M62" s="54">
        <f>SUM(M63)</f>
        <v>13056</v>
      </c>
      <c r="N62" s="183">
        <f t="shared" ref="N62:N63" si="80">IFERROR(M62/H62,0)</f>
        <v>0.91950137333615045</v>
      </c>
      <c r="O62" s="63"/>
      <c r="P62" s="64"/>
      <c r="Q62" s="64"/>
      <c r="R62"/>
      <c r="S62" s="62"/>
      <c r="T62" s="51" t="str">
        <f>C62</f>
        <v>Social Development (Vote 17)</v>
      </c>
      <c r="U62" s="95">
        <v>14199</v>
      </c>
      <c r="V62" s="198">
        <v>0</v>
      </c>
      <c r="W62" s="54">
        <v>14199</v>
      </c>
      <c r="X62" s="54">
        <v>0</v>
      </c>
      <c r="Y62" s="95">
        <v>14199</v>
      </c>
      <c r="Z62" s="216"/>
      <c r="AA62" s="101">
        <v>7668</v>
      </c>
      <c r="AB62" s="54">
        <v>7668</v>
      </c>
      <c r="AC62" s="54"/>
      <c r="AD62" s="54">
        <v>3140</v>
      </c>
      <c r="AE62" s="183">
        <v>0.22114233396718078</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-6531</v>
      </c>
      <c r="AS62" s="390">
        <f t="shared" si="22"/>
        <v>-6531</v>
      </c>
      <c r="AT62" s="390"/>
      <c r="AU62" s="390">
        <f t="shared" si="23"/>
        <v>-9916</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14199</v>
      </c>
      <c r="E63" s="199">
        <f>SUM(F63-D63)</f>
        <v>0</v>
      </c>
      <c r="F63" s="497">
        <v>14199</v>
      </c>
      <c r="G63" s="497">
        <v>0</v>
      </c>
      <c r="H63" s="96">
        <f>SUM(F63:G63)</f>
        <v>14199</v>
      </c>
      <c r="I63" s="217"/>
      <c r="J63" s="499">
        <v>14199</v>
      </c>
      <c r="K63" s="497">
        <v>14199</v>
      </c>
      <c r="L63" s="59"/>
      <c r="M63" s="497">
        <v>13056</v>
      </c>
      <c r="N63" s="172">
        <f t="shared" si="80"/>
        <v>0.91950137333615045</v>
      </c>
      <c r="O63" s="33"/>
      <c r="P63" s="21"/>
      <c r="Q63" s="21"/>
      <c r="R63"/>
      <c r="S63" s="57"/>
      <c r="T63" s="58" t="str">
        <f t="shared" ref="T63:T67" si="81">C63</f>
        <v>Early Childhood Development Grant</v>
      </c>
      <c r="U63" s="96">
        <v>14199</v>
      </c>
      <c r="V63" s="199">
        <v>0</v>
      </c>
      <c r="W63" s="59">
        <v>14199</v>
      </c>
      <c r="X63" s="59">
        <v>0</v>
      </c>
      <c r="Y63" s="96">
        <v>14199</v>
      </c>
      <c r="Z63" s="217"/>
      <c r="AA63" s="102">
        <v>7668</v>
      </c>
      <c r="AB63" s="59">
        <v>7668</v>
      </c>
      <c r="AC63" s="59"/>
      <c r="AD63" s="59">
        <v>3140</v>
      </c>
      <c r="AE63" s="172">
        <v>0.22114233396718078</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-6531</v>
      </c>
      <c r="AS63" s="398">
        <f t="shared" si="22"/>
        <v>-6531</v>
      </c>
      <c r="AT63" s="398"/>
      <c r="AU63" s="398">
        <f t="shared" si="23"/>
        <v>-9916</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32086</v>
      </c>
      <c r="E69" s="198">
        <f t="shared" ref="E69:K69" si="85">SUM(E70)</f>
        <v>0</v>
      </c>
      <c r="F69" s="54">
        <f t="shared" si="85"/>
        <v>32086</v>
      </c>
      <c r="G69" s="54">
        <f t="shared" si="85"/>
        <v>0</v>
      </c>
      <c r="H69" s="95">
        <f t="shared" si="85"/>
        <v>32086</v>
      </c>
      <c r="I69" s="216">
        <f t="shared" si="85"/>
        <v>0</v>
      </c>
      <c r="J69" s="101">
        <f t="shared" si="85"/>
        <v>32086</v>
      </c>
      <c r="K69" s="54">
        <f t="shared" si="85"/>
        <v>32086</v>
      </c>
      <c r="L69" s="54"/>
      <c r="M69" s="54">
        <f>SUM(M70)</f>
        <v>31765</v>
      </c>
      <c r="N69" s="183">
        <f t="shared" ref="N69:N70" si="86">IFERROR(M69/H69,0)</f>
        <v>0.98999563672629809</v>
      </c>
      <c r="O69" s="63"/>
      <c r="P69" s="64"/>
      <c r="Q69" s="64"/>
      <c r="R69"/>
      <c r="S69" s="62"/>
      <c r="T69" s="51" t="str">
        <f>C69</f>
        <v>Sport and Recreation South Africa (Vote 40)</v>
      </c>
      <c r="U69" s="95">
        <v>32086</v>
      </c>
      <c r="V69" s="198">
        <v>0</v>
      </c>
      <c r="W69" s="54">
        <v>32086</v>
      </c>
      <c r="X69" s="54">
        <v>0</v>
      </c>
      <c r="Y69" s="95">
        <v>32086</v>
      </c>
      <c r="Z69" s="216"/>
      <c r="AA69" s="101">
        <v>16043</v>
      </c>
      <c r="AB69" s="54">
        <v>16043</v>
      </c>
      <c r="AC69" s="59"/>
      <c r="AD69" s="54">
        <v>19370</v>
      </c>
      <c r="AE69" s="172">
        <v>0.60369008290220039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-16043</v>
      </c>
      <c r="AS69" s="390">
        <f t="shared" si="22"/>
        <v>-16043</v>
      </c>
      <c r="AT69" s="398"/>
      <c r="AU69" s="390">
        <f t="shared" si="23"/>
        <v>-12395</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32086</v>
      </c>
      <c r="E70" s="199">
        <f>SUM(F70-D70)</f>
        <v>0</v>
      </c>
      <c r="F70" s="497">
        <v>32086</v>
      </c>
      <c r="G70" s="497">
        <v>0</v>
      </c>
      <c r="H70" s="96">
        <f>SUM(F70:G70)</f>
        <v>32086</v>
      </c>
      <c r="I70" s="217"/>
      <c r="J70" s="499">
        <v>32086</v>
      </c>
      <c r="K70" s="497">
        <v>32086</v>
      </c>
      <c r="L70" s="59"/>
      <c r="M70" s="497">
        <v>31765</v>
      </c>
      <c r="N70" s="172">
        <f t="shared" si="86"/>
        <v>0.98999563672629809</v>
      </c>
      <c r="O70" s="60"/>
      <c r="P70" s="56"/>
      <c r="Q70" s="56"/>
      <c r="R70"/>
      <c r="S70" s="57"/>
      <c r="T70" s="58" t="str">
        <f t="shared" ref="T70:T74" si="87">C70</f>
        <v>Mass Participation and Sport Development Grant</v>
      </c>
      <c r="U70" s="96">
        <v>32086</v>
      </c>
      <c r="V70" s="199">
        <v>0</v>
      </c>
      <c r="W70" s="59">
        <v>32086</v>
      </c>
      <c r="X70" s="59">
        <v>0</v>
      </c>
      <c r="Y70" s="96">
        <v>32086</v>
      </c>
      <c r="Z70" s="217"/>
      <c r="AA70" s="102">
        <v>16043</v>
      </c>
      <c r="AB70" s="59">
        <v>16043</v>
      </c>
      <c r="AC70" s="59"/>
      <c r="AD70" s="59">
        <v>19370</v>
      </c>
      <c r="AE70" s="183">
        <v>0.60369008290220039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-16043</v>
      </c>
      <c r="AS70" s="398">
        <f t="shared" si="22"/>
        <v>-16043</v>
      </c>
      <c r="AT70" s="398"/>
      <c r="AU70" s="398">
        <f t="shared" si="23"/>
        <v>-12395</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2164943</v>
      </c>
      <c r="E76" s="201">
        <f t="shared" ref="E76:K76" si="90">SUM(E13+E20+E27+E34+E41+E48+E55+E62+E69)</f>
        <v>-897</v>
      </c>
      <c r="F76" s="75">
        <f t="shared" si="90"/>
        <v>2164046</v>
      </c>
      <c r="G76" s="75">
        <f t="shared" si="90"/>
        <v>51313</v>
      </c>
      <c r="H76" s="98">
        <f t="shared" si="90"/>
        <v>2215359</v>
      </c>
      <c r="I76" s="219">
        <f t="shared" si="90"/>
        <v>0</v>
      </c>
      <c r="J76" s="104">
        <f t="shared" si="90"/>
        <v>2164046</v>
      </c>
      <c r="K76" s="75">
        <f t="shared" si="90"/>
        <v>2164046</v>
      </c>
      <c r="L76" s="59"/>
      <c r="M76" s="75">
        <f>SUM(M13+M20+M27+M34+M41+M48+M55+M62+M69)</f>
        <v>2178251.2170000002</v>
      </c>
      <c r="N76" s="180">
        <f>IFERROR(M76/H76,0)</f>
        <v>0.98324976538791242</v>
      </c>
      <c r="O76" s="60"/>
      <c r="P76" s="65"/>
      <c r="Q76" s="65"/>
      <c r="R76"/>
      <c r="S76" s="53"/>
      <c r="T76" s="74" t="s">
        <v>37</v>
      </c>
      <c r="U76" s="98">
        <v>2164943</v>
      </c>
      <c r="V76" s="201">
        <v>0</v>
      </c>
      <c r="W76" s="75">
        <v>2164943</v>
      </c>
      <c r="X76" s="75">
        <v>0</v>
      </c>
      <c r="Y76" s="98">
        <v>2164943</v>
      </c>
      <c r="Z76" s="219">
        <v>0</v>
      </c>
      <c r="AA76" s="104">
        <v>1284940</v>
      </c>
      <c r="AB76" s="75">
        <v>1280924</v>
      </c>
      <c r="AC76" s="59"/>
      <c r="AD76" s="75">
        <v>938483</v>
      </c>
      <c r="AE76" s="180">
        <v>0.43349085865078202</v>
      </c>
      <c r="AF76" s="60"/>
      <c r="AG76" s="443"/>
      <c r="AH76" s="443"/>
      <c r="AI76"/>
      <c r="AJ76" s="387"/>
      <c r="AK76" s="411" t="str">
        <f t="shared" si="15"/>
        <v>Sub-Total</v>
      </c>
      <c r="AL76" s="412">
        <f t="shared" si="16"/>
        <v>0</v>
      </c>
      <c r="AM76" s="413">
        <f t="shared" si="17"/>
        <v>897</v>
      </c>
      <c r="AN76" s="414">
        <f t="shared" si="18"/>
        <v>897</v>
      </c>
      <c r="AO76" s="414">
        <f t="shared" si="19"/>
        <v>-51313</v>
      </c>
      <c r="AP76" s="412">
        <f t="shared" si="20"/>
        <v>-50416</v>
      </c>
      <c r="AQ76" s="415"/>
      <c r="AR76" s="416">
        <f t="shared" si="21"/>
        <v>-879106</v>
      </c>
      <c r="AS76" s="414">
        <f t="shared" si="22"/>
        <v>-883122</v>
      </c>
      <c r="AT76" s="398"/>
      <c r="AU76" s="414">
        <f t="shared" si="23"/>
        <v>-1239768.2170000002</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639817</v>
      </c>
      <c r="E80" s="198">
        <f t="shared" ref="E80:K80" si="91">SUM(E81)</f>
        <v>0</v>
      </c>
      <c r="F80" s="54">
        <f t="shared" si="91"/>
        <v>639817</v>
      </c>
      <c r="G80" s="54">
        <f t="shared" si="91"/>
        <v>0</v>
      </c>
      <c r="H80" s="95">
        <f t="shared" si="91"/>
        <v>639817</v>
      </c>
      <c r="I80" s="216">
        <f t="shared" si="91"/>
        <v>0</v>
      </c>
      <c r="J80" s="101">
        <f t="shared" si="91"/>
        <v>639817</v>
      </c>
      <c r="K80" s="54">
        <f t="shared" si="91"/>
        <v>639817</v>
      </c>
      <c r="L80" s="54"/>
      <c r="M80" s="76"/>
      <c r="N80" s="439"/>
      <c r="O80" s="55"/>
      <c r="R80"/>
      <c r="S80" s="62"/>
      <c r="T80" s="51" t="str">
        <f>C80</f>
        <v>Basic Education (Vote 14)</v>
      </c>
      <c r="U80" s="95">
        <v>639817</v>
      </c>
      <c r="V80" s="198">
        <v>0</v>
      </c>
      <c r="W80" s="54">
        <v>639817</v>
      </c>
      <c r="X80" s="54">
        <v>0</v>
      </c>
      <c r="Y80" s="95">
        <v>639817</v>
      </c>
      <c r="Z80" s="216"/>
      <c r="AA80" s="101">
        <v>399886</v>
      </c>
      <c r="AB80" s="54">
        <v>399886</v>
      </c>
      <c r="AC80" s="59"/>
      <c r="AD80" s="54"/>
      <c r="AE80" s="54"/>
      <c r="AF80" s="55"/>
      <c r="AG80" s="442"/>
      <c r="AH80" s="442"/>
      <c r="AI80"/>
      <c r="AJ80" s="402"/>
      <c r="AK80" s="481" t="str">
        <f t="shared" si="15"/>
        <v>Basic Education (Vote 14)</v>
      </c>
      <c r="AL80" s="388">
        <f t="shared" si="16"/>
        <v>0</v>
      </c>
      <c r="AM80" s="389">
        <f t="shared" si="17"/>
        <v>0</v>
      </c>
      <c r="AN80" s="390">
        <f t="shared" si="18"/>
        <v>0</v>
      </c>
      <c r="AO80" s="390">
        <f t="shared" si="19"/>
        <v>0</v>
      </c>
      <c r="AP80" s="388">
        <f t="shared" si="20"/>
        <v>0</v>
      </c>
      <c r="AQ80" s="391"/>
      <c r="AR80" s="392">
        <f t="shared" si="21"/>
        <v>-239931</v>
      </c>
      <c r="AS80" s="390">
        <f t="shared" si="22"/>
        <v>-239931</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639817</v>
      </c>
      <c r="E81" s="199">
        <f>SUM(F81-D81)</f>
        <v>0</v>
      </c>
      <c r="F81" s="497">
        <v>639817</v>
      </c>
      <c r="G81" s="497">
        <v>0</v>
      </c>
      <c r="H81" s="96">
        <f>SUM(F81:G81)</f>
        <v>639817</v>
      </c>
      <c r="I81" s="217"/>
      <c r="J81" s="499">
        <v>639817</v>
      </c>
      <c r="K81" s="497">
        <v>639817</v>
      </c>
      <c r="L81" s="59"/>
      <c r="M81" s="76"/>
      <c r="N81" s="439"/>
      <c r="O81" s="33"/>
      <c r="R81"/>
      <c r="S81" s="57"/>
      <c r="T81" s="58" t="str">
        <f t="shared" ref="T81:T85" si="92">C81</f>
        <v>Education Infrastructure Grant</v>
      </c>
      <c r="U81" s="96">
        <v>639817</v>
      </c>
      <c r="V81" s="199">
        <v>0</v>
      </c>
      <c r="W81" s="59">
        <v>639817</v>
      </c>
      <c r="X81" s="59">
        <v>0</v>
      </c>
      <c r="Y81" s="96">
        <v>639817</v>
      </c>
      <c r="Z81" s="217"/>
      <c r="AA81" s="102">
        <v>399886</v>
      </c>
      <c r="AB81" s="59">
        <v>399886</v>
      </c>
      <c r="AC81" s="59"/>
      <c r="AD81" s="76"/>
      <c r="AE81" s="76"/>
      <c r="AF81" s="33"/>
      <c r="AG81" s="441"/>
      <c r="AH81" s="441"/>
      <c r="AI81"/>
      <c r="AJ81" s="394"/>
      <c r="AK81" s="479" t="str">
        <f t="shared" si="15"/>
        <v>Education Infrastructure Grant</v>
      </c>
      <c r="AL81" s="396">
        <f t="shared" si="16"/>
        <v>0</v>
      </c>
      <c r="AM81" s="397">
        <f t="shared" si="17"/>
        <v>0</v>
      </c>
      <c r="AN81" s="398">
        <f t="shared" si="18"/>
        <v>0</v>
      </c>
      <c r="AO81" s="398">
        <f t="shared" si="19"/>
        <v>0</v>
      </c>
      <c r="AP81" s="396">
        <f t="shared" si="20"/>
        <v>0</v>
      </c>
      <c r="AQ81" s="399"/>
      <c r="AR81" s="400">
        <f t="shared" si="21"/>
        <v>-239931</v>
      </c>
      <c r="AS81" s="398">
        <f t="shared" si="22"/>
        <v>-239931</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475455</v>
      </c>
      <c r="E87" s="198">
        <f t="shared" ref="E87:K87" si="104">SUM(E88+E89)</f>
        <v>0</v>
      </c>
      <c r="F87" s="54">
        <f t="shared" si="104"/>
        <v>475455</v>
      </c>
      <c r="G87" s="54">
        <f t="shared" si="104"/>
        <v>0</v>
      </c>
      <c r="H87" s="95">
        <f t="shared" si="104"/>
        <v>475455</v>
      </c>
      <c r="I87" s="216">
        <f t="shared" si="104"/>
        <v>0</v>
      </c>
      <c r="J87" s="101">
        <f t="shared" si="104"/>
        <v>475455</v>
      </c>
      <c r="K87" s="54">
        <f t="shared" si="104"/>
        <v>475455</v>
      </c>
      <c r="L87" s="59"/>
      <c r="M87" s="591"/>
      <c r="N87" s="439"/>
      <c r="O87" s="55"/>
      <c r="R87"/>
      <c r="S87" s="62"/>
      <c r="T87" s="51" t="str">
        <f>C87</f>
        <v>Health (Vote 16)</v>
      </c>
      <c r="U87" s="95">
        <v>475455</v>
      </c>
      <c r="V87" s="198">
        <v>0</v>
      </c>
      <c r="W87" s="54">
        <v>475455</v>
      </c>
      <c r="X87" s="54">
        <v>0</v>
      </c>
      <c r="Y87" s="95">
        <v>475455</v>
      </c>
      <c r="Z87" s="216"/>
      <c r="AA87" s="101">
        <v>237720</v>
      </c>
      <c r="AB87" s="54">
        <v>237720</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0</v>
      </c>
      <c r="AP87" s="388">
        <f t="shared" si="100"/>
        <v>0</v>
      </c>
      <c r="AQ87" s="391"/>
      <c r="AR87" s="392">
        <f t="shared" si="101"/>
        <v>-237735</v>
      </c>
      <c r="AS87" s="390">
        <f t="shared" si="102"/>
        <v>-237735</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97132</v>
      </c>
      <c r="E88" s="199">
        <f t="shared" ref="E88:E89" si="105">SUM(F88-D88)</f>
        <v>0</v>
      </c>
      <c r="F88" s="497">
        <v>97132</v>
      </c>
      <c r="G88" s="497">
        <v>0</v>
      </c>
      <c r="H88" s="96">
        <f t="shared" ref="H88:H89" si="106">SUM(F88:G88)</f>
        <v>97132</v>
      </c>
      <c r="I88" s="217"/>
      <c r="J88" s="499">
        <v>97132</v>
      </c>
      <c r="K88" s="497">
        <v>97132</v>
      </c>
      <c r="L88" s="59"/>
      <c r="M88" s="76"/>
      <c r="N88" s="439"/>
      <c r="O88" s="33"/>
      <c r="P88" s="21"/>
      <c r="Q88" s="21"/>
      <c r="R88"/>
      <c r="S88" s="57"/>
      <c r="T88" s="58" t="str">
        <f t="shared" ref="T88:T92" si="107">C88</f>
        <v>(a) Health Professions Training and Development Grant</v>
      </c>
      <c r="U88" s="96">
        <v>97132</v>
      </c>
      <c r="V88" s="199">
        <v>0</v>
      </c>
      <c r="W88" s="59">
        <v>97132</v>
      </c>
      <c r="X88" s="59">
        <v>0</v>
      </c>
      <c r="Y88" s="96">
        <v>97132</v>
      </c>
      <c r="Z88" s="217"/>
      <c r="AA88" s="102">
        <v>48564</v>
      </c>
      <c r="AB88" s="59">
        <v>48564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-48568</v>
      </c>
      <c r="AS88" s="398">
        <f t="shared" si="102"/>
        <v>-48568</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378323</v>
      </c>
      <c r="E89" s="199">
        <f t="shared" si="105"/>
        <v>0</v>
      </c>
      <c r="F89" s="497">
        <v>378323</v>
      </c>
      <c r="G89" s="497">
        <v>0</v>
      </c>
      <c r="H89" s="96">
        <f t="shared" si="106"/>
        <v>378323</v>
      </c>
      <c r="I89" s="217"/>
      <c r="J89" s="499">
        <v>378323</v>
      </c>
      <c r="K89" s="497">
        <v>378323</v>
      </c>
      <c r="L89" s="59"/>
      <c r="M89" s="76"/>
      <c r="N89" s="439"/>
      <c r="O89" s="33"/>
      <c r="S89" s="57"/>
      <c r="T89" s="58" t="str">
        <f t="shared" si="107"/>
        <v>(b) National Tertiary Services Grant</v>
      </c>
      <c r="U89" s="96">
        <v>378323</v>
      </c>
      <c r="V89" s="199">
        <v>0</v>
      </c>
      <c r="W89" s="59">
        <v>378323</v>
      </c>
      <c r="X89" s="59">
        <v>0</v>
      </c>
      <c r="Y89" s="96">
        <v>378323</v>
      </c>
      <c r="Z89" s="217"/>
      <c r="AA89" s="102">
        <v>189156</v>
      </c>
      <c r="AB89" s="59">
        <v>189156</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0</v>
      </c>
      <c r="AP89" s="396">
        <f t="shared" si="100"/>
        <v>0</v>
      </c>
      <c r="AQ89" s="399"/>
      <c r="AR89" s="400">
        <f t="shared" si="101"/>
        <v>-189167</v>
      </c>
      <c r="AS89" s="398">
        <f t="shared" si="102"/>
        <v>-189167</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1203193</v>
      </c>
      <c r="E101" s="198">
        <f t="shared" ref="E101:K101" si="113">SUM(E102+E103)</f>
        <v>0</v>
      </c>
      <c r="F101" s="54">
        <f t="shared" si="113"/>
        <v>1203193</v>
      </c>
      <c r="G101" s="54">
        <f t="shared" si="113"/>
        <v>0</v>
      </c>
      <c r="H101" s="95">
        <f t="shared" si="113"/>
        <v>1203193</v>
      </c>
      <c r="I101" s="216">
        <f t="shared" si="113"/>
        <v>0</v>
      </c>
      <c r="J101" s="101">
        <f t="shared" si="113"/>
        <v>1203193</v>
      </c>
      <c r="K101" s="54">
        <f t="shared" si="113"/>
        <v>1203193</v>
      </c>
      <c r="L101" s="59"/>
      <c r="M101" s="591"/>
      <c r="N101" s="439"/>
      <c r="O101" s="55"/>
      <c r="R101"/>
      <c r="S101" s="62"/>
      <c r="T101" s="51" t="str">
        <f>C101</f>
        <v>Transport (Vote 35)</v>
      </c>
      <c r="U101" s="95">
        <v>1203193</v>
      </c>
      <c r="V101" s="198">
        <v>0</v>
      </c>
      <c r="W101" s="54">
        <v>1203193</v>
      </c>
      <c r="X101" s="54">
        <v>0</v>
      </c>
      <c r="Y101" s="95">
        <v>1203193</v>
      </c>
      <c r="Z101" s="216"/>
      <c r="AA101" s="101">
        <v>700703</v>
      </c>
      <c r="AB101" s="54">
        <v>700703</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-502490</v>
      </c>
      <c r="AS101" s="390">
        <f t="shared" si="102"/>
        <v>-502490</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1146470</v>
      </c>
      <c r="E102" s="199">
        <f t="shared" ref="E102:E103" si="114">SUM(F102-D102)</f>
        <v>0</v>
      </c>
      <c r="F102" s="497">
        <v>1146470</v>
      </c>
      <c r="G102" s="497">
        <v>0</v>
      </c>
      <c r="H102" s="96">
        <f t="shared" ref="H102:H103" si="115">SUM(F102:G102)</f>
        <v>1146470</v>
      </c>
      <c r="I102" s="217"/>
      <c r="J102" s="499">
        <v>1146470</v>
      </c>
      <c r="K102" s="497">
        <v>1146470</v>
      </c>
      <c r="L102" s="59"/>
      <c r="M102" s="76"/>
      <c r="N102" s="439"/>
      <c r="O102" s="33"/>
      <c r="S102" s="57"/>
      <c r="T102" s="58" t="str">
        <f t="shared" ref="T102:T106" si="116">C102</f>
        <v>(a) Provincial Roads Maintenance Grant</v>
      </c>
      <c r="U102" s="96">
        <v>1146470</v>
      </c>
      <c r="V102" s="199">
        <v>0</v>
      </c>
      <c r="W102" s="59">
        <v>1146470</v>
      </c>
      <c r="X102" s="59">
        <v>0</v>
      </c>
      <c r="Y102" s="96">
        <v>1146470</v>
      </c>
      <c r="Z102" s="217"/>
      <c r="AA102" s="102">
        <v>677272</v>
      </c>
      <c r="AB102" s="59">
        <v>677272</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-469198</v>
      </c>
      <c r="AS102" s="398">
        <f t="shared" si="102"/>
        <v>-469198</v>
      </c>
      <c r="AT102" s="398"/>
      <c r="AU102" s="417">
        <f t="shared" si="103"/>
        <v>0</v>
      </c>
      <c r="AV102" s="417"/>
      <c r="AW102" s="347"/>
    </row>
    <row r="103" spans="1:82" ht="15.75" customHeight="1" x14ac:dyDescent="0.3">
      <c r="B103" s="57"/>
      <c r="C103" s="58" t="s">
        <v>44</v>
      </c>
      <c r="D103" s="496">
        <v>56723</v>
      </c>
      <c r="E103" s="199">
        <f t="shared" si="114"/>
        <v>0</v>
      </c>
      <c r="F103" s="497">
        <v>56723</v>
      </c>
      <c r="G103" s="497">
        <v>0</v>
      </c>
      <c r="H103" s="96">
        <f t="shared" si="115"/>
        <v>56723</v>
      </c>
      <c r="I103" s="217"/>
      <c r="J103" s="499">
        <v>56723</v>
      </c>
      <c r="K103" s="497">
        <v>56723</v>
      </c>
      <c r="L103" s="59"/>
      <c r="M103" s="76"/>
      <c r="N103" s="439"/>
      <c r="O103" s="33"/>
      <c r="S103" s="57"/>
      <c r="T103" s="58" t="str">
        <f t="shared" si="116"/>
        <v>(b) Public Transport Operations Grant</v>
      </c>
      <c r="U103" s="96">
        <v>56723</v>
      </c>
      <c r="V103" s="199">
        <v>0</v>
      </c>
      <c r="W103" s="59">
        <v>56723</v>
      </c>
      <c r="X103" s="59">
        <v>0</v>
      </c>
      <c r="Y103" s="96">
        <v>56723</v>
      </c>
      <c r="Z103" s="217"/>
      <c r="AA103" s="102">
        <v>23431</v>
      </c>
      <c r="AB103" s="59">
        <v>23431</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-33292</v>
      </c>
      <c r="AS103" s="398">
        <f t="shared" si="102"/>
        <v>-33292</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2318465</v>
      </c>
      <c r="E108" s="201">
        <f t="shared" ref="E108:K108" si="119">SUM(E80+E87+E101)</f>
        <v>0</v>
      </c>
      <c r="F108" s="75">
        <f t="shared" si="119"/>
        <v>2318465</v>
      </c>
      <c r="G108" s="75">
        <f t="shared" si="119"/>
        <v>0</v>
      </c>
      <c r="H108" s="98">
        <f t="shared" si="119"/>
        <v>2318465</v>
      </c>
      <c r="I108" s="219">
        <f t="shared" si="119"/>
        <v>0</v>
      </c>
      <c r="J108" s="104">
        <f t="shared" si="119"/>
        <v>2318465</v>
      </c>
      <c r="K108" s="75">
        <f t="shared" si="119"/>
        <v>2318465</v>
      </c>
      <c r="L108" s="59"/>
      <c r="M108" s="77"/>
      <c r="N108" s="440"/>
      <c r="O108" s="55"/>
      <c r="R108"/>
      <c r="S108" s="53"/>
      <c r="T108" s="74" t="s">
        <v>37</v>
      </c>
      <c r="U108" s="98">
        <v>2318465</v>
      </c>
      <c r="V108" s="201">
        <v>0</v>
      </c>
      <c r="W108" s="75">
        <v>2318465</v>
      </c>
      <c r="X108" s="75">
        <v>0</v>
      </c>
      <c r="Y108" s="98">
        <v>2318465</v>
      </c>
      <c r="Z108" s="219"/>
      <c r="AA108" s="104">
        <v>1338309</v>
      </c>
      <c r="AB108" s="75">
        <v>1338309</v>
      </c>
      <c r="AC108" s="59"/>
      <c r="AD108" s="77"/>
      <c r="AE108" s="77"/>
      <c r="AF108" s="55"/>
      <c r="AG108" s="442"/>
      <c r="AH108" s="442"/>
      <c r="AI108"/>
      <c r="AJ108" s="387"/>
      <c r="AK108" s="411" t="str">
        <f t="shared" si="95"/>
        <v>Sub-Total</v>
      </c>
      <c r="AL108" s="412">
        <f t="shared" si="96"/>
        <v>0</v>
      </c>
      <c r="AM108" s="413">
        <f t="shared" si="97"/>
        <v>0</v>
      </c>
      <c r="AN108" s="414">
        <f t="shared" si="98"/>
        <v>0</v>
      </c>
      <c r="AO108" s="414">
        <f t="shared" si="99"/>
        <v>0</v>
      </c>
      <c r="AP108" s="412">
        <f t="shared" si="100"/>
        <v>0</v>
      </c>
      <c r="AQ108" s="415"/>
      <c r="AR108" s="416">
        <f t="shared" si="101"/>
        <v>-980156</v>
      </c>
      <c r="AS108" s="414">
        <f t="shared" si="102"/>
        <v>-980156</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145</v>
      </c>
      <c r="H112" s="95">
        <f t="shared" si="120"/>
        <v>145</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-145</v>
      </c>
      <c r="AP112" s="388">
        <f t="shared" si="100"/>
        <v>-145</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145</v>
      </c>
      <c r="H113" s="96">
        <f>SUM(F113:G113)</f>
        <v>145</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-145</v>
      </c>
      <c r="AP113" s="396">
        <f t="shared" si="100"/>
        <v>-145</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145</v>
      </c>
      <c r="H122" s="98">
        <f t="shared" si="126"/>
        <v>145</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-145</v>
      </c>
      <c r="AP122" s="412">
        <f t="shared" si="100"/>
        <v>-145</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4483408</v>
      </c>
      <c r="E124" s="202">
        <f t="shared" ref="E124:K124" si="127">SUM(E76+E108+E122)</f>
        <v>-897</v>
      </c>
      <c r="F124" s="81">
        <f t="shared" si="127"/>
        <v>4482511</v>
      </c>
      <c r="G124" s="81">
        <f t="shared" si="127"/>
        <v>51458</v>
      </c>
      <c r="H124" s="80">
        <f t="shared" si="127"/>
        <v>4533969</v>
      </c>
      <c r="I124" s="220">
        <f t="shared" si="127"/>
        <v>0</v>
      </c>
      <c r="J124" s="106">
        <f t="shared" si="127"/>
        <v>4482511</v>
      </c>
      <c r="K124" s="81">
        <f t="shared" si="127"/>
        <v>4482511</v>
      </c>
      <c r="L124" s="59"/>
      <c r="M124" s="82"/>
      <c r="N124" s="440"/>
      <c r="O124" s="55"/>
      <c r="R124"/>
      <c r="S124" s="78"/>
      <c r="T124" s="79" t="s">
        <v>4</v>
      </c>
      <c r="U124" s="80">
        <v>4483408</v>
      </c>
      <c r="V124" s="202">
        <v>0</v>
      </c>
      <c r="W124" s="81">
        <v>4483408</v>
      </c>
      <c r="X124" s="81">
        <v>0</v>
      </c>
      <c r="Y124" s="80">
        <v>4483408</v>
      </c>
      <c r="Z124" s="220"/>
      <c r="AA124" s="106">
        <v>2623249</v>
      </c>
      <c r="AB124" s="81">
        <v>2619233</v>
      </c>
      <c r="AC124" s="59"/>
      <c r="AD124" s="82"/>
      <c r="AE124" s="82"/>
      <c r="AF124" s="55"/>
      <c r="AG124" s="442"/>
      <c r="AH124" s="442"/>
      <c r="AI124"/>
      <c r="AJ124" s="420"/>
      <c r="AK124" s="421" t="str">
        <f t="shared" si="95"/>
        <v>Total</v>
      </c>
      <c r="AL124" s="422">
        <f t="shared" si="96"/>
        <v>0</v>
      </c>
      <c r="AM124" s="423">
        <f t="shared" si="97"/>
        <v>897</v>
      </c>
      <c r="AN124" s="424">
        <f t="shared" si="98"/>
        <v>897</v>
      </c>
      <c r="AO124" s="424">
        <f t="shared" si="99"/>
        <v>-51458</v>
      </c>
      <c r="AP124" s="422">
        <f t="shared" si="100"/>
        <v>-50561</v>
      </c>
      <c r="AQ124" s="425"/>
      <c r="AR124" s="426">
        <f t="shared" si="101"/>
        <v>-1859262</v>
      </c>
      <c r="AS124" s="424">
        <f t="shared" si="102"/>
        <v>-1863278</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XQkYQhH6dpA+VDs2EdVBD+Cck5rotloxoq4Hc+CxlthqfWjivx13EdoH8qMgyygQ61MJ9OzmOMv2muUPLnh5oQ==" saltValue="tjwHds2xmK5aeNJXTydTD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166</v>
      </c>
      <c r="D4" s="8"/>
      <c r="E4" s="8"/>
      <c r="F4" s="8"/>
      <c r="G4" s="8"/>
      <c r="H4" s="8"/>
      <c r="I4" s="8"/>
      <c r="J4" s="8"/>
      <c r="K4" s="8"/>
      <c r="L4" s="8"/>
      <c r="M4" s="8"/>
      <c r="N4" s="8"/>
      <c r="O4" s="11"/>
      <c r="P4"/>
      <c r="Q4"/>
      <c r="R4"/>
      <c r="S4" s="6"/>
      <c r="T4" s="10" t="str">
        <f>C4</f>
        <v>NORTH WEST PROVINCE</v>
      </c>
      <c r="U4" s="8"/>
      <c r="V4" s="8"/>
      <c r="W4" s="8"/>
      <c r="X4" s="8"/>
      <c r="Y4" s="8"/>
      <c r="Z4" s="8"/>
      <c r="AA4" s="8"/>
      <c r="AB4" s="8"/>
      <c r="AC4" s="8"/>
      <c r="AD4" s="8"/>
      <c r="AE4" s="8"/>
      <c r="AF4" s="11"/>
      <c r="AG4"/>
      <c r="AH4"/>
      <c r="AI4"/>
      <c r="AJ4" s="234"/>
      <c r="AK4" s="238" t="str">
        <f>C4</f>
        <v>NORTH WEST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42524111.189999998</v>
      </c>
      <c r="E12" s="152">
        <f>SUM(E13:E14)</f>
        <v>-207365</v>
      </c>
      <c r="F12" s="153">
        <f>SUM(F13:F14)</f>
        <v>42316746.189999998</v>
      </c>
      <c r="G12" s="152"/>
      <c r="H12" s="154">
        <f>SUM(H13:H14)</f>
        <v>10662987</v>
      </c>
      <c r="I12" s="155">
        <f>SUM(I13:I14)</f>
        <v>10868379</v>
      </c>
      <c r="J12" s="155">
        <f>SUM(J13:J14)</f>
        <v>10376921</v>
      </c>
      <c r="K12" s="155">
        <f>SUM(K13:K14)</f>
        <v>10408459</v>
      </c>
      <c r="L12" s="156"/>
      <c r="M12" s="155">
        <f t="shared" ref="M12" si="0">SUM(M13:M14)</f>
        <v>42316746</v>
      </c>
      <c r="N12" s="183">
        <f>IFERROR(M12/F12,0)</f>
        <v>0.99999999551005181</v>
      </c>
      <c r="O12" s="158"/>
      <c r="P12" s="594"/>
      <c r="Q12"/>
      <c r="R12"/>
      <c r="S12" s="119"/>
      <c r="T12" s="151" t="str">
        <f>C12</f>
        <v>Transfers from National Revenue Fund</v>
      </c>
      <c r="U12" s="152">
        <v>42524111.189999998</v>
      </c>
      <c r="V12" s="152">
        <v>0</v>
      </c>
      <c r="W12" s="153">
        <v>42524111.189999998</v>
      </c>
      <c r="X12" s="152"/>
      <c r="Y12" s="154">
        <v>10662987</v>
      </c>
      <c r="Z12" s="155">
        <v>10868379</v>
      </c>
      <c r="AA12" s="155">
        <v>0</v>
      </c>
      <c r="AB12" s="155">
        <v>0</v>
      </c>
      <c r="AC12" s="156"/>
      <c r="AD12" s="155">
        <v>21531366</v>
      </c>
      <c r="AE12" s="172">
        <v>0.50633312249130169</v>
      </c>
      <c r="AF12" s="144"/>
      <c r="AG12" s="118"/>
      <c r="AH12"/>
      <c r="AI12"/>
      <c r="AJ12" s="248"/>
      <c r="AK12" s="284" t="s">
        <v>8</v>
      </c>
      <c r="AL12" s="285">
        <f>SUM(AL13:AL14)</f>
        <v>0</v>
      </c>
      <c r="AM12" s="285">
        <f>SUM(AM13:AM14)</f>
        <v>207365</v>
      </c>
      <c r="AN12" s="286">
        <f>SUM(AN13:AN14)</f>
        <v>207365</v>
      </c>
      <c r="AO12" s="285"/>
      <c r="AP12" s="287">
        <f>SUM(AP13:AP14)</f>
        <v>0</v>
      </c>
      <c r="AQ12" s="288">
        <f t="shared" ref="AQ12:AS12" si="1">SUM(AQ13:AQ14)</f>
        <v>0</v>
      </c>
      <c r="AR12" s="288">
        <f t="shared" si="1"/>
        <v>-10376921</v>
      </c>
      <c r="AS12" s="288">
        <f t="shared" si="1"/>
        <v>-10408459</v>
      </c>
      <c r="AT12" s="289"/>
      <c r="AU12" s="288">
        <f t="shared" ref="AU12" si="2">SUM(AU13:AU14)</f>
        <v>-20785380</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34972816</v>
      </c>
      <c r="E13" s="482">
        <f>F13-D13</f>
        <v>0</v>
      </c>
      <c r="F13" s="483">
        <v>34972816</v>
      </c>
      <c r="G13" s="482"/>
      <c r="H13" s="484">
        <v>8743206</v>
      </c>
      <c r="I13" s="485">
        <v>8743204</v>
      </c>
      <c r="J13" s="485">
        <v>8743203</v>
      </c>
      <c r="K13" s="485">
        <v>8743203</v>
      </c>
      <c r="L13" s="150"/>
      <c r="M13" s="147">
        <f>SUM(H13:K13)</f>
        <v>34972816</v>
      </c>
      <c r="N13" s="172">
        <f t="shared" ref="N13:N14" si="3">IFERROR(M13/F13,0)</f>
        <v>1</v>
      </c>
      <c r="O13" s="158"/>
      <c r="P13" s="118"/>
      <c r="Q13"/>
      <c r="R13"/>
      <c r="S13" s="119"/>
      <c r="T13" s="157" t="str">
        <f t="shared" ref="T13:T15" si="4">C13</f>
        <v>Equitable share of revenue</v>
      </c>
      <c r="U13" s="146">
        <v>34972816</v>
      </c>
      <c r="V13" s="146">
        <v>0</v>
      </c>
      <c r="W13" s="148">
        <v>34972816</v>
      </c>
      <c r="X13" s="146"/>
      <c r="Y13" s="149">
        <v>8743206</v>
      </c>
      <c r="Z13" s="224">
        <v>8743204</v>
      </c>
      <c r="AA13" s="224"/>
      <c r="AB13" s="224"/>
      <c r="AC13" s="150"/>
      <c r="AD13" s="147">
        <v>17486410</v>
      </c>
      <c r="AE13" s="172">
        <v>0.50000005718727369</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-8743203</v>
      </c>
      <c r="AS13" s="283">
        <f t="shared" si="6"/>
        <v>-8743203</v>
      </c>
      <c r="AT13" s="280"/>
      <c r="AU13" s="283">
        <f t="shared" ref="AU13:AU15" si="7">IFERROR(AD13-M13,0)</f>
        <v>-17486406</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7551295.1900000004</v>
      </c>
      <c r="E14" s="482">
        <f t="shared" ref="E14:E15" si="8">F14-D14</f>
        <v>-207365</v>
      </c>
      <c r="F14" s="483">
        <v>7343930.1900000004</v>
      </c>
      <c r="G14" s="486"/>
      <c r="H14" s="484">
        <v>1919781</v>
      </c>
      <c r="I14" s="485">
        <v>2125175</v>
      </c>
      <c r="J14" s="485">
        <v>1633718</v>
      </c>
      <c r="K14" s="485">
        <v>1665256</v>
      </c>
      <c r="L14" s="162"/>
      <c r="M14" s="147">
        <f t="shared" ref="M14:M15" si="9">SUM(H14:K14)</f>
        <v>7343930</v>
      </c>
      <c r="N14" s="172">
        <f t="shared" si="3"/>
        <v>0.99999997412829433</v>
      </c>
      <c r="O14" s="163"/>
      <c r="P14" s="118"/>
      <c r="Q14"/>
      <c r="R14"/>
      <c r="S14" s="159"/>
      <c r="T14" s="160" t="str">
        <f t="shared" si="4"/>
        <v>Conditional grants</v>
      </c>
      <c r="U14" s="146">
        <v>7551295.1900000004</v>
      </c>
      <c r="V14" s="146">
        <v>0</v>
      </c>
      <c r="W14" s="148">
        <v>7551295.1900000004</v>
      </c>
      <c r="X14" s="161"/>
      <c r="Y14" s="149">
        <v>1919781</v>
      </c>
      <c r="Z14" s="224">
        <v>2125175</v>
      </c>
      <c r="AA14" s="224"/>
      <c r="AB14" s="224"/>
      <c r="AC14" s="162"/>
      <c r="AD14" s="147">
        <v>4044956</v>
      </c>
      <c r="AE14" s="172">
        <v>0.53566386933947951</v>
      </c>
      <c r="AF14" s="163"/>
      <c r="AG14" s="118"/>
      <c r="AH14" s="61"/>
      <c r="AI14"/>
      <c r="AJ14" s="293"/>
      <c r="AK14" s="294" t="s">
        <v>72</v>
      </c>
      <c r="AL14" s="279">
        <f t="shared" si="5"/>
        <v>0</v>
      </c>
      <c r="AM14" s="279">
        <f t="shared" si="5"/>
        <v>207365</v>
      </c>
      <c r="AN14" s="281">
        <f t="shared" si="5"/>
        <v>207365</v>
      </c>
      <c r="AO14" s="295"/>
      <c r="AP14" s="282">
        <f t="shared" ref="AP14:AP15" si="10">IFERROR(Y14-H14,0)</f>
        <v>0</v>
      </c>
      <c r="AQ14" s="283">
        <f t="shared" si="6"/>
        <v>0</v>
      </c>
      <c r="AR14" s="283">
        <f t="shared" si="6"/>
        <v>-1633718</v>
      </c>
      <c r="AS14" s="283">
        <f t="shared" si="6"/>
        <v>-1665256</v>
      </c>
      <c r="AT14" s="296"/>
      <c r="AU14" s="283">
        <f t="shared" si="7"/>
        <v>-3298974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1249750.67</v>
      </c>
      <c r="E15" s="487">
        <f t="shared" si="8"/>
        <v>0</v>
      </c>
      <c r="F15" s="488">
        <v>1249750.67</v>
      </c>
      <c r="G15" s="487"/>
      <c r="H15" s="489">
        <v>312469.5</v>
      </c>
      <c r="I15" s="490">
        <v>341584.5</v>
      </c>
      <c r="J15" s="490">
        <v>290112.5</v>
      </c>
      <c r="K15" s="490">
        <v>275391</v>
      </c>
      <c r="L15" s="156"/>
      <c r="M15" s="155">
        <f t="shared" si="9"/>
        <v>1219557.5</v>
      </c>
      <c r="N15" s="183">
        <f>IFERROR(M15/F15,0)</f>
        <v>0.97584064507842994</v>
      </c>
      <c r="O15" s="158"/>
      <c r="P15" s="594"/>
      <c r="Q15"/>
      <c r="R15"/>
      <c r="S15" s="119"/>
      <c r="T15" s="151" t="str">
        <f t="shared" si="4"/>
        <v>Provincial own receipts</v>
      </c>
      <c r="U15" s="152">
        <v>1249750.67</v>
      </c>
      <c r="V15" s="152">
        <v>0</v>
      </c>
      <c r="W15" s="153">
        <v>1249750.67</v>
      </c>
      <c r="X15" s="152"/>
      <c r="Y15" s="154">
        <v>312467.5</v>
      </c>
      <c r="Z15" s="225">
        <v>341581.5</v>
      </c>
      <c r="AA15" s="225"/>
      <c r="AB15" s="225"/>
      <c r="AC15" s="156"/>
      <c r="AD15" s="155">
        <v>654049</v>
      </c>
      <c r="AE15" s="172">
        <v>0.52334358820547788</v>
      </c>
      <c r="AF15" s="158"/>
      <c r="AG15" s="118"/>
      <c r="AH15"/>
      <c r="AI15"/>
      <c r="AJ15" s="248"/>
      <c r="AK15" s="284" t="s">
        <v>9</v>
      </c>
      <c r="AL15" s="285">
        <f t="shared" si="5"/>
        <v>0</v>
      </c>
      <c r="AM15" s="285">
        <f t="shared" si="5"/>
        <v>0</v>
      </c>
      <c r="AN15" s="286">
        <f t="shared" si="5"/>
        <v>0</v>
      </c>
      <c r="AO15" s="285"/>
      <c r="AP15" s="287">
        <f t="shared" si="10"/>
        <v>-2</v>
      </c>
      <c r="AQ15" s="288">
        <f t="shared" si="6"/>
        <v>-3</v>
      </c>
      <c r="AR15" s="288">
        <f t="shared" si="6"/>
        <v>-290112.5</v>
      </c>
      <c r="AS15" s="288">
        <f t="shared" si="6"/>
        <v>-275391</v>
      </c>
      <c r="AT15" s="289"/>
      <c r="AU15" s="288">
        <f t="shared" si="7"/>
        <v>-565508.5</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43773861.859999999</v>
      </c>
      <c r="E17" s="165">
        <f>E12+E15</f>
        <v>-207365</v>
      </c>
      <c r="F17" s="166">
        <f t="shared" ref="F17:H17" si="12">F12+F15</f>
        <v>43566496.859999999</v>
      </c>
      <c r="G17" s="165">
        <f t="shared" si="12"/>
        <v>0</v>
      </c>
      <c r="H17" s="167">
        <f t="shared" si="12"/>
        <v>10975456.5</v>
      </c>
      <c r="I17" s="437">
        <f t="shared" ref="I17" si="13">I12+I15</f>
        <v>11209963.5</v>
      </c>
      <c r="J17" s="437">
        <f t="shared" ref="J17:K17" si="14">J12+J15</f>
        <v>10667033.5</v>
      </c>
      <c r="K17" s="437">
        <f t="shared" si="14"/>
        <v>10683850</v>
      </c>
      <c r="L17" s="156"/>
      <c r="M17" s="168">
        <f t="shared" ref="M17" si="15">M12+M15</f>
        <v>43536303.5</v>
      </c>
      <c r="N17" s="180">
        <f>IFERROR(M17/F17,0)</f>
        <v>0.99930695919625978</v>
      </c>
      <c r="O17" s="158"/>
      <c r="P17" s="594"/>
      <c r="Q17"/>
      <c r="R17"/>
      <c r="S17" s="119"/>
      <c r="T17" s="164" t="s">
        <v>10</v>
      </c>
      <c r="U17" s="165">
        <v>43773861.859999999</v>
      </c>
      <c r="V17" s="165">
        <v>0</v>
      </c>
      <c r="W17" s="166">
        <v>43773861.859999999</v>
      </c>
      <c r="X17" s="165">
        <v>0</v>
      </c>
      <c r="Y17" s="167">
        <v>10975454.5</v>
      </c>
      <c r="Z17" s="437">
        <v>11209960.5</v>
      </c>
      <c r="AA17" s="437">
        <v>0</v>
      </c>
      <c r="AB17" s="437" t="s">
        <v>52</v>
      </c>
      <c r="AC17" s="156"/>
      <c r="AD17" s="168">
        <v>22185415</v>
      </c>
      <c r="AE17" s="180">
        <v>0.50681877397417274</v>
      </c>
      <c r="AF17" s="158"/>
      <c r="AG17" s="118"/>
      <c r="AH17"/>
      <c r="AI17"/>
      <c r="AJ17" s="248"/>
      <c r="AK17" s="298" t="s">
        <v>10</v>
      </c>
      <c r="AL17" s="299">
        <f t="shared" ref="AL17:AS17" si="16">AL12+AL15</f>
        <v>0</v>
      </c>
      <c r="AM17" s="299">
        <f>AM12+AM15</f>
        <v>207365</v>
      </c>
      <c r="AN17" s="300">
        <f t="shared" si="16"/>
        <v>207365</v>
      </c>
      <c r="AO17" s="299">
        <f t="shared" si="16"/>
        <v>0</v>
      </c>
      <c r="AP17" s="301">
        <f t="shared" si="16"/>
        <v>-2</v>
      </c>
      <c r="AQ17" s="302">
        <f t="shared" si="16"/>
        <v>-3</v>
      </c>
      <c r="AR17" s="302">
        <f t="shared" si="16"/>
        <v>-10667033.5</v>
      </c>
      <c r="AS17" s="302">
        <f t="shared" si="16"/>
        <v>-10683850</v>
      </c>
      <c r="AT17" s="289"/>
      <c r="AU17" s="302">
        <f t="shared" ref="AU17" si="17">AU12+AU15</f>
        <v>-21350888.5</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198</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 ")</f>
        <v xml:space="preserve">Education </v>
      </c>
      <c r="D20" s="482">
        <v>17109951</v>
      </c>
      <c r="E20" s="491">
        <f t="shared" ref="E20:E39" si="18">F20-D20</f>
        <v>-17142</v>
      </c>
      <c r="F20" s="483">
        <v>17092809</v>
      </c>
      <c r="G20" s="492"/>
      <c r="H20" s="484">
        <v>3951489</v>
      </c>
      <c r="I20" s="485">
        <v>3875328</v>
      </c>
      <c r="J20" s="485">
        <v>4512163</v>
      </c>
      <c r="K20" s="485">
        <v>4614437</v>
      </c>
      <c r="L20" s="156"/>
      <c r="M20" s="147">
        <f t="shared" ref="M20:M39" si="19">SUM(H20:K20)</f>
        <v>16953417</v>
      </c>
      <c r="N20" s="172">
        <f>IFERROR(M20/F20,0)</f>
        <v>0.99184499165701789</v>
      </c>
      <c r="O20" s="163"/>
      <c r="P20" s="118"/>
      <c r="Q20"/>
      <c r="R20"/>
      <c r="S20" s="159"/>
      <c r="T20" s="170" t="str">
        <f t="shared" ref="T20:T39" si="20">C20</f>
        <v xml:space="preserve">Education </v>
      </c>
      <c r="U20" s="146">
        <v>17253879</v>
      </c>
      <c r="V20" s="150">
        <v>0</v>
      </c>
      <c r="W20" s="148">
        <v>17253879</v>
      </c>
      <c r="X20" s="171"/>
      <c r="Y20" s="149">
        <v>3973260</v>
      </c>
      <c r="Z20" s="224">
        <v>3914344</v>
      </c>
      <c r="AA20" s="224"/>
      <c r="AB20" s="224"/>
      <c r="AC20" s="156"/>
      <c r="AD20" s="147">
        <v>7887604</v>
      </c>
      <c r="AE20" s="172">
        <v>0.45714960676378918</v>
      </c>
      <c r="AF20" s="163"/>
      <c r="AG20" s="118"/>
      <c r="AH20"/>
      <c r="AI20"/>
      <c r="AJ20" s="293"/>
      <c r="AK20" s="305" t="str">
        <f>C20</f>
        <v xml:space="preserve">Education </v>
      </c>
      <c r="AL20" s="279">
        <f t="shared" ref="AL20:AN33" si="21">IFERROR(U20-D20,0)</f>
        <v>143928</v>
      </c>
      <c r="AM20" s="280">
        <f t="shared" si="21"/>
        <v>17142</v>
      </c>
      <c r="AN20" s="281">
        <f t="shared" si="21"/>
        <v>161070</v>
      </c>
      <c r="AO20" s="306"/>
      <c r="AP20" s="282">
        <f t="shared" ref="AP20:AS33" si="22">IFERROR(Y20-H20,0)</f>
        <v>21771</v>
      </c>
      <c r="AQ20" s="283">
        <f t="shared" si="22"/>
        <v>39016</v>
      </c>
      <c r="AR20" s="283">
        <f t="shared" si="22"/>
        <v>-4512163</v>
      </c>
      <c r="AS20" s="283">
        <f t="shared" si="22"/>
        <v>-4614437</v>
      </c>
      <c r="AT20" s="289"/>
      <c r="AU20" s="283">
        <f t="shared" ref="AU20:AU33" si="23">IFERROR(AD20-M20,0)</f>
        <v>-9065813</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12273741</v>
      </c>
      <c r="E21" s="491">
        <f t="shared" si="18"/>
        <v>52043</v>
      </c>
      <c r="F21" s="483">
        <v>12325784</v>
      </c>
      <c r="G21" s="487"/>
      <c r="H21" s="484">
        <v>2927010</v>
      </c>
      <c r="I21" s="485">
        <v>3227152</v>
      </c>
      <c r="J21" s="485">
        <v>3130600</v>
      </c>
      <c r="K21" s="485">
        <v>3155579</v>
      </c>
      <c r="L21" s="156"/>
      <c r="M21" s="147">
        <f t="shared" si="19"/>
        <v>12440341</v>
      </c>
      <c r="N21" s="172">
        <f t="shared" ref="N21:N39" si="25">IFERROR(M21/F21,0)</f>
        <v>1.0092940943959428</v>
      </c>
      <c r="O21" s="163"/>
      <c r="P21" s="118"/>
      <c r="Q21"/>
      <c r="R21"/>
      <c r="S21" s="159"/>
      <c r="T21" s="170" t="str">
        <f t="shared" si="20"/>
        <v>Health</v>
      </c>
      <c r="U21" s="146">
        <v>12273741</v>
      </c>
      <c r="V21" s="150">
        <v>0</v>
      </c>
      <c r="W21" s="148">
        <v>12273741</v>
      </c>
      <c r="X21" s="152"/>
      <c r="Y21" s="149">
        <v>2927010</v>
      </c>
      <c r="Z21" s="224">
        <v>3227152</v>
      </c>
      <c r="AA21" s="224"/>
      <c r="AB21" s="224"/>
      <c r="AC21" s="156"/>
      <c r="AD21" s="147">
        <v>6154162</v>
      </c>
      <c r="AE21" s="172">
        <v>0.50140882066844983</v>
      </c>
      <c r="AF21" s="163"/>
      <c r="AG21" s="118"/>
      <c r="AH21"/>
      <c r="AI21"/>
      <c r="AJ21" s="293"/>
      <c r="AK21" s="305" t="str">
        <f t="shared" ref="AK21:AK39" si="26">C21</f>
        <v>Health</v>
      </c>
      <c r="AL21" s="279">
        <f t="shared" si="21"/>
        <v>0</v>
      </c>
      <c r="AM21" s="280">
        <f t="shared" si="21"/>
        <v>-52043</v>
      </c>
      <c r="AN21" s="281">
        <f t="shared" si="21"/>
        <v>-52043</v>
      </c>
      <c r="AO21" s="285"/>
      <c r="AP21" s="282">
        <f t="shared" si="22"/>
        <v>0</v>
      </c>
      <c r="AQ21" s="283">
        <f t="shared" si="22"/>
        <v>0</v>
      </c>
      <c r="AR21" s="283">
        <f t="shared" si="22"/>
        <v>-3130600</v>
      </c>
      <c r="AS21" s="283">
        <f t="shared" si="22"/>
        <v>-3155579</v>
      </c>
      <c r="AT21" s="289"/>
      <c r="AU21" s="283">
        <f t="shared" si="23"/>
        <v>-6286179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1747033</v>
      </c>
      <c r="E22" s="491">
        <f t="shared" si="18"/>
        <v>-25000</v>
      </c>
      <c r="F22" s="483">
        <v>1722033</v>
      </c>
      <c r="G22" s="492"/>
      <c r="H22" s="484">
        <v>375168</v>
      </c>
      <c r="I22" s="485">
        <v>444546</v>
      </c>
      <c r="J22" s="485">
        <v>465233</v>
      </c>
      <c r="K22" s="485">
        <v>399658</v>
      </c>
      <c r="L22" s="156"/>
      <c r="M22" s="147">
        <f t="shared" si="19"/>
        <v>1684605</v>
      </c>
      <c r="N22" s="172">
        <f t="shared" si="25"/>
        <v>0.97826522488244994</v>
      </c>
      <c r="O22" s="163"/>
      <c r="P22" s="118"/>
      <c r="S22" s="159"/>
      <c r="T22" s="170" t="str">
        <f t="shared" si="20"/>
        <v>Social Development</v>
      </c>
      <c r="U22" s="146">
        <v>1761803</v>
      </c>
      <c r="V22" s="150">
        <v>0</v>
      </c>
      <c r="W22" s="148">
        <v>1761803</v>
      </c>
      <c r="X22" s="171"/>
      <c r="Y22" s="149">
        <v>377741</v>
      </c>
      <c r="Z22" s="224">
        <v>447421</v>
      </c>
      <c r="AA22" s="224"/>
      <c r="AB22" s="224"/>
      <c r="AC22" s="156"/>
      <c r="AD22" s="147">
        <v>825162</v>
      </c>
      <c r="AE22" s="172">
        <v>0.46836224027317469</v>
      </c>
      <c r="AF22" s="163"/>
      <c r="AG22" s="118"/>
      <c r="AJ22" s="293"/>
      <c r="AK22" s="305" t="str">
        <f t="shared" si="26"/>
        <v>Social Development</v>
      </c>
      <c r="AL22" s="279">
        <f t="shared" si="21"/>
        <v>14770</v>
      </c>
      <c r="AM22" s="280">
        <f t="shared" si="21"/>
        <v>25000</v>
      </c>
      <c r="AN22" s="281">
        <f t="shared" si="21"/>
        <v>39770</v>
      </c>
      <c r="AO22" s="306"/>
      <c r="AP22" s="282">
        <f t="shared" si="22"/>
        <v>2573</v>
      </c>
      <c r="AQ22" s="283">
        <f t="shared" si="22"/>
        <v>2875</v>
      </c>
      <c r="AR22" s="283">
        <f t="shared" si="22"/>
        <v>-465233</v>
      </c>
      <c r="AS22" s="283">
        <f t="shared" si="22"/>
        <v>-399658</v>
      </c>
      <c r="AT22" s="289"/>
      <c r="AU22" s="283">
        <f t="shared" si="23"/>
        <v>-859443</v>
      </c>
      <c r="AV22" s="290"/>
      <c r="AW22" s="297"/>
      <c r="AX22" s="118"/>
    </row>
    <row r="23" spans="1:79" ht="15.75" customHeight="1" x14ac:dyDescent="0.3">
      <c r="A23" s="446">
        <f t="shared" si="24"/>
        <v>1</v>
      </c>
      <c r="B23" s="159"/>
      <c r="C23" s="500" t="str">
        <f>PROPER("OFFICE OF THE PREMIER")</f>
        <v>Office Of The Premier</v>
      </c>
      <c r="D23" s="482">
        <v>671371</v>
      </c>
      <c r="E23" s="491">
        <f t="shared" si="18"/>
        <v>-29517</v>
      </c>
      <c r="F23" s="483">
        <v>641854</v>
      </c>
      <c r="G23" s="493"/>
      <c r="H23" s="484">
        <v>116126</v>
      </c>
      <c r="I23" s="485">
        <v>121944</v>
      </c>
      <c r="J23" s="485">
        <v>126565</v>
      </c>
      <c r="K23" s="485">
        <v>99676</v>
      </c>
      <c r="L23" s="174"/>
      <c r="M23" s="147">
        <f t="shared" si="19"/>
        <v>464311</v>
      </c>
      <c r="N23" s="172">
        <f t="shared" si="25"/>
        <v>0.72339036603339701</v>
      </c>
      <c r="O23" s="163"/>
      <c r="P23" s="118"/>
      <c r="S23" s="159"/>
      <c r="T23" s="170" t="str">
        <f t="shared" si="20"/>
        <v>Office Of The Premier</v>
      </c>
      <c r="U23" s="146">
        <v>656601</v>
      </c>
      <c r="V23" s="150">
        <v>0</v>
      </c>
      <c r="W23" s="148">
        <v>656601</v>
      </c>
      <c r="X23" s="173"/>
      <c r="Y23" s="149">
        <v>113552</v>
      </c>
      <c r="Z23" s="224">
        <v>118944</v>
      </c>
      <c r="AA23" s="224"/>
      <c r="AB23" s="224"/>
      <c r="AC23" s="174"/>
      <c r="AD23" s="147">
        <v>232496</v>
      </c>
      <c r="AE23" s="172">
        <v>0.3540902313581612</v>
      </c>
      <c r="AF23" s="163"/>
      <c r="AG23" s="118"/>
      <c r="AJ23" s="293"/>
      <c r="AK23" s="305" t="str">
        <f t="shared" si="26"/>
        <v>Office Of The Premier</v>
      </c>
      <c r="AL23" s="279">
        <f t="shared" si="21"/>
        <v>-14770</v>
      </c>
      <c r="AM23" s="280">
        <f t="shared" si="21"/>
        <v>29517</v>
      </c>
      <c r="AN23" s="281">
        <f t="shared" si="21"/>
        <v>14747</v>
      </c>
      <c r="AO23" s="307"/>
      <c r="AP23" s="282">
        <f t="shared" si="22"/>
        <v>-2574</v>
      </c>
      <c r="AQ23" s="283">
        <f t="shared" si="22"/>
        <v>-3000</v>
      </c>
      <c r="AR23" s="283">
        <f t="shared" si="22"/>
        <v>-126565</v>
      </c>
      <c r="AS23" s="283">
        <f t="shared" si="22"/>
        <v>-99676</v>
      </c>
      <c r="AT23" s="308"/>
      <c r="AU23" s="283">
        <f t="shared" si="23"/>
        <v>-231815</v>
      </c>
      <c r="AV23" s="290"/>
      <c r="AW23" s="297"/>
      <c r="AX23" s="118"/>
    </row>
    <row r="24" spans="1:79" ht="15.75" customHeight="1" x14ac:dyDescent="0.3">
      <c r="A24" s="446">
        <f t="shared" si="24"/>
        <v>1</v>
      </c>
      <c r="B24" s="159"/>
      <c r="C24" s="500" t="str">
        <f>PROPER("PROVINCIAL LEGISLATURE")</f>
        <v>Provincial Legislature</v>
      </c>
      <c r="D24" s="482">
        <v>486864.06400000001</v>
      </c>
      <c r="E24" s="491">
        <f t="shared" si="18"/>
        <v>15880</v>
      </c>
      <c r="F24" s="483">
        <v>502744.06400000001</v>
      </c>
      <c r="G24" s="487"/>
      <c r="H24" s="484">
        <v>101842</v>
      </c>
      <c r="I24" s="485">
        <v>105134</v>
      </c>
      <c r="J24" s="485">
        <v>123735</v>
      </c>
      <c r="K24" s="485">
        <v>101210</v>
      </c>
      <c r="L24" s="156"/>
      <c r="M24" s="147">
        <f t="shared" si="19"/>
        <v>431921</v>
      </c>
      <c r="N24" s="172">
        <f t="shared" si="25"/>
        <v>0.85912700104998152</v>
      </c>
      <c r="O24" s="163"/>
      <c r="P24" s="118"/>
      <c r="S24" s="159"/>
      <c r="T24" s="170" t="str">
        <f t="shared" si="20"/>
        <v>Provincial Legislature</v>
      </c>
      <c r="U24" s="146">
        <v>486864.19999999995</v>
      </c>
      <c r="V24" s="150">
        <v>0</v>
      </c>
      <c r="W24" s="148">
        <v>486864.19999999995</v>
      </c>
      <c r="X24" s="152"/>
      <c r="Y24" s="149">
        <v>101842</v>
      </c>
      <c r="Z24" s="224">
        <v>105134</v>
      </c>
      <c r="AA24" s="224"/>
      <c r="AB24" s="224"/>
      <c r="AC24" s="156"/>
      <c r="AD24" s="147">
        <v>206976</v>
      </c>
      <c r="AE24" s="172">
        <v>0.42512059831057619</v>
      </c>
      <c r="AF24" s="163"/>
      <c r="AG24" s="118"/>
      <c r="AJ24" s="293"/>
      <c r="AK24" s="305" t="str">
        <f t="shared" si="26"/>
        <v>Provincial Legislature</v>
      </c>
      <c r="AL24" s="279">
        <f t="shared" si="21"/>
        <v>0.13599999994039536</v>
      </c>
      <c r="AM24" s="280">
        <f t="shared" si="21"/>
        <v>-15880</v>
      </c>
      <c r="AN24" s="281">
        <f t="shared" si="21"/>
        <v>-15879.86400000006</v>
      </c>
      <c r="AO24" s="285"/>
      <c r="AP24" s="282">
        <f t="shared" si="22"/>
        <v>0</v>
      </c>
      <c r="AQ24" s="283">
        <f t="shared" si="22"/>
        <v>0</v>
      </c>
      <c r="AR24" s="283">
        <f t="shared" si="22"/>
        <v>-123735</v>
      </c>
      <c r="AS24" s="283">
        <f t="shared" si="22"/>
        <v>-101210</v>
      </c>
      <c r="AT24" s="289"/>
      <c r="AU24" s="283">
        <f t="shared" si="23"/>
        <v>-224945</v>
      </c>
      <c r="AV24" s="290"/>
      <c r="AW24" s="297"/>
      <c r="AX24" s="118"/>
    </row>
    <row r="25" spans="1:79" ht="15.75" customHeight="1" x14ac:dyDescent="0.3">
      <c r="A25" s="446">
        <f t="shared" si="24"/>
        <v>1</v>
      </c>
      <c r="B25" s="159"/>
      <c r="C25" s="500" t="str">
        <f>PROPER("ARTS, CULTURE, SPORTS AND RECREATION")</f>
        <v>Arts, Culture, Sports And Recreation</v>
      </c>
      <c r="D25" s="482">
        <v>789812</v>
      </c>
      <c r="E25" s="491">
        <f t="shared" si="18"/>
        <v>11367</v>
      </c>
      <c r="F25" s="483">
        <v>801179</v>
      </c>
      <c r="G25" s="487"/>
      <c r="H25" s="484">
        <v>166259</v>
      </c>
      <c r="I25" s="485">
        <v>172392</v>
      </c>
      <c r="J25" s="485">
        <v>156080</v>
      </c>
      <c r="K25" s="485">
        <v>185041</v>
      </c>
      <c r="L25" s="156"/>
      <c r="M25" s="147">
        <f t="shared" si="19"/>
        <v>679772</v>
      </c>
      <c r="N25" s="172">
        <f t="shared" si="25"/>
        <v>0.84846457533210429</v>
      </c>
      <c r="O25" s="163"/>
      <c r="P25" s="118"/>
      <c r="S25" s="159"/>
      <c r="T25" s="170" t="str">
        <f t="shared" si="20"/>
        <v>Arts, Culture, Sports And Recreation</v>
      </c>
      <c r="U25" s="146">
        <v>782336</v>
      </c>
      <c r="V25" s="150">
        <v>0</v>
      </c>
      <c r="W25" s="148">
        <v>782336</v>
      </c>
      <c r="X25" s="152"/>
      <c r="Y25" s="149">
        <v>169904</v>
      </c>
      <c r="Z25" s="224">
        <v>164145</v>
      </c>
      <c r="AA25" s="224"/>
      <c r="AB25" s="224"/>
      <c r="AC25" s="156"/>
      <c r="AD25" s="147">
        <v>334049</v>
      </c>
      <c r="AE25" s="172">
        <v>0.42698917089332461</v>
      </c>
      <c r="AF25" s="163"/>
      <c r="AG25" s="118"/>
      <c r="AJ25" s="293"/>
      <c r="AK25" s="305" t="str">
        <f t="shared" si="26"/>
        <v>Arts, Culture, Sports And Recreation</v>
      </c>
      <c r="AL25" s="279">
        <f t="shared" si="21"/>
        <v>-7476</v>
      </c>
      <c r="AM25" s="280">
        <f t="shared" si="21"/>
        <v>-11367</v>
      </c>
      <c r="AN25" s="281">
        <f t="shared" si="21"/>
        <v>-18843</v>
      </c>
      <c r="AO25" s="285"/>
      <c r="AP25" s="282">
        <f t="shared" si="22"/>
        <v>3645</v>
      </c>
      <c r="AQ25" s="283">
        <f t="shared" si="22"/>
        <v>-8247</v>
      </c>
      <c r="AR25" s="283">
        <f t="shared" si="22"/>
        <v>-156080</v>
      </c>
      <c r="AS25" s="283">
        <f t="shared" si="22"/>
        <v>-185041</v>
      </c>
      <c r="AT25" s="289"/>
      <c r="AU25" s="283">
        <f t="shared" si="23"/>
        <v>-345723</v>
      </c>
      <c r="AV25" s="290"/>
      <c r="AW25" s="297"/>
      <c r="AX25" s="118"/>
    </row>
    <row r="26" spans="1:79" ht="15.75" customHeight="1" x14ac:dyDescent="0.3">
      <c r="A26" s="446">
        <f t="shared" si="24"/>
        <v>1</v>
      </c>
      <c r="B26" s="175"/>
      <c r="C26" s="500" t="str">
        <f>PROPER("COMMUNITY SAFETY AND TRANSPORT MANAGEMENT")</f>
        <v>Community Safety And Transport Management</v>
      </c>
      <c r="D26" s="482">
        <v>2265151</v>
      </c>
      <c r="E26" s="491">
        <f t="shared" si="18"/>
        <v>119956</v>
      </c>
      <c r="F26" s="483">
        <v>2385107</v>
      </c>
      <c r="G26" s="494"/>
      <c r="H26" s="484">
        <v>614903</v>
      </c>
      <c r="I26" s="485">
        <v>657474</v>
      </c>
      <c r="J26" s="485">
        <v>565206</v>
      </c>
      <c r="K26" s="485">
        <v>368832</v>
      </c>
      <c r="L26" s="174"/>
      <c r="M26" s="147">
        <f t="shared" si="19"/>
        <v>2206415</v>
      </c>
      <c r="N26" s="172">
        <f t="shared" si="25"/>
        <v>0.92508009074645292</v>
      </c>
      <c r="O26" s="177"/>
      <c r="P26" s="118"/>
      <c r="S26" s="175"/>
      <c r="T26" s="170" t="str">
        <f t="shared" si="20"/>
        <v>Community Safety And Transport Management</v>
      </c>
      <c r="U26" s="146">
        <v>2265151</v>
      </c>
      <c r="V26" s="150">
        <v>0</v>
      </c>
      <c r="W26" s="148">
        <v>2265151</v>
      </c>
      <c r="X26" s="176"/>
      <c r="Y26" s="149">
        <v>614903</v>
      </c>
      <c r="Z26" s="224">
        <v>659474</v>
      </c>
      <c r="AA26" s="224"/>
      <c r="AB26" s="224"/>
      <c r="AC26" s="174"/>
      <c r="AD26" s="147">
        <v>1274377</v>
      </c>
      <c r="AE26" s="172">
        <v>0.56260134534077422</v>
      </c>
      <c r="AF26" s="177"/>
      <c r="AG26" s="118"/>
      <c r="AJ26" s="309"/>
      <c r="AK26" s="305" t="str">
        <f t="shared" si="26"/>
        <v>Community Safety And Transport Management</v>
      </c>
      <c r="AL26" s="279">
        <f t="shared" si="21"/>
        <v>0</v>
      </c>
      <c r="AM26" s="280">
        <f t="shared" si="21"/>
        <v>-119956</v>
      </c>
      <c r="AN26" s="281">
        <f t="shared" si="21"/>
        <v>-119956</v>
      </c>
      <c r="AO26" s="310"/>
      <c r="AP26" s="282">
        <f t="shared" si="22"/>
        <v>0</v>
      </c>
      <c r="AQ26" s="283">
        <f t="shared" si="22"/>
        <v>2000</v>
      </c>
      <c r="AR26" s="283">
        <f t="shared" si="22"/>
        <v>-565206</v>
      </c>
      <c r="AS26" s="283">
        <f t="shared" si="22"/>
        <v>-368832</v>
      </c>
      <c r="AT26" s="308"/>
      <c r="AU26" s="283">
        <f t="shared" si="23"/>
        <v>-932038</v>
      </c>
      <c r="AV26" s="290"/>
      <c r="AW26" s="311"/>
      <c r="AX26" s="118"/>
    </row>
    <row r="27" spans="1:79" s="22" customFormat="1" ht="15.75" customHeight="1" x14ac:dyDescent="0.3">
      <c r="A27" s="446">
        <f t="shared" si="24"/>
        <v>1</v>
      </c>
      <c r="B27" s="159"/>
      <c r="C27" s="500" t="str">
        <f>PROPER("ECONOMIC DEVELOPMENT, ENVIRONMENT, CONSERVATION AND TOURISM")</f>
        <v>Economic Development, Environment, Conservation And Tourism</v>
      </c>
      <c r="D27" s="482">
        <v>986369</v>
      </c>
      <c r="E27" s="491">
        <f t="shared" si="18"/>
        <v>-30000</v>
      </c>
      <c r="F27" s="483">
        <v>956369</v>
      </c>
      <c r="G27" s="487"/>
      <c r="H27" s="484">
        <v>225289</v>
      </c>
      <c r="I27" s="485">
        <v>195958</v>
      </c>
      <c r="J27" s="485">
        <v>172966</v>
      </c>
      <c r="K27" s="485">
        <v>311143</v>
      </c>
      <c r="L27" s="156"/>
      <c r="M27" s="147">
        <f t="shared" si="19"/>
        <v>905356</v>
      </c>
      <c r="N27" s="172">
        <f t="shared" si="25"/>
        <v>0.94665970979820546</v>
      </c>
      <c r="O27" s="163"/>
      <c r="P27" s="118"/>
      <c r="Q27"/>
      <c r="R27"/>
      <c r="S27" s="159"/>
      <c r="T27" s="170" t="str">
        <f t="shared" si="20"/>
        <v>Economic Development, Environment, Conservation And Tourism</v>
      </c>
      <c r="U27" s="146">
        <v>475263</v>
      </c>
      <c r="V27" s="150">
        <v>0</v>
      </c>
      <c r="W27" s="148">
        <v>475263</v>
      </c>
      <c r="X27" s="152"/>
      <c r="Y27" s="149">
        <v>126959</v>
      </c>
      <c r="Z27" s="224">
        <v>76696</v>
      </c>
      <c r="AA27" s="224"/>
      <c r="AB27" s="224"/>
      <c r="AC27" s="156"/>
      <c r="AD27" s="147">
        <v>203655</v>
      </c>
      <c r="AE27" s="172">
        <v>0.42851010913957116</v>
      </c>
      <c r="AF27" s="163"/>
      <c r="AG27" s="118"/>
      <c r="AH27" s="61"/>
      <c r="AI27"/>
      <c r="AJ27" s="293"/>
      <c r="AK27" s="305" t="str">
        <f t="shared" si="26"/>
        <v>Economic Development, Environment, Conservation And Tourism</v>
      </c>
      <c r="AL27" s="279">
        <f t="shared" si="21"/>
        <v>-511106</v>
      </c>
      <c r="AM27" s="280">
        <f t="shared" si="21"/>
        <v>30000</v>
      </c>
      <c r="AN27" s="281">
        <f t="shared" si="21"/>
        <v>-481106</v>
      </c>
      <c r="AO27" s="285"/>
      <c r="AP27" s="282">
        <f t="shared" si="22"/>
        <v>-98330</v>
      </c>
      <c r="AQ27" s="283">
        <f t="shared" si="22"/>
        <v>-119262</v>
      </c>
      <c r="AR27" s="283">
        <f t="shared" si="22"/>
        <v>-172966</v>
      </c>
      <c r="AS27" s="283">
        <f t="shared" si="22"/>
        <v>-311143</v>
      </c>
      <c r="AT27" s="289"/>
      <c r="AU27" s="283">
        <f t="shared" si="23"/>
        <v>-701701</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PROPER("PROVINCIAL TREASURY")</f>
        <v>Provincial Treasury</v>
      </c>
      <c r="D28" s="482">
        <v>528722</v>
      </c>
      <c r="E28" s="491">
        <f t="shared" si="18"/>
        <v>-30000</v>
      </c>
      <c r="F28" s="483">
        <v>498722</v>
      </c>
      <c r="G28" s="487"/>
      <c r="H28" s="484">
        <v>105280</v>
      </c>
      <c r="I28" s="485">
        <v>112328</v>
      </c>
      <c r="J28" s="485">
        <v>145909</v>
      </c>
      <c r="K28" s="485">
        <v>129603</v>
      </c>
      <c r="L28" s="156"/>
      <c r="M28" s="147">
        <f t="shared" si="19"/>
        <v>493120</v>
      </c>
      <c r="N28" s="172">
        <f t="shared" si="25"/>
        <v>0.98876728919117263</v>
      </c>
      <c r="O28" s="163"/>
      <c r="P28" s="118"/>
      <c r="Q28"/>
      <c r="R28"/>
      <c r="S28" s="159"/>
      <c r="T28" s="170" t="str">
        <f t="shared" si="20"/>
        <v>Provincial Treasury</v>
      </c>
      <c r="U28" s="146">
        <v>528722</v>
      </c>
      <c r="V28" s="150">
        <v>0</v>
      </c>
      <c r="W28" s="148">
        <v>528722</v>
      </c>
      <c r="X28" s="152"/>
      <c r="Y28" s="149">
        <v>105280</v>
      </c>
      <c r="Z28" s="224">
        <v>112328</v>
      </c>
      <c r="AA28" s="224"/>
      <c r="AB28" s="224"/>
      <c r="AC28" s="156"/>
      <c r="AD28" s="147">
        <v>217608</v>
      </c>
      <c r="AE28" s="172">
        <v>0.41157356796199135</v>
      </c>
      <c r="AF28" s="163"/>
      <c r="AG28" s="118"/>
      <c r="AH28" s="61"/>
      <c r="AI28"/>
      <c r="AJ28" s="293"/>
      <c r="AK28" s="305" t="str">
        <f t="shared" si="26"/>
        <v>Provincial Treasury</v>
      </c>
      <c r="AL28" s="279">
        <f t="shared" si="21"/>
        <v>0</v>
      </c>
      <c r="AM28" s="280">
        <f t="shared" si="21"/>
        <v>30000</v>
      </c>
      <c r="AN28" s="281">
        <f t="shared" si="21"/>
        <v>30000</v>
      </c>
      <c r="AO28" s="285"/>
      <c r="AP28" s="282">
        <f t="shared" si="22"/>
        <v>0</v>
      </c>
      <c r="AQ28" s="283">
        <f t="shared" si="22"/>
        <v>0</v>
      </c>
      <c r="AR28" s="283">
        <f t="shared" si="22"/>
        <v>-145909</v>
      </c>
      <c r="AS28" s="283">
        <f t="shared" si="22"/>
        <v>-129603</v>
      </c>
      <c r="AT28" s="289"/>
      <c r="AU28" s="283">
        <f t="shared" si="23"/>
        <v>-275512</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PROPER("HUMAN SETTLEMENTS")</f>
        <v>Human Settlements</v>
      </c>
      <c r="D29" s="482">
        <v>2216515</v>
      </c>
      <c r="E29" s="491">
        <f t="shared" si="18"/>
        <v>10884</v>
      </c>
      <c r="F29" s="483">
        <v>2227399</v>
      </c>
      <c r="G29" s="487"/>
      <c r="H29" s="484">
        <v>366815</v>
      </c>
      <c r="I29" s="485">
        <v>468168</v>
      </c>
      <c r="J29" s="485">
        <v>398885</v>
      </c>
      <c r="K29" s="485">
        <v>840408</v>
      </c>
      <c r="L29" s="156"/>
      <c r="M29" s="147">
        <f t="shared" si="19"/>
        <v>2074276</v>
      </c>
      <c r="N29" s="172">
        <f t="shared" si="25"/>
        <v>0.931254795391396</v>
      </c>
      <c r="O29" s="163"/>
      <c r="P29" s="118"/>
      <c r="Q29"/>
      <c r="R29"/>
      <c r="S29" s="159"/>
      <c r="T29" s="170" t="str">
        <f t="shared" si="20"/>
        <v>Human Settlements</v>
      </c>
      <c r="U29" s="146">
        <v>2546779</v>
      </c>
      <c r="V29" s="150">
        <v>0</v>
      </c>
      <c r="W29" s="148">
        <v>2546779</v>
      </c>
      <c r="X29" s="152"/>
      <c r="Y29" s="149">
        <v>446468</v>
      </c>
      <c r="Z29" s="224">
        <v>569067</v>
      </c>
      <c r="AA29" s="224"/>
      <c r="AB29" s="224"/>
      <c r="AC29" s="156"/>
      <c r="AD29" s="147">
        <v>1015535</v>
      </c>
      <c r="AE29" s="172">
        <v>0.39875269899743954</v>
      </c>
      <c r="AF29" s="163"/>
      <c r="AG29" s="118"/>
      <c r="AH29" s="61"/>
      <c r="AI29"/>
      <c r="AJ29" s="293"/>
      <c r="AK29" s="305" t="str">
        <f t="shared" si="26"/>
        <v>Human Settlements</v>
      </c>
      <c r="AL29" s="279">
        <f t="shared" si="21"/>
        <v>330264</v>
      </c>
      <c r="AM29" s="280">
        <f t="shared" si="21"/>
        <v>-10884</v>
      </c>
      <c r="AN29" s="281">
        <f t="shared" si="21"/>
        <v>319380</v>
      </c>
      <c r="AO29" s="285"/>
      <c r="AP29" s="282">
        <f t="shared" si="22"/>
        <v>79653</v>
      </c>
      <c r="AQ29" s="283">
        <f t="shared" si="22"/>
        <v>100899</v>
      </c>
      <c r="AR29" s="283">
        <f t="shared" si="22"/>
        <v>-398885</v>
      </c>
      <c r="AS29" s="283">
        <f t="shared" si="22"/>
        <v>-840408</v>
      </c>
      <c r="AT29" s="289"/>
      <c r="AU29" s="283">
        <f t="shared" si="23"/>
        <v>-1058741</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PROPER("CORPORATIVE GOVERNANCE AND TRADITIONAL AFFAIRS")</f>
        <v>Corporative Governance And Traditional Affairs</v>
      </c>
      <c r="D30" s="482">
        <v>539734</v>
      </c>
      <c r="E30" s="491">
        <f t="shared" si="18"/>
        <v>17603</v>
      </c>
      <c r="F30" s="483">
        <v>557337</v>
      </c>
      <c r="G30" s="492"/>
      <c r="H30" s="484">
        <v>119161</v>
      </c>
      <c r="I30" s="485">
        <v>147302</v>
      </c>
      <c r="J30" s="485">
        <v>104920</v>
      </c>
      <c r="K30" s="485">
        <v>151823</v>
      </c>
      <c r="L30" s="156"/>
      <c r="M30" s="147">
        <f t="shared" si="19"/>
        <v>523206</v>
      </c>
      <c r="N30" s="172">
        <f t="shared" si="25"/>
        <v>0.9387605703550993</v>
      </c>
      <c r="O30" s="177"/>
      <c r="P30" s="118"/>
      <c r="Q30"/>
      <c r="R30"/>
      <c r="S30" s="175"/>
      <c r="T30" s="170" t="str">
        <f t="shared" si="20"/>
        <v>Corporative Governance And Traditional Affairs</v>
      </c>
      <c r="U30" s="146">
        <v>276878</v>
      </c>
      <c r="V30" s="150">
        <v>0</v>
      </c>
      <c r="W30" s="148">
        <v>276878</v>
      </c>
      <c r="X30" s="171"/>
      <c r="Y30" s="149">
        <v>50455</v>
      </c>
      <c r="Z30" s="224">
        <v>71949</v>
      </c>
      <c r="AA30" s="224"/>
      <c r="AB30" s="224"/>
      <c r="AC30" s="156"/>
      <c r="AD30" s="147">
        <v>122404</v>
      </c>
      <c r="AE30" s="172">
        <v>0.44208640628724566</v>
      </c>
      <c r="AF30" s="177"/>
      <c r="AG30" s="118"/>
      <c r="AH30"/>
      <c r="AI30"/>
      <c r="AJ30" s="309"/>
      <c r="AK30" s="305" t="str">
        <f t="shared" si="26"/>
        <v>Corporative Governance And Traditional Affairs</v>
      </c>
      <c r="AL30" s="279">
        <f t="shared" si="21"/>
        <v>-262856</v>
      </c>
      <c r="AM30" s="280">
        <f t="shared" si="21"/>
        <v>-17603</v>
      </c>
      <c r="AN30" s="281">
        <f t="shared" si="21"/>
        <v>-280459</v>
      </c>
      <c r="AO30" s="306"/>
      <c r="AP30" s="282">
        <f t="shared" si="22"/>
        <v>-68706</v>
      </c>
      <c r="AQ30" s="283">
        <f t="shared" si="22"/>
        <v>-75353</v>
      </c>
      <c r="AR30" s="283">
        <f t="shared" si="22"/>
        <v>-104920</v>
      </c>
      <c r="AS30" s="283">
        <f t="shared" si="22"/>
        <v>-151823</v>
      </c>
      <c r="AT30" s="289"/>
      <c r="AU30" s="283">
        <f t="shared" si="23"/>
        <v>-400802</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PROPER("PUBLIC WORKS AND ROADS")</f>
        <v>Public Works And Roads</v>
      </c>
      <c r="D31" s="482">
        <v>3247573</v>
      </c>
      <c r="E31" s="491">
        <f t="shared" si="18"/>
        <v>355075</v>
      </c>
      <c r="F31" s="483">
        <v>3602648</v>
      </c>
      <c r="G31" s="487"/>
      <c r="H31" s="484">
        <v>509546</v>
      </c>
      <c r="I31" s="485">
        <v>864501</v>
      </c>
      <c r="J31" s="485">
        <v>819484</v>
      </c>
      <c r="K31" s="485">
        <v>1046724</v>
      </c>
      <c r="L31" s="156"/>
      <c r="M31" s="147">
        <f t="shared" si="19"/>
        <v>3240255</v>
      </c>
      <c r="N31" s="172">
        <f t="shared" si="25"/>
        <v>0.89940926784964836</v>
      </c>
      <c r="O31" s="163"/>
      <c r="P31" s="118"/>
      <c r="Q31"/>
      <c r="R31"/>
      <c r="S31" s="159"/>
      <c r="T31" s="170" t="str">
        <f t="shared" si="20"/>
        <v>Public Works And Roads</v>
      </c>
      <c r="U31" s="146">
        <v>3247573</v>
      </c>
      <c r="V31" s="150">
        <v>0</v>
      </c>
      <c r="W31" s="148">
        <v>3247573</v>
      </c>
      <c r="X31" s="152"/>
      <c r="Y31" s="149">
        <v>509546</v>
      </c>
      <c r="Z31" s="224">
        <v>864501</v>
      </c>
      <c r="AA31" s="224"/>
      <c r="AB31" s="224"/>
      <c r="AC31" s="156"/>
      <c r="AD31" s="147">
        <v>1374047</v>
      </c>
      <c r="AE31" s="172">
        <v>0.42309965010794215</v>
      </c>
      <c r="AF31" s="163"/>
      <c r="AG31" s="118"/>
      <c r="AH31"/>
      <c r="AI31"/>
      <c r="AJ31" s="293"/>
      <c r="AK31" s="305" t="str">
        <f t="shared" si="26"/>
        <v>Public Works And Roads</v>
      </c>
      <c r="AL31" s="279">
        <f t="shared" si="21"/>
        <v>0</v>
      </c>
      <c r="AM31" s="280">
        <f t="shared" si="21"/>
        <v>-355075</v>
      </c>
      <c r="AN31" s="281">
        <f t="shared" si="21"/>
        <v>-355075</v>
      </c>
      <c r="AO31" s="285"/>
      <c r="AP31" s="282">
        <f t="shared" si="22"/>
        <v>0</v>
      </c>
      <c r="AQ31" s="283">
        <f t="shared" si="22"/>
        <v>0</v>
      </c>
      <c r="AR31" s="283">
        <f t="shared" si="22"/>
        <v>-819484</v>
      </c>
      <c r="AS31" s="283">
        <f t="shared" si="22"/>
        <v>-1046724</v>
      </c>
      <c r="AT31" s="289"/>
      <c r="AU31" s="283">
        <f t="shared" si="23"/>
        <v>-1866208</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PROPER("AGRICULTURAL AND RURAL DEVELOPMENT")</f>
        <v>Agricultural And Rural Development</v>
      </c>
      <c r="D32" s="482">
        <v>1165711</v>
      </c>
      <c r="E32" s="491">
        <f t="shared" si="18"/>
        <v>-9060</v>
      </c>
      <c r="F32" s="483">
        <v>1156651</v>
      </c>
      <c r="G32" s="487"/>
      <c r="H32" s="484">
        <v>202064</v>
      </c>
      <c r="I32" s="485">
        <v>261655.4</v>
      </c>
      <c r="J32" s="485">
        <v>278420</v>
      </c>
      <c r="K32" s="485">
        <v>197574.6</v>
      </c>
      <c r="L32" s="156"/>
      <c r="M32" s="147">
        <f t="shared" si="19"/>
        <v>939714</v>
      </c>
      <c r="N32" s="172">
        <f t="shared" si="25"/>
        <v>0.81244385730873014</v>
      </c>
      <c r="O32" s="163"/>
      <c r="P32" s="118"/>
      <c r="S32" s="159"/>
      <c r="T32" s="170" t="str">
        <f t="shared" si="20"/>
        <v>Agricultural And Rural Development</v>
      </c>
      <c r="U32" s="146">
        <v>1472957</v>
      </c>
      <c r="V32" s="150">
        <v>0</v>
      </c>
      <c r="W32" s="148">
        <v>1472957</v>
      </c>
      <c r="X32" s="152"/>
      <c r="Y32" s="149">
        <v>263802</v>
      </c>
      <c r="Z32" s="224">
        <v>326340.40000000002</v>
      </c>
      <c r="AA32" s="224"/>
      <c r="AB32" s="224"/>
      <c r="AC32" s="156"/>
      <c r="AD32" s="147">
        <v>590142.4</v>
      </c>
      <c r="AE32" s="172">
        <v>0.40065147862429118</v>
      </c>
      <c r="AF32" s="163"/>
      <c r="AG32" s="118"/>
      <c r="AJ32" s="293"/>
      <c r="AK32" s="305" t="str">
        <f t="shared" si="26"/>
        <v>Agricultural And Rural Development</v>
      </c>
      <c r="AL32" s="279">
        <f t="shared" si="21"/>
        <v>307246</v>
      </c>
      <c r="AM32" s="280">
        <f t="shared" si="21"/>
        <v>9060</v>
      </c>
      <c r="AN32" s="281">
        <f t="shared" si="21"/>
        <v>316306</v>
      </c>
      <c r="AO32" s="285"/>
      <c r="AP32" s="282">
        <f t="shared" si="22"/>
        <v>61738</v>
      </c>
      <c r="AQ32" s="283">
        <f t="shared" si="22"/>
        <v>64685.000000000029</v>
      </c>
      <c r="AR32" s="283">
        <f t="shared" si="22"/>
        <v>-278420</v>
      </c>
      <c r="AS32" s="283">
        <f t="shared" si="22"/>
        <v>-197574.6</v>
      </c>
      <c r="AT32" s="289"/>
      <c r="AU32" s="283">
        <f t="shared" si="23"/>
        <v>-349571.6</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44028547.063999996</v>
      </c>
      <c r="E41" s="179">
        <f t="shared" ref="E41:F41" si="31">SUM(E20:E39)</f>
        <v>442089</v>
      </c>
      <c r="F41" s="166">
        <f t="shared" si="31"/>
        <v>44470636.063999996</v>
      </c>
      <c r="G41" s="165"/>
      <c r="H41" s="436">
        <f t="shared" ref="H41:I41" si="32">SUM(H20:H39)</f>
        <v>9780952</v>
      </c>
      <c r="I41" s="437">
        <f t="shared" si="32"/>
        <v>10653882.4</v>
      </c>
      <c r="J41" s="437">
        <f t="shared" ref="J41:K41" si="33">SUM(J20:J39)</f>
        <v>11000166</v>
      </c>
      <c r="K41" s="438">
        <f t="shared" si="33"/>
        <v>11601708.6</v>
      </c>
      <c r="L41" s="156"/>
      <c r="M41" s="168">
        <f>SUM(M20:M39)</f>
        <v>43036709</v>
      </c>
      <c r="N41" s="180">
        <f>IFERROR(M41/F41,0)</f>
        <v>0.96775564302843886</v>
      </c>
      <c r="O41" s="595"/>
      <c r="P41" s="594"/>
      <c r="Q41"/>
      <c r="R41"/>
      <c r="S41" s="119"/>
      <c r="T41" s="164" t="s">
        <v>12</v>
      </c>
      <c r="U41" s="165">
        <v>44028547.200000003</v>
      </c>
      <c r="V41" s="179">
        <v>0</v>
      </c>
      <c r="W41" s="166">
        <v>44028547.200000003</v>
      </c>
      <c r="X41" s="165"/>
      <c r="Y41" s="436">
        <v>9780722</v>
      </c>
      <c r="Z41" s="437">
        <v>10657495.4</v>
      </c>
      <c r="AA41" s="437">
        <v>0</v>
      </c>
      <c r="AB41" s="438" t="s">
        <v>52</v>
      </c>
      <c r="AC41" s="156"/>
      <c r="AD41" s="168">
        <v>20438217.399999999</v>
      </c>
      <c r="AE41" s="180">
        <v>0.46420376550603054</v>
      </c>
      <c r="AF41" s="163"/>
      <c r="AG41" s="118"/>
      <c r="AH41"/>
      <c r="AI41"/>
      <c r="AJ41" s="248"/>
      <c r="AK41" s="298" t="s">
        <v>12</v>
      </c>
      <c r="AL41" s="299">
        <f>SUM(AL20:AL39)</f>
        <v>0.13599999994039536</v>
      </c>
      <c r="AM41" s="313">
        <f t="shared" ref="AM41" si="34">SUM(AM20:AM39)</f>
        <v>-442089</v>
      </c>
      <c r="AN41" s="300">
        <f>SUM(AN20:AN39)</f>
        <v>-442088.86400000006</v>
      </c>
      <c r="AO41" s="299"/>
      <c r="AP41" s="301">
        <f>SUM(AP20:AP39)</f>
        <v>-230</v>
      </c>
      <c r="AQ41" s="302">
        <f t="shared" ref="AQ41:AS41" si="35">SUM(AQ20:AQ39)</f>
        <v>3613.0000000000291</v>
      </c>
      <c r="AR41" s="302">
        <f t="shared" si="35"/>
        <v>-11000166</v>
      </c>
      <c r="AS41" s="302">
        <f t="shared" si="35"/>
        <v>-11601708.6</v>
      </c>
      <c r="AT41" s="289"/>
      <c r="AU41" s="302">
        <f>SUM(AU20:AU39)</f>
        <v>-22598491.600000001</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35762926.089000002</v>
      </c>
      <c r="E44" s="156">
        <f t="shared" ref="E44:M44" si="36">SUM(E45:E47)</f>
        <v>743540.00000000186</v>
      </c>
      <c r="F44" s="153">
        <f t="shared" si="36"/>
        <v>36506466.089000002</v>
      </c>
      <c r="G44" s="152">
        <f t="shared" si="36"/>
        <v>0</v>
      </c>
      <c r="H44" s="154">
        <f t="shared" si="36"/>
        <v>8244277</v>
      </c>
      <c r="I44" s="155">
        <f t="shared" ref="I44" si="37">SUM(I45:I47)</f>
        <v>8940530.8000000007</v>
      </c>
      <c r="J44" s="155">
        <f t="shared" ref="J44:K44" si="38">SUM(J45:J47)</f>
        <v>8869766.1999999993</v>
      </c>
      <c r="K44" s="155">
        <f t="shared" si="38"/>
        <v>9378264</v>
      </c>
      <c r="L44" s="156"/>
      <c r="M44" s="155">
        <f t="shared" si="36"/>
        <v>35432838</v>
      </c>
      <c r="N44" s="183">
        <f t="shared" ref="N44:N64" si="39">IFERROR(M44/F44,0)</f>
        <v>0.97059074175017168</v>
      </c>
      <c r="O44" s="595"/>
      <c r="P44" s="478"/>
      <c r="Q44"/>
      <c r="R44"/>
      <c r="S44" s="159"/>
      <c r="T44" s="182" t="str">
        <f t="shared" ref="T44:T64" si="40">C44</f>
        <v>Current payments</v>
      </c>
      <c r="U44" s="152">
        <v>35662576.170000002</v>
      </c>
      <c r="V44" s="156">
        <v>0</v>
      </c>
      <c r="W44" s="153">
        <v>35662576.170000002</v>
      </c>
      <c r="X44" s="152">
        <v>0</v>
      </c>
      <c r="Y44" s="154">
        <v>8244410</v>
      </c>
      <c r="Z44" s="155">
        <v>8941430.8000000007</v>
      </c>
      <c r="AA44" s="155">
        <v>0</v>
      </c>
      <c r="AB44" s="155">
        <v>0</v>
      </c>
      <c r="AC44" s="156"/>
      <c r="AD44" s="155">
        <v>17185840.800000001</v>
      </c>
      <c r="AE44" s="172">
        <v>0.48190127146386685</v>
      </c>
      <c r="AF44" s="163"/>
      <c r="AG44" s="181"/>
      <c r="AH44"/>
      <c r="AI44"/>
      <c r="AJ44" s="293"/>
      <c r="AK44" s="314" t="s">
        <v>0</v>
      </c>
      <c r="AL44" s="285">
        <f>SUM(AL45:AL47)</f>
        <v>-100349.91900000162</v>
      </c>
      <c r="AM44" s="289">
        <f t="shared" ref="AM44:AO44" si="41">SUM(AM45:AM47)</f>
        <v>-743540.00000000186</v>
      </c>
      <c r="AN44" s="286">
        <f>SUM(AN45:AN47)</f>
        <v>-843889.91900000349</v>
      </c>
      <c r="AO44" s="285">
        <f t="shared" si="41"/>
        <v>0</v>
      </c>
      <c r="AP44" s="287">
        <f>SUM(AP45:AP47)</f>
        <v>133</v>
      </c>
      <c r="AQ44" s="288">
        <f t="shared" ref="AQ44:AS44" si="42">SUM(AQ45:AQ47)</f>
        <v>900</v>
      </c>
      <c r="AR44" s="288">
        <f t="shared" si="42"/>
        <v>-8869766.1999999993</v>
      </c>
      <c r="AS44" s="288">
        <f t="shared" si="42"/>
        <v>-9378264</v>
      </c>
      <c r="AT44" s="289"/>
      <c r="AU44" s="288">
        <f t="shared" ref="AU44" si="43">SUM(AU45:AU47)</f>
        <v>-18246997.199999999</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26367614.440000001</v>
      </c>
      <c r="E45" s="491">
        <f t="shared" ref="E45:E47" si="44">F45-D45</f>
        <v>-69225</v>
      </c>
      <c r="F45" s="483">
        <v>26298389.440000001</v>
      </c>
      <c r="G45" s="482"/>
      <c r="H45" s="484">
        <v>6449966</v>
      </c>
      <c r="I45" s="485">
        <v>6525134</v>
      </c>
      <c r="J45" s="485">
        <v>6682885.4000000004</v>
      </c>
      <c r="K45" s="485">
        <v>6648531.5999999996</v>
      </c>
      <c r="L45" s="156"/>
      <c r="M45" s="147">
        <f t="shared" ref="M45:M47" si="45">SUM(H45:K45)</f>
        <v>26306517</v>
      </c>
      <c r="N45" s="172">
        <f t="shared" si="39"/>
        <v>1.0003090516253301</v>
      </c>
      <c r="O45" s="163"/>
      <c r="P45" s="181"/>
      <c r="Q45"/>
      <c r="R45"/>
      <c r="S45" s="159"/>
      <c r="T45" s="157" t="str">
        <f t="shared" si="40"/>
        <v>Compensation of employees</v>
      </c>
      <c r="U45" s="146">
        <v>26347052.359999999</v>
      </c>
      <c r="V45" s="150">
        <v>0</v>
      </c>
      <c r="W45" s="148">
        <v>26347052.359999999</v>
      </c>
      <c r="X45" s="146"/>
      <c r="Y45" s="149">
        <v>6449964</v>
      </c>
      <c r="Z45" s="224">
        <v>6525136</v>
      </c>
      <c r="AA45" s="224"/>
      <c r="AB45" s="224"/>
      <c r="AC45" s="156"/>
      <c r="AD45" s="147">
        <v>12975100</v>
      </c>
      <c r="AE45" s="172">
        <v>0.49246875220465841</v>
      </c>
      <c r="AF45" s="163"/>
      <c r="AG45" s="181"/>
      <c r="AH45"/>
      <c r="AI45"/>
      <c r="AJ45" s="293"/>
      <c r="AK45" s="291" t="s">
        <v>54</v>
      </c>
      <c r="AL45" s="279">
        <f t="shared" ref="AL45:AN47" si="46">IFERROR(U45-D45,0)</f>
        <v>-20562.080000001937</v>
      </c>
      <c r="AM45" s="280">
        <f t="shared" si="46"/>
        <v>69225</v>
      </c>
      <c r="AN45" s="281">
        <f t="shared" si="46"/>
        <v>48662.919999998063</v>
      </c>
      <c r="AO45" s="279"/>
      <c r="AP45" s="282">
        <f t="shared" ref="AP45:AS47" si="47">IFERROR(Y45-H45,0)</f>
        <v>-2</v>
      </c>
      <c r="AQ45" s="283">
        <f t="shared" si="47"/>
        <v>2</v>
      </c>
      <c r="AR45" s="283">
        <f t="shared" si="47"/>
        <v>-6682885.4000000004</v>
      </c>
      <c r="AS45" s="283">
        <f t="shared" si="47"/>
        <v>-6648531.5999999996</v>
      </c>
      <c r="AT45" s="289"/>
      <c r="AU45" s="283">
        <f t="shared" ref="AU45:AU47" si="48">IFERROR(AD45-M45,0)</f>
        <v>-13331417</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9392641.6490000002</v>
      </c>
      <c r="E46" s="491">
        <f t="shared" si="44"/>
        <v>809661.00000000186</v>
      </c>
      <c r="F46" s="483">
        <v>10202302.649000002</v>
      </c>
      <c r="G46" s="482"/>
      <c r="H46" s="484">
        <v>1793064</v>
      </c>
      <c r="I46" s="485">
        <v>2414507.7999999998</v>
      </c>
      <c r="J46" s="485">
        <v>2186216.7999999998</v>
      </c>
      <c r="K46" s="485">
        <v>2726590.4</v>
      </c>
      <c r="L46" s="156"/>
      <c r="M46" s="147">
        <f t="shared" si="45"/>
        <v>9120379</v>
      </c>
      <c r="N46" s="172">
        <f t="shared" si="39"/>
        <v>0.8939529941207881</v>
      </c>
      <c r="O46" s="163"/>
      <c r="P46" s="181"/>
      <c r="Q46"/>
      <c r="R46"/>
      <c r="S46" s="159"/>
      <c r="T46" s="157" t="str">
        <f t="shared" si="40"/>
        <v>Goods and services</v>
      </c>
      <c r="U46" s="146">
        <v>9312853.8100000005</v>
      </c>
      <c r="V46" s="150">
        <v>0</v>
      </c>
      <c r="W46" s="148">
        <v>9312853.8100000005</v>
      </c>
      <c r="X46" s="146"/>
      <c r="Y46" s="149">
        <v>1793199</v>
      </c>
      <c r="Z46" s="224">
        <v>2415404.7999999998</v>
      </c>
      <c r="AA46" s="224"/>
      <c r="AB46" s="224"/>
      <c r="AC46" s="156"/>
      <c r="AD46" s="147">
        <v>4208603.8</v>
      </c>
      <c r="AE46" s="172">
        <v>0.45191343983955434</v>
      </c>
      <c r="AF46" s="163"/>
      <c r="AG46" s="181"/>
      <c r="AH46"/>
      <c r="AI46"/>
      <c r="AJ46" s="293"/>
      <c r="AK46" s="291" t="s">
        <v>55</v>
      </c>
      <c r="AL46" s="279">
        <f t="shared" si="46"/>
        <v>-79787.838999999687</v>
      </c>
      <c r="AM46" s="280">
        <f t="shared" si="46"/>
        <v>-809661.00000000186</v>
      </c>
      <c r="AN46" s="281">
        <f t="shared" si="46"/>
        <v>-889448.83900000155</v>
      </c>
      <c r="AO46" s="279"/>
      <c r="AP46" s="282">
        <f t="shared" si="47"/>
        <v>135</v>
      </c>
      <c r="AQ46" s="283">
        <f t="shared" si="47"/>
        <v>897</v>
      </c>
      <c r="AR46" s="283">
        <f t="shared" si="47"/>
        <v>-2186216.7999999998</v>
      </c>
      <c r="AS46" s="283">
        <f t="shared" si="47"/>
        <v>-2726590.4</v>
      </c>
      <c r="AT46" s="289"/>
      <c r="AU46" s="283">
        <f t="shared" si="48"/>
        <v>-4911775.2</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2670</v>
      </c>
      <c r="E47" s="491">
        <f t="shared" si="44"/>
        <v>3104</v>
      </c>
      <c r="F47" s="483">
        <v>5774</v>
      </c>
      <c r="G47" s="482"/>
      <c r="H47" s="484">
        <v>1247</v>
      </c>
      <c r="I47" s="485">
        <v>889</v>
      </c>
      <c r="J47" s="485">
        <v>664</v>
      </c>
      <c r="K47" s="485">
        <v>3142</v>
      </c>
      <c r="L47" s="156"/>
      <c r="M47" s="147">
        <f t="shared" si="45"/>
        <v>5942</v>
      </c>
      <c r="N47" s="172">
        <f t="shared" si="39"/>
        <v>1.0290959473501906</v>
      </c>
      <c r="O47" s="163"/>
      <c r="P47" s="181"/>
      <c r="Q47"/>
      <c r="R47"/>
      <c r="S47" s="159"/>
      <c r="T47" s="157" t="str">
        <f t="shared" si="40"/>
        <v>Interest and rent on land</v>
      </c>
      <c r="U47" s="146">
        <v>2670</v>
      </c>
      <c r="V47" s="150">
        <v>0</v>
      </c>
      <c r="W47" s="148">
        <v>2670</v>
      </c>
      <c r="X47" s="146"/>
      <c r="Y47" s="149">
        <v>1247</v>
      </c>
      <c r="Z47" s="224">
        <v>890</v>
      </c>
      <c r="AA47" s="224"/>
      <c r="AB47" s="224"/>
      <c r="AC47" s="156"/>
      <c r="AD47" s="147">
        <v>2137</v>
      </c>
      <c r="AE47" s="172">
        <v>0.80037453183520602</v>
      </c>
      <c r="AF47" s="163"/>
      <c r="AG47" s="181"/>
      <c r="AH47"/>
      <c r="AI47"/>
      <c r="AJ47" s="293"/>
      <c r="AK47" s="291" t="s">
        <v>56</v>
      </c>
      <c r="AL47" s="279">
        <f t="shared" si="46"/>
        <v>0</v>
      </c>
      <c r="AM47" s="280">
        <f t="shared" si="46"/>
        <v>-3104</v>
      </c>
      <c r="AN47" s="281">
        <f t="shared" si="46"/>
        <v>-3104</v>
      </c>
      <c r="AO47" s="279"/>
      <c r="AP47" s="282">
        <f t="shared" si="47"/>
        <v>0</v>
      </c>
      <c r="AQ47" s="283">
        <f t="shared" si="47"/>
        <v>1</v>
      </c>
      <c r="AR47" s="283">
        <f t="shared" si="47"/>
        <v>-664</v>
      </c>
      <c r="AS47" s="283">
        <f t="shared" si="47"/>
        <v>-3142</v>
      </c>
      <c r="AT47" s="289"/>
      <c r="AU47" s="283">
        <f t="shared" si="48"/>
        <v>-3805</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5856274</v>
      </c>
      <c r="E48" s="156">
        <f t="shared" ref="E48:M48" si="49">SUM(E49:E55)</f>
        <v>-30427</v>
      </c>
      <c r="F48" s="153">
        <f t="shared" si="49"/>
        <v>5825847</v>
      </c>
      <c r="G48" s="152">
        <f t="shared" si="49"/>
        <v>0</v>
      </c>
      <c r="H48" s="154">
        <f t="shared" si="49"/>
        <v>1324968</v>
      </c>
      <c r="I48" s="155">
        <f t="shared" ref="I48" si="50">SUM(I49:I55)</f>
        <v>1374966</v>
      </c>
      <c r="J48" s="155">
        <f t="shared" ref="J48:K48" si="51">SUM(J49:J55)</f>
        <v>1554315</v>
      </c>
      <c r="K48" s="155">
        <f t="shared" si="51"/>
        <v>1432823</v>
      </c>
      <c r="L48" s="156"/>
      <c r="M48" s="155">
        <f t="shared" si="49"/>
        <v>5687072</v>
      </c>
      <c r="N48" s="183">
        <f t="shared" si="39"/>
        <v>0.97617942936022861</v>
      </c>
      <c r="O48" s="595"/>
      <c r="P48" s="478"/>
      <c r="Q48"/>
      <c r="R48"/>
      <c r="S48" s="159"/>
      <c r="T48" s="182" t="str">
        <f t="shared" si="40"/>
        <v>Transfers and subsidies</v>
      </c>
      <c r="U48" s="152">
        <v>5862465.0199999996</v>
      </c>
      <c r="V48" s="156">
        <v>0</v>
      </c>
      <c r="W48" s="153">
        <v>5862465.0199999996</v>
      </c>
      <c r="X48" s="152">
        <v>0</v>
      </c>
      <c r="Y48" s="154">
        <v>1324968</v>
      </c>
      <c r="Z48" s="155">
        <v>1377440</v>
      </c>
      <c r="AA48" s="155">
        <v>0</v>
      </c>
      <c r="AB48" s="155">
        <v>0</v>
      </c>
      <c r="AC48" s="156"/>
      <c r="AD48" s="155">
        <v>2702408</v>
      </c>
      <c r="AE48" s="183">
        <v>0.4609678677451623</v>
      </c>
      <c r="AF48" s="163"/>
      <c r="AG48" s="181"/>
      <c r="AH48"/>
      <c r="AI48"/>
      <c r="AJ48" s="293"/>
      <c r="AK48" s="314" t="s">
        <v>1</v>
      </c>
      <c r="AL48" s="285">
        <f>SUM(AL49:AL55)</f>
        <v>6191.0200000000186</v>
      </c>
      <c r="AM48" s="289">
        <f t="shared" ref="AM48:AO48" si="52">SUM(AM49:AM55)</f>
        <v>30427</v>
      </c>
      <c r="AN48" s="286">
        <f>SUM(AN49:AN55)</f>
        <v>36618.020000000019</v>
      </c>
      <c r="AO48" s="285">
        <f t="shared" si="52"/>
        <v>0</v>
      </c>
      <c r="AP48" s="287">
        <f>SUM(AP49:AP55)</f>
        <v>0</v>
      </c>
      <c r="AQ48" s="288">
        <f t="shared" ref="AQ48:AS48" si="53">SUM(AQ49:AQ55)</f>
        <v>2474</v>
      </c>
      <c r="AR48" s="288">
        <f t="shared" si="53"/>
        <v>-1554315</v>
      </c>
      <c r="AS48" s="288">
        <f t="shared" si="53"/>
        <v>-1432823</v>
      </c>
      <c r="AT48" s="289"/>
      <c r="AU48" s="288">
        <f t="shared" ref="AU48" si="54">SUM(AU49:AU55)</f>
        <v>-2984664</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433643</v>
      </c>
      <c r="E49" s="491">
        <f t="shared" ref="E49:E55" si="55">F49-D49</f>
        <v>6903</v>
      </c>
      <c r="F49" s="483">
        <v>440546</v>
      </c>
      <c r="G49" s="482"/>
      <c r="H49" s="484">
        <v>13240</v>
      </c>
      <c r="I49" s="485">
        <v>244956</v>
      </c>
      <c r="J49" s="485">
        <v>141797</v>
      </c>
      <c r="K49" s="485">
        <v>34842</v>
      </c>
      <c r="L49" s="156"/>
      <c r="M49" s="147">
        <f t="shared" ref="M49:M55" si="56">SUM(H49:K49)</f>
        <v>434835</v>
      </c>
      <c r="N49" s="172">
        <f t="shared" si="39"/>
        <v>0.98703654101955296</v>
      </c>
      <c r="O49" s="163"/>
      <c r="P49" s="181"/>
      <c r="Q49"/>
      <c r="R49"/>
      <c r="S49" s="159"/>
      <c r="T49" s="157" t="str">
        <f t="shared" si="40"/>
        <v>Provinces and municipalities</v>
      </c>
      <c r="U49" s="146">
        <v>433643</v>
      </c>
      <c r="V49" s="150">
        <v>0</v>
      </c>
      <c r="W49" s="148">
        <v>433643</v>
      </c>
      <c r="X49" s="146"/>
      <c r="Y49" s="149">
        <v>13240</v>
      </c>
      <c r="Z49" s="224">
        <v>244956</v>
      </c>
      <c r="AA49" s="224"/>
      <c r="AB49" s="224"/>
      <c r="AC49" s="156"/>
      <c r="AD49" s="147">
        <v>258196</v>
      </c>
      <c r="AE49" s="172">
        <v>0.59541143290679199</v>
      </c>
      <c r="AF49" s="163"/>
      <c r="AG49" s="181"/>
      <c r="AH49"/>
      <c r="AI49"/>
      <c r="AJ49" s="293"/>
      <c r="AK49" s="291" t="s">
        <v>57</v>
      </c>
      <c r="AL49" s="279">
        <f t="shared" ref="AL49:AN55" si="57">IFERROR(U49-D49,0)</f>
        <v>0</v>
      </c>
      <c r="AM49" s="280">
        <f t="shared" si="57"/>
        <v>-6903</v>
      </c>
      <c r="AN49" s="281">
        <f t="shared" si="57"/>
        <v>-6903</v>
      </c>
      <c r="AO49" s="279"/>
      <c r="AP49" s="282">
        <f t="shared" ref="AP49:AS55" si="58">IFERROR(Y49-H49,0)</f>
        <v>0</v>
      </c>
      <c r="AQ49" s="283">
        <f t="shared" si="58"/>
        <v>0</v>
      </c>
      <c r="AR49" s="283">
        <f t="shared" si="58"/>
        <v>-141797</v>
      </c>
      <c r="AS49" s="283">
        <f t="shared" si="58"/>
        <v>-34842</v>
      </c>
      <c r="AT49" s="289"/>
      <c r="AU49" s="283">
        <f t="shared" ref="AU49:AU55" si="59">IFERROR(AD49-M49,0)</f>
        <v>-176639</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475834</v>
      </c>
      <c r="E50" s="491">
        <f t="shared" si="55"/>
        <v>1240</v>
      </c>
      <c r="F50" s="483">
        <v>477074</v>
      </c>
      <c r="G50" s="482"/>
      <c r="H50" s="484">
        <v>126943</v>
      </c>
      <c r="I50" s="485">
        <v>131449</v>
      </c>
      <c r="J50" s="485">
        <v>118840</v>
      </c>
      <c r="K50" s="485">
        <v>469350</v>
      </c>
      <c r="L50" s="156"/>
      <c r="M50" s="147">
        <f t="shared" si="56"/>
        <v>846582</v>
      </c>
      <c r="N50" s="172">
        <f t="shared" si="39"/>
        <v>1.7745297375249962</v>
      </c>
      <c r="O50" s="163"/>
      <c r="P50" s="181"/>
      <c r="Q50"/>
      <c r="R50"/>
      <c r="S50" s="159"/>
      <c r="T50" s="157" t="str">
        <f t="shared" si="40"/>
        <v>Departmental agencies and accounts</v>
      </c>
      <c r="U50" s="146">
        <v>475834</v>
      </c>
      <c r="V50" s="150">
        <v>0</v>
      </c>
      <c r="W50" s="148">
        <v>475834</v>
      </c>
      <c r="X50" s="146"/>
      <c r="Y50" s="149">
        <v>126943</v>
      </c>
      <c r="Z50" s="224">
        <v>130521</v>
      </c>
      <c r="AA50" s="224"/>
      <c r="AB50" s="224"/>
      <c r="AC50" s="156"/>
      <c r="AD50" s="147">
        <v>257464</v>
      </c>
      <c r="AE50" s="172">
        <v>0.54107945207782548</v>
      </c>
      <c r="AF50" s="163"/>
      <c r="AG50" s="181"/>
      <c r="AH50"/>
      <c r="AI50"/>
      <c r="AJ50" s="293"/>
      <c r="AK50" s="291" t="s">
        <v>58</v>
      </c>
      <c r="AL50" s="279">
        <f t="shared" si="57"/>
        <v>0</v>
      </c>
      <c r="AM50" s="280">
        <f t="shared" si="57"/>
        <v>-1240</v>
      </c>
      <c r="AN50" s="281">
        <f t="shared" si="57"/>
        <v>-1240</v>
      </c>
      <c r="AO50" s="279"/>
      <c r="AP50" s="282">
        <f t="shared" si="58"/>
        <v>0</v>
      </c>
      <c r="AQ50" s="283">
        <f t="shared" si="58"/>
        <v>-928</v>
      </c>
      <c r="AR50" s="283">
        <f t="shared" si="58"/>
        <v>-118840</v>
      </c>
      <c r="AS50" s="283">
        <f t="shared" si="58"/>
        <v>-469350</v>
      </c>
      <c r="AT50" s="289"/>
      <c r="AU50" s="283">
        <f t="shared" si="59"/>
        <v>-589118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0</v>
      </c>
      <c r="E51" s="491">
        <f t="shared" si="55"/>
        <v>0</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0</v>
      </c>
      <c r="V51" s="150">
        <v>0</v>
      </c>
      <c r="W51" s="148">
        <v>0</v>
      </c>
      <c r="X51" s="146"/>
      <c r="Y51" s="149">
        <v>0</v>
      </c>
      <c r="Z51" s="224">
        <v>0</v>
      </c>
      <c r="AA51" s="224"/>
      <c r="AB51" s="224"/>
      <c r="AC51" s="156"/>
      <c r="AD51" s="147">
        <v>0</v>
      </c>
      <c r="AE51" s="172">
        <v>0</v>
      </c>
      <c r="AF51" s="163"/>
      <c r="AG51" s="181"/>
      <c r="AH51"/>
      <c r="AI51"/>
      <c r="AJ51" s="293"/>
      <c r="AK51" s="291" t="s">
        <v>59</v>
      </c>
      <c r="AL51" s="279">
        <f t="shared" si="57"/>
        <v>0</v>
      </c>
      <c r="AM51" s="280">
        <f t="shared" si="57"/>
        <v>0</v>
      </c>
      <c r="AN51" s="281">
        <f t="shared" si="57"/>
        <v>0</v>
      </c>
      <c r="AO51" s="279"/>
      <c r="AP51" s="282">
        <f t="shared" si="58"/>
        <v>0</v>
      </c>
      <c r="AQ51" s="283">
        <f t="shared" si="58"/>
        <v>0</v>
      </c>
      <c r="AR51" s="283">
        <f t="shared" si="58"/>
        <v>0</v>
      </c>
      <c r="AS51" s="283">
        <f t="shared" si="58"/>
        <v>0</v>
      </c>
      <c r="AT51" s="289"/>
      <c r="AU51" s="283">
        <f t="shared" si="59"/>
        <v>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822116</v>
      </c>
      <c r="E53" s="491">
        <f t="shared" si="55"/>
        <v>30972</v>
      </c>
      <c r="F53" s="483">
        <v>853088</v>
      </c>
      <c r="G53" s="482"/>
      <c r="H53" s="484">
        <v>257188</v>
      </c>
      <c r="I53" s="485">
        <v>198947</v>
      </c>
      <c r="J53" s="485">
        <v>190076</v>
      </c>
      <c r="K53" s="485">
        <v>166332</v>
      </c>
      <c r="L53" s="156"/>
      <c r="M53" s="147">
        <f t="shared" si="56"/>
        <v>812543</v>
      </c>
      <c r="N53" s="172">
        <f t="shared" si="39"/>
        <v>0.95247266401590458</v>
      </c>
      <c r="O53" s="163"/>
      <c r="P53" s="181"/>
      <c r="Q53"/>
      <c r="R53"/>
      <c r="S53" s="159"/>
      <c r="T53" s="157" t="str">
        <f t="shared" si="40"/>
        <v>Public corporations and private enterprises</v>
      </c>
      <c r="U53" s="146">
        <v>822116</v>
      </c>
      <c r="V53" s="150">
        <v>0</v>
      </c>
      <c r="W53" s="148">
        <v>822116</v>
      </c>
      <c r="X53" s="146"/>
      <c r="Y53" s="149">
        <v>257188</v>
      </c>
      <c r="Z53" s="224">
        <v>200947</v>
      </c>
      <c r="AA53" s="224"/>
      <c r="AB53" s="224"/>
      <c r="AC53" s="156"/>
      <c r="AD53" s="147">
        <v>458135</v>
      </c>
      <c r="AE53" s="172">
        <v>0.55726320859830003</v>
      </c>
      <c r="AF53" s="163"/>
      <c r="AG53" s="181"/>
      <c r="AH53" s="61"/>
      <c r="AI53"/>
      <c r="AJ53" s="293"/>
      <c r="AK53" s="291" t="s">
        <v>61</v>
      </c>
      <c r="AL53" s="279">
        <f t="shared" si="57"/>
        <v>0</v>
      </c>
      <c r="AM53" s="280">
        <f t="shared" si="57"/>
        <v>-30972</v>
      </c>
      <c r="AN53" s="281">
        <f t="shared" si="57"/>
        <v>-30972</v>
      </c>
      <c r="AO53" s="279"/>
      <c r="AP53" s="282">
        <f t="shared" si="58"/>
        <v>0</v>
      </c>
      <c r="AQ53" s="283">
        <f t="shared" si="58"/>
        <v>2000</v>
      </c>
      <c r="AR53" s="283">
        <f t="shared" si="58"/>
        <v>-190076</v>
      </c>
      <c r="AS53" s="283">
        <f t="shared" si="58"/>
        <v>-166332</v>
      </c>
      <c r="AT53" s="289"/>
      <c r="AU53" s="283">
        <f t="shared" si="59"/>
        <v>-354408</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1808111</v>
      </c>
      <c r="E54" s="491">
        <f t="shared" si="55"/>
        <v>-58410</v>
      </c>
      <c r="F54" s="483">
        <v>1749701</v>
      </c>
      <c r="G54" s="482"/>
      <c r="H54" s="484">
        <v>546609</v>
      </c>
      <c r="I54" s="485">
        <v>290161</v>
      </c>
      <c r="J54" s="485">
        <v>637716</v>
      </c>
      <c r="K54" s="485">
        <v>276401</v>
      </c>
      <c r="L54" s="156"/>
      <c r="M54" s="147">
        <f t="shared" si="56"/>
        <v>1750887</v>
      </c>
      <c r="N54" s="172">
        <f t="shared" si="39"/>
        <v>1.0006778300978281</v>
      </c>
      <c r="O54" s="163"/>
      <c r="P54" s="181"/>
      <c r="Q54"/>
      <c r="R54"/>
      <c r="S54" s="159"/>
      <c r="T54" s="157" t="str">
        <f t="shared" si="40"/>
        <v>Non profit institutions</v>
      </c>
      <c r="U54" s="146">
        <v>1806027.02</v>
      </c>
      <c r="V54" s="150">
        <v>0</v>
      </c>
      <c r="W54" s="148">
        <v>1806027.02</v>
      </c>
      <c r="X54" s="146"/>
      <c r="Y54" s="149">
        <v>546609</v>
      </c>
      <c r="Z54" s="224">
        <v>290161</v>
      </c>
      <c r="AA54" s="224"/>
      <c r="AB54" s="224"/>
      <c r="AC54" s="156"/>
      <c r="AD54" s="147">
        <v>836770</v>
      </c>
      <c r="AE54" s="172">
        <v>0.46332086437998032</v>
      </c>
      <c r="AF54" s="163"/>
      <c r="AG54" s="181"/>
      <c r="AH54" s="61"/>
      <c r="AI54"/>
      <c r="AJ54" s="293"/>
      <c r="AK54" s="291" t="s">
        <v>62</v>
      </c>
      <c r="AL54" s="279">
        <f t="shared" si="57"/>
        <v>-2083.9799999999814</v>
      </c>
      <c r="AM54" s="280">
        <f t="shared" si="57"/>
        <v>58410</v>
      </c>
      <c r="AN54" s="281">
        <f t="shared" si="57"/>
        <v>56326.020000000019</v>
      </c>
      <c r="AO54" s="279"/>
      <c r="AP54" s="282">
        <f t="shared" si="58"/>
        <v>0</v>
      </c>
      <c r="AQ54" s="283">
        <f t="shared" si="58"/>
        <v>0</v>
      </c>
      <c r="AR54" s="283">
        <f t="shared" si="58"/>
        <v>-637716</v>
      </c>
      <c r="AS54" s="283">
        <f t="shared" si="58"/>
        <v>-276401</v>
      </c>
      <c r="AT54" s="289"/>
      <c r="AU54" s="283">
        <f t="shared" si="59"/>
        <v>-914117</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2316570</v>
      </c>
      <c r="E55" s="491">
        <f t="shared" si="55"/>
        <v>-11132</v>
      </c>
      <c r="F55" s="483">
        <v>2305438</v>
      </c>
      <c r="G55" s="482"/>
      <c r="H55" s="484">
        <v>380988</v>
      </c>
      <c r="I55" s="485">
        <v>509453</v>
      </c>
      <c r="J55" s="485">
        <v>465886</v>
      </c>
      <c r="K55" s="485">
        <v>485898</v>
      </c>
      <c r="L55" s="156"/>
      <c r="M55" s="147">
        <f t="shared" si="56"/>
        <v>1842225</v>
      </c>
      <c r="N55" s="172">
        <f t="shared" si="39"/>
        <v>0.79907809275287389</v>
      </c>
      <c r="O55" s="163"/>
      <c r="P55" s="181"/>
      <c r="Q55"/>
      <c r="R55"/>
      <c r="S55" s="159"/>
      <c r="T55" s="157" t="str">
        <f t="shared" si="40"/>
        <v>Households</v>
      </c>
      <c r="U55" s="146">
        <v>2324845</v>
      </c>
      <c r="V55" s="150">
        <v>0</v>
      </c>
      <c r="W55" s="148">
        <v>2324845</v>
      </c>
      <c r="X55" s="146"/>
      <c r="Y55" s="149">
        <v>380988</v>
      </c>
      <c r="Z55" s="224">
        <v>510855</v>
      </c>
      <c r="AA55" s="224"/>
      <c r="AB55" s="224"/>
      <c r="AC55" s="156"/>
      <c r="AD55" s="147">
        <v>891843</v>
      </c>
      <c r="AE55" s="172">
        <v>0.3836139613608649</v>
      </c>
      <c r="AF55" s="163"/>
      <c r="AG55" s="181"/>
      <c r="AH55"/>
      <c r="AI55"/>
      <c r="AJ55" s="293"/>
      <c r="AK55" s="291" t="s">
        <v>63</v>
      </c>
      <c r="AL55" s="279">
        <f t="shared" si="57"/>
        <v>8275</v>
      </c>
      <c r="AM55" s="280">
        <f t="shared" si="57"/>
        <v>11132</v>
      </c>
      <c r="AN55" s="281">
        <f t="shared" si="57"/>
        <v>19407</v>
      </c>
      <c r="AO55" s="279"/>
      <c r="AP55" s="282">
        <f t="shared" si="58"/>
        <v>0</v>
      </c>
      <c r="AQ55" s="283">
        <f t="shared" si="58"/>
        <v>1402</v>
      </c>
      <c r="AR55" s="283">
        <f t="shared" si="58"/>
        <v>-465886</v>
      </c>
      <c r="AS55" s="283">
        <f t="shared" si="58"/>
        <v>-485898</v>
      </c>
      <c r="AT55" s="289"/>
      <c r="AU55" s="283">
        <f t="shared" si="59"/>
        <v>-950382</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2409347</v>
      </c>
      <c r="E56" s="156">
        <f t="shared" ref="E56:M56" si="60">SUM(E57:E63)</f>
        <v>-271024</v>
      </c>
      <c r="F56" s="153">
        <f t="shared" si="60"/>
        <v>2138323</v>
      </c>
      <c r="G56" s="152">
        <f t="shared" si="60"/>
        <v>0</v>
      </c>
      <c r="H56" s="154">
        <f t="shared" si="60"/>
        <v>211707</v>
      </c>
      <c r="I56" s="155">
        <f t="shared" ref="I56" si="61">SUM(I57:I63)</f>
        <v>338385.6</v>
      </c>
      <c r="J56" s="155">
        <f t="shared" ref="J56:K56" si="62">SUM(J57:J63)</f>
        <v>576084.6</v>
      </c>
      <c r="K56" s="155">
        <f t="shared" si="62"/>
        <v>790610</v>
      </c>
      <c r="L56" s="156"/>
      <c r="M56" s="155">
        <f t="shared" si="60"/>
        <v>1916787.2</v>
      </c>
      <c r="N56" s="183">
        <f t="shared" si="39"/>
        <v>0.89639741049411148</v>
      </c>
      <c r="O56" s="595"/>
      <c r="P56" s="478"/>
      <c r="Q56"/>
      <c r="R56"/>
      <c r="S56" s="159"/>
      <c r="T56" s="182" t="str">
        <f t="shared" si="40"/>
        <v>Payments for capital assets</v>
      </c>
      <c r="U56" s="152">
        <v>2503506</v>
      </c>
      <c r="V56" s="156">
        <v>0</v>
      </c>
      <c r="W56" s="153">
        <v>2503506</v>
      </c>
      <c r="X56" s="152">
        <v>0</v>
      </c>
      <c r="Y56" s="154">
        <v>211344</v>
      </c>
      <c r="Z56" s="155">
        <v>338625</v>
      </c>
      <c r="AA56" s="155">
        <v>0</v>
      </c>
      <c r="AB56" s="155">
        <v>0</v>
      </c>
      <c r="AC56" s="156"/>
      <c r="AD56" s="155">
        <v>549969</v>
      </c>
      <c r="AE56" s="183">
        <v>0.21967952143913375</v>
      </c>
      <c r="AF56" s="163"/>
      <c r="AG56" s="181"/>
      <c r="AH56"/>
      <c r="AI56"/>
      <c r="AJ56" s="293"/>
      <c r="AK56" s="314" t="s">
        <v>2</v>
      </c>
      <c r="AL56" s="285">
        <f>SUM(AL57:AL63)</f>
        <v>94159</v>
      </c>
      <c r="AM56" s="289">
        <f t="shared" ref="AM56:AO56" si="63">SUM(AM57:AM63)</f>
        <v>271024</v>
      </c>
      <c r="AN56" s="286">
        <f>SUM(AN57:AN63)</f>
        <v>365183</v>
      </c>
      <c r="AO56" s="285">
        <f t="shared" si="63"/>
        <v>0</v>
      </c>
      <c r="AP56" s="287">
        <f>SUM(AP57:AP63)</f>
        <v>-363</v>
      </c>
      <c r="AQ56" s="288">
        <f t="shared" ref="AQ56:AS56" si="64">SUM(AQ57:AQ63)</f>
        <v>239.40000000000146</v>
      </c>
      <c r="AR56" s="288">
        <f t="shared" si="64"/>
        <v>-576084.6</v>
      </c>
      <c r="AS56" s="288">
        <f t="shared" si="64"/>
        <v>-790610</v>
      </c>
      <c r="AT56" s="289"/>
      <c r="AU56" s="288">
        <f t="shared" ref="AU56" si="65">SUM(AU57:AU63)</f>
        <v>-1366818.2</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1952257</v>
      </c>
      <c r="E57" s="491">
        <f t="shared" ref="E57:E64" si="66">F57-D57</f>
        <v>-278080</v>
      </c>
      <c r="F57" s="483">
        <v>1674177</v>
      </c>
      <c r="G57" s="482"/>
      <c r="H57" s="484">
        <v>194384</v>
      </c>
      <c r="I57" s="485">
        <v>279858</v>
      </c>
      <c r="J57" s="485">
        <v>444360</v>
      </c>
      <c r="K57" s="485">
        <v>677042</v>
      </c>
      <c r="L57" s="156"/>
      <c r="M57" s="147">
        <f t="shared" ref="M57:M64" si="67">SUM(H57:K57)</f>
        <v>1595644</v>
      </c>
      <c r="N57" s="172">
        <f t="shared" si="39"/>
        <v>0.95309157872793615</v>
      </c>
      <c r="O57" s="163"/>
      <c r="P57" s="181"/>
      <c r="Q57"/>
      <c r="R57"/>
      <c r="S57" s="159"/>
      <c r="T57" s="157" t="str">
        <f t="shared" si="40"/>
        <v>Buildings and other fixed structures</v>
      </c>
      <c r="U57" s="146">
        <v>1999616</v>
      </c>
      <c r="V57" s="150">
        <v>0</v>
      </c>
      <c r="W57" s="148">
        <v>1999616</v>
      </c>
      <c r="X57" s="146"/>
      <c r="Y57" s="149">
        <v>194021</v>
      </c>
      <c r="Z57" s="224">
        <v>280221</v>
      </c>
      <c r="AA57" s="224"/>
      <c r="AB57" s="224"/>
      <c r="AC57" s="156"/>
      <c r="AD57" s="147">
        <v>474242</v>
      </c>
      <c r="AE57" s="172">
        <v>0.23716653597490719</v>
      </c>
      <c r="AF57" s="163"/>
      <c r="AG57" s="181"/>
      <c r="AH57"/>
      <c r="AI57"/>
      <c r="AJ57" s="293"/>
      <c r="AK57" s="291" t="s">
        <v>64</v>
      </c>
      <c r="AL57" s="279">
        <f t="shared" ref="AL57:AN64" si="68">IFERROR(U57-D57,0)</f>
        <v>47359</v>
      </c>
      <c r="AM57" s="280">
        <f t="shared" si="68"/>
        <v>278080</v>
      </c>
      <c r="AN57" s="281">
        <f t="shared" si="68"/>
        <v>325439</v>
      </c>
      <c r="AO57" s="279"/>
      <c r="AP57" s="282">
        <f t="shared" ref="AP57:AS64" si="69">IFERROR(Y57-H57,0)</f>
        <v>-363</v>
      </c>
      <c r="AQ57" s="283">
        <f t="shared" si="69"/>
        <v>363</v>
      </c>
      <c r="AR57" s="283">
        <f t="shared" si="69"/>
        <v>-444360</v>
      </c>
      <c r="AS57" s="283">
        <f t="shared" si="69"/>
        <v>-677042</v>
      </c>
      <c r="AT57" s="289"/>
      <c r="AU57" s="283">
        <f t="shared" ref="AU57:AU64" si="70">IFERROR(AD57-M57,0)</f>
        <v>-1121402</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450482</v>
      </c>
      <c r="E58" s="491">
        <f t="shared" si="66"/>
        <v>8056</v>
      </c>
      <c r="F58" s="483">
        <v>458538</v>
      </c>
      <c r="G58" s="482"/>
      <c r="H58" s="484">
        <v>17323</v>
      </c>
      <c r="I58" s="485">
        <v>58527.6</v>
      </c>
      <c r="J58" s="485">
        <v>131494.59999999998</v>
      </c>
      <c r="K58" s="485">
        <v>113568</v>
      </c>
      <c r="L58" s="156"/>
      <c r="M58" s="147">
        <f t="shared" si="67"/>
        <v>320913.19999999995</v>
      </c>
      <c r="N58" s="172">
        <f t="shared" si="39"/>
        <v>0.69986173446911693</v>
      </c>
      <c r="O58" s="163"/>
      <c r="P58" s="181"/>
      <c r="Q58"/>
      <c r="R58"/>
      <c r="S58" s="159"/>
      <c r="T58" s="157" t="str">
        <f t="shared" si="40"/>
        <v>Machinery and equipment</v>
      </c>
      <c r="U58" s="146">
        <v>497282</v>
      </c>
      <c r="V58" s="150">
        <v>0</v>
      </c>
      <c r="W58" s="148">
        <v>497282</v>
      </c>
      <c r="X58" s="146"/>
      <c r="Y58" s="149">
        <v>17323</v>
      </c>
      <c r="Z58" s="224">
        <v>58404</v>
      </c>
      <c r="AA58" s="224"/>
      <c r="AB58" s="224"/>
      <c r="AC58" s="156"/>
      <c r="AD58" s="147">
        <v>75727</v>
      </c>
      <c r="AE58" s="172">
        <v>0.15228180388592388</v>
      </c>
      <c r="AF58" s="163"/>
      <c r="AG58" s="181"/>
      <c r="AH58"/>
      <c r="AI58"/>
      <c r="AJ58" s="293"/>
      <c r="AK58" s="291" t="s">
        <v>65</v>
      </c>
      <c r="AL58" s="279">
        <f t="shared" si="68"/>
        <v>46800</v>
      </c>
      <c r="AM58" s="280">
        <f t="shared" si="68"/>
        <v>-8056</v>
      </c>
      <c r="AN58" s="281">
        <f t="shared" si="68"/>
        <v>38744</v>
      </c>
      <c r="AO58" s="279"/>
      <c r="AP58" s="282">
        <f t="shared" si="69"/>
        <v>0</v>
      </c>
      <c r="AQ58" s="283">
        <f t="shared" si="69"/>
        <v>-123.59999999999854</v>
      </c>
      <c r="AR58" s="283">
        <f t="shared" si="69"/>
        <v>-131494.59999999998</v>
      </c>
      <c r="AS58" s="283">
        <f t="shared" si="69"/>
        <v>-113568</v>
      </c>
      <c r="AT58" s="289"/>
      <c r="AU58" s="283">
        <f t="shared" si="70"/>
        <v>-245186.19999999995</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4300</v>
      </c>
      <c r="E59" s="491">
        <f t="shared" si="66"/>
        <v>-1000</v>
      </c>
      <c r="F59" s="483">
        <v>3300</v>
      </c>
      <c r="G59" s="482"/>
      <c r="H59" s="484">
        <v>0</v>
      </c>
      <c r="I59" s="485">
        <v>0</v>
      </c>
      <c r="J59" s="485">
        <v>0</v>
      </c>
      <c r="K59" s="485">
        <v>0</v>
      </c>
      <c r="L59" s="156"/>
      <c r="M59" s="147">
        <f t="shared" si="67"/>
        <v>0</v>
      </c>
      <c r="N59" s="172">
        <f t="shared" si="39"/>
        <v>0</v>
      </c>
      <c r="O59" s="163"/>
      <c r="P59" s="181"/>
      <c r="Q59"/>
      <c r="R59"/>
      <c r="S59" s="159"/>
      <c r="T59" s="157" t="str">
        <f t="shared" si="40"/>
        <v>Heritage assets</v>
      </c>
      <c r="U59" s="146">
        <v>4300</v>
      </c>
      <c r="V59" s="150">
        <v>0</v>
      </c>
      <c r="W59" s="148">
        <v>4300</v>
      </c>
      <c r="X59" s="146"/>
      <c r="Y59" s="149">
        <v>0</v>
      </c>
      <c r="Z59" s="224">
        <v>0</v>
      </c>
      <c r="AA59" s="224"/>
      <c r="AB59" s="224"/>
      <c r="AC59" s="156"/>
      <c r="AD59" s="147">
        <v>0</v>
      </c>
      <c r="AE59" s="172">
        <v>0</v>
      </c>
      <c r="AF59" s="163"/>
      <c r="AG59" s="181"/>
      <c r="AH59"/>
      <c r="AI59"/>
      <c r="AJ59" s="293"/>
      <c r="AK59" s="291" t="s">
        <v>66</v>
      </c>
      <c r="AL59" s="279">
        <f t="shared" si="68"/>
        <v>0</v>
      </c>
      <c r="AM59" s="280">
        <f t="shared" si="68"/>
        <v>1000</v>
      </c>
      <c r="AN59" s="281">
        <f t="shared" si="68"/>
        <v>1000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1006</v>
      </c>
      <c r="E61" s="491">
        <f t="shared" si="66"/>
        <v>0</v>
      </c>
      <c r="F61" s="483">
        <v>1006</v>
      </c>
      <c r="G61" s="482"/>
      <c r="H61" s="484">
        <v>0</v>
      </c>
      <c r="I61" s="485">
        <v>0</v>
      </c>
      <c r="J61" s="485">
        <v>230</v>
      </c>
      <c r="K61" s="485">
        <v>0</v>
      </c>
      <c r="L61" s="156"/>
      <c r="M61" s="147">
        <f t="shared" si="67"/>
        <v>230</v>
      </c>
      <c r="N61" s="172">
        <f t="shared" si="39"/>
        <v>0.22862823061630219</v>
      </c>
      <c r="O61" s="163"/>
      <c r="P61" s="181"/>
      <c r="Q61"/>
      <c r="R61"/>
      <c r="S61" s="159"/>
      <c r="T61" s="157" t="str">
        <f t="shared" si="40"/>
        <v>Biological assets</v>
      </c>
      <c r="U61" s="146">
        <v>1006</v>
      </c>
      <c r="V61" s="150">
        <v>0</v>
      </c>
      <c r="W61" s="148">
        <v>1006</v>
      </c>
      <c r="X61" s="146"/>
      <c r="Y61" s="149">
        <v>0</v>
      </c>
      <c r="Z61" s="224">
        <v>0</v>
      </c>
      <c r="AA61" s="224"/>
      <c r="AB61" s="224"/>
      <c r="AC61" s="156"/>
      <c r="AD61" s="147">
        <v>0</v>
      </c>
      <c r="AE61" s="172">
        <v>0</v>
      </c>
      <c r="AF61" s="163"/>
      <c r="AG61" s="181"/>
      <c r="AH61"/>
      <c r="AI61"/>
      <c r="AJ61" s="293"/>
      <c r="AK61" s="291" t="s">
        <v>68</v>
      </c>
      <c r="AL61" s="279">
        <f t="shared" si="68"/>
        <v>0</v>
      </c>
      <c r="AM61" s="280">
        <f t="shared" si="68"/>
        <v>0</v>
      </c>
      <c r="AN61" s="281">
        <f t="shared" si="68"/>
        <v>0</v>
      </c>
      <c r="AO61" s="279"/>
      <c r="AP61" s="282">
        <f t="shared" si="69"/>
        <v>0</v>
      </c>
      <c r="AQ61" s="283">
        <f t="shared" si="69"/>
        <v>0</v>
      </c>
      <c r="AR61" s="283">
        <f t="shared" si="69"/>
        <v>-230</v>
      </c>
      <c r="AS61" s="283">
        <f t="shared" si="69"/>
        <v>0</v>
      </c>
      <c r="AT61" s="289"/>
      <c r="AU61" s="283">
        <f t="shared" si="70"/>
        <v>-230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1302</v>
      </c>
      <c r="E63" s="491">
        <f t="shared" si="66"/>
        <v>0</v>
      </c>
      <c r="F63" s="483">
        <v>1302</v>
      </c>
      <c r="G63" s="482"/>
      <c r="H63" s="484">
        <v>0</v>
      </c>
      <c r="I63" s="485">
        <v>0</v>
      </c>
      <c r="J63" s="485">
        <v>0</v>
      </c>
      <c r="K63" s="485">
        <v>0</v>
      </c>
      <c r="L63" s="156"/>
      <c r="M63" s="147">
        <f t="shared" si="67"/>
        <v>0</v>
      </c>
      <c r="N63" s="172">
        <f t="shared" si="39"/>
        <v>0</v>
      </c>
      <c r="O63" s="163"/>
      <c r="P63" s="181"/>
      <c r="Q63"/>
      <c r="R63"/>
      <c r="S63" s="159"/>
      <c r="T63" s="157" t="str">
        <f t="shared" si="40"/>
        <v>Software and other intangible assets</v>
      </c>
      <c r="U63" s="146">
        <v>1302</v>
      </c>
      <c r="V63" s="150">
        <v>0</v>
      </c>
      <c r="W63" s="148">
        <v>1302</v>
      </c>
      <c r="X63" s="146"/>
      <c r="Y63" s="149">
        <v>0</v>
      </c>
      <c r="Z63" s="224">
        <v>0</v>
      </c>
      <c r="AA63" s="224"/>
      <c r="AB63" s="224"/>
      <c r="AC63" s="156"/>
      <c r="AD63" s="147">
        <v>0</v>
      </c>
      <c r="AE63" s="172">
        <v>0</v>
      </c>
      <c r="AF63" s="163"/>
      <c r="AG63" s="181"/>
      <c r="AH63"/>
      <c r="AI63"/>
      <c r="AJ63" s="293"/>
      <c r="AK63" s="291" t="s">
        <v>70</v>
      </c>
      <c r="AL63" s="279">
        <f t="shared" si="68"/>
        <v>0</v>
      </c>
      <c r="AM63" s="280">
        <f t="shared" si="68"/>
        <v>0</v>
      </c>
      <c r="AN63" s="281">
        <f t="shared" si="68"/>
        <v>0</v>
      </c>
      <c r="AO63" s="279"/>
      <c r="AP63" s="282">
        <f t="shared" si="69"/>
        <v>0</v>
      </c>
      <c r="AQ63" s="283">
        <f t="shared" si="69"/>
        <v>0</v>
      </c>
      <c r="AR63" s="283">
        <f t="shared" si="69"/>
        <v>0</v>
      </c>
      <c r="AS63" s="283">
        <f t="shared" si="69"/>
        <v>0</v>
      </c>
      <c r="AT63" s="289"/>
      <c r="AU63" s="283">
        <f t="shared" si="70"/>
        <v>0</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0</v>
      </c>
      <c r="I64" s="490">
        <v>0</v>
      </c>
      <c r="J64" s="490">
        <v>0</v>
      </c>
      <c r="K64" s="490">
        <v>12</v>
      </c>
      <c r="L64" s="156"/>
      <c r="M64" s="155">
        <f t="shared" si="67"/>
        <v>12</v>
      </c>
      <c r="N64" s="183">
        <f t="shared" si="39"/>
        <v>0</v>
      </c>
      <c r="O64" s="595"/>
      <c r="P64" s="478"/>
      <c r="Q64"/>
      <c r="R64"/>
      <c r="S64" s="159"/>
      <c r="T64" s="182" t="str">
        <f t="shared" si="40"/>
        <v>Payments for financial assets</v>
      </c>
      <c r="U64" s="152">
        <v>0</v>
      </c>
      <c r="V64" s="156">
        <v>0</v>
      </c>
      <c r="W64" s="153">
        <v>0</v>
      </c>
      <c r="X64" s="152"/>
      <c r="Y64" s="154">
        <v>0</v>
      </c>
      <c r="Z64" s="224">
        <v>0</v>
      </c>
      <c r="AA64" s="224"/>
      <c r="AB64" s="224"/>
      <c r="AC64" s="156"/>
      <c r="AD64" s="155">
        <v>0</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0</v>
      </c>
      <c r="AS64" s="288">
        <f t="shared" si="69"/>
        <v>-12</v>
      </c>
      <c r="AT64" s="289"/>
      <c r="AU64" s="288">
        <f t="shared" si="70"/>
        <v>-12</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44028547.089000002</v>
      </c>
      <c r="E66" s="179">
        <f t="shared" ref="E66:F66" si="71">E44+E48+E56+E64</f>
        <v>442089.00000000186</v>
      </c>
      <c r="F66" s="166">
        <f t="shared" si="71"/>
        <v>44470636.089000002</v>
      </c>
      <c r="G66" s="165"/>
      <c r="H66" s="167">
        <f t="shared" ref="H66:I66" si="72">H44+H48+H56+H64</f>
        <v>9780952</v>
      </c>
      <c r="I66" s="437">
        <f t="shared" si="72"/>
        <v>10653882.4</v>
      </c>
      <c r="J66" s="437">
        <f t="shared" ref="J66:K66" si="73">J44+J48+J56+J64</f>
        <v>11000165.799999999</v>
      </c>
      <c r="K66" s="437">
        <f t="shared" si="73"/>
        <v>11601709</v>
      </c>
      <c r="L66" s="156"/>
      <c r="M66" s="168">
        <f>M44+M48+M56+M64</f>
        <v>43036709.200000003</v>
      </c>
      <c r="N66" s="180">
        <f>IFERROR(M66/F66,0)</f>
        <v>0.96775564698174654</v>
      </c>
      <c r="O66" s="595"/>
      <c r="P66" s="594"/>
      <c r="Q66"/>
      <c r="R66"/>
      <c r="S66" s="119"/>
      <c r="T66" s="164" t="s">
        <v>12</v>
      </c>
      <c r="U66" s="165">
        <v>44028547.189999998</v>
      </c>
      <c r="V66" s="179">
        <v>0</v>
      </c>
      <c r="W66" s="166">
        <v>44028547.189999998</v>
      </c>
      <c r="X66" s="165"/>
      <c r="Y66" s="167">
        <v>9780722</v>
      </c>
      <c r="Z66" s="437">
        <v>10657495.800000001</v>
      </c>
      <c r="AA66" s="437" t="s">
        <v>52</v>
      </c>
      <c r="AB66" s="437" t="s">
        <v>52</v>
      </c>
      <c r="AC66" s="156"/>
      <c r="AD66" s="168">
        <v>20438217.800000001</v>
      </c>
      <c r="AE66" s="180">
        <v>0.46420377469647783</v>
      </c>
      <c r="AF66" s="163"/>
      <c r="AG66" s="118"/>
      <c r="AH66"/>
      <c r="AI66"/>
      <c r="AJ66" s="248"/>
      <c r="AK66" s="298" t="s">
        <v>12</v>
      </c>
      <c r="AL66" s="299">
        <f>AL44+AL48+AL56+AL64</f>
        <v>0.10099999839439988</v>
      </c>
      <c r="AM66" s="313">
        <f t="shared" ref="AM66" si="74">AM44+AM48+AM56+AM64</f>
        <v>-442089.00000000186</v>
      </c>
      <c r="AN66" s="300">
        <f>AN44+AN48+AN56+AN64</f>
        <v>-442088.89900000347</v>
      </c>
      <c r="AO66" s="299"/>
      <c r="AP66" s="301">
        <f>AP44+AP48+AP56+AP64</f>
        <v>-230</v>
      </c>
      <c r="AQ66" s="302">
        <f t="shared" ref="AQ66:AS66" si="75">AQ44+AQ48+AQ56+AQ64</f>
        <v>3613.4000000000015</v>
      </c>
      <c r="AR66" s="302">
        <f t="shared" si="75"/>
        <v>-11000165.799999999</v>
      </c>
      <c r="AS66" s="302">
        <f t="shared" si="75"/>
        <v>-11601709</v>
      </c>
      <c r="AT66" s="289"/>
      <c r="AU66" s="302">
        <f>AU44+AU48+AU56+AU64</f>
        <v>-22598491.399999999</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Settings!$X$15 &amp; "    " &amp; Settings!$Z$15 &amp; ": Provincial Treasury North West     Tel No:  " &amp; Settings!$AB$15</f>
        <v>Information submitted by:  Ndlela Kunene    Head Official: Provincial Treasury North West     Tel No:  (018) 388-4441</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AeiyxmYeZ59AM0aOiZ63mYjmRSW9tWVGvYguCi8gtMZQAUkKRfnj9/ujiSQo41YVwlj05O//0J8NXMJLqmv1VA==" saltValue="fKKjhNnPunVTxtTcVrKrqA==" spinCount="100000" sheet="1" objects="1" scenarios="1"/>
  <autoFilter ref="A9:A226" xr:uid="{AD4B5308-7737-4B7A-BCCD-6CB975BC1FF2}">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B6EC1131-37A2-49F7-A507-96A45C300833}">
            <xm:f>General!$BE$1&gt;=2</xm:f>
            <x14:dxf>
              <fill>
                <patternFill patternType="none">
                  <bgColor auto="1"/>
                </patternFill>
              </fill>
            </x14:dxf>
          </x14:cfRule>
          <xm:sqref>I66</xm:sqref>
        </x14:conditionalFormatting>
        <x14:conditionalFormatting xmlns:xm="http://schemas.microsoft.com/office/excel/2006/main">
          <x14:cfRule type="expression" priority="17" id="{65582665-5750-4607-9E47-728AB1EFB280}">
            <xm:f>General!$BE$1&gt;=3</xm:f>
            <x14:dxf>
              <fill>
                <patternFill patternType="none">
                  <bgColor auto="1"/>
                </patternFill>
              </fill>
            </x14:dxf>
          </x14:cfRule>
          <xm:sqref>J66</xm:sqref>
        </x14:conditionalFormatting>
        <x14:conditionalFormatting xmlns:xm="http://schemas.microsoft.com/office/excel/2006/main">
          <x14:cfRule type="expression" priority="16" id="{1B7B153B-ACBB-4C01-9146-8D66B24B1A3D}">
            <xm:f>General!$BE$1=4</xm:f>
            <x14:dxf>
              <fill>
                <patternFill patternType="none">
                  <bgColor auto="1"/>
                </patternFill>
              </fill>
            </x14:dxf>
          </x14:cfRule>
          <xm:sqref>K66</xm:sqref>
        </x14:conditionalFormatting>
        <x14:conditionalFormatting xmlns:xm="http://schemas.microsoft.com/office/excel/2006/main">
          <x14:cfRule type="expression" priority="15" id="{765565AE-ED29-455E-8714-3AD9224E1610}">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7813D145-50D1-42AD-A243-264763409A39}">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B1427B3B-E30A-402B-896E-5388753289FD}">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3E90805B-8E72-43D1-AF7E-61FB6E23DCFC}">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42E5145F-3A57-426A-91FC-F1B7EA039A42}">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BA2C54F8-2B1B-47CB-B27A-E6586EDAA78B}">
            <xm:f>General!$BE$1=4</xm:f>
            <x14:dxf>
              <fill>
                <patternFill patternType="none">
                  <bgColor auto="1"/>
                </patternFill>
              </fill>
            </x14:dxf>
          </x14:cfRule>
          <xm:sqref>K13:K15 K17 K20:K39 K41 K45:K47 K49:K55 K57:K64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0000"/>
  </sheetPr>
  <dimension ref="B3:AG80"/>
  <sheetViews>
    <sheetView showGridLines="0" workbookViewId="0"/>
  </sheetViews>
  <sheetFormatPr defaultRowHeight="12.5" x14ac:dyDescent="0.25"/>
  <cols>
    <col min="5" max="7" width="9.08984375" customWidth="1"/>
    <col min="8" max="8" width="10.6328125" customWidth="1"/>
    <col min="9" max="11" width="22.6328125" customWidth="1"/>
    <col min="16" max="16" width="9.08984375" hidden="1" customWidth="1"/>
    <col min="17" max="18" width="9.08984375" style="454" hidden="1" customWidth="1"/>
    <col min="19" max="19" width="15.54296875" style="454" hidden="1" customWidth="1"/>
    <col min="20" max="20" width="11.08984375" style="454" hidden="1" customWidth="1"/>
    <col min="21" max="21" width="9.08984375" style="454" hidden="1" customWidth="1"/>
    <col min="22" max="22" width="17" style="454" hidden="1" customWidth="1"/>
    <col min="23" max="23" width="12.6328125" style="454" hidden="1" customWidth="1"/>
    <col min="24" max="24" width="20.6328125" style="454" hidden="1" customWidth="1"/>
    <col min="25" max="25" width="10.6328125" style="454" hidden="1" customWidth="1"/>
    <col min="26" max="26" width="20.6328125" style="454" hidden="1" customWidth="1"/>
    <col min="27" max="27" width="15.6328125" style="454" hidden="1" customWidth="1"/>
    <col min="28" max="30" width="9.08984375" style="454" hidden="1" customWidth="1"/>
    <col min="31" max="32" width="9.08984375" style="454" customWidth="1"/>
    <col min="33" max="33" width="10.08984375" style="454" customWidth="1"/>
    <col min="34" max="35" width="9.08984375" customWidth="1"/>
    <col min="36" max="36" width="11" customWidth="1"/>
    <col min="37" max="37" width="12" customWidth="1"/>
    <col min="38" max="38" width="35.6328125" customWidth="1"/>
    <col min="39" max="39" width="9.08984375" customWidth="1"/>
    <col min="40" max="40" width="35.6328125" customWidth="1"/>
    <col min="41" max="41" width="9.08984375" customWidth="1"/>
    <col min="261" max="263" width="9.08984375" customWidth="1"/>
    <col min="264" max="264" width="10.6328125" customWidth="1"/>
    <col min="265" max="267" width="22.6328125" customWidth="1"/>
    <col min="272" max="275" width="9.08984375" customWidth="1"/>
    <col min="276" max="276" width="11.08984375" customWidth="1"/>
    <col min="277" max="277" width="9.08984375" customWidth="1"/>
    <col min="278" max="278" width="100.6328125" customWidth="1"/>
    <col min="279" max="279" width="12.6328125" customWidth="1"/>
    <col min="280" max="280" width="20.6328125" customWidth="1"/>
    <col min="281" max="281" width="10.6328125" customWidth="1"/>
    <col min="282" max="282" width="20.6328125" customWidth="1"/>
    <col min="283" max="283" width="15.6328125" customWidth="1"/>
    <col min="284" max="288" width="9.08984375" customWidth="1"/>
    <col min="289" max="289" width="10.08984375" customWidth="1"/>
    <col min="290" max="291" width="9.08984375" customWidth="1"/>
    <col min="292" max="292" width="11" customWidth="1"/>
    <col min="293" max="293" width="12" customWidth="1"/>
    <col min="294" max="294" width="35.6328125" customWidth="1"/>
    <col min="295" max="295" width="9.08984375" customWidth="1"/>
    <col min="296" max="296" width="35.6328125" customWidth="1"/>
    <col min="297" max="297" width="9.08984375" customWidth="1"/>
    <col min="517" max="519" width="9.08984375" customWidth="1"/>
    <col min="520" max="520" width="10.6328125" customWidth="1"/>
    <col min="521" max="523" width="22.6328125" customWidth="1"/>
    <col min="528" max="531" width="9.08984375" customWidth="1"/>
    <col min="532" max="532" width="11.08984375" customWidth="1"/>
    <col min="533" max="533" width="9.08984375" customWidth="1"/>
    <col min="534" max="534" width="100.6328125" customWidth="1"/>
    <col min="535" max="535" width="12.6328125" customWidth="1"/>
    <col min="536" max="536" width="20.6328125" customWidth="1"/>
    <col min="537" max="537" width="10.6328125" customWidth="1"/>
    <col min="538" max="538" width="20.6328125" customWidth="1"/>
    <col min="539" max="539" width="15.6328125" customWidth="1"/>
    <col min="540" max="544" width="9.08984375" customWidth="1"/>
    <col min="545" max="545" width="10.08984375" customWidth="1"/>
    <col min="546" max="547" width="9.08984375" customWidth="1"/>
    <col min="548" max="548" width="11" customWidth="1"/>
    <col min="549" max="549" width="12" customWidth="1"/>
    <col min="550" max="550" width="35.6328125" customWidth="1"/>
    <col min="551" max="551" width="9.08984375" customWidth="1"/>
    <col min="552" max="552" width="35.6328125" customWidth="1"/>
    <col min="553" max="553" width="9.08984375" customWidth="1"/>
    <col min="773" max="775" width="9.08984375" customWidth="1"/>
    <col min="776" max="776" width="10.6328125" customWidth="1"/>
    <col min="777" max="779" width="22.6328125" customWidth="1"/>
    <col min="784" max="787" width="9.08984375" customWidth="1"/>
    <col min="788" max="788" width="11.08984375" customWidth="1"/>
    <col min="789" max="789" width="9.08984375" customWidth="1"/>
    <col min="790" max="790" width="100.6328125" customWidth="1"/>
    <col min="791" max="791" width="12.6328125" customWidth="1"/>
    <col min="792" max="792" width="20.6328125" customWidth="1"/>
    <col min="793" max="793" width="10.6328125" customWidth="1"/>
    <col min="794" max="794" width="20.6328125" customWidth="1"/>
    <col min="795" max="795" width="15.6328125" customWidth="1"/>
    <col min="796" max="800" width="9.08984375" customWidth="1"/>
    <col min="801" max="801" width="10.08984375" customWidth="1"/>
    <col min="802" max="803" width="9.08984375" customWidth="1"/>
    <col min="804" max="804" width="11" customWidth="1"/>
    <col min="805" max="805" width="12" customWidth="1"/>
    <col min="806" max="806" width="35.6328125" customWidth="1"/>
    <col min="807" max="807" width="9.08984375" customWidth="1"/>
    <col min="808" max="808" width="35.6328125" customWidth="1"/>
    <col min="809" max="809" width="9.08984375" customWidth="1"/>
    <col min="1029" max="1031" width="9.08984375" customWidth="1"/>
    <col min="1032" max="1032" width="10.6328125" customWidth="1"/>
    <col min="1033" max="1035" width="22.6328125" customWidth="1"/>
    <col min="1040" max="1043" width="9.08984375" customWidth="1"/>
    <col min="1044" max="1044" width="11.08984375" customWidth="1"/>
    <col min="1045" max="1045" width="9.08984375" customWidth="1"/>
    <col min="1046" max="1046" width="100.6328125" customWidth="1"/>
    <col min="1047" max="1047" width="12.6328125" customWidth="1"/>
    <col min="1048" max="1048" width="20.6328125" customWidth="1"/>
    <col min="1049" max="1049" width="10.6328125" customWidth="1"/>
    <col min="1050" max="1050" width="20.6328125" customWidth="1"/>
    <col min="1051" max="1051" width="15.6328125" customWidth="1"/>
    <col min="1052" max="1056" width="9.08984375" customWidth="1"/>
    <col min="1057" max="1057" width="10.08984375" customWidth="1"/>
    <col min="1058" max="1059" width="9.08984375" customWidth="1"/>
    <col min="1060" max="1060" width="11" customWidth="1"/>
    <col min="1061" max="1061" width="12" customWidth="1"/>
    <col min="1062" max="1062" width="35.6328125" customWidth="1"/>
    <col min="1063" max="1063" width="9.08984375" customWidth="1"/>
    <col min="1064" max="1064" width="35.6328125" customWidth="1"/>
    <col min="1065" max="1065" width="9.08984375" customWidth="1"/>
    <col min="1285" max="1287" width="9.08984375" customWidth="1"/>
    <col min="1288" max="1288" width="10.6328125" customWidth="1"/>
    <col min="1289" max="1291" width="22.6328125" customWidth="1"/>
    <col min="1296" max="1299" width="9.08984375" customWidth="1"/>
    <col min="1300" max="1300" width="11.08984375" customWidth="1"/>
    <col min="1301" max="1301" width="9.08984375" customWidth="1"/>
    <col min="1302" max="1302" width="100.6328125" customWidth="1"/>
    <col min="1303" max="1303" width="12.6328125" customWidth="1"/>
    <col min="1304" max="1304" width="20.6328125" customWidth="1"/>
    <col min="1305" max="1305" width="10.6328125" customWidth="1"/>
    <col min="1306" max="1306" width="20.6328125" customWidth="1"/>
    <col min="1307" max="1307" width="15.6328125" customWidth="1"/>
    <col min="1308" max="1312" width="9.08984375" customWidth="1"/>
    <col min="1313" max="1313" width="10.08984375" customWidth="1"/>
    <col min="1314" max="1315" width="9.08984375" customWidth="1"/>
    <col min="1316" max="1316" width="11" customWidth="1"/>
    <col min="1317" max="1317" width="12" customWidth="1"/>
    <col min="1318" max="1318" width="35.6328125" customWidth="1"/>
    <col min="1319" max="1319" width="9.08984375" customWidth="1"/>
    <col min="1320" max="1320" width="35.6328125" customWidth="1"/>
    <col min="1321" max="1321" width="9.08984375" customWidth="1"/>
    <col min="1541" max="1543" width="9.08984375" customWidth="1"/>
    <col min="1544" max="1544" width="10.6328125" customWidth="1"/>
    <col min="1545" max="1547" width="22.6328125" customWidth="1"/>
    <col min="1552" max="1555" width="9.08984375" customWidth="1"/>
    <col min="1556" max="1556" width="11.08984375" customWidth="1"/>
    <col min="1557" max="1557" width="9.08984375" customWidth="1"/>
    <col min="1558" max="1558" width="100.6328125" customWidth="1"/>
    <col min="1559" max="1559" width="12.6328125" customWidth="1"/>
    <col min="1560" max="1560" width="20.6328125" customWidth="1"/>
    <col min="1561" max="1561" width="10.6328125" customWidth="1"/>
    <col min="1562" max="1562" width="20.6328125" customWidth="1"/>
    <col min="1563" max="1563" width="15.6328125" customWidth="1"/>
    <col min="1564" max="1568" width="9.08984375" customWidth="1"/>
    <col min="1569" max="1569" width="10.08984375" customWidth="1"/>
    <col min="1570" max="1571" width="9.08984375" customWidth="1"/>
    <col min="1572" max="1572" width="11" customWidth="1"/>
    <col min="1573" max="1573" width="12" customWidth="1"/>
    <col min="1574" max="1574" width="35.6328125" customWidth="1"/>
    <col min="1575" max="1575" width="9.08984375" customWidth="1"/>
    <col min="1576" max="1576" width="35.6328125" customWidth="1"/>
    <col min="1577" max="1577" width="9.08984375" customWidth="1"/>
    <col min="1797" max="1799" width="9.08984375" customWidth="1"/>
    <col min="1800" max="1800" width="10.6328125" customWidth="1"/>
    <col min="1801" max="1803" width="22.6328125" customWidth="1"/>
    <col min="1808" max="1811" width="9.08984375" customWidth="1"/>
    <col min="1812" max="1812" width="11.08984375" customWidth="1"/>
    <col min="1813" max="1813" width="9.08984375" customWidth="1"/>
    <col min="1814" max="1814" width="100.6328125" customWidth="1"/>
    <col min="1815" max="1815" width="12.6328125" customWidth="1"/>
    <col min="1816" max="1816" width="20.6328125" customWidth="1"/>
    <col min="1817" max="1817" width="10.6328125" customWidth="1"/>
    <col min="1818" max="1818" width="20.6328125" customWidth="1"/>
    <col min="1819" max="1819" width="15.6328125" customWidth="1"/>
    <col min="1820" max="1824" width="9.08984375" customWidth="1"/>
    <col min="1825" max="1825" width="10.08984375" customWidth="1"/>
    <col min="1826" max="1827" width="9.08984375" customWidth="1"/>
    <col min="1828" max="1828" width="11" customWidth="1"/>
    <col min="1829" max="1829" width="12" customWidth="1"/>
    <col min="1830" max="1830" width="35.6328125" customWidth="1"/>
    <col min="1831" max="1831" width="9.08984375" customWidth="1"/>
    <col min="1832" max="1832" width="35.6328125" customWidth="1"/>
    <col min="1833" max="1833" width="9.08984375" customWidth="1"/>
    <col min="2053" max="2055" width="9.08984375" customWidth="1"/>
    <col min="2056" max="2056" width="10.6328125" customWidth="1"/>
    <col min="2057" max="2059" width="22.6328125" customWidth="1"/>
    <col min="2064" max="2067" width="9.08984375" customWidth="1"/>
    <col min="2068" max="2068" width="11.08984375" customWidth="1"/>
    <col min="2069" max="2069" width="9.08984375" customWidth="1"/>
    <col min="2070" max="2070" width="100.6328125" customWidth="1"/>
    <col min="2071" max="2071" width="12.6328125" customWidth="1"/>
    <col min="2072" max="2072" width="20.6328125" customWidth="1"/>
    <col min="2073" max="2073" width="10.6328125" customWidth="1"/>
    <col min="2074" max="2074" width="20.6328125" customWidth="1"/>
    <col min="2075" max="2075" width="15.6328125" customWidth="1"/>
    <col min="2076" max="2080" width="9.08984375" customWidth="1"/>
    <col min="2081" max="2081" width="10.08984375" customWidth="1"/>
    <col min="2082" max="2083" width="9.08984375" customWidth="1"/>
    <col min="2084" max="2084" width="11" customWidth="1"/>
    <col min="2085" max="2085" width="12" customWidth="1"/>
    <col min="2086" max="2086" width="35.6328125" customWidth="1"/>
    <col min="2087" max="2087" width="9.08984375" customWidth="1"/>
    <col min="2088" max="2088" width="35.6328125" customWidth="1"/>
    <col min="2089" max="2089" width="9.08984375" customWidth="1"/>
    <col min="2309" max="2311" width="9.08984375" customWidth="1"/>
    <col min="2312" max="2312" width="10.6328125" customWidth="1"/>
    <col min="2313" max="2315" width="22.6328125" customWidth="1"/>
    <col min="2320" max="2323" width="9.08984375" customWidth="1"/>
    <col min="2324" max="2324" width="11.08984375" customWidth="1"/>
    <col min="2325" max="2325" width="9.08984375" customWidth="1"/>
    <col min="2326" max="2326" width="100.6328125" customWidth="1"/>
    <col min="2327" max="2327" width="12.6328125" customWidth="1"/>
    <col min="2328" max="2328" width="20.6328125" customWidth="1"/>
    <col min="2329" max="2329" width="10.6328125" customWidth="1"/>
    <col min="2330" max="2330" width="20.6328125" customWidth="1"/>
    <col min="2331" max="2331" width="15.6328125" customWidth="1"/>
    <col min="2332" max="2336" width="9.08984375" customWidth="1"/>
    <col min="2337" max="2337" width="10.08984375" customWidth="1"/>
    <col min="2338" max="2339" width="9.08984375" customWidth="1"/>
    <col min="2340" max="2340" width="11" customWidth="1"/>
    <col min="2341" max="2341" width="12" customWidth="1"/>
    <col min="2342" max="2342" width="35.6328125" customWidth="1"/>
    <col min="2343" max="2343" width="9.08984375" customWidth="1"/>
    <col min="2344" max="2344" width="35.6328125" customWidth="1"/>
    <col min="2345" max="2345" width="9.08984375" customWidth="1"/>
    <col min="2565" max="2567" width="9.08984375" customWidth="1"/>
    <col min="2568" max="2568" width="10.6328125" customWidth="1"/>
    <col min="2569" max="2571" width="22.6328125" customWidth="1"/>
    <col min="2576" max="2579" width="9.08984375" customWidth="1"/>
    <col min="2580" max="2580" width="11.08984375" customWidth="1"/>
    <col min="2581" max="2581" width="9.08984375" customWidth="1"/>
    <col min="2582" max="2582" width="100.6328125" customWidth="1"/>
    <col min="2583" max="2583" width="12.6328125" customWidth="1"/>
    <col min="2584" max="2584" width="20.6328125" customWidth="1"/>
    <col min="2585" max="2585" width="10.6328125" customWidth="1"/>
    <col min="2586" max="2586" width="20.6328125" customWidth="1"/>
    <col min="2587" max="2587" width="15.6328125" customWidth="1"/>
    <col min="2588" max="2592" width="9.08984375" customWidth="1"/>
    <col min="2593" max="2593" width="10.08984375" customWidth="1"/>
    <col min="2594" max="2595" width="9.08984375" customWidth="1"/>
    <col min="2596" max="2596" width="11" customWidth="1"/>
    <col min="2597" max="2597" width="12" customWidth="1"/>
    <col min="2598" max="2598" width="35.6328125" customWidth="1"/>
    <col min="2599" max="2599" width="9.08984375" customWidth="1"/>
    <col min="2600" max="2600" width="35.6328125" customWidth="1"/>
    <col min="2601" max="2601" width="9.08984375" customWidth="1"/>
    <col min="2821" max="2823" width="9.08984375" customWidth="1"/>
    <col min="2824" max="2824" width="10.6328125" customWidth="1"/>
    <col min="2825" max="2827" width="22.6328125" customWidth="1"/>
    <col min="2832" max="2835" width="9.08984375" customWidth="1"/>
    <col min="2836" max="2836" width="11.08984375" customWidth="1"/>
    <col min="2837" max="2837" width="9.08984375" customWidth="1"/>
    <col min="2838" max="2838" width="100.6328125" customWidth="1"/>
    <col min="2839" max="2839" width="12.6328125" customWidth="1"/>
    <col min="2840" max="2840" width="20.6328125" customWidth="1"/>
    <col min="2841" max="2841" width="10.6328125" customWidth="1"/>
    <col min="2842" max="2842" width="20.6328125" customWidth="1"/>
    <col min="2843" max="2843" width="15.6328125" customWidth="1"/>
    <col min="2844" max="2848" width="9.08984375" customWidth="1"/>
    <col min="2849" max="2849" width="10.08984375" customWidth="1"/>
    <col min="2850" max="2851" width="9.08984375" customWidth="1"/>
    <col min="2852" max="2852" width="11" customWidth="1"/>
    <col min="2853" max="2853" width="12" customWidth="1"/>
    <col min="2854" max="2854" width="35.6328125" customWidth="1"/>
    <col min="2855" max="2855" width="9.08984375" customWidth="1"/>
    <col min="2856" max="2856" width="35.6328125" customWidth="1"/>
    <col min="2857" max="2857" width="9.08984375" customWidth="1"/>
    <col min="3077" max="3079" width="9.08984375" customWidth="1"/>
    <col min="3080" max="3080" width="10.6328125" customWidth="1"/>
    <col min="3081" max="3083" width="22.6328125" customWidth="1"/>
    <col min="3088" max="3091" width="9.08984375" customWidth="1"/>
    <col min="3092" max="3092" width="11.08984375" customWidth="1"/>
    <col min="3093" max="3093" width="9.08984375" customWidth="1"/>
    <col min="3094" max="3094" width="100.6328125" customWidth="1"/>
    <col min="3095" max="3095" width="12.6328125" customWidth="1"/>
    <col min="3096" max="3096" width="20.6328125" customWidth="1"/>
    <col min="3097" max="3097" width="10.6328125" customWidth="1"/>
    <col min="3098" max="3098" width="20.6328125" customWidth="1"/>
    <col min="3099" max="3099" width="15.6328125" customWidth="1"/>
    <col min="3100" max="3104" width="9.08984375" customWidth="1"/>
    <col min="3105" max="3105" width="10.08984375" customWidth="1"/>
    <col min="3106" max="3107" width="9.08984375" customWidth="1"/>
    <col min="3108" max="3108" width="11" customWidth="1"/>
    <col min="3109" max="3109" width="12" customWidth="1"/>
    <col min="3110" max="3110" width="35.6328125" customWidth="1"/>
    <col min="3111" max="3111" width="9.08984375" customWidth="1"/>
    <col min="3112" max="3112" width="35.6328125" customWidth="1"/>
    <col min="3113" max="3113" width="9.08984375" customWidth="1"/>
    <col min="3333" max="3335" width="9.08984375" customWidth="1"/>
    <col min="3336" max="3336" width="10.6328125" customWidth="1"/>
    <col min="3337" max="3339" width="22.6328125" customWidth="1"/>
    <col min="3344" max="3347" width="9.08984375" customWidth="1"/>
    <col min="3348" max="3348" width="11.08984375" customWidth="1"/>
    <col min="3349" max="3349" width="9.08984375" customWidth="1"/>
    <col min="3350" max="3350" width="100.6328125" customWidth="1"/>
    <col min="3351" max="3351" width="12.6328125" customWidth="1"/>
    <col min="3352" max="3352" width="20.6328125" customWidth="1"/>
    <col min="3353" max="3353" width="10.6328125" customWidth="1"/>
    <col min="3354" max="3354" width="20.6328125" customWidth="1"/>
    <col min="3355" max="3355" width="15.6328125" customWidth="1"/>
    <col min="3356" max="3360" width="9.08984375" customWidth="1"/>
    <col min="3361" max="3361" width="10.08984375" customWidth="1"/>
    <col min="3362" max="3363" width="9.08984375" customWidth="1"/>
    <col min="3364" max="3364" width="11" customWidth="1"/>
    <col min="3365" max="3365" width="12" customWidth="1"/>
    <col min="3366" max="3366" width="35.6328125" customWidth="1"/>
    <col min="3367" max="3367" width="9.08984375" customWidth="1"/>
    <col min="3368" max="3368" width="35.6328125" customWidth="1"/>
    <col min="3369" max="3369" width="9.08984375" customWidth="1"/>
    <col min="3589" max="3591" width="9.08984375" customWidth="1"/>
    <col min="3592" max="3592" width="10.6328125" customWidth="1"/>
    <col min="3593" max="3595" width="22.6328125" customWidth="1"/>
    <col min="3600" max="3603" width="9.08984375" customWidth="1"/>
    <col min="3604" max="3604" width="11.08984375" customWidth="1"/>
    <col min="3605" max="3605" width="9.08984375" customWidth="1"/>
    <col min="3606" max="3606" width="100.6328125" customWidth="1"/>
    <col min="3607" max="3607" width="12.6328125" customWidth="1"/>
    <col min="3608" max="3608" width="20.6328125" customWidth="1"/>
    <col min="3609" max="3609" width="10.6328125" customWidth="1"/>
    <col min="3610" max="3610" width="20.6328125" customWidth="1"/>
    <col min="3611" max="3611" width="15.6328125" customWidth="1"/>
    <col min="3612" max="3616" width="9.08984375" customWidth="1"/>
    <col min="3617" max="3617" width="10.08984375" customWidth="1"/>
    <col min="3618" max="3619" width="9.08984375" customWidth="1"/>
    <col min="3620" max="3620" width="11" customWidth="1"/>
    <col min="3621" max="3621" width="12" customWidth="1"/>
    <col min="3622" max="3622" width="35.6328125" customWidth="1"/>
    <col min="3623" max="3623" width="9.08984375" customWidth="1"/>
    <col min="3624" max="3624" width="35.6328125" customWidth="1"/>
    <col min="3625" max="3625" width="9.08984375" customWidth="1"/>
    <col min="3845" max="3847" width="9.08984375" customWidth="1"/>
    <col min="3848" max="3848" width="10.6328125" customWidth="1"/>
    <col min="3849" max="3851" width="22.6328125" customWidth="1"/>
    <col min="3856" max="3859" width="9.08984375" customWidth="1"/>
    <col min="3860" max="3860" width="11.08984375" customWidth="1"/>
    <col min="3861" max="3861" width="9.08984375" customWidth="1"/>
    <col min="3862" max="3862" width="100.6328125" customWidth="1"/>
    <col min="3863" max="3863" width="12.6328125" customWidth="1"/>
    <col min="3864" max="3864" width="20.6328125" customWidth="1"/>
    <col min="3865" max="3865" width="10.6328125" customWidth="1"/>
    <col min="3866" max="3866" width="20.6328125" customWidth="1"/>
    <col min="3867" max="3867" width="15.6328125" customWidth="1"/>
    <col min="3868" max="3872" width="9.08984375" customWidth="1"/>
    <col min="3873" max="3873" width="10.08984375" customWidth="1"/>
    <col min="3874" max="3875" width="9.08984375" customWidth="1"/>
    <col min="3876" max="3876" width="11" customWidth="1"/>
    <col min="3877" max="3877" width="12" customWidth="1"/>
    <col min="3878" max="3878" width="35.6328125" customWidth="1"/>
    <col min="3879" max="3879" width="9.08984375" customWidth="1"/>
    <col min="3880" max="3880" width="35.6328125" customWidth="1"/>
    <col min="3881" max="3881" width="9.08984375" customWidth="1"/>
    <col min="4101" max="4103" width="9.08984375" customWidth="1"/>
    <col min="4104" max="4104" width="10.6328125" customWidth="1"/>
    <col min="4105" max="4107" width="22.6328125" customWidth="1"/>
    <col min="4112" max="4115" width="9.08984375" customWidth="1"/>
    <col min="4116" max="4116" width="11.08984375" customWidth="1"/>
    <col min="4117" max="4117" width="9.08984375" customWidth="1"/>
    <col min="4118" max="4118" width="100.6328125" customWidth="1"/>
    <col min="4119" max="4119" width="12.6328125" customWidth="1"/>
    <col min="4120" max="4120" width="20.6328125" customWidth="1"/>
    <col min="4121" max="4121" width="10.6328125" customWidth="1"/>
    <col min="4122" max="4122" width="20.6328125" customWidth="1"/>
    <col min="4123" max="4123" width="15.6328125" customWidth="1"/>
    <col min="4124" max="4128" width="9.08984375" customWidth="1"/>
    <col min="4129" max="4129" width="10.08984375" customWidth="1"/>
    <col min="4130" max="4131" width="9.08984375" customWidth="1"/>
    <col min="4132" max="4132" width="11" customWidth="1"/>
    <col min="4133" max="4133" width="12" customWidth="1"/>
    <col min="4134" max="4134" width="35.6328125" customWidth="1"/>
    <col min="4135" max="4135" width="9.08984375" customWidth="1"/>
    <col min="4136" max="4136" width="35.6328125" customWidth="1"/>
    <col min="4137" max="4137" width="9.08984375" customWidth="1"/>
    <col min="4357" max="4359" width="9.08984375" customWidth="1"/>
    <col min="4360" max="4360" width="10.6328125" customWidth="1"/>
    <col min="4361" max="4363" width="22.6328125" customWidth="1"/>
    <col min="4368" max="4371" width="9.08984375" customWidth="1"/>
    <col min="4372" max="4372" width="11.08984375" customWidth="1"/>
    <col min="4373" max="4373" width="9.08984375" customWidth="1"/>
    <col min="4374" max="4374" width="100.6328125" customWidth="1"/>
    <col min="4375" max="4375" width="12.6328125" customWidth="1"/>
    <col min="4376" max="4376" width="20.6328125" customWidth="1"/>
    <col min="4377" max="4377" width="10.6328125" customWidth="1"/>
    <col min="4378" max="4378" width="20.6328125" customWidth="1"/>
    <col min="4379" max="4379" width="15.6328125" customWidth="1"/>
    <col min="4380" max="4384" width="9.08984375" customWidth="1"/>
    <col min="4385" max="4385" width="10.08984375" customWidth="1"/>
    <col min="4386" max="4387" width="9.08984375" customWidth="1"/>
    <col min="4388" max="4388" width="11" customWidth="1"/>
    <col min="4389" max="4389" width="12" customWidth="1"/>
    <col min="4390" max="4390" width="35.6328125" customWidth="1"/>
    <col min="4391" max="4391" width="9.08984375" customWidth="1"/>
    <col min="4392" max="4392" width="35.6328125" customWidth="1"/>
    <col min="4393" max="4393" width="9.08984375" customWidth="1"/>
    <col min="4613" max="4615" width="9.08984375" customWidth="1"/>
    <col min="4616" max="4616" width="10.6328125" customWidth="1"/>
    <col min="4617" max="4619" width="22.6328125" customWidth="1"/>
    <col min="4624" max="4627" width="9.08984375" customWidth="1"/>
    <col min="4628" max="4628" width="11.08984375" customWidth="1"/>
    <col min="4629" max="4629" width="9.08984375" customWidth="1"/>
    <col min="4630" max="4630" width="100.6328125" customWidth="1"/>
    <col min="4631" max="4631" width="12.6328125" customWidth="1"/>
    <col min="4632" max="4632" width="20.6328125" customWidth="1"/>
    <col min="4633" max="4633" width="10.6328125" customWidth="1"/>
    <col min="4634" max="4634" width="20.6328125" customWidth="1"/>
    <col min="4635" max="4635" width="15.6328125" customWidth="1"/>
    <col min="4636" max="4640" width="9.08984375" customWidth="1"/>
    <col min="4641" max="4641" width="10.08984375" customWidth="1"/>
    <col min="4642" max="4643" width="9.08984375" customWidth="1"/>
    <col min="4644" max="4644" width="11" customWidth="1"/>
    <col min="4645" max="4645" width="12" customWidth="1"/>
    <col min="4646" max="4646" width="35.6328125" customWidth="1"/>
    <col min="4647" max="4647" width="9.08984375" customWidth="1"/>
    <col min="4648" max="4648" width="35.6328125" customWidth="1"/>
    <col min="4649" max="4649" width="9.08984375" customWidth="1"/>
    <col min="4869" max="4871" width="9.08984375" customWidth="1"/>
    <col min="4872" max="4872" width="10.6328125" customWidth="1"/>
    <col min="4873" max="4875" width="22.6328125" customWidth="1"/>
    <col min="4880" max="4883" width="9.08984375" customWidth="1"/>
    <col min="4884" max="4884" width="11.08984375" customWidth="1"/>
    <col min="4885" max="4885" width="9.08984375" customWidth="1"/>
    <col min="4886" max="4886" width="100.6328125" customWidth="1"/>
    <col min="4887" max="4887" width="12.6328125" customWidth="1"/>
    <col min="4888" max="4888" width="20.6328125" customWidth="1"/>
    <col min="4889" max="4889" width="10.6328125" customWidth="1"/>
    <col min="4890" max="4890" width="20.6328125" customWidth="1"/>
    <col min="4891" max="4891" width="15.6328125" customWidth="1"/>
    <col min="4892" max="4896" width="9.08984375" customWidth="1"/>
    <col min="4897" max="4897" width="10.08984375" customWidth="1"/>
    <col min="4898" max="4899" width="9.08984375" customWidth="1"/>
    <col min="4900" max="4900" width="11" customWidth="1"/>
    <col min="4901" max="4901" width="12" customWidth="1"/>
    <col min="4902" max="4902" width="35.6328125" customWidth="1"/>
    <col min="4903" max="4903" width="9.08984375" customWidth="1"/>
    <col min="4904" max="4904" width="35.6328125" customWidth="1"/>
    <col min="4905" max="4905" width="9.08984375" customWidth="1"/>
    <col min="5125" max="5127" width="9.08984375" customWidth="1"/>
    <col min="5128" max="5128" width="10.6328125" customWidth="1"/>
    <col min="5129" max="5131" width="22.6328125" customWidth="1"/>
    <col min="5136" max="5139" width="9.08984375" customWidth="1"/>
    <col min="5140" max="5140" width="11.08984375" customWidth="1"/>
    <col min="5141" max="5141" width="9.08984375" customWidth="1"/>
    <col min="5142" max="5142" width="100.6328125" customWidth="1"/>
    <col min="5143" max="5143" width="12.6328125" customWidth="1"/>
    <col min="5144" max="5144" width="20.6328125" customWidth="1"/>
    <col min="5145" max="5145" width="10.6328125" customWidth="1"/>
    <col min="5146" max="5146" width="20.6328125" customWidth="1"/>
    <col min="5147" max="5147" width="15.6328125" customWidth="1"/>
    <col min="5148" max="5152" width="9.08984375" customWidth="1"/>
    <col min="5153" max="5153" width="10.08984375" customWidth="1"/>
    <col min="5154" max="5155" width="9.08984375" customWidth="1"/>
    <col min="5156" max="5156" width="11" customWidth="1"/>
    <col min="5157" max="5157" width="12" customWidth="1"/>
    <col min="5158" max="5158" width="35.6328125" customWidth="1"/>
    <col min="5159" max="5159" width="9.08984375" customWidth="1"/>
    <col min="5160" max="5160" width="35.6328125" customWidth="1"/>
    <col min="5161" max="5161" width="9.08984375" customWidth="1"/>
    <col min="5381" max="5383" width="9.08984375" customWidth="1"/>
    <col min="5384" max="5384" width="10.6328125" customWidth="1"/>
    <col min="5385" max="5387" width="22.6328125" customWidth="1"/>
    <col min="5392" max="5395" width="9.08984375" customWidth="1"/>
    <col min="5396" max="5396" width="11.08984375" customWidth="1"/>
    <col min="5397" max="5397" width="9.08984375" customWidth="1"/>
    <col min="5398" max="5398" width="100.6328125" customWidth="1"/>
    <col min="5399" max="5399" width="12.6328125" customWidth="1"/>
    <col min="5400" max="5400" width="20.6328125" customWidth="1"/>
    <col min="5401" max="5401" width="10.6328125" customWidth="1"/>
    <col min="5402" max="5402" width="20.6328125" customWidth="1"/>
    <col min="5403" max="5403" width="15.6328125" customWidth="1"/>
    <col min="5404" max="5408" width="9.08984375" customWidth="1"/>
    <col min="5409" max="5409" width="10.08984375" customWidth="1"/>
    <col min="5410" max="5411" width="9.08984375" customWidth="1"/>
    <col min="5412" max="5412" width="11" customWidth="1"/>
    <col min="5413" max="5413" width="12" customWidth="1"/>
    <col min="5414" max="5414" width="35.6328125" customWidth="1"/>
    <col min="5415" max="5415" width="9.08984375" customWidth="1"/>
    <col min="5416" max="5416" width="35.6328125" customWidth="1"/>
    <col min="5417" max="5417" width="9.08984375" customWidth="1"/>
    <col min="5637" max="5639" width="9.08984375" customWidth="1"/>
    <col min="5640" max="5640" width="10.6328125" customWidth="1"/>
    <col min="5641" max="5643" width="22.6328125" customWidth="1"/>
    <col min="5648" max="5651" width="9.08984375" customWidth="1"/>
    <col min="5652" max="5652" width="11.08984375" customWidth="1"/>
    <col min="5653" max="5653" width="9.08984375" customWidth="1"/>
    <col min="5654" max="5654" width="100.6328125" customWidth="1"/>
    <col min="5655" max="5655" width="12.6328125" customWidth="1"/>
    <col min="5656" max="5656" width="20.6328125" customWidth="1"/>
    <col min="5657" max="5657" width="10.6328125" customWidth="1"/>
    <col min="5658" max="5658" width="20.6328125" customWidth="1"/>
    <col min="5659" max="5659" width="15.6328125" customWidth="1"/>
    <col min="5660" max="5664" width="9.08984375" customWidth="1"/>
    <col min="5665" max="5665" width="10.08984375" customWidth="1"/>
    <col min="5666" max="5667" width="9.08984375" customWidth="1"/>
    <col min="5668" max="5668" width="11" customWidth="1"/>
    <col min="5669" max="5669" width="12" customWidth="1"/>
    <col min="5670" max="5670" width="35.6328125" customWidth="1"/>
    <col min="5671" max="5671" width="9.08984375" customWidth="1"/>
    <col min="5672" max="5672" width="35.6328125" customWidth="1"/>
    <col min="5673" max="5673" width="9.08984375" customWidth="1"/>
    <col min="5893" max="5895" width="9.08984375" customWidth="1"/>
    <col min="5896" max="5896" width="10.6328125" customWidth="1"/>
    <col min="5897" max="5899" width="22.6328125" customWidth="1"/>
    <col min="5904" max="5907" width="9.08984375" customWidth="1"/>
    <col min="5908" max="5908" width="11.08984375" customWidth="1"/>
    <col min="5909" max="5909" width="9.08984375" customWidth="1"/>
    <col min="5910" max="5910" width="100.6328125" customWidth="1"/>
    <col min="5911" max="5911" width="12.6328125" customWidth="1"/>
    <col min="5912" max="5912" width="20.6328125" customWidth="1"/>
    <col min="5913" max="5913" width="10.6328125" customWidth="1"/>
    <col min="5914" max="5914" width="20.6328125" customWidth="1"/>
    <col min="5915" max="5915" width="15.6328125" customWidth="1"/>
    <col min="5916" max="5920" width="9.08984375" customWidth="1"/>
    <col min="5921" max="5921" width="10.08984375" customWidth="1"/>
    <col min="5922" max="5923" width="9.08984375" customWidth="1"/>
    <col min="5924" max="5924" width="11" customWidth="1"/>
    <col min="5925" max="5925" width="12" customWidth="1"/>
    <col min="5926" max="5926" width="35.6328125" customWidth="1"/>
    <col min="5927" max="5927" width="9.08984375" customWidth="1"/>
    <col min="5928" max="5928" width="35.6328125" customWidth="1"/>
    <col min="5929" max="5929" width="9.08984375" customWidth="1"/>
    <col min="6149" max="6151" width="9.08984375" customWidth="1"/>
    <col min="6152" max="6152" width="10.6328125" customWidth="1"/>
    <col min="6153" max="6155" width="22.6328125" customWidth="1"/>
    <col min="6160" max="6163" width="9.08984375" customWidth="1"/>
    <col min="6164" max="6164" width="11.08984375" customWidth="1"/>
    <col min="6165" max="6165" width="9.08984375" customWidth="1"/>
    <col min="6166" max="6166" width="100.6328125" customWidth="1"/>
    <col min="6167" max="6167" width="12.6328125" customWidth="1"/>
    <col min="6168" max="6168" width="20.6328125" customWidth="1"/>
    <col min="6169" max="6169" width="10.6328125" customWidth="1"/>
    <col min="6170" max="6170" width="20.6328125" customWidth="1"/>
    <col min="6171" max="6171" width="15.6328125" customWidth="1"/>
    <col min="6172" max="6176" width="9.08984375" customWidth="1"/>
    <col min="6177" max="6177" width="10.08984375" customWidth="1"/>
    <col min="6178" max="6179" width="9.08984375" customWidth="1"/>
    <col min="6180" max="6180" width="11" customWidth="1"/>
    <col min="6181" max="6181" width="12" customWidth="1"/>
    <col min="6182" max="6182" width="35.6328125" customWidth="1"/>
    <col min="6183" max="6183" width="9.08984375" customWidth="1"/>
    <col min="6184" max="6184" width="35.6328125" customWidth="1"/>
    <col min="6185" max="6185" width="9.08984375" customWidth="1"/>
    <col min="6405" max="6407" width="9.08984375" customWidth="1"/>
    <col min="6408" max="6408" width="10.6328125" customWidth="1"/>
    <col min="6409" max="6411" width="22.6328125" customWidth="1"/>
    <col min="6416" max="6419" width="9.08984375" customWidth="1"/>
    <col min="6420" max="6420" width="11.08984375" customWidth="1"/>
    <col min="6421" max="6421" width="9.08984375" customWidth="1"/>
    <col min="6422" max="6422" width="100.6328125" customWidth="1"/>
    <col min="6423" max="6423" width="12.6328125" customWidth="1"/>
    <col min="6424" max="6424" width="20.6328125" customWidth="1"/>
    <col min="6425" max="6425" width="10.6328125" customWidth="1"/>
    <col min="6426" max="6426" width="20.6328125" customWidth="1"/>
    <col min="6427" max="6427" width="15.6328125" customWidth="1"/>
    <col min="6428" max="6432" width="9.08984375" customWidth="1"/>
    <col min="6433" max="6433" width="10.08984375" customWidth="1"/>
    <col min="6434" max="6435" width="9.08984375" customWidth="1"/>
    <col min="6436" max="6436" width="11" customWidth="1"/>
    <col min="6437" max="6437" width="12" customWidth="1"/>
    <col min="6438" max="6438" width="35.6328125" customWidth="1"/>
    <col min="6439" max="6439" width="9.08984375" customWidth="1"/>
    <col min="6440" max="6440" width="35.6328125" customWidth="1"/>
    <col min="6441" max="6441" width="9.08984375" customWidth="1"/>
    <col min="6661" max="6663" width="9.08984375" customWidth="1"/>
    <col min="6664" max="6664" width="10.6328125" customWidth="1"/>
    <col min="6665" max="6667" width="22.6328125" customWidth="1"/>
    <col min="6672" max="6675" width="9.08984375" customWidth="1"/>
    <col min="6676" max="6676" width="11.08984375" customWidth="1"/>
    <col min="6677" max="6677" width="9.08984375" customWidth="1"/>
    <col min="6678" max="6678" width="100.6328125" customWidth="1"/>
    <col min="6679" max="6679" width="12.6328125" customWidth="1"/>
    <col min="6680" max="6680" width="20.6328125" customWidth="1"/>
    <col min="6681" max="6681" width="10.6328125" customWidth="1"/>
    <col min="6682" max="6682" width="20.6328125" customWidth="1"/>
    <col min="6683" max="6683" width="15.6328125" customWidth="1"/>
    <col min="6684" max="6688" width="9.08984375" customWidth="1"/>
    <col min="6689" max="6689" width="10.08984375" customWidth="1"/>
    <col min="6690" max="6691" width="9.08984375" customWidth="1"/>
    <col min="6692" max="6692" width="11" customWidth="1"/>
    <col min="6693" max="6693" width="12" customWidth="1"/>
    <col min="6694" max="6694" width="35.6328125" customWidth="1"/>
    <col min="6695" max="6695" width="9.08984375" customWidth="1"/>
    <col min="6696" max="6696" width="35.6328125" customWidth="1"/>
    <col min="6697" max="6697" width="9.08984375" customWidth="1"/>
    <col min="6917" max="6919" width="9.08984375" customWidth="1"/>
    <col min="6920" max="6920" width="10.6328125" customWidth="1"/>
    <col min="6921" max="6923" width="22.6328125" customWidth="1"/>
    <col min="6928" max="6931" width="9.08984375" customWidth="1"/>
    <col min="6932" max="6932" width="11.08984375" customWidth="1"/>
    <col min="6933" max="6933" width="9.08984375" customWidth="1"/>
    <col min="6934" max="6934" width="100.6328125" customWidth="1"/>
    <col min="6935" max="6935" width="12.6328125" customWidth="1"/>
    <col min="6936" max="6936" width="20.6328125" customWidth="1"/>
    <col min="6937" max="6937" width="10.6328125" customWidth="1"/>
    <col min="6938" max="6938" width="20.6328125" customWidth="1"/>
    <col min="6939" max="6939" width="15.6328125" customWidth="1"/>
    <col min="6940" max="6944" width="9.08984375" customWidth="1"/>
    <col min="6945" max="6945" width="10.08984375" customWidth="1"/>
    <col min="6946" max="6947" width="9.08984375" customWidth="1"/>
    <col min="6948" max="6948" width="11" customWidth="1"/>
    <col min="6949" max="6949" width="12" customWidth="1"/>
    <col min="6950" max="6950" width="35.6328125" customWidth="1"/>
    <col min="6951" max="6951" width="9.08984375" customWidth="1"/>
    <col min="6952" max="6952" width="35.6328125" customWidth="1"/>
    <col min="6953" max="6953" width="9.08984375" customWidth="1"/>
    <col min="7173" max="7175" width="9.08984375" customWidth="1"/>
    <col min="7176" max="7176" width="10.6328125" customWidth="1"/>
    <col min="7177" max="7179" width="22.6328125" customWidth="1"/>
    <col min="7184" max="7187" width="9.08984375" customWidth="1"/>
    <col min="7188" max="7188" width="11.08984375" customWidth="1"/>
    <col min="7189" max="7189" width="9.08984375" customWidth="1"/>
    <col min="7190" max="7190" width="100.6328125" customWidth="1"/>
    <col min="7191" max="7191" width="12.6328125" customWidth="1"/>
    <col min="7192" max="7192" width="20.6328125" customWidth="1"/>
    <col min="7193" max="7193" width="10.6328125" customWidth="1"/>
    <col min="7194" max="7194" width="20.6328125" customWidth="1"/>
    <col min="7195" max="7195" width="15.6328125" customWidth="1"/>
    <col min="7196" max="7200" width="9.08984375" customWidth="1"/>
    <col min="7201" max="7201" width="10.08984375" customWidth="1"/>
    <col min="7202" max="7203" width="9.08984375" customWidth="1"/>
    <col min="7204" max="7204" width="11" customWidth="1"/>
    <col min="7205" max="7205" width="12" customWidth="1"/>
    <col min="7206" max="7206" width="35.6328125" customWidth="1"/>
    <col min="7207" max="7207" width="9.08984375" customWidth="1"/>
    <col min="7208" max="7208" width="35.6328125" customWidth="1"/>
    <col min="7209" max="7209" width="9.08984375" customWidth="1"/>
    <col min="7429" max="7431" width="9.08984375" customWidth="1"/>
    <col min="7432" max="7432" width="10.6328125" customWidth="1"/>
    <col min="7433" max="7435" width="22.6328125" customWidth="1"/>
    <col min="7440" max="7443" width="9.08984375" customWidth="1"/>
    <col min="7444" max="7444" width="11.08984375" customWidth="1"/>
    <col min="7445" max="7445" width="9.08984375" customWidth="1"/>
    <col min="7446" max="7446" width="100.6328125" customWidth="1"/>
    <col min="7447" max="7447" width="12.6328125" customWidth="1"/>
    <col min="7448" max="7448" width="20.6328125" customWidth="1"/>
    <col min="7449" max="7449" width="10.6328125" customWidth="1"/>
    <col min="7450" max="7450" width="20.6328125" customWidth="1"/>
    <col min="7451" max="7451" width="15.6328125" customWidth="1"/>
    <col min="7452" max="7456" width="9.08984375" customWidth="1"/>
    <col min="7457" max="7457" width="10.08984375" customWidth="1"/>
    <col min="7458" max="7459" width="9.08984375" customWidth="1"/>
    <col min="7460" max="7460" width="11" customWidth="1"/>
    <col min="7461" max="7461" width="12" customWidth="1"/>
    <col min="7462" max="7462" width="35.6328125" customWidth="1"/>
    <col min="7463" max="7463" width="9.08984375" customWidth="1"/>
    <col min="7464" max="7464" width="35.6328125" customWidth="1"/>
    <col min="7465" max="7465" width="9.08984375" customWidth="1"/>
    <col min="7685" max="7687" width="9.08984375" customWidth="1"/>
    <col min="7688" max="7688" width="10.6328125" customWidth="1"/>
    <col min="7689" max="7691" width="22.6328125" customWidth="1"/>
    <col min="7696" max="7699" width="9.08984375" customWidth="1"/>
    <col min="7700" max="7700" width="11.08984375" customWidth="1"/>
    <col min="7701" max="7701" width="9.08984375" customWidth="1"/>
    <col min="7702" max="7702" width="100.6328125" customWidth="1"/>
    <col min="7703" max="7703" width="12.6328125" customWidth="1"/>
    <col min="7704" max="7704" width="20.6328125" customWidth="1"/>
    <col min="7705" max="7705" width="10.6328125" customWidth="1"/>
    <col min="7706" max="7706" width="20.6328125" customWidth="1"/>
    <col min="7707" max="7707" width="15.6328125" customWidth="1"/>
    <col min="7708" max="7712" width="9.08984375" customWidth="1"/>
    <col min="7713" max="7713" width="10.08984375" customWidth="1"/>
    <col min="7714" max="7715" width="9.08984375" customWidth="1"/>
    <col min="7716" max="7716" width="11" customWidth="1"/>
    <col min="7717" max="7717" width="12" customWidth="1"/>
    <col min="7718" max="7718" width="35.6328125" customWidth="1"/>
    <col min="7719" max="7719" width="9.08984375" customWidth="1"/>
    <col min="7720" max="7720" width="35.6328125" customWidth="1"/>
    <col min="7721" max="7721" width="9.08984375" customWidth="1"/>
    <col min="7941" max="7943" width="9.08984375" customWidth="1"/>
    <col min="7944" max="7944" width="10.6328125" customWidth="1"/>
    <col min="7945" max="7947" width="22.6328125" customWidth="1"/>
    <col min="7952" max="7955" width="9.08984375" customWidth="1"/>
    <col min="7956" max="7956" width="11.08984375" customWidth="1"/>
    <col min="7957" max="7957" width="9.08984375" customWidth="1"/>
    <col min="7958" max="7958" width="100.6328125" customWidth="1"/>
    <col min="7959" max="7959" width="12.6328125" customWidth="1"/>
    <col min="7960" max="7960" width="20.6328125" customWidth="1"/>
    <col min="7961" max="7961" width="10.6328125" customWidth="1"/>
    <col min="7962" max="7962" width="20.6328125" customWidth="1"/>
    <col min="7963" max="7963" width="15.6328125" customWidth="1"/>
    <col min="7964" max="7968" width="9.08984375" customWidth="1"/>
    <col min="7969" max="7969" width="10.08984375" customWidth="1"/>
    <col min="7970" max="7971" width="9.08984375" customWidth="1"/>
    <col min="7972" max="7972" width="11" customWidth="1"/>
    <col min="7973" max="7973" width="12" customWidth="1"/>
    <col min="7974" max="7974" width="35.6328125" customWidth="1"/>
    <col min="7975" max="7975" width="9.08984375" customWidth="1"/>
    <col min="7976" max="7976" width="35.6328125" customWidth="1"/>
    <col min="7977" max="7977" width="9.08984375" customWidth="1"/>
    <col min="8197" max="8199" width="9.08984375" customWidth="1"/>
    <col min="8200" max="8200" width="10.6328125" customWidth="1"/>
    <col min="8201" max="8203" width="22.6328125" customWidth="1"/>
    <col min="8208" max="8211" width="9.08984375" customWidth="1"/>
    <col min="8212" max="8212" width="11.08984375" customWidth="1"/>
    <col min="8213" max="8213" width="9.08984375" customWidth="1"/>
    <col min="8214" max="8214" width="100.6328125" customWidth="1"/>
    <col min="8215" max="8215" width="12.6328125" customWidth="1"/>
    <col min="8216" max="8216" width="20.6328125" customWidth="1"/>
    <col min="8217" max="8217" width="10.6328125" customWidth="1"/>
    <col min="8218" max="8218" width="20.6328125" customWidth="1"/>
    <col min="8219" max="8219" width="15.6328125" customWidth="1"/>
    <col min="8220" max="8224" width="9.08984375" customWidth="1"/>
    <col min="8225" max="8225" width="10.08984375" customWidth="1"/>
    <col min="8226" max="8227" width="9.08984375" customWidth="1"/>
    <col min="8228" max="8228" width="11" customWidth="1"/>
    <col min="8229" max="8229" width="12" customWidth="1"/>
    <col min="8230" max="8230" width="35.6328125" customWidth="1"/>
    <col min="8231" max="8231" width="9.08984375" customWidth="1"/>
    <col min="8232" max="8232" width="35.6328125" customWidth="1"/>
    <col min="8233" max="8233" width="9.08984375" customWidth="1"/>
    <col min="8453" max="8455" width="9.08984375" customWidth="1"/>
    <col min="8456" max="8456" width="10.6328125" customWidth="1"/>
    <col min="8457" max="8459" width="22.6328125" customWidth="1"/>
    <col min="8464" max="8467" width="9.08984375" customWidth="1"/>
    <col min="8468" max="8468" width="11.08984375" customWidth="1"/>
    <col min="8469" max="8469" width="9.08984375" customWidth="1"/>
    <col min="8470" max="8470" width="100.6328125" customWidth="1"/>
    <col min="8471" max="8471" width="12.6328125" customWidth="1"/>
    <col min="8472" max="8472" width="20.6328125" customWidth="1"/>
    <col min="8473" max="8473" width="10.6328125" customWidth="1"/>
    <col min="8474" max="8474" width="20.6328125" customWidth="1"/>
    <col min="8475" max="8475" width="15.6328125" customWidth="1"/>
    <col min="8476" max="8480" width="9.08984375" customWidth="1"/>
    <col min="8481" max="8481" width="10.08984375" customWidth="1"/>
    <col min="8482" max="8483" width="9.08984375" customWidth="1"/>
    <col min="8484" max="8484" width="11" customWidth="1"/>
    <col min="8485" max="8485" width="12" customWidth="1"/>
    <col min="8486" max="8486" width="35.6328125" customWidth="1"/>
    <col min="8487" max="8487" width="9.08984375" customWidth="1"/>
    <col min="8488" max="8488" width="35.6328125" customWidth="1"/>
    <col min="8489" max="8489" width="9.08984375" customWidth="1"/>
    <col min="8709" max="8711" width="9.08984375" customWidth="1"/>
    <col min="8712" max="8712" width="10.6328125" customWidth="1"/>
    <col min="8713" max="8715" width="22.6328125" customWidth="1"/>
    <col min="8720" max="8723" width="9.08984375" customWidth="1"/>
    <col min="8724" max="8724" width="11.08984375" customWidth="1"/>
    <col min="8725" max="8725" width="9.08984375" customWidth="1"/>
    <col min="8726" max="8726" width="100.6328125" customWidth="1"/>
    <col min="8727" max="8727" width="12.6328125" customWidth="1"/>
    <col min="8728" max="8728" width="20.6328125" customWidth="1"/>
    <col min="8729" max="8729" width="10.6328125" customWidth="1"/>
    <col min="8730" max="8730" width="20.6328125" customWidth="1"/>
    <col min="8731" max="8731" width="15.6328125" customWidth="1"/>
    <col min="8732" max="8736" width="9.08984375" customWidth="1"/>
    <col min="8737" max="8737" width="10.08984375" customWidth="1"/>
    <col min="8738" max="8739" width="9.08984375" customWidth="1"/>
    <col min="8740" max="8740" width="11" customWidth="1"/>
    <col min="8741" max="8741" width="12" customWidth="1"/>
    <col min="8742" max="8742" width="35.6328125" customWidth="1"/>
    <col min="8743" max="8743" width="9.08984375" customWidth="1"/>
    <col min="8744" max="8744" width="35.6328125" customWidth="1"/>
    <col min="8745" max="8745" width="9.08984375" customWidth="1"/>
    <col min="8965" max="8967" width="9.08984375" customWidth="1"/>
    <col min="8968" max="8968" width="10.6328125" customWidth="1"/>
    <col min="8969" max="8971" width="22.6328125" customWidth="1"/>
    <col min="8976" max="8979" width="9.08984375" customWidth="1"/>
    <col min="8980" max="8980" width="11.08984375" customWidth="1"/>
    <col min="8981" max="8981" width="9.08984375" customWidth="1"/>
    <col min="8982" max="8982" width="100.6328125" customWidth="1"/>
    <col min="8983" max="8983" width="12.6328125" customWidth="1"/>
    <col min="8984" max="8984" width="20.6328125" customWidth="1"/>
    <col min="8985" max="8985" width="10.6328125" customWidth="1"/>
    <col min="8986" max="8986" width="20.6328125" customWidth="1"/>
    <col min="8987" max="8987" width="15.6328125" customWidth="1"/>
    <col min="8988" max="8992" width="9.08984375" customWidth="1"/>
    <col min="8993" max="8993" width="10.08984375" customWidth="1"/>
    <col min="8994" max="8995" width="9.08984375" customWidth="1"/>
    <col min="8996" max="8996" width="11" customWidth="1"/>
    <col min="8997" max="8997" width="12" customWidth="1"/>
    <col min="8998" max="8998" width="35.6328125" customWidth="1"/>
    <col min="8999" max="8999" width="9.08984375" customWidth="1"/>
    <col min="9000" max="9000" width="35.6328125" customWidth="1"/>
    <col min="9001" max="9001" width="9.08984375" customWidth="1"/>
    <col min="9221" max="9223" width="9.08984375" customWidth="1"/>
    <col min="9224" max="9224" width="10.6328125" customWidth="1"/>
    <col min="9225" max="9227" width="22.6328125" customWidth="1"/>
    <col min="9232" max="9235" width="9.08984375" customWidth="1"/>
    <col min="9236" max="9236" width="11.08984375" customWidth="1"/>
    <col min="9237" max="9237" width="9.08984375" customWidth="1"/>
    <col min="9238" max="9238" width="100.6328125" customWidth="1"/>
    <col min="9239" max="9239" width="12.6328125" customWidth="1"/>
    <col min="9240" max="9240" width="20.6328125" customWidth="1"/>
    <col min="9241" max="9241" width="10.6328125" customWidth="1"/>
    <col min="9242" max="9242" width="20.6328125" customWidth="1"/>
    <col min="9243" max="9243" width="15.6328125" customWidth="1"/>
    <col min="9244" max="9248" width="9.08984375" customWidth="1"/>
    <col min="9249" max="9249" width="10.08984375" customWidth="1"/>
    <col min="9250" max="9251" width="9.08984375" customWidth="1"/>
    <col min="9252" max="9252" width="11" customWidth="1"/>
    <col min="9253" max="9253" width="12" customWidth="1"/>
    <col min="9254" max="9254" width="35.6328125" customWidth="1"/>
    <col min="9255" max="9255" width="9.08984375" customWidth="1"/>
    <col min="9256" max="9256" width="35.6328125" customWidth="1"/>
    <col min="9257" max="9257" width="9.08984375" customWidth="1"/>
    <col min="9477" max="9479" width="9.08984375" customWidth="1"/>
    <col min="9480" max="9480" width="10.6328125" customWidth="1"/>
    <col min="9481" max="9483" width="22.6328125" customWidth="1"/>
    <col min="9488" max="9491" width="9.08984375" customWidth="1"/>
    <col min="9492" max="9492" width="11.08984375" customWidth="1"/>
    <col min="9493" max="9493" width="9.08984375" customWidth="1"/>
    <col min="9494" max="9494" width="100.6328125" customWidth="1"/>
    <col min="9495" max="9495" width="12.6328125" customWidth="1"/>
    <col min="9496" max="9496" width="20.6328125" customWidth="1"/>
    <col min="9497" max="9497" width="10.6328125" customWidth="1"/>
    <col min="9498" max="9498" width="20.6328125" customWidth="1"/>
    <col min="9499" max="9499" width="15.6328125" customWidth="1"/>
    <col min="9500" max="9504" width="9.08984375" customWidth="1"/>
    <col min="9505" max="9505" width="10.08984375" customWidth="1"/>
    <col min="9506" max="9507" width="9.08984375" customWidth="1"/>
    <col min="9508" max="9508" width="11" customWidth="1"/>
    <col min="9509" max="9509" width="12" customWidth="1"/>
    <col min="9510" max="9510" width="35.6328125" customWidth="1"/>
    <col min="9511" max="9511" width="9.08984375" customWidth="1"/>
    <col min="9512" max="9512" width="35.6328125" customWidth="1"/>
    <col min="9513" max="9513" width="9.08984375" customWidth="1"/>
    <col min="9733" max="9735" width="9.08984375" customWidth="1"/>
    <col min="9736" max="9736" width="10.6328125" customWidth="1"/>
    <col min="9737" max="9739" width="22.6328125" customWidth="1"/>
    <col min="9744" max="9747" width="9.08984375" customWidth="1"/>
    <col min="9748" max="9748" width="11.08984375" customWidth="1"/>
    <col min="9749" max="9749" width="9.08984375" customWidth="1"/>
    <col min="9750" max="9750" width="100.6328125" customWidth="1"/>
    <col min="9751" max="9751" width="12.6328125" customWidth="1"/>
    <col min="9752" max="9752" width="20.6328125" customWidth="1"/>
    <col min="9753" max="9753" width="10.6328125" customWidth="1"/>
    <col min="9754" max="9754" width="20.6328125" customWidth="1"/>
    <col min="9755" max="9755" width="15.6328125" customWidth="1"/>
    <col min="9756" max="9760" width="9.08984375" customWidth="1"/>
    <col min="9761" max="9761" width="10.08984375" customWidth="1"/>
    <col min="9762" max="9763" width="9.08984375" customWidth="1"/>
    <col min="9764" max="9764" width="11" customWidth="1"/>
    <col min="9765" max="9765" width="12" customWidth="1"/>
    <col min="9766" max="9766" width="35.6328125" customWidth="1"/>
    <col min="9767" max="9767" width="9.08984375" customWidth="1"/>
    <col min="9768" max="9768" width="35.6328125" customWidth="1"/>
    <col min="9769" max="9769" width="9.08984375" customWidth="1"/>
    <col min="9989" max="9991" width="9.08984375" customWidth="1"/>
    <col min="9992" max="9992" width="10.6328125" customWidth="1"/>
    <col min="9993" max="9995" width="22.6328125" customWidth="1"/>
    <col min="10000" max="10003" width="9.08984375" customWidth="1"/>
    <col min="10004" max="10004" width="11.08984375" customWidth="1"/>
    <col min="10005" max="10005" width="9.08984375" customWidth="1"/>
    <col min="10006" max="10006" width="100.6328125" customWidth="1"/>
    <col min="10007" max="10007" width="12.6328125" customWidth="1"/>
    <col min="10008" max="10008" width="20.6328125" customWidth="1"/>
    <col min="10009" max="10009" width="10.6328125" customWidth="1"/>
    <col min="10010" max="10010" width="20.6328125" customWidth="1"/>
    <col min="10011" max="10011" width="15.6328125" customWidth="1"/>
    <col min="10012" max="10016" width="9.08984375" customWidth="1"/>
    <col min="10017" max="10017" width="10.08984375" customWidth="1"/>
    <col min="10018" max="10019" width="9.08984375" customWidth="1"/>
    <col min="10020" max="10020" width="11" customWidth="1"/>
    <col min="10021" max="10021" width="12" customWidth="1"/>
    <col min="10022" max="10022" width="35.6328125" customWidth="1"/>
    <col min="10023" max="10023" width="9.08984375" customWidth="1"/>
    <col min="10024" max="10024" width="35.6328125" customWidth="1"/>
    <col min="10025" max="10025" width="9.08984375" customWidth="1"/>
    <col min="10245" max="10247" width="9.08984375" customWidth="1"/>
    <col min="10248" max="10248" width="10.6328125" customWidth="1"/>
    <col min="10249" max="10251" width="22.6328125" customWidth="1"/>
    <col min="10256" max="10259" width="9.08984375" customWidth="1"/>
    <col min="10260" max="10260" width="11.08984375" customWidth="1"/>
    <col min="10261" max="10261" width="9.08984375" customWidth="1"/>
    <col min="10262" max="10262" width="100.6328125" customWidth="1"/>
    <col min="10263" max="10263" width="12.6328125" customWidth="1"/>
    <col min="10264" max="10264" width="20.6328125" customWidth="1"/>
    <col min="10265" max="10265" width="10.6328125" customWidth="1"/>
    <col min="10266" max="10266" width="20.6328125" customWidth="1"/>
    <col min="10267" max="10267" width="15.6328125" customWidth="1"/>
    <col min="10268" max="10272" width="9.08984375" customWidth="1"/>
    <col min="10273" max="10273" width="10.08984375" customWidth="1"/>
    <col min="10274" max="10275" width="9.08984375" customWidth="1"/>
    <col min="10276" max="10276" width="11" customWidth="1"/>
    <col min="10277" max="10277" width="12" customWidth="1"/>
    <col min="10278" max="10278" width="35.6328125" customWidth="1"/>
    <col min="10279" max="10279" width="9.08984375" customWidth="1"/>
    <col min="10280" max="10280" width="35.6328125" customWidth="1"/>
    <col min="10281" max="10281" width="9.08984375" customWidth="1"/>
    <col min="10501" max="10503" width="9.08984375" customWidth="1"/>
    <col min="10504" max="10504" width="10.6328125" customWidth="1"/>
    <col min="10505" max="10507" width="22.6328125" customWidth="1"/>
    <col min="10512" max="10515" width="9.08984375" customWidth="1"/>
    <col min="10516" max="10516" width="11.08984375" customWidth="1"/>
    <col min="10517" max="10517" width="9.08984375" customWidth="1"/>
    <col min="10518" max="10518" width="100.6328125" customWidth="1"/>
    <col min="10519" max="10519" width="12.6328125" customWidth="1"/>
    <col min="10520" max="10520" width="20.6328125" customWidth="1"/>
    <col min="10521" max="10521" width="10.6328125" customWidth="1"/>
    <col min="10522" max="10522" width="20.6328125" customWidth="1"/>
    <col min="10523" max="10523" width="15.6328125" customWidth="1"/>
    <col min="10524" max="10528" width="9.08984375" customWidth="1"/>
    <col min="10529" max="10529" width="10.08984375" customWidth="1"/>
    <col min="10530" max="10531" width="9.08984375" customWidth="1"/>
    <col min="10532" max="10532" width="11" customWidth="1"/>
    <col min="10533" max="10533" width="12" customWidth="1"/>
    <col min="10534" max="10534" width="35.6328125" customWidth="1"/>
    <col min="10535" max="10535" width="9.08984375" customWidth="1"/>
    <col min="10536" max="10536" width="35.6328125" customWidth="1"/>
    <col min="10537" max="10537" width="9.08984375" customWidth="1"/>
    <col min="10757" max="10759" width="9.08984375" customWidth="1"/>
    <col min="10760" max="10760" width="10.6328125" customWidth="1"/>
    <col min="10761" max="10763" width="22.6328125" customWidth="1"/>
    <col min="10768" max="10771" width="9.08984375" customWidth="1"/>
    <col min="10772" max="10772" width="11.08984375" customWidth="1"/>
    <col min="10773" max="10773" width="9.08984375" customWidth="1"/>
    <col min="10774" max="10774" width="100.6328125" customWidth="1"/>
    <col min="10775" max="10775" width="12.6328125" customWidth="1"/>
    <col min="10776" max="10776" width="20.6328125" customWidth="1"/>
    <col min="10777" max="10777" width="10.6328125" customWidth="1"/>
    <col min="10778" max="10778" width="20.6328125" customWidth="1"/>
    <col min="10779" max="10779" width="15.6328125" customWidth="1"/>
    <col min="10780" max="10784" width="9.08984375" customWidth="1"/>
    <col min="10785" max="10785" width="10.08984375" customWidth="1"/>
    <col min="10786" max="10787" width="9.08984375" customWidth="1"/>
    <col min="10788" max="10788" width="11" customWidth="1"/>
    <col min="10789" max="10789" width="12" customWidth="1"/>
    <col min="10790" max="10790" width="35.6328125" customWidth="1"/>
    <col min="10791" max="10791" width="9.08984375" customWidth="1"/>
    <col min="10792" max="10792" width="35.6328125" customWidth="1"/>
    <col min="10793" max="10793" width="9.08984375" customWidth="1"/>
    <col min="11013" max="11015" width="9.08984375" customWidth="1"/>
    <col min="11016" max="11016" width="10.6328125" customWidth="1"/>
    <col min="11017" max="11019" width="22.6328125" customWidth="1"/>
    <col min="11024" max="11027" width="9.08984375" customWidth="1"/>
    <col min="11028" max="11028" width="11.08984375" customWidth="1"/>
    <col min="11029" max="11029" width="9.08984375" customWidth="1"/>
    <col min="11030" max="11030" width="100.6328125" customWidth="1"/>
    <col min="11031" max="11031" width="12.6328125" customWidth="1"/>
    <col min="11032" max="11032" width="20.6328125" customWidth="1"/>
    <col min="11033" max="11033" width="10.6328125" customWidth="1"/>
    <col min="11034" max="11034" width="20.6328125" customWidth="1"/>
    <col min="11035" max="11035" width="15.6328125" customWidth="1"/>
    <col min="11036" max="11040" width="9.08984375" customWidth="1"/>
    <col min="11041" max="11041" width="10.08984375" customWidth="1"/>
    <col min="11042" max="11043" width="9.08984375" customWidth="1"/>
    <col min="11044" max="11044" width="11" customWidth="1"/>
    <col min="11045" max="11045" width="12" customWidth="1"/>
    <col min="11046" max="11046" width="35.6328125" customWidth="1"/>
    <col min="11047" max="11047" width="9.08984375" customWidth="1"/>
    <col min="11048" max="11048" width="35.6328125" customWidth="1"/>
    <col min="11049" max="11049" width="9.08984375" customWidth="1"/>
    <col min="11269" max="11271" width="9.08984375" customWidth="1"/>
    <col min="11272" max="11272" width="10.6328125" customWidth="1"/>
    <col min="11273" max="11275" width="22.6328125" customWidth="1"/>
    <col min="11280" max="11283" width="9.08984375" customWidth="1"/>
    <col min="11284" max="11284" width="11.08984375" customWidth="1"/>
    <col min="11285" max="11285" width="9.08984375" customWidth="1"/>
    <col min="11286" max="11286" width="100.6328125" customWidth="1"/>
    <col min="11287" max="11287" width="12.6328125" customWidth="1"/>
    <col min="11288" max="11288" width="20.6328125" customWidth="1"/>
    <col min="11289" max="11289" width="10.6328125" customWidth="1"/>
    <col min="11290" max="11290" width="20.6328125" customWidth="1"/>
    <col min="11291" max="11291" width="15.6328125" customWidth="1"/>
    <col min="11292" max="11296" width="9.08984375" customWidth="1"/>
    <col min="11297" max="11297" width="10.08984375" customWidth="1"/>
    <col min="11298" max="11299" width="9.08984375" customWidth="1"/>
    <col min="11300" max="11300" width="11" customWidth="1"/>
    <col min="11301" max="11301" width="12" customWidth="1"/>
    <col min="11302" max="11302" width="35.6328125" customWidth="1"/>
    <col min="11303" max="11303" width="9.08984375" customWidth="1"/>
    <col min="11304" max="11304" width="35.6328125" customWidth="1"/>
    <col min="11305" max="11305" width="9.08984375" customWidth="1"/>
    <col min="11525" max="11527" width="9.08984375" customWidth="1"/>
    <col min="11528" max="11528" width="10.6328125" customWidth="1"/>
    <col min="11529" max="11531" width="22.6328125" customWidth="1"/>
    <col min="11536" max="11539" width="9.08984375" customWidth="1"/>
    <col min="11540" max="11540" width="11.08984375" customWidth="1"/>
    <col min="11541" max="11541" width="9.08984375" customWidth="1"/>
    <col min="11542" max="11542" width="100.6328125" customWidth="1"/>
    <col min="11543" max="11543" width="12.6328125" customWidth="1"/>
    <col min="11544" max="11544" width="20.6328125" customWidth="1"/>
    <col min="11545" max="11545" width="10.6328125" customWidth="1"/>
    <col min="11546" max="11546" width="20.6328125" customWidth="1"/>
    <col min="11547" max="11547" width="15.6328125" customWidth="1"/>
    <col min="11548" max="11552" width="9.08984375" customWidth="1"/>
    <col min="11553" max="11553" width="10.08984375" customWidth="1"/>
    <col min="11554" max="11555" width="9.08984375" customWidth="1"/>
    <col min="11556" max="11556" width="11" customWidth="1"/>
    <col min="11557" max="11557" width="12" customWidth="1"/>
    <col min="11558" max="11558" width="35.6328125" customWidth="1"/>
    <col min="11559" max="11559" width="9.08984375" customWidth="1"/>
    <col min="11560" max="11560" width="35.6328125" customWidth="1"/>
    <col min="11561" max="11561" width="9.08984375" customWidth="1"/>
    <col min="11781" max="11783" width="9.08984375" customWidth="1"/>
    <col min="11784" max="11784" width="10.6328125" customWidth="1"/>
    <col min="11785" max="11787" width="22.6328125" customWidth="1"/>
    <col min="11792" max="11795" width="9.08984375" customWidth="1"/>
    <col min="11796" max="11796" width="11.08984375" customWidth="1"/>
    <col min="11797" max="11797" width="9.08984375" customWidth="1"/>
    <col min="11798" max="11798" width="100.6328125" customWidth="1"/>
    <col min="11799" max="11799" width="12.6328125" customWidth="1"/>
    <col min="11800" max="11800" width="20.6328125" customWidth="1"/>
    <col min="11801" max="11801" width="10.6328125" customWidth="1"/>
    <col min="11802" max="11802" width="20.6328125" customWidth="1"/>
    <col min="11803" max="11803" width="15.6328125" customWidth="1"/>
    <col min="11804" max="11808" width="9.08984375" customWidth="1"/>
    <col min="11809" max="11809" width="10.08984375" customWidth="1"/>
    <col min="11810" max="11811" width="9.08984375" customWidth="1"/>
    <col min="11812" max="11812" width="11" customWidth="1"/>
    <col min="11813" max="11813" width="12" customWidth="1"/>
    <col min="11814" max="11814" width="35.6328125" customWidth="1"/>
    <col min="11815" max="11815" width="9.08984375" customWidth="1"/>
    <col min="11816" max="11816" width="35.6328125" customWidth="1"/>
    <col min="11817" max="11817" width="9.08984375" customWidth="1"/>
    <col min="12037" max="12039" width="9.08984375" customWidth="1"/>
    <col min="12040" max="12040" width="10.6328125" customWidth="1"/>
    <col min="12041" max="12043" width="22.6328125" customWidth="1"/>
    <col min="12048" max="12051" width="9.08984375" customWidth="1"/>
    <col min="12052" max="12052" width="11.08984375" customWidth="1"/>
    <col min="12053" max="12053" width="9.08984375" customWidth="1"/>
    <col min="12054" max="12054" width="100.6328125" customWidth="1"/>
    <col min="12055" max="12055" width="12.6328125" customWidth="1"/>
    <col min="12056" max="12056" width="20.6328125" customWidth="1"/>
    <col min="12057" max="12057" width="10.6328125" customWidth="1"/>
    <col min="12058" max="12058" width="20.6328125" customWidth="1"/>
    <col min="12059" max="12059" width="15.6328125" customWidth="1"/>
    <col min="12060" max="12064" width="9.08984375" customWidth="1"/>
    <col min="12065" max="12065" width="10.08984375" customWidth="1"/>
    <col min="12066" max="12067" width="9.08984375" customWidth="1"/>
    <col min="12068" max="12068" width="11" customWidth="1"/>
    <col min="12069" max="12069" width="12" customWidth="1"/>
    <col min="12070" max="12070" width="35.6328125" customWidth="1"/>
    <col min="12071" max="12071" width="9.08984375" customWidth="1"/>
    <col min="12072" max="12072" width="35.6328125" customWidth="1"/>
    <col min="12073" max="12073" width="9.08984375" customWidth="1"/>
    <col min="12293" max="12295" width="9.08984375" customWidth="1"/>
    <col min="12296" max="12296" width="10.6328125" customWidth="1"/>
    <col min="12297" max="12299" width="22.6328125" customWidth="1"/>
    <col min="12304" max="12307" width="9.08984375" customWidth="1"/>
    <col min="12308" max="12308" width="11.08984375" customWidth="1"/>
    <col min="12309" max="12309" width="9.08984375" customWidth="1"/>
    <col min="12310" max="12310" width="100.6328125" customWidth="1"/>
    <col min="12311" max="12311" width="12.6328125" customWidth="1"/>
    <col min="12312" max="12312" width="20.6328125" customWidth="1"/>
    <col min="12313" max="12313" width="10.6328125" customWidth="1"/>
    <col min="12314" max="12314" width="20.6328125" customWidth="1"/>
    <col min="12315" max="12315" width="15.6328125" customWidth="1"/>
    <col min="12316" max="12320" width="9.08984375" customWidth="1"/>
    <col min="12321" max="12321" width="10.08984375" customWidth="1"/>
    <col min="12322" max="12323" width="9.08984375" customWidth="1"/>
    <col min="12324" max="12324" width="11" customWidth="1"/>
    <col min="12325" max="12325" width="12" customWidth="1"/>
    <col min="12326" max="12326" width="35.6328125" customWidth="1"/>
    <col min="12327" max="12327" width="9.08984375" customWidth="1"/>
    <col min="12328" max="12328" width="35.6328125" customWidth="1"/>
    <col min="12329" max="12329" width="9.08984375" customWidth="1"/>
    <col min="12549" max="12551" width="9.08984375" customWidth="1"/>
    <col min="12552" max="12552" width="10.6328125" customWidth="1"/>
    <col min="12553" max="12555" width="22.6328125" customWidth="1"/>
    <col min="12560" max="12563" width="9.08984375" customWidth="1"/>
    <col min="12564" max="12564" width="11.08984375" customWidth="1"/>
    <col min="12565" max="12565" width="9.08984375" customWidth="1"/>
    <col min="12566" max="12566" width="100.6328125" customWidth="1"/>
    <col min="12567" max="12567" width="12.6328125" customWidth="1"/>
    <col min="12568" max="12568" width="20.6328125" customWidth="1"/>
    <col min="12569" max="12569" width="10.6328125" customWidth="1"/>
    <col min="12570" max="12570" width="20.6328125" customWidth="1"/>
    <col min="12571" max="12571" width="15.6328125" customWidth="1"/>
    <col min="12572" max="12576" width="9.08984375" customWidth="1"/>
    <col min="12577" max="12577" width="10.08984375" customWidth="1"/>
    <col min="12578" max="12579" width="9.08984375" customWidth="1"/>
    <col min="12580" max="12580" width="11" customWidth="1"/>
    <col min="12581" max="12581" width="12" customWidth="1"/>
    <col min="12582" max="12582" width="35.6328125" customWidth="1"/>
    <col min="12583" max="12583" width="9.08984375" customWidth="1"/>
    <col min="12584" max="12584" width="35.6328125" customWidth="1"/>
    <col min="12585" max="12585" width="9.08984375" customWidth="1"/>
    <col min="12805" max="12807" width="9.08984375" customWidth="1"/>
    <col min="12808" max="12808" width="10.6328125" customWidth="1"/>
    <col min="12809" max="12811" width="22.6328125" customWidth="1"/>
    <col min="12816" max="12819" width="9.08984375" customWidth="1"/>
    <col min="12820" max="12820" width="11.08984375" customWidth="1"/>
    <col min="12821" max="12821" width="9.08984375" customWidth="1"/>
    <col min="12822" max="12822" width="100.6328125" customWidth="1"/>
    <col min="12823" max="12823" width="12.6328125" customWidth="1"/>
    <col min="12824" max="12824" width="20.6328125" customWidth="1"/>
    <col min="12825" max="12825" width="10.6328125" customWidth="1"/>
    <col min="12826" max="12826" width="20.6328125" customWidth="1"/>
    <col min="12827" max="12827" width="15.6328125" customWidth="1"/>
    <col min="12828" max="12832" width="9.08984375" customWidth="1"/>
    <col min="12833" max="12833" width="10.08984375" customWidth="1"/>
    <col min="12834" max="12835" width="9.08984375" customWidth="1"/>
    <col min="12836" max="12836" width="11" customWidth="1"/>
    <col min="12837" max="12837" width="12" customWidth="1"/>
    <col min="12838" max="12838" width="35.6328125" customWidth="1"/>
    <col min="12839" max="12839" width="9.08984375" customWidth="1"/>
    <col min="12840" max="12840" width="35.6328125" customWidth="1"/>
    <col min="12841" max="12841" width="9.08984375" customWidth="1"/>
    <col min="13061" max="13063" width="9.08984375" customWidth="1"/>
    <col min="13064" max="13064" width="10.6328125" customWidth="1"/>
    <col min="13065" max="13067" width="22.6328125" customWidth="1"/>
    <col min="13072" max="13075" width="9.08984375" customWidth="1"/>
    <col min="13076" max="13076" width="11.08984375" customWidth="1"/>
    <col min="13077" max="13077" width="9.08984375" customWidth="1"/>
    <col min="13078" max="13078" width="100.6328125" customWidth="1"/>
    <col min="13079" max="13079" width="12.6328125" customWidth="1"/>
    <col min="13080" max="13080" width="20.6328125" customWidth="1"/>
    <col min="13081" max="13081" width="10.6328125" customWidth="1"/>
    <col min="13082" max="13082" width="20.6328125" customWidth="1"/>
    <col min="13083" max="13083" width="15.6328125" customWidth="1"/>
    <col min="13084" max="13088" width="9.08984375" customWidth="1"/>
    <col min="13089" max="13089" width="10.08984375" customWidth="1"/>
    <col min="13090" max="13091" width="9.08984375" customWidth="1"/>
    <col min="13092" max="13092" width="11" customWidth="1"/>
    <col min="13093" max="13093" width="12" customWidth="1"/>
    <col min="13094" max="13094" width="35.6328125" customWidth="1"/>
    <col min="13095" max="13095" width="9.08984375" customWidth="1"/>
    <col min="13096" max="13096" width="35.6328125" customWidth="1"/>
    <col min="13097" max="13097" width="9.08984375" customWidth="1"/>
    <col min="13317" max="13319" width="9.08984375" customWidth="1"/>
    <col min="13320" max="13320" width="10.6328125" customWidth="1"/>
    <col min="13321" max="13323" width="22.6328125" customWidth="1"/>
    <col min="13328" max="13331" width="9.08984375" customWidth="1"/>
    <col min="13332" max="13332" width="11.08984375" customWidth="1"/>
    <col min="13333" max="13333" width="9.08984375" customWidth="1"/>
    <col min="13334" max="13334" width="100.6328125" customWidth="1"/>
    <col min="13335" max="13335" width="12.6328125" customWidth="1"/>
    <col min="13336" max="13336" width="20.6328125" customWidth="1"/>
    <col min="13337" max="13337" width="10.6328125" customWidth="1"/>
    <col min="13338" max="13338" width="20.6328125" customWidth="1"/>
    <col min="13339" max="13339" width="15.6328125" customWidth="1"/>
    <col min="13340" max="13344" width="9.08984375" customWidth="1"/>
    <col min="13345" max="13345" width="10.08984375" customWidth="1"/>
    <col min="13346" max="13347" width="9.08984375" customWidth="1"/>
    <col min="13348" max="13348" width="11" customWidth="1"/>
    <col min="13349" max="13349" width="12" customWidth="1"/>
    <col min="13350" max="13350" width="35.6328125" customWidth="1"/>
    <col min="13351" max="13351" width="9.08984375" customWidth="1"/>
    <col min="13352" max="13352" width="35.6328125" customWidth="1"/>
    <col min="13353" max="13353" width="9.08984375" customWidth="1"/>
    <col min="13573" max="13575" width="9.08984375" customWidth="1"/>
    <col min="13576" max="13576" width="10.6328125" customWidth="1"/>
    <col min="13577" max="13579" width="22.6328125" customWidth="1"/>
    <col min="13584" max="13587" width="9.08984375" customWidth="1"/>
    <col min="13588" max="13588" width="11.08984375" customWidth="1"/>
    <col min="13589" max="13589" width="9.08984375" customWidth="1"/>
    <col min="13590" max="13590" width="100.6328125" customWidth="1"/>
    <col min="13591" max="13591" width="12.6328125" customWidth="1"/>
    <col min="13592" max="13592" width="20.6328125" customWidth="1"/>
    <col min="13593" max="13593" width="10.6328125" customWidth="1"/>
    <col min="13594" max="13594" width="20.6328125" customWidth="1"/>
    <col min="13595" max="13595" width="15.6328125" customWidth="1"/>
    <col min="13596" max="13600" width="9.08984375" customWidth="1"/>
    <col min="13601" max="13601" width="10.08984375" customWidth="1"/>
    <col min="13602" max="13603" width="9.08984375" customWidth="1"/>
    <col min="13604" max="13604" width="11" customWidth="1"/>
    <col min="13605" max="13605" width="12" customWidth="1"/>
    <col min="13606" max="13606" width="35.6328125" customWidth="1"/>
    <col min="13607" max="13607" width="9.08984375" customWidth="1"/>
    <col min="13608" max="13608" width="35.6328125" customWidth="1"/>
    <col min="13609" max="13609" width="9.08984375" customWidth="1"/>
    <col min="13829" max="13831" width="9.08984375" customWidth="1"/>
    <col min="13832" max="13832" width="10.6328125" customWidth="1"/>
    <col min="13833" max="13835" width="22.6328125" customWidth="1"/>
    <col min="13840" max="13843" width="9.08984375" customWidth="1"/>
    <col min="13844" max="13844" width="11.08984375" customWidth="1"/>
    <col min="13845" max="13845" width="9.08984375" customWidth="1"/>
    <col min="13846" max="13846" width="100.6328125" customWidth="1"/>
    <col min="13847" max="13847" width="12.6328125" customWidth="1"/>
    <col min="13848" max="13848" width="20.6328125" customWidth="1"/>
    <col min="13849" max="13849" width="10.6328125" customWidth="1"/>
    <col min="13850" max="13850" width="20.6328125" customWidth="1"/>
    <col min="13851" max="13851" width="15.6328125" customWidth="1"/>
    <col min="13852" max="13856" width="9.08984375" customWidth="1"/>
    <col min="13857" max="13857" width="10.08984375" customWidth="1"/>
    <col min="13858" max="13859" width="9.08984375" customWidth="1"/>
    <col min="13860" max="13860" width="11" customWidth="1"/>
    <col min="13861" max="13861" width="12" customWidth="1"/>
    <col min="13862" max="13862" width="35.6328125" customWidth="1"/>
    <col min="13863" max="13863" width="9.08984375" customWidth="1"/>
    <col min="13864" max="13864" width="35.6328125" customWidth="1"/>
    <col min="13865" max="13865" width="9.08984375" customWidth="1"/>
    <col min="14085" max="14087" width="9.08984375" customWidth="1"/>
    <col min="14088" max="14088" width="10.6328125" customWidth="1"/>
    <col min="14089" max="14091" width="22.6328125" customWidth="1"/>
    <col min="14096" max="14099" width="9.08984375" customWidth="1"/>
    <col min="14100" max="14100" width="11.08984375" customWidth="1"/>
    <col min="14101" max="14101" width="9.08984375" customWidth="1"/>
    <col min="14102" max="14102" width="100.6328125" customWidth="1"/>
    <col min="14103" max="14103" width="12.6328125" customWidth="1"/>
    <col min="14104" max="14104" width="20.6328125" customWidth="1"/>
    <col min="14105" max="14105" width="10.6328125" customWidth="1"/>
    <col min="14106" max="14106" width="20.6328125" customWidth="1"/>
    <col min="14107" max="14107" width="15.6328125" customWidth="1"/>
    <col min="14108" max="14112" width="9.08984375" customWidth="1"/>
    <col min="14113" max="14113" width="10.08984375" customWidth="1"/>
    <col min="14114" max="14115" width="9.08984375" customWidth="1"/>
    <col min="14116" max="14116" width="11" customWidth="1"/>
    <col min="14117" max="14117" width="12" customWidth="1"/>
    <col min="14118" max="14118" width="35.6328125" customWidth="1"/>
    <col min="14119" max="14119" width="9.08984375" customWidth="1"/>
    <col min="14120" max="14120" width="35.6328125" customWidth="1"/>
    <col min="14121" max="14121" width="9.08984375" customWidth="1"/>
    <col min="14341" max="14343" width="9.08984375" customWidth="1"/>
    <col min="14344" max="14344" width="10.6328125" customWidth="1"/>
    <col min="14345" max="14347" width="22.6328125" customWidth="1"/>
    <col min="14352" max="14355" width="9.08984375" customWidth="1"/>
    <col min="14356" max="14356" width="11.08984375" customWidth="1"/>
    <col min="14357" max="14357" width="9.08984375" customWidth="1"/>
    <col min="14358" max="14358" width="100.6328125" customWidth="1"/>
    <col min="14359" max="14359" width="12.6328125" customWidth="1"/>
    <col min="14360" max="14360" width="20.6328125" customWidth="1"/>
    <col min="14361" max="14361" width="10.6328125" customWidth="1"/>
    <col min="14362" max="14362" width="20.6328125" customWidth="1"/>
    <col min="14363" max="14363" width="15.6328125" customWidth="1"/>
    <col min="14364" max="14368" width="9.08984375" customWidth="1"/>
    <col min="14369" max="14369" width="10.08984375" customWidth="1"/>
    <col min="14370" max="14371" width="9.08984375" customWidth="1"/>
    <col min="14372" max="14372" width="11" customWidth="1"/>
    <col min="14373" max="14373" width="12" customWidth="1"/>
    <col min="14374" max="14374" width="35.6328125" customWidth="1"/>
    <col min="14375" max="14375" width="9.08984375" customWidth="1"/>
    <col min="14376" max="14376" width="35.6328125" customWidth="1"/>
    <col min="14377" max="14377" width="9.08984375" customWidth="1"/>
    <col min="14597" max="14599" width="9.08984375" customWidth="1"/>
    <col min="14600" max="14600" width="10.6328125" customWidth="1"/>
    <col min="14601" max="14603" width="22.6328125" customWidth="1"/>
    <col min="14608" max="14611" width="9.08984375" customWidth="1"/>
    <col min="14612" max="14612" width="11.08984375" customWidth="1"/>
    <col min="14613" max="14613" width="9.08984375" customWidth="1"/>
    <col min="14614" max="14614" width="100.6328125" customWidth="1"/>
    <col min="14615" max="14615" width="12.6328125" customWidth="1"/>
    <col min="14616" max="14616" width="20.6328125" customWidth="1"/>
    <col min="14617" max="14617" width="10.6328125" customWidth="1"/>
    <col min="14618" max="14618" width="20.6328125" customWidth="1"/>
    <col min="14619" max="14619" width="15.6328125" customWidth="1"/>
    <col min="14620" max="14624" width="9.08984375" customWidth="1"/>
    <col min="14625" max="14625" width="10.08984375" customWidth="1"/>
    <col min="14626" max="14627" width="9.08984375" customWidth="1"/>
    <col min="14628" max="14628" width="11" customWidth="1"/>
    <col min="14629" max="14629" width="12" customWidth="1"/>
    <col min="14630" max="14630" width="35.6328125" customWidth="1"/>
    <col min="14631" max="14631" width="9.08984375" customWidth="1"/>
    <col min="14632" max="14632" width="35.6328125" customWidth="1"/>
    <col min="14633" max="14633" width="9.08984375" customWidth="1"/>
    <col min="14853" max="14855" width="9.08984375" customWidth="1"/>
    <col min="14856" max="14856" width="10.6328125" customWidth="1"/>
    <col min="14857" max="14859" width="22.6328125" customWidth="1"/>
    <col min="14864" max="14867" width="9.08984375" customWidth="1"/>
    <col min="14868" max="14868" width="11.08984375" customWidth="1"/>
    <col min="14869" max="14869" width="9.08984375" customWidth="1"/>
    <col min="14870" max="14870" width="100.6328125" customWidth="1"/>
    <col min="14871" max="14871" width="12.6328125" customWidth="1"/>
    <col min="14872" max="14872" width="20.6328125" customWidth="1"/>
    <col min="14873" max="14873" width="10.6328125" customWidth="1"/>
    <col min="14874" max="14874" width="20.6328125" customWidth="1"/>
    <col min="14875" max="14875" width="15.6328125" customWidth="1"/>
    <col min="14876" max="14880" width="9.08984375" customWidth="1"/>
    <col min="14881" max="14881" width="10.08984375" customWidth="1"/>
    <col min="14882" max="14883" width="9.08984375" customWidth="1"/>
    <col min="14884" max="14884" width="11" customWidth="1"/>
    <col min="14885" max="14885" width="12" customWidth="1"/>
    <col min="14886" max="14886" width="35.6328125" customWidth="1"/>
    <col min="14887" max="14887" width="9.08984375" customWidth="1"/>
    <col min="14888" max="14888" width="35.6328125" customWidth="1"/>
    <col min="14889" max="14889" width="9.08984375" customWidth="1"/>
    <col min="15109" max="15111" width="9.08984375" customWidth="1"/>
    <col min="15112" max="15112" width="10.6328125" customWidth="1"/>
    <col min="15113" max="15115" width="22.6328125" customWidth="1"/>
    <col min="15120" max="15123" width="9.08984375" customWidth="1"/>
    <col min="15124" max="15124" width="11.08984375" customWidth="1"/>
    <col min="15125" max="15125" width="9.08984375" customWidth="1"/>
    <col min="15126" max="15126" width="100.6328125" customWidth="1"/>
    <col min="15127" max="15127" width="12.6328125" customWidth="1"/>
    <col min="15128" max="15128" width="20.6328125" customWidth="1"/>
    <col min="15129" max="15129" width="10.6328125" customWidth="1"/>
    <col min="15130" max="15130" width="20.6328125" customWidth="1"/>
    <col min="15131" max="15131" width="15.6328125" customWidth="1"/>
    <col min="15132" max="15136" width="9.08984375" customWidth="1"/>
    <col min="15137" max="15137" width="10.08984375" customWidth="1"/>
    <col min="15138" max="15139" width="9.08984375" customWidth="1"/>
    <col min="15140" max="15140" width="11" customWidth="1"/>
    <col min="15141" max="15141" width="12" customWidth="1"/>
    <col min="15142" max="15142" width="35.6328125" customWidth="1"/>
    <col min="15143" max="15143" width="9.08984375" customWidth="1"/>
    <col min="15144" max="15144" width="35.6328125" customWidth="1"/>
    <col min="15145" max="15145" width="9.08984375" customWidth="1"/>
    <col min="15365" max="15367" width="9.08984375" customWidth="1"/>
    <col min="15368" max="15368" width="10.6328125" customWidth="1"/>
    <col min="15369" max="15371" width="22.6328125" customWidth="1"/>
    <col min="15376" max="15379" width="9.08984375" customWidth="1"/>
    <col min="15380" max="15380" width="11.08984375" customWidth="1"/>
    <col min="15381" max="15381" width="9.08984375" customWidth="1"/>
    <col min="15382" max="15382" width="100.6328125" customWidth="1"/>
    <col min="15383" max="15383" width="12.6328125" customWidth="1"/>
    <col min="15384" max="15384" width="20.6328125" customWidth="1"/>
    <col min="15385" max="15385" width="10.6328125" customWidth="1"/>
    <col min="15386" max="15386" width="20.6328125" customWidth="1"/>
    <col min="15387" max="15387" width="15.6328125" customWidth="1"/>
    <col min="15388" max="15392" width="9.08984375" customWidth="1"/>
    <col min="15393" max="15393" width="10.08984375" customWidth="1"/>
    <col min="15394" max="15395" width="9.08984375" customWidth="1"/>
    <col min="15396" max="15396" width="11" customWidth="1"/>
    <col min="15397" max="15397" width="12" customWidth="1"/>
    <col min="15398" max="15398" width="35.6328125" customWidth="1"/>
    <col min="15399" max="15399" width="9.08984375" customWidth="1"/>
    <col min="15400" max="15400" width="35.6328125" customWidth="1"/>
    <col min="15401" max="15401" width="9.08984375" customWidth="1"/>
    <col min="15621" max="15623" width="9.08984375" customWidth="1"/>
    <col min="15624" max="15624" width="10.6328125" customWidth="1"/>
    <col min="15625" max="15627" width="22.6328125" customWidth="1"/>
    <col min="15632" max="15635" width="9.08984375" customWidth="1"/>
    <col min="15636" max="15636" width="11.08984375" customWidth="1"/>
    <col min="15637" max="15637" width="9.08984375" customWidth="1"/>
    <col min="15638" max="15638" width="100.6328125" customWidth="1"/>
    <col min="15639" max="15639" width="12.6328125" customWidth="1"/>
    <col min="15640" max="15640" width="20.6328125" customWidth="1"/>
    <col min="15641" max="15641" width="10.6328125" customWidth="1"/>
    <col min="15642" max="15642" width="20.6328125" customWidth="1"/>
    <col min="15643" max="15643" width="15.6328125" customWidth="1"/>
    <col min="15644" max="15648" width="9.08984375" customWidth="1"/>
    <col min="15649" max="15649" width="10.08984375" customWidth="1"/>
    <col min="15650" max="15651" width="9.08984375" customWidth="1"/>
    <col min="15652" max="15652" width="11" customWidth="1"/>
    <col min="15653" max="15653" width="12" customWidth="1"/>
    <col min="15654" max="15654" width="35.6328125" customWidth="1"/>
    <col min="15655" max="15655" width="9.08984375" customWidth="1"/>
    <col min="15656" max="15656" width="35.6328125" customWidth="1"/>
    <col min="15657" max="15657" width="9.08984375" customWidth="1"/>
    <col min="15877" max="15879" width="9.08984375" customWidth="1"/>
    <col min="15880" max="15880" width="10.6328125" customWidth="1"/>
    <col min="15881" max="15883" width="22.6328125" customWidth="1"/>
    <col min="15888" max="15891" width="9.08984375" customWidth="1"/>
    <col min="15892" max="15892" width="11.08984375" customWidth="1"/>
    <col min="15893" max="15893" width="9.08984375" customWidth="1"/>
    <col min="15894" max="15894" width="100.6328125" customWidth="1"/>
    <col min="15895" max="15895" width="12.6328125" customWidth="1"/>
    <col min="15896" max="15896" width="20.6328125" customWidth="1"/>
    <col min="15897" max="15897" width="10.6328125" customWidth="1"/>
    <col min="15898" max="15898" width="20.6328125" customWidth="1"/>
    <col min="15899" max="15899" width="15.6328125" customWidth="1"/>
    <col min="15900" max="15904" width="9.08984375" customWidth="1"/>
    <col min="15905" max="15905" width="10.08984375" customWidth="1"/>
    <col min="15906" max="15907" width="9.08984375" customWidth="1"/>
    <col min="15908" max="15908" width="11" customWidth="1"/>
    <col min="15909" max="15909" width="12" customWidth="1"/>
    <col min="15910" max="15910" width="35.6328125" customWidth="1"/>
    <col min="15911" max="15911" width="9.08984375" customWidth="1"/>
    <col min="15912" max="15912" width="35.6328125" customWidth="1"/>
    <col min="15913" max="15913" width="9.08984375" customWidth="1"/>
    <col min="16133" max="16135" width="9.08984375" customWidth="1"/>
    <col min="16136" max="16136" width="10.6328125" customWidth="1"/>
    <col min="16137" max="16139" width="22.6328125" customWidth="1"/>
    <col min="16144" max="16147" width="9.08984375" customWidth="1"/>
    <col min="16148" max="16148" width="11.08984375" customWidth="1"/>
    <col min="16149" max="16149" width="9.08984375" customWidth="1"/>
    <col min="16150" max="16150" width="100.6328125" customWidth="1"/>
    <col min="16151" max="16151" width="12.6328125" customWidth="1"/>
    <col min="16152" max="16152" width="20.6328125" customWidth="1"/>
    <col min="16153" max="16153" width="10.6328125" customWidth="1"/>
    <col min="16154" max="16154" width="20.6328125" customWidth="1"/>
    <col min="16155" max="16155" width="15.6328125" customWidth="1"/>
    <col min="16156" max="16160" width="9.08984375" customWidth="1"/>
    <col min="16161" max="16161" width="10.08984375" customWidth="1"/>
    <col min="16162" max="16163" width="9.08984375" customWidth="1"/>
    <col min="16164" max="16164" width="11" customWidth="1"/>
    <col min="16165" max="16165" width="12" customWidth="1"/>
    <col min="16166" max="16166" width="35.6328125" customWidth="1"/>
    <col min="16167" max="16167" width="9.08984375" customWidth="1"/>
    <col min="16168" max="16168" width="35.6328125" customWidth="1"/>
    <col min="16169" max="16169" width="9.08984375" customWidth="1"/>
  </cols>
  <sheetData>
    <row r="3" spans="2:32" ht="30" customHeight="1" x14ac:dyDescent="0.25">
      <c r="R3" s="452" t="s">
        <v>101</v>
      </c>
      <c r="S3" s="452"/>
      <c r="T3" s="452"/>
      <c r="U3" s="453"/>
    </row>
    <row r="5" spans="2:32" x14ac:dyDescent="0.25">
      <c r="Q5" s="454" t="b">
        <v>0</v>
      </c>
      <c r="R5" s="455" t="str">
        <f>INDEX($R$8:$R$17,$R$6,1)</f>
        <v>2019/20</v>
      </c>
      <c r="S5" s="476" t="str">
        <f>INDEX($S$8:$S$17,$S$6,1)</f>
        <v>All Provinces</v>
      </c>
      <c r="T5" s="455" t="str">
        <f>INDEX($T$8:$T$11,$T$6,1)</f>
        <v>4th Quarter</v>
      </c>
      <c r="U5" s="455" t="str">
        <f>LEFT(FinYear,4) &amp; "-" &amp; RIGHT(FinYear,2)</f>
        <v>2019-20</v>
      </c>
      <c r="V5" s="454" t="str">
        <f>INDEX($V$8:$V$17,$V$6,1)</f>
        <v>ALL PROVINCES</v>
      </c>
    </row>
    <row r="6" spans="2:32" ht="13" x14ac:dyDescent="0.25">
      <c r="Q6" s="455"/>
      <c r="R6" s="454">
        <v>5</v>
      </c>
      <c r="S6" s="454">
        <v>2</v>
      </c>
      <c r="T6" s="459">
        <v>4</v>
      </c>
      <c r="V6" s="454">
        <v>10</v>
      </c>
    </row>
    <row r="7" spans="2:32" ht="26" x14ac:dyDescent="0.25">
      <c r="B7" s="456"/>
      <c r="C7" s="472" t="s">
        <v>183</v>
      </c>
      <c r="D7" s="457"/>
      <c r="E7" s="457"/>
      <c r="F7" s="457"/>
      <c r="G7" s="457"/>
      <c r="H7" s="457"/>
      <c r="I7" s="457"/>
      <c r="J7" s="457"/>
      <c r="K7" s="457"/>
      <c r="L7" s="457"/>
      <c r="M7" s="457"/>
      <c r="N7" s="458"/>
      <c r="Q7" s="454" t="b">
        <v>0</v>
      </c>
      <c r="R7" s="459" t="s">
        <v>102</v>
      </c>
      <c r="S7" s="459" t="s">
        <v>175</v>
      </c>
      <c r="T7" s="459" t="s">
        <v>99</v>
      </c>
      <c r="U7" s="459" t="s">
        <v>181</v>
      </c>
      <c r="V7" s="459" t="s">
        <v>155</v>
      </c>
      <c r="W7" s="459" t="s">
        <v>103</v>
      </c>
      <c r="X7" s="459" t="s">
        <v>104</v>
      </c>
      <c r="Y7" s="459" t="s">
        <v>105</v>
      </c>
      <c r="Z7" s="459" t="s">
        <v>106</v>
      </c>
      <c r="AA7" s="459" t="s">
        <v>107</v>
      </c>
      <c r="AB7" s="459" t="s">
        <v>108</v>
      </c>
      <c r="AD7" s="459"/>
      <c r="AE7" s="459"/>
      <c r="AF7" s="459"/>
    </row>
    <row r="8" spans="2:32" x14ac:dyDescent="0.25">
      <c r="B8" s="460"/>
      <c r="C8" s="461"/>
      <c r="D8" s="461"/>
      <c r="E8" s="461"/>
      <c r="F8" s="461"/>
      <c r="G8" s="461"/>
      <c r="H8" s="461"/>
      <c r="I8" s="461"/>
      <c r="J8" s="461"/>
      <c r="K8" s="461"/>
      <c r="L8" s="461"/>
      <c r="M8" s="461"/>
      <c r="N8" s="462"/>
      <c r="R8" s="455" t="s">
        <v>109</v>
      </c>
      <c r="S8" s="454" t="s">
        <v>176</v>
      </c>
      <c r="T8" s="463" t="s">
        <v>177</v>
      </c>
      <c r="V8" s="454" t="s">
        <v>156</v>
      </c>
      <c r="W8" s="454" t="s">
        <v>110</v>
      </c>
      <c r="X8" s="454" t="s">
        <v>111</v>
      </c>
      <c r="Y8" s="454" t="s">
        <v>112</v>
      </c>
      <c r="Z8" s="454" t="s">
        <v>113</v>
      </c>
      <c r="AA8" s="454" t="s">
        <v>114</v>
      </c>
      <c r="AB8" s="454" t="s">
        <v>115</v>
      </c>
    </row>
    <row r="9" spans="2:32" x14ac:dyDescent="0.25">
      <c r="B9" s="460"/>
      <c r="C9" s="461"/>
      <c r="D9" s="461"/>
      <c r="E9" s="461"/>
      <c r="F9" s="461"/>
      <c r="G9" s="461"/>
      <c r="H9" s="461"/>
      <c r="I9" s="461"/>
      <c r="J9" s="461"/>
      <c r="K9" s="461"/>
      <c r="L9" s="461"/>
      <c r="M9" s="461"/>
      <c r="N9" s="462"/>
      <c r="R9" s="455" t="s">
        <v>116</v>
      </c>
      <c r="S9" s="454" t="str">
        <f>PROPER(Prov)</f>
        <v>All Provinces</v>
      </c>
      <c r="T9" s="463" t="s">
        <v>178</v>
      </c>
      <c r="V9" s="454" t="s">
        <v>157</v>
      </c>
      <c r="W9" s="454" t="s">
        <v>117</v>
      </c>
      <c r="X9" s="454" t="s">
        <v>118</v>
      </c>
      <c r="Y9" s="454" t="s">
        <v>112</v>
      </c>
      <c r="Z9" s="454" t="s">
        <v>113</v>
      </c>
      <c r="AA9" s="454" t="s">
        <v>119</v>
      </c>
      <c r="AB9" s="454" t="s">
        <v>120</v>
      </c>
    </row>
    <row r="10" spans="2:32" x14ac:dyDescent="0.25">
      <c r="B10" s="460"/>
      <c r="C10" s="461"/>
      <c r="D10" s="461"/>
      <c r="E10" s="461"/>
      <c r="F10" s="461"/>
      <c r="G10" s="461"/>
      <c r="H10" s="461"/>
      <c r="I10" s="461"/>
      <c r="J10" s="461"/>
      <c r="K10" s="461"/>
      <c r="L10" s="461"/>
      <c r="M10" s="461"/>
      <c r="N10" s="462"/>
      <c r="R10" s="455" t="s">
        <v>121</v>
      </c>
      <c r="T10" s="463" t="s">
        <v>179</v>
      </c>
      <c r="V10" s="454" t="s">
        <v>158</v>
      </c>
      <c r="W10" s="454" t="s">
        <v>122</v>
      </c>
      <c r="X10" s="454" t="s">
        <v>123</v>
      </c>
      <c r="Y10" s="454" t="s">
        <v>124</v>
      </c>
      <c r="Z10" s="454" t="s">
        <v>113</v>
      </c>
      <c r="AA10" s="454" t="s">
        <v>125</v>
      </c>
      <c r="AB10" s="454" t="s">
        <v>126</v>
      </c>
    </row>
    <row r="11" spans="2:32" x14ac:dyDescent="0.25">
      <c r="B11" s="460"/>
      <c r="C11" s="461"/>
      <c r="D11" s="461"/>
      <c r="E11" s="461"/>
      <c r="F11" s="461"/>
      <c r="G11" s="461"/>
      <c r="H11" s="461"/>
      <c r="I11" s="461"/>
      <c r="J11" s="461"/>
      <c r="K11" s="461"/>
      <c r="L11" s="461"/>
      <c r="M11" s="461"/>
      <c r="N11" s="462"/>
      <c r="R11" s="455" t="s">
        <v>131</v>
      </c>
      <c r="T11" s="463" t="s">
        <v>180</v>
      </c>
      <c r="V11" s="454" t="s">
        <v>159</v>
      </c>
      <c r="W11" s="454" t="s">
        <v>127</v>
      </c>
      <c r="X11" s="454" t="s">
        <v>128</v>
      </c>
      <c r="Y11" s="454" t="s">
        <v>112</v>
      </c>
      <c r="Z11" s="454" t="s">
        <v>113</v>
      </c>
      <c r="AA11" s="454" t="s">
        <v>129</v>
      </c>
      <c r="AB11" s="454" t="s">
        <v>130</v>
      </c>
    </row>
    <row r="12" spans="2:32" x14ac:dyDescent="0.25">
      <c r="B12" s="460"/>
      <c r="C12" s="461"/>
      <c r="D12" s="461"/>
      <c r="E12" s="461"/>
      <c r="F12" s="461"/>
      <c r="G12" s="461"/>
      <c r="H12" s="461"/>
      <c r="I12" s="461"/>
      <c r="J12" s="461"/>
      <c r="K12" s="461"/>
      <c r="L12" s="461"/>
      <c r="M12" s="461"/>
      <c r="N12" s="462"/>
      <c r="R12" s="455" t="s">
        <v>131</v>
      </c>
      <c r="V12" s="454" t="s">
        <v>160</v>
      </c>
      <c r="W12" s="454" t="s">
        <v>132</v>
      </c>
      <c r="X12" s="454" t="s">
        <v>133</v>
      </c>
      <c r="Y12" s="454" t="s">
        <v>112</v>
      </c>
      <c r="Z12" s="454" t="s">
        <v>113</v>
      </c>
      <c r="AA12" s="454" t="s">
        <v>134</v>
      </c>
      <c r="AB12" s="454" t="s">
        <v>135</v>
      </c>
    </row>
    <row r="13" spans="2:32" x14ac:dyDescent="0.25">
      <c r="B13" s="460"/>
      <c r="C13" s="461"/>
      <c r="D13" s="461"/>
      <c r="E13" s="461"/>
      <c r="F13" s="461"/>
      <c r="G13" s="461"/>
      <c r="H13" s="461"/>
      <c r="I13" s="461"/>
      <c r="J13" s="461"/>
      <c r="K13" s="461"/>
      <c r="L13" s="461"/>
      <c r="M13" s="461"/>
      <c r="N13" s="462"/>
      <c r="R13" s="455" t="s">
        <v>136</v>
      </c>
      <c r="V13" s="454" t="s">
        <v>161</v>
      </c>
      <c r="W13" s="454" t="s">
        <v>137</v>
      </c>
      <c r="X13" s="454" t="s">
        <v>191</v>
      </c>
      <c r="Y13" s="454" t="s">
        <v>124</v>
      </c>
      <c r="Z13" s="454" t="s">
        <v>113</v>
      </c>
      <c r="AA13" s="454" t="s">
        <v>138</v>
      </c>
      <c r="AB13" s="454" t="s">
        <v>139</v>
      </c>
    </row>
    <row r="14" spans="2:32" x14ac:dyDescent="0.25">
      <c r="B14" s="460"/>
      <c r="C14" s="461"/>
      <c r="D14" s="461"/>
      <c r="E14" s="461"/>
      <c r="F14" s="461"/>
      <c r="G14" s="461"/>
      <c r="H14" s="461"/>
      <c r="I14" s="461"/>
      <c r="J14" s="461"/>
      <c r="K14" s="461"/>
      <c r="L14" s="461"/>
      <c r="M14" s="461"/>
      <c r="N14" s="462"/>
      <c r="R14" s="455" t="s">
        <v>140</v>
      </c>
      <c r="V14" s="454" t="s">
        <v>164</v>
      </c>
      <c r="W14" s="454" t="s">
        <v>141</v>
      </c>
      <c r="X14" s="454" t="s">
        <v>206</v>
      </c>
      <c r="Y14" s="454" t="s">
        <v>124</v>
      </c>
      <c r="Z14" s="454" t="s">
        <v>142</v>
      </c>
      <c r="AA14" s="454" t="s">
        <v>143</v>
      </c>
      <c r="AB14" s="454" t="s">
        <v>144</v>
      </c>
    </row>
    <row r="15" spans="2:32" x14ac:dyDescent="0.25">
      <c r="B15" s="460"/>
      <c r="C15" s="461"/>
      <c r="D15" s="461"/>
      <c r="E15" s="461"/>
      <c r="F15" s="461"/>
      <c r="G15" s="461"/>
      <c r="H15" s="461"/>
      <c r="I15" s="461"/>
      <c r="J15" s="461"/>
      <c r="K15" s="461"/>
      <c r="L15" s="461"/>
      <c r="M15" s="461"/>
      <c r="N15" s="462"/>
      <c r="R15" s="455" t="s">
        <v>145</v>
      </c>
      <c r="V15" s="454" t="s">
        <v>162</v>
      </c>
      <c r="W15" s="454" t="s">
        <v>146</v>
      </c>
      <c r="X15" s="454" t="s">
        <v>147</v>
      </c>
      <c r="Y15" s="454" t="s">
        <v>112</v>
      </c>
      <c r="Z15" s="454" t="s">
        <v>113</v>
      </c>
      <c r="AA15" s="454" t="s">
        <v>148</v>
      </c>
      <c r="AB15" s="454" t="s">
        <v>149</v>
      </c>
    </row>
    <row r="16" spans="2:32" x14ac:dyDescent="0.25">
      <c r="B16" s="460"/>
      <c r="C16" s="461"/>
      <c r="D16" s="461"/>
      <c r="E16" s="461"/>
      <c r="F16" s="461"/>
      <c r="G16" s="461"/>
      <c r="H16" s="461"/>
      <c r="I16" s="461"/>
      <c r="J16" s="461"/>
      <c r="K16" s="461"/>
      <c r="L16" s="461"/>
      <c r="M16" s="461"/>
      <c r="N16" s="462"/>
      <c r="R16" s="455" t="s">
        <v>150</v>
      </c>
      <c r="V16" s="454" t="s">
        <v>163</v>
      </c>
      <c r="W16" s="454" t="s">
        <v>151</v>
      </c>
      <c r="X16" s="454" t="s">
        <v>207</v>
      </c>
      <c r="Y16" s="454" t="s">
        <v>112</v>
      </c>
      <c r="Z16" s="454" t="s">
        <v>113</v>
      </c>
      <c r="AA16" s="454" t="s">
        <v>152</v>
      </c>
      <c r="AB16" s="454" t="s">
        <v>153</v>
      </c>
    </row>
    <row r="17" spans="2:33" x14ac:dyDescent="0.25">
      <c r="B17" s="460"/>
      <c r="C17" s="461"/>
      <c r="D17" s="461"/>
      <c r="E17" s="461"/>
      <c r="F17" s="461"/>
      <c r="G17" s="461"/>
      <c r="H17" s="461"/>
      <c r="I17" s="461"/>
      <c r="J17" s="461"/>
      <c r="K17" s="461"/>
      <c r="L17" s="461"/>
      <c r="M17" s="461"/>
      <c r="N17" s="462"/>
      <c r="R17" s="455" t="s">
        <v>154</v>
      </c>
      <c r="V17" s="454" t="s">
        <v>186</v>
      </c>
    </row>
    <row r="18" spans="2:33" x14ac:dyDescent="0.25">
      <c r="B18" s="460"/>
      <c r="C18" s="461"/>
      <c r="D18" s="461"/>
      <c r="E18" s="461"/>
      <c r="F18" s="461"/>
      <c r="G18" s="461"/>
      <c r="H18" s="461"/>
      <c r="I18" s="461"/>
      <c r="J18" s="461"/>
      <c r="K18" s="461"/>
      <c r="L18" s="461"/>
      <c r="M18" s="461"/>
      <c r="N18" s="462"/>
      <c r="S18" s="454" t="s">
        <v>52</v>
      </c>
    </row>
    <row r="19" spans="2:33" x14ac:dyDescent="0.25">
      <c r="B19" s="464"/>
      <c r="C19" s="465"/>
      <c r="D19" s="465"/>
      <c r="E19" s="465"/>
      <c r="F19" s="465"/>
      <c r="G19" s="465"/>
      <c r="H19" s="465"/>
      <c r="I19" s="465"/>
      <c r="J19" s="465"/>
      <c r="K19" s="465"/>
      <c r="L19" s="465"/>
      <c r="M19" s="465"/>
      <c r="N19" s="466"/>
    </row>
    <row r="21" spans="2:33" x14ac:dyDescent="0.25">
      <c r="B21" s="456"/>
      <c r="C21" s="470" t="s">
        <v>185</v>
      </c>
      <c r="D21" s="457"/>
      <c r="E21" s="457"/>
      <c r="F21" s="457"/>
      <c r="G21" s="457"/>
      <c r="H21" s="457"/>
      <c r="I21" s="457"/>
      <c r="J21" s="474" t="s">
        <v>184</v>
      </c>
      <c r="K21" s="457"/>
      <c r="L21" s="457"/>
      <c r="M21" s="457"/>
      <c r="N21" s="458"/>
      <c r="AD21"/>
      <c r="AE21"/>
      <c r="AF21"/>
      <c r="AG21"/>
    </row>
    <row r="22" spans="2:33" x14ac:dyDescent="0.25">
      <c r="B22" s="460"/>
      <c r="C22" s="461"/>
      <c r="D22" s="461"/>
      <c r="E22" s="461"/>
      <c r="F22" s="461"/>
      <c r="G22" s="461"/>
      <c r="H22" s="461"/>
      <c r="I22" s="461"/>
      <c r="J22" s="461"/>
      <c r="K22" s="461"/>
      <c r="L22" s="461"/>
      <c r="M22" s="461"/>
      <c r="N22" s="462"/>
      <c r="AD22"/>
      <c r="AE22"/>
      <c r="AF22"/>
      <c r="AG22"/>
    </row>
    <row r="23" spans="2:33" ht="13" x14ac:dyDescent="0.3">
      <c r="B23" s="460"/>
      <c r="C23" s="461"/>
      <c r="D23" s="461"/>
      <c r="E23" s="461"/>
      <c r="F23" s="461"/>
      <c r="G23" s="461"/>
      <c r="H23" s="461"/>
      <c r="I23" s="471"/>
      <c r="J23" s="611" t="s">
        <v>199</v>
      </c>
      <c r="K23" s="612"/>
      <c r="L23" s="613"/>
      <c r="M23" s="458"/>
      <c r="N23" s="462"/>
      <c r="AD23"/>
      <c r="AE23"/>
      <c r="AF23"/>
      <c r="AG23"/>
    </row>
    <row r="24" spans="2:33" x14ac:dyDescent="0.25">
      <c r="B24" s="460"/>
      <c r="C24" s="475" t="str">
        <f>PROPER(Prov)</f>
        <v>All Provinces</v>
      </c>
      <c r="D24" s="461"/>
      <c r="E24" s="461"/>
      <c r="F24" s="461"/>
      <c r="G24" s="461"/>
      <c r="H24" s="461"/>
      <c r="I24" s="461"/>
      <c r="J24" s="614"/>
      <c r="K24" s="615"/>
      <c r="L24" s="616"/>
      <c r="M24" s="466"/>
      <c r="N24" s="462"/>
      <c r="AD24"/>
      <c r="AE24"/>
      <c r="AF24"/>
      <c r="AG24"/>
    </row>
    <row r="25" spans="2:33" ht="12.75" customHeight="1" x14ac:dyDescent="0.25">
      <c r="B25" s="460"/>
      <c r="C25" s="473"/>
      <c r="D25" s="461"/>
      <c r="E25" s="461"/>
      <c r="F25" s="461"/>
      <c r="G25" s="461"/>
      <c r="H25" s="461"/>
      <c r="I25" s="461"/>
      <c r="J25" s="617"/>
      <c r="K25" s="617"/>
      <c r="L25" s="617"/>
      <c r="M25" s="617"/>
      <c r="N25" s="462"/>
      <c r="AD25"/>
      <c r="AE25"/>
      <c r="AF25"/>
      <c r="AG25"/>
    </row>
    <row r="26" spans="2:33" ht="15" customHeight="1" x14ac:dyDescent="0.25">
      <c r="B26" s="464"/>
      <c r="C26" s="465"/>
      <c r="D26" s="465"/>
      <c r="E26" s="465"/>
      <c r="F26" s="465"/>
      <c r="G26" s="465"/>
      <c r="H26" s="465"/>
      <c r="I26" s="465"/>
      <c r="J26" s="465"/>
      <c r="K26" s="465"/>
      <c r="L26" s="465"/>
      <c r="M26" s="465"/>
      <c r="N26" s="466"/>
      <c r="AD26"/>
      <c r="AE26"/>
      <c r="AF26"/>
      <c r="AG26"/>
    </row>
    <row r="27" spans="2:33" ht="15" customHeight="1" x14ac:dyDescent="0.25">
      <c r="AD27"/>
      <c r="AE27"/>
      <c r="AF27"/>
      <c r="AG27"/>
    </row>
    <row r="28" spans="2:33" ht="15" customHeight="1" x14ac:dyDescent="0.25">
      <c r="AD28"/>
      <c r="AE28"/>
      <c r="AF28"/>
      <c r="AG28"/>
    </row>
    <row r="29" spans="2:33" ht="15" customHeight="1" x14ac:dyDescent="0.25">
      <c r="AD29"/>
      <c r="AE29"/>
      <c r="AF29"/>
      <c r="AG29"/>
    </row>
    <row r="30" spans="2:33" ht="15" customHeight="1" x14ac:dyDescent="0.25">
      <c r="AD30"/>
      <c r="AE30"/>
      <c r="AF30"/>
      <c r="AG30"/>
    </row>
    <row r="31" spans="2:33" ht="15" customHeight="1" x14ac:dyDescent="0.25">
      <c r="AD31"/>
      <c r="AE31"/>
      <c r="AF31"/>
      <c r="AG31"/>
    </row>
    <row r="32" spans="2:33" ht="15" customHeight="1" x14ac:dyDescent="0.25">
      <c r="AD32"/>
      <c r="AE32"/>
      <c r="AF32"/>
      <c r="AG32"/>
    </row>
    <row r="33" spans="30:33" ht="15" customHeight="1" x14ac:dyDescent="0.25">
      <c r="AD33"/>
      <c r="AE33"/>
      <c r="AF33"/>
      <c r="AG33"/>
    </row>
    <row r="34" spans="30:33" ht="15" customHeight="1" x14ac:dyDescent="0.25">
      <c r="AD34"/>
      <c r="AE34"/>
      <c r="AF34"/>
      <c r="AG34"/>
    </row>
    <row r="35" spans="30:33" ht="15" customHeight="1" x14ac:dyDescent="0.25">
      <c r="AD35"/>
      <c r="AE35"/>
      <c r="AF35"/>
      <c r="AG35"/>
    </row>
    <row r="36" spans="30:33" ht="15" customHeight="1" x14ac:dyDescent="0.25">
      <c r="AD36"/>
      <c r="AE36"/>
      <c r="AF36"/>
      <c r="AG36"/>
    </row>
    <row r="37" spans="30:33" ht="15" customHeight="1" x14ac:dyDescent="0.25">
      <c r="AD37"/>
      <c r="AE37"/>
      <c r="AF37"/>
      <c r="AG37"/>
    </row>
    <row r="38" spans="30:33" ht="15" customHeight="1" x14ac:dyDescent="0.25">
      <c r="AD38"/>
      <c r="AE38"/>
      <c r="AF38"/>
      <c r="AG38"/>
    </row>
    <row r="39" spans="30:33" ht="15" customHeight="1" x14ac:dyDescent="0.25">
      <c r="AD39"/>
      <c r="AE39"/>
      <c r="AF39"/>
      <c r="AG39"/>
    </row>
    <row r="40" spans="30:33" ht="15" customHeight="1" x14ac:dyDescent="0.25">
      <c r="AD40"/>
      <c r="AE40"/>
      <c r="AF40"/>
      <c r="AG40"/>
    </row>
    <row r="41" spans="30:33" x14ac:dyDescent="0.25">
      <c r="AD41"/>
      <c r="AE41"/>
      <c r="AF41"/>
      <c r="AG41"/>
    </row>
    <row r="42" spans="30:33" ht="12.75" customHeight="1" x14ac:dyDescent="0.25">
      <c r="AD42"/>
      <c r="AE42"/>
      <c r="AF42"/>
      <c r="AG42"/>
    </row>
    <row r="43" spans="30:33" x14ac:dyDescent="0.25">
      <c r="AD43"/>
      <c r="AE43"/>
      <c r="AF43"/>
      <c r="AG43"/>
    </row>
    <row r="44" spans="30:33" ht="15" customHeight="1" x14ac:dyDescent="0.25">
      <c r="AD44"/>
      <c r="AE44"/>
      <c r="AF44"/>
      <c r="AG44"/>
    </row>
    <row r="45" spans="30:33" ht="15" customHeight="1" x14ac:dyDescent="0.25">
      <c r="AD45"/>
      <c r="AE45"/>
      <c r="AF45"/>
      <c r="AG45"/>
    </row>
    <row r="46" spans="30:33" ht="15" customHeight="1" x14ac:dyDescent="0.25">
      <c r="AD46"/>
      <c r="AE46"/>
      <c r="AF46"/>
      <c r="AG46"/>
    </row>
    <row r="47" spans="30:33" ht="15" customHeight="1" x14ac:dyDescent="0.25">
      <c r="AD47"/>
      <c r="AE47"/>
      <c r="AF47"/>
      <c r="AG47"/>
    </row>
    <row r="48" spans="30:33" ht="15" customHeight="1" x14ac:dyDescent="0.25">
      <c r="AD48"/>
      <c r="AE48"/>
      <c r="AF48"/>
      <c r="AG48"/>
    </row>
    <row r="49" spans="30:33" ht="15" customHeight="1" x14ac:dyDescent="0.25">
      <c r="AD49"/>
      <c r="AE49"/>
      <c r="AF49"/>
      <c r="AG49"/>
    </row>
    <row r="50" spans="30:33" x14ac:dyDescent="0.25">
      <c r="AD50"/>
      <c r="AE50"/>
      <c r="AF50"/>
      <c r="AG50"/>
    </row>
    <row r="51" spans="30:33" x14ac:dyDescent="0.25">
      <c r="AD51"/>
      <c r="AE51"/>
      <c r="AF51"/>
      <c r="AG51"/>
    </row>
    <row r="52" spans="30:33" x14ac:dyDescent="0.25">
      <c r="AD52"/>
      <c r="AE52"/>
      <c r="AF52"/>
      <c r="AG52"/>
    </row>
    <row r="53" spans="30:33" x14ac:dyDescent="0.25">
      <c r="AD53"/>
      <c r="AE53"/>
      <c r="AF53"/>
      <c r="AG53"/>
    </row>
    <row r="54" spans="30:33" x14ac:dyDescent="0.25">
      <c r="AD54"/>
      <c r="AE54"/>
      <c r="AF54"/>
      <c r="AG54"/>
    </row>
    <row r="55" spans="30:33" x14ac:dyDescent="0.25">
      <c r="AD55"/>
      <c r="AE55"/>
      <c r="AF55"/>
      <c r="AG55"/>
    </row>
    <row r="56" spans="30:33" x14ac:dyDescent="0.25">
      <c r="AD56"/>
      <c r="AE56"/>
      <c r="AF56"/>
      <c r="AG56"/>
    </row>
    <row r="57" spans="30:33" x14ac:dyDescent="0.25">
      <c r="AD57"/>
      <c r="AE57"/>
      <c r="AF57"/>
      <c r="AG57"/>
    </row>
    <row r="58" spans="30:33" x14ac:dyDescent="0.25">
      <c r="AD58"/>
      <c r="AE58"/>
      <c r="AF58"/>
      <c r="AG58"/>
    </row>
    <row r="59" spans="30:33" x14ac:dyDescent="0.25">
      <c r="AD59"/>
      <c r="AE59"/>
      <c r="AF59"/>
      <c r="AG59"/>
    </row>
    <row r="60" spans="30:33" x14ac:dyDescent="0.25">
      <c r="AD60"/>
      <c r="AE60"/>
      <c r="AF60"/>
      <c r="AG60"/>
    </row>
    <row r="61" spans="30:33" ht="15" customHeight="1" x14ac:dyDescent="0.25">
      <c r="AD61"/>
      <c r="AE61"/>
      <c r="AF61"/>
      <c r="AG61"/>
    </row>
    <row r="62" spans="30:33" ht="15" customHeight="1" x14ac:dyDescent="0.25">
      <c r="AD62"/>
      <c r="AE62"/>
      <c r="AF62"/>
      <c r="AG62"/>
    </row>
    <row r="63" spans="30:33" ht="15" customHeight="1" x14ac:dyDescent="0.25">
      <c r="AD63"/>
      <c r="AE63"/>
      <c r="AF63"/>
      <c r="AG63"/>
    </row>
    <row r="64" spans="30:33" ht="15" customHeight="1" x14ac:dyDescent="0.25">
      <c r="AD64"/>
      <c r="AE64"/>
      <c r="AF64"/>
      <c r="AG64"/>
    </row>
    <row r="65" spans="2:33" ht="15" customHeight="1" x14ac:dyDescent="0.25">
      <c r="AD65"/>
      <c r="AE65"/>
      <c r="AF65"/>
      <c r="AG65"/>
    </row>
    <row r="66" spans="2:33" ht="15" customHeight="1" x14ac:dyDescent="0.25">
      <c r="AD66"/>
      <c r="AE66"/>
      <c r="AF66"/>
      <c r="AG66"/>
    </row>
    <row r="67" spans="2:33" ht="15" customHeight="1" x14ac:dyDescent="0.25">
      <c r="AD67"/>
      <c r="AE67"/>
      <c r="AF67"/>
      <c r="AG67"/>
    </row>
    <row r="68" spans="2:33" ht="15" customHeight="1" x14ac:dyDescent="0.25">
      <c r="AD68"/>
      <c r="AE68"/>
      <c r="AF68"/>
      <c r="AG68"/>
    </row>
    <row r="69" spans="2:33" ht="15" customHeight="1" x14ac:dyDescent="0.25">
      <c r="AD69"/>
      <c r="AE69"/>
      <c r="AF69"/>
      <c r="AG69"/>
    </row>
    <row r="70" spans="2:33" ht="15" customHeight="1" x14ac:dyDescent="0.25">
      <c r="AD70"/>
      <c r="AE70"/>
      <c r="AF70"/>
      <c r="AG70"/>
    </row>
    <row r="71" spans="2:33" ht="15" customHeight="1" x14ac:dyDescent="0.25">
      <c r="AD71"/>
      <c r="AE71"/>
      <c r="AF71"/>
      <c r="AG71"/>
    </row>
    <row r="72" spans="2:33" x14ac:dyDescent="0.25">
      <c r="AD72"/>
      <c r="AE72"/>
      <c r="AF72"/>
      <c r="AG72"/>
    </row>
    <row r="73" spans="2:33" x14ac:dyDescent="0.25">
      <c r="AD73"/>
      <c r="AE73"/>
      <c r="AF73"/>
      <c r="AG73"/>
    </row>
    <row r="74" spans="2:33" x14ac:dyDescent="0.25">
      <c r="AD74"/>
      <c r="AE74"/>
      <c r="AF74"/>
      <c r="AG74"/>
    </row>
    <row r="75" spans="2:33" x14ac:dyDescent="0.25">
      <c r="AD75"/>
      <c r="AE75"/>
      <c r="AF75"/>
      <c r="AG75"/>
    </row>
    <row r="76" spans="2:33" x14ac:dyDescent="0.25">
      <c r="AD76"/>
      <c r="AE76"/>
      <c r="AF76"/>
      <c r="AG76"/>
    </row>
    <row r="77" spans="2:33" x14ac:dyDescent="0.25">
      <c r="AD77"/>
      <c r="AE77"/>
      <c r="AF77"/>
      <c r="AG77"/>
    </row>
    <row r="78" spans="2:33" x14ac:dyDescent="0.25">
      <c r="AD78"/>
      <c r="AE78"/>
      <c r="AF78"/>
      <c r="AG78"/>
    </row>
    <row r="79" spans="2:33" x14ac:dyDescent="0.25">
      <c r="B79" s="12"/>
      <c r="C79" s="12"/>
      <c r="D79" s="12"/>
      <c r="E79" s="12"/>
      <c r="F79" s="12"/>
      <c r="G79" s="12"/>
      <c r="H79" s="12"/>
      <c r="I79" s="12"/>
      <c r="J79" s="12"/>
      <c r="K79" s="12"/>
      <c r="L79" s="12"/>
      <c r="M79" s="12"/>
      <c r="N79" s="12"/>
    </row>
    <row r="80" spans="2:33" x14ac:dyDescent="0.25">
      <c r="B80" s="12"/>
      <c r="C80" s="12"/>
      <c r="D80" s="12"/>
      <c r="E80" s="12"/>
      <c r="F80" s="12"/>
      <c r="G80" s="12"/>
      <c r="H80" s="12"/>
      <c r="I80" s="12"/>
      <c r="J80" s="12"/>
      <c r="K80" s="12"/>
      <c r="L80" s="12"/>
      <c r="M80" s="12"/>
      <c r="N80" s="12"/>
    </row>
  </sheetData>
  <sheetProtection algorithmName="SHA-512" hashValue="usuf8VDb0YlJnbWjeHIkANy3CxX1COTk/nwlVDSjXmrcPA0KUWDM2qmolFsbe41WbWxfDnCPy8Mx0v3jynaoNQ==" saltValue="/iFZm/zq/DaEHkNSkIAmmw==" spinCount="100000" sheet="1" objects="1" scenarios="1"/>
  <mergeCells count="2">
    <mergeCell ref="J23:L24"/>
    <mergeCell ref="J25:M25"/>
  </mergeCells>
  <dataValidations count="2">
    <dataValidation type="list" allowBlank="1" showInputMessage="1" showErrorMessage="1" sqref="I983062:L983062 JE983062:JH983062 TA983062:TD983062 ACW983062:ACZ983062 AMS983062:AMV983062 AWO983062:AWR983062 BGK983062:BGN983062 BQG983062:BQJ983062 CAC983062:CAF983062 CJY983062:CKB983062 CTU983062:CTX983062 DDQ983062:DDT983062 DNM983062:DNP983062 DXI983062:DXL983062 EHE983062:EHH983062 ERA983062:ERD983062 FAW983062:FAZ983062 FKS983062:FKV983062 FUO983062:FUR983062 GEK983062:GEN983062 GOG983062:GOJ983062 GYC983062:GYF983062 HHY983062:HIB983062 HRU983062:HRX983062 IBQ983062:IBT983062 ILM983062:ILP983062 IVI983062:IVL983062 JFE983062:JFH983062 JPA983062:JPD983062 JYW983062:JYZ983062 KIS983062:KIV983062 KSO983062:KSR983062 LCK983062:LCN983062 LMG983062:LMJ983062 LWC983062:LWF983062 MFY983062:MGB983062 MPU983062:MPX983062 MZQ983062:MZT983062 NJM983062:NJP983062 NTI983062:NTL983062 ODE983062:ODH983062 ONA983062:OND983062 OWW983062:OWZ983062 PGS983062:PGV983062 PQO983062:PQR983062 QAK983062:QAN983062 QKG983062:QKJ983062 QUC983062:QUF983062 RDY983062:REB983062 RNU983062:RNX983062 RXQ983062:RXT983062 SHM983062:SHP983062 SRI983062:SRL983062 TBE983062:TBH983062 TLA983062:TLD983062 TUW983062:TUZ983062 UES983062:UEV983062 UOO983062:UOR983062 UYK983062:UYN983062 VIG983062:VIJ983062 VSC983062:VSF983062 WBY983062:WCB983062 WLU983062:WLX983062 WVQ983062:WVT983062 I65558:L65558 JE65558:JH65558 TA65558:TD65558 ACW65558:ACZ65558 AMS65558:AMV65558 AWO65558:AWR65558 BGK65558:BGN65558 BQG65558:BQJ65558 CAC65558:CAF65558 CJY65558:CKB65558 CTU65558:CTX65558 DDQ65558:DDT65558 DNM65558:DNP65558 DXI65558:DXL65558 EHE65558:EHH65558 ERA65558:ERD65558 FAW65558:FAZ65558 FKS65558:FKV65558 FUO65558:FUR65558 GEK65558:GEN65558 GOG65558:GOJ65558 GYC65558:GYF65558 HHY65558:HIB65558 HRU65558:HRX65558 IBQ65558:IBT65558 ILM65558:ILP65558 IVI65558:IVL65558 JFE65558:JFH65558 JPA65558:JPD65558 JYW65558:JYZ65558 KIS65558:KIV65558 KSO65558:KSR65558 LCK65558:LCN65558 LMG65558:LMJ65558 LWC65558:LWF65558 MFY65558:MGB65558 MPU65558:MPX65558 MZQ65558:MZT65558 NJM65558:NJP65558 NTI65558:NTL65558 ODE65558:ODH65558 ONA65558:OND65558 OWW65558:OWZ65558 PGS65558:PGV65558 PQO65558:PQR65558 QAK65558:QAN65558 QKG65558:QKJ65558 QUC65558:QUF65558 RDY65558:REB65558 RNU65558:RNX65558 RXQ65558:RXT65558 SHM65558:SHP65558 SRI65558:SRL65558 TBE65558:TBH65558 TLA65558:TLD65558 TUW65558:TUZ65558 UES65558:UEV65558 UOO65558:UOR65558 UYK65558:UYN65558 VIG65558:VIJ65558 VSC65558:VSF65558 WBY65558:WCB65558 WLU65558:WLX65558 WVQ65558:WVT65558 I131094:L131094 JE131094:JH131094 TA131094:TD131094 ACW131094:ACZ131094 AMS131094:AMV131094 AWO131094:AWR131094 BGK131094:BGN131094 BQG131094:BQJ131094 CAC131094:CAF131094 CJY131094:CKB131094 CTU131094:CTX131094 DDQ131094:DDT131094 DNM131094:DNP131094 DXI131094:DXL131094 EHE131094:EHH131094 ERA131094:ERD131094 FAW131094:FAZ131094 FKS131094:FKV131094 FUO131094:FUR131094 GEK131094:GEN131094 GOG131094:GOJ131094 GYC131094:GYF131094 HHY131094:HIB131094 HRU131094:HRX131094 IBQ131094:IBT131094 ILM131094:ILP131094 IVI131094:IVL131094 JFE131094:JFH131094 JPA131094:JPD131094 JYW131094:JYZ131094 KIS131094:KIV131094 KSO131094:KSR131094 LCK131094:LCN131094 LMG131094:LMJ131094 LWC131094:LWF131094 MFY131094:MGB131094 MPU131094:MPX131094 MZQ131094:MZT131094 NJM131094:NJP131094 NTI131094:NTL131094 ODE131094:ODH131094 ONA131094:OND131094 OWW131094:OWZ131094 PGS131094:PGV131094 PQO131094:PQR131094 QAK131094:QAN131094 QKG131094:QKJ131094 QUC131094:QUF131094 RDY131094:REB131094 RNU131094:RNX131094 RXQ131094:RXT131094 SHM131094:SHP131094 SRI131094:SRL131094 TBE131094:TBH131094 TLA131094:TLD131094 TUW131094:TUZ131094 UES131094:UEV131094 UOO131094:UOR131094 UYK131094:UYN131094 VIG131094:VIJ131094 VSC131094:VSF131094 WBY131094:WCB131094 WLU131094:WLX131094 WVQ131094:WVT131094 I196630:L196630 JE196630:JH196630 TA196630:TD196630 ACW196630:ACZ196630 AMS196630:AMV196630 AWO196630:AWR196630 BGK196630:BGN196630 BQG196630:BQJ196630 CAC196630:CAF196630 CJY196630:CKB196630 CTU196630:CTX196630 DDQ196630:DDT196630 DNM196630:DNP196630 DXI196630:DXL196630 EHE196630:EHH196630 ERA196630:ERD196630 FAW196630:FAZ196630 FKS196630:FKV196630 FUO196630:FUR196630 GEK196630:GEN196630 GOG196630:GOJ196630 GYC196630:GYF196630 HHY196630:HIB196630 HRU196630:HRX196630 IBQ196630:IBT196630 ILM196630:ILP196630 IVI196630:IVL196630 JFE196630:JFH196630 JPA196630:JPD196630 JYW196630:JYZ196630 KIS196630:KIV196630 KSO196630:KSR196630 LCK196630:LCN196630 LMG196630:LMJ196630 LWC196630:LWF196630 MFY196630:MGB196630 MPU196630:MPX196630 MZQ196630:MZT196630 NJM196630:NJP196630 NTI196630:NTL196630 ODE196630:ODH196630 ONA196630:OND196630 OWW196630:OWZ196630 PGS196630:PGV196630 PQO196630:PQR196630 QAK196630:QAN196630 QKG196630:QKJ196630 QUC196630:QUF196630 RDY196630:REB196630 RNU196630:RNX196630 RXQ196630:RXT196630 SHM196630:SHP196630 SRI196630:SRL196630 TBE196630:TBH196630 TLA196630:TLD196630 TUW196630:TUZ196630 UES196630:UEV196630 UOO196630:UOR196630 UYK196630:UYN196630 VIG196630:VIJ196630 VSC196630:VSF196630 WBY196630:WCB196630 WLU196630:WLX196630 WVQ196630:WVT196630 I262166:L262166 JE262166:JH262166 TA262166:TD262166 ACW262166:ACZ262166 AMS262166:AMV262166 AWO262166:AWR262166 BGK262166:BGN262166 BQG262166:BQJ262166 CAC262166:CAF262166 CJY262166:CKB262166 CTU262166:CTX262166 DDQ262166:DDT262166 DNM262166:DNP262166 DXI262166:DXL262166 EHE262166:EHH262166 ERA262166:ERD262166 FAW262166:FAZ262166 FKS262166:FKV262166 FUO262166:FUR262166 GEK262166:GEN262166 GOG262166:GOJ262166 GYC262166:GYF262166 HHY262166:HIB262166 HRU262166:HRX262166 IBQ262166:IBT262166 ILM262166:ILP262166 IVI262166:IVL262166 JFE262166:JFH262166 JPA262166:JPD262166 JYW262166:JYZ262166 KIS262166:KIV262166 KSO262166:KSR262166 LCK262166:LCN262166 LMG262166:LMJ262166 LWC262166:LWF262166 MFY262166:MGB262166 MPU262166:MPX262166 MZQ262166:MZT262166 NJM262166:NJP262166 NTI262166:NTL262166 ODE262166:ODH262166 ONA262166:OND262166 OWW262166:OWZ262166 PGS262166:PGV262166 PQO262166:PQR262166 QAK262166:QAN262166 QKG262166:QKJ262166 QUC262166:QUF262166 RDY262166:REB262166 RNU262166:RNX262166 RXQ262166:RXT262166 SHM262166:SHP262166 SRI262166:SRL262166 TBE262166:TBH262166 TLA262166:TLD262166 TUW262166:TUZ262166 UES262166:UEV262166 UOO262166:UOR262166 UYK262166:UYN262166 VIG262166:VIJ262166 VSC262166:VSF262166 WBY262166:WCB262166 WLU262166:WLX262166 WVQ262166:WVT262166 I327702:L327702 JE327702:JH327702 TA327702:TD327702 ACW327702:ACZ327702 AMS327702:AMV327702 AWO327702:AWR327702 BGK327702:BGN327702 BQG327702:BQJ327702 CAC327702:CAF327702 CJY327702:CKB327702 CTU327702:CTX327702 DDQ327702:DDT327702 DNM327702:DNP327702 DXI327702:DXL327702 EHE327702:EHH327702 ERA327702:ERD327702 FAW327702:FAZ327702 FKS327702:FKV327702 FUO327702:FUR327702 GEK327702:GEN327702 GOG327702:GOJ327702 GYC327702:GYF327702 HHY327702:HIB327702 HRU327702:HRX327702 IBQ327702:IBT327702 ILM327702:ILP327702 IVI327702:IVL327702 JFE327702:JFH327702 JPA327702:JPD327702 JYW327702:JYZ327702 KIS327702:KIV327702 KSO327702:KSR327702 LCK327702:LCN327702 LMG327702:LMJ327702 LWC327702:LWF327702 MFY327702:MGB327702 MPU327702:MPX327702 MZQ327702:MZT327702 NJM327702:NJP327702 NTI327702:NTL327702 ODE327702:ODH327702 ONA327702:OND327702 OWW327702:OWZ327702 PGS327702:PGV327702 PQO327702:PQR327702 QAK327702:QAN327702 QKG327702:QKJ327702 QUC327702:QUF327702 RDY327702:REB327702 RNU327702:RNX327702 RXQ327702:RXT327702 SHM327702:SHP327702 SRI327702:SRL327702 TBE327702:TBH327702 TLA327702:TLD327702 TUW327702:TUZ327702 UES327702:UEV327702 UOO327702:UOR327702 UYK327702:UYN327702 VIG327702:VIJ327702 VSC327702:VSF327702 WBY327702:WCB327702 WLU327702:WLX327702 WVQ327702:WVT327702 I393238:L393238 JE393238:JH393238 TA393238:TD393238 ACW393238:ACZ393238 AMS393238:AMV393238 AWO393238:AWR393238 BGK393238:BGN393238 BQG393238:BQJ393238 CAC393238:CAF393238 CJY393238:CKB393238 CTU393238:CTX393238 DDQ393238:DDT393238 DNM393238:DNP393238 DXI393238:DXL393238 EHE393238:EHH393238 ERA393238:ERD393238 FAW393238:FAZ393238 FKS393238:FKV393238 FUO393238:FUR393238 GEK393238:GEN393238 GOG393238:GOJ393238 GYC393238:GYF393238 HHY393238:HIB393238 HRU393238:HRX393238 IBQ393238:IBT393238 ILM393238:ILP393238 IVI393238:IVL393238 JFE393238:JFH393238 JPA393238:JPD393238 JYW393238:JYZ393238 KIS393238:KIV393238 KSO393238:KSR393238 LCK393238:LCN393238 LMG393238:LMJ393238 LWC393238:LWF393238 MFY393238:MGB393238 MPU393238:MPX393238 MZQ393238:MZT393238 NJM393238:NJP393238 NTI393238:NTL393238 ODE393238:ODH393238 ONA393238:OND393238 OWW393238:OWZ393238 PGS393238:PGV393238 PQO393238:PQR393238 QAK393238:QAN393238 QKG393238:QKJ393238 QUC393238:QUF393238 RDY393238:REB393238 RNU393238:RNX393238 RXQ393238:RXT393238 SHM393238:SHP393238 SRI393238:SRL393238 TBE393238:TBH393238 TLA393238:TLD393238 TUW393238:TUZ393238 UES393238:UEV393238 UOO393238:UOR393238 UYK393238:UYN393238 VIG393238:VIJ393238 VSC393238:VSF393238 WBY393238:WCB393238 WLU393238:WLX393238 WVQ393238:WVT393238 I458774:L458774 JE458774:JH458774 TA458774:TD458774 ACW458774:ACZ458774 AMS458774:AMV458774 AWO458774:AWR458774 BGK458774:BGN458774 BQG458774:BQJ458774 CAC458774:CAF458774 CJY458774:CKB458774 CTU458774:CTX458774 DDQ458774:DDT458774 DNM458774:DNP458774 DXI458774:DXL458774 EHE458774:EHH458774 ERA458774:ERD458774 FAW458774:FAZ458774 FKS458774:FKV458774 FUO458774:FUR458774 GEK458774:GEN458774 GOG458774:GOJ458774 GYC458774:GYF458774 HHY458774:HIB458774 HRU458774:HRX458774 IBQ458774:IBT458774 ILM458774:ILP458774 IVI458774:IVL458774 JFE458774:JFH458774 JPA458774:JPD458774 JYW458774:JYZ458774 KIS458774:KIV458774 KSO458774:KSR458774 LCK458774:LCN458774 LMG458774:LMJ458774 LWC458774:LWF458774 MFY458774:MGB458774 MPU458774:MPX458774 MZQ458774:MZT458774 NJM458774:NJP458774 NTI458774:NTL458774 ODE458774:ODH458774 ONA458774:OND458774 OWW458774:OWZ458774 PGS458774:PGV458774 PQO458774:PQR458774 QAK458774:QAN458774 QKG458774:QKJ458774 QUC458774:QUF458774 RDY458774:REB458774 RNU458774:RNX458774 RXQ458774:RXT458774 SHM458774:SHP458774 SRI458774:SRL458774 TBE458774:TBH458774 TLA458774:TLD458774 TUW458774:TUZ458774 UES458774:UEV458774 UOO458774:UOR458774 UYK458774:UYN458774 VIG458774:VIJ458774 VSC458774:VSF458774 WBY458774:WCB458774 WLU458774:WLX458774 WVQ458774:WVT458774 I524310:L524310 JE524310:JH524310 TA524310:TD524310 ACW524310:ACZ524310 AMS524310:AMV524310 AWO524310:AWR524310 BGK524310:BGN524310 BQG524310:BQJ524310 CAC524310:CAF524310 CJY524310:CKB524310 CTU524310:CTX524310 DDQ524310:DDT524310 DNM524310:DNP524310 DXI524310:DXL524310 EHE524310:EHH524310 ERA524310:ERD524310 FAW524310:FAZ524310 FKS524310:FKV524310 FUO524310:FUR524310 GEK524310:GEN524310 GOG524310:GOJ524310 GYC524310:GYF524310 HHY524310:HIB524310 HRU524310:HRX524310 IBQ524310:IBT524310 ILM524310:ILP524310 IVI524310:IVL524310 JFE524310:JFH524310 JPA524310:JPD524310 JYW524310:JYZ524310 KIS524310:KIV524310 KSO524310:KSR524310 LCK524310:LCN524310 LMG524310:LMJ524310 LWC524310:LWF524310 MFY524310:MGB524310 MPU524310:MPX524310 MZQ524310:MZT524310 NJM524310:NJP524310 NTI524310:NTL524310 ODE524310:ODH524310 ONA524310:OND524310 OWW524310:OWZ524310 PGS524310:PGV524310 PQO524310:PQR524310 QAK524310:QAN524310 QKG524310:QKJ524310 QUC524310:QUF524310 RDY524310:REB524310 RNU524310:RNX524310 RXQ524310:RXT524310 SHM524310:SHP524310 SRI524310:SRL524310 TBE524310:TBH524310 TLA524310:TLD524310 TUW524310:TUZ524310 UES524310:UEV524310 UOO524310:UOR524310 UYK524310:UYN524310 VIG524310:VIJ524310 VSC524310:VSF524310 WBY524310:WCB524310 WLU524310:WLX524310 WVQ524310:WVT524310 I589846:L589846 JE589846:JH589846 TA589846:TD589846 ACW589846:ACZ589846 AMS589846:AMV589846 AWO589846:AWR589846 BGK589846:BGN589846 BQG589846:BQJ589846 CAC589846:CAF589846 CJY589846:CKB589846 CTU589846:CTX589846 DDQ589846:DDT589846 DNM589846:DNP589846 DXI589846:DXL589846 EHE589846:EHH589846 ERA589846:ERD589846 FAW589846:FAZ589846 FKS589846:FKV589846 FUO589846:FUR589846 GEK589846:GEN589846 GOG589846:GOJ589846 GYC589846:GYF589846 HHY589846:HIB589846 HRU589846:HRX589846 IBQ589846:IBT589846 ILM589846:ILP589846 IVI589846:IVL589846 JFE589846:JFH589846 JPA589846:JPD589846 JYW589846:JYZ589846 KIS589846:KIV589846 KSO589846:KSR589846 LCK589846:LCN589846 LMG589846:LMJ589846 LWC589846:LWF589846 MFY589846:MGB589846 MPU589846:MPX589846 MZQ589846:MZT589846 NJM589846:NJP589846 NTI589846:NTL589846 ODE589846:ODH589846 ONA589846:OND589846 OWW589846:OWZ589846 PGS589846:PGV589846 PQO589846:PQR589846 QAK589846:QAN589846 QKG589846:QKJ589846 QUC589846:QUF589846 RDY589846:REB589846 RNU589846:RNX589846 RXQ589846:RXT589846 SHM589846:SHP589846 SRI589846:SRL589846 TBE589846:TBH589846 TLA589846:TLD589846 TUW589846:TUZ589846 UES589846:UEV589846 UOO589846:UOR589846 UYK589846:UYN589846 VIG589846:VIJ589846 VSC589846:VSF589846 WBY589846:WCB589846 WLU589846:WLX589846 WVQ589846:WVT589846 I655382:L655382 JE655382:JH655382 TA655382:TD655382 ACW655382:ACZ655382 AMS655382:AMV655382 AWO655382:AWR655382 BGK655382:BGN655382 BQG655382:BQJ655382 CAC655382:CAF655382 CJY655382:CKB655382 CTU655382:CTX655382 DDQ655382:DDT655382 DNM655382:DNP655382 DXI655382:DXL655382 EHE655382:EHH655382 ERA655382:ERD655382 FAW655382:FAZ655382 FKS655382:FKV655382 FUO655382:FUR655382 GEK655382:GEN655382 GOG655382:GOJ655382 GYC655382:GYF655382 HHY655382:HIB655382 HRU655382:HRX655382 IBQ655382:IBT655382 ILM655382:ILP655382 IVI655382:IVL655382 JFE655382:JFH655382 JPA655382:JPD655382 JYW655382:JYZ655382 KIS655382:KIV655382 KSO655382:KSR655382 LCK655382:LCN655382 LMG655382:LMJ655382 LWC655382:LWF655382 MFY655382:MGB655382 MPU655382:MPX655382 MZQ655382:MZT655382 NJM655382:NJP655382 NTI655382:NTL655382 ODE655382:ODH655382 ONA655382:OND655382 OWW655382:OWZ655382 PGS655382:PGV655382 PQO655382:PQR655382 QAK655382:QAN655382 QKG655382:QKJ655382 QUC655382:QUF655382 RDY655382:REB655382 RNU655382:RNX655382 RXQ655382:RXT655382 SHM655382:SHP655382 SRI655382:SRL655382 TBE655382:TBH655382 TLA655382:TLD655382 TUW655382:TUZ655382 UES655382:UEV655382 UOO655382:UOR655382 UYK655382:UYN655382 VIG655382:VIJ655382 VSC655382:VSF655382 WBY655382:WCB655382 WLU655382:WLX655382 WVQ655382:WVT655382 I720918:L720918 JE720918:JH720918 TA720918:TD720918 ACW720918:ACZ720918 AMS720918:AMV720918 AWO720918:AWR720918 BGK720918:BGN720918 BQG720918:BQJ720918 CAC720918:CAF720918 CJY720918:CKB720918 CTU720918:CTX720918 DDQ720918:DDT720918 DNM720918:DNP720918 DXI720918:DXL720918 EHE720918:EHH720918 ERA720918:ERD720918 FAW720918:FAZ720918 FKS720918:FKV720918 FUO720918:FUR720918 GEK720918:GEN720918 GOG720918:GOJ720918 GYC720918:GYF720918 HHY720918:HIB720918 HRU720918:HRX720918 IBQ720918:IBT720918 ILM720918:ILP720918 IVI720918:IVL720918 JFE720918:JFH720918 JPA720918:JPD720918 JYW720918:JYZ720918 KIS720918:KIV720918 KSO720918:KSR720918 LCK720918:LCN720918 LMG720918:LMJ720918 LWC720918:LWF720918 MFY720918:MGB720918 MPU720918:MPX720918 MZQ720918:MZT720918 NJM720918:NJP720918 NTI720918:NTL720918 ODE720918:ODH720918 ONA720918:OND720918 OWW720918:OWZ720918 PGS720918:PGV720918 PQO720918:PQR720918 QAK720918:QAN720918 QKG720918:QKJ720918 QUC720918:QUF720918 RDY720918:REB720918 RNU720918:RNX720918 RXQ720918:RXT720918 SHM720918:SHP720918 SRI720918:SRL720918 TBE720918:TBH720918 TLA720918:TLD720918 TUW720918:TUZ720918 UES720918:UEV720918 UOO720918:UOR720918 UYK720918:UYN720918 VIG720918:VIJ720918 VSC720918:VSF720918 WBY720918:WCB720918 WLU720918:WLX720918 WVQ720918:WVT720918 I786454:L786454 JE786454:JH786454 TA786454:TD786454 ACW786454:ACZ786454 AMS786454:AMV786454 AWO786454:AWR786454 BGK786454:BGN786454 BQG786454:BQJ786454 CAC786454:CAF786454 CJY786454:CKB786454 CTU786454:CTX786454 DDQ786454:DDT786454 DNM786454:DNP786454 DXI786454:DXL786454 EHE786454:EHH786454 ERA786454:ERD786454 FAW786454:FAZ786454 FKS786454:FKV786454 FUO786454:FUR786454 GEK786454:GEN786454 GOG786454:GOJ786454 GYC786454:GYF786454 HHY786454:HIB786454 HRU786454:HRX786454 IBQ786454:IBT786454 ILM786454:ILP786454 IVI786454:IVL786454 JFE786454:JFH786454 JPA786454:JPD786454 JYW786454:JYZ786454 KIS786454:KIV786454 KSO786454:KSR786454 LCK786454:LCN786454 LMG786454:LMJ786454 LWC786454:LWF786454 MFY786454:MGB786454 MPU786454:MPX786454 MZQ786454:MZT786454 NJM786454:NJP786454 NTI786454:NTL786454 ODE786454:ODH786454 ONA786454:OND786454 OWW786454:OWZ786454 PGS786454:PGV786454 PQO786454:PQR786454 QAK786454:QAN786454 QKG786454:QKJ786454 QUC786454:QUF786454 RDY786454:REB786454 RNU786454:RNX786454 RXQ786454:RXT786454 SHM786454:SHP786454 SRI786454:SRL786454 TBE786454:TBH786454 TLA786454:TLD786454 TUW786454:TUZ786454 UES786454:UEV786454 UOO786454:UOR786454 UYK786454:UYN786454 VIG786454:VIJ786454 VSC786454:VSF786454 WBY786454:WCB786454 WLU786454:WLX786454 WVQ786454:WVT786454 I851990:L851990 JE851990:JH851990 TA851990:TD851990 ACW851990:ACZ851990 AMS851990:AMV851990 AWO851990:AWR851990 BGK851990:BGN851990 BQG851990:BQJ851990 CAC851990:CAF851990 CJY851990:CKB851990 CTU851990:CTX851990 DDQ851990:DDT851990 DNM851990:DNP851990 DXI851990:DXL851990 EHE851990:EHH851990 ERA851990:ERD851990 FAW851990:FAZ851990 FKS851990:FKV851990 FUO851990:FUR851990 GEK851990:GEN851990 GOG851990:GOJ851990 GYC851990:GYF851990 HHY851990:HIB851990 HRU851990:HRX851990 IBQ851990:IBT851990 ILM851990:ILP851990 IVI851990:IVL851990 JFE851990:JFH851990 JPA851990:JPD851990 JYW851990:JYZ851990 KIS851990:KIV851990 KSO851990:KSR851990 LCK851990:LCN851990 LMG851990:LMJ851990 LWC851990:LWF851990 MFY851990:MGB851990 MPU851990:MPX851990 MZQ851990:MZT851990 NJM851990:NJP851990 NTI851990:NTL851990 ODE851990:ODH851990 ONA851990:OND851990 OWW851990:OWZ851990 PGS851990:PGV851990 PQO851990:PQR851990 QAK851990:QAN851990 QKG851990:QKJ851990 QUC851990:QUF851990 RDY851990:REB851990 RNU851990:RNX851990 RXQ851990:RXT851990 SHM851990:SHP851990 SRI851990:SRL851990 TBE851990:TBH851990 TLA851990:TLD851990 TUW851990:TUZ851990 UES851990:UEV851990 UOO851990:UOR851990 UYK851990:UYN851990 VIG851990:VIJ851990 VSC851990:VSF851990 WBY851990:WCB851990 WLU851990:WLX851990 WVQ851990:WVT851990 I917526:L917526 JE917526:JH917526 TA917526:TD917526 ACW917526:ACZ917526 AMS917526:AMV917526 AWO917526:AWR917526 BGK917526:BGN917526 BQG917526:BQJ917526 CAC917526:CAF917526 CJY917526:CKB917526 CTU917526:CTX917526 DDQ917526:DDT917526 DNM917526:DNP917526 DXI917526:DXL917526 EHE917526:EHH917526 ERA917526:ERD917526 FAW917526:FAZ917526 FKS917526:FKV917526 FUO917526:FUR917526 GEK917526:GEN917526 GOG917526:GOJ917526 GYC917526:GYF917526 HHY917526:HIB917526 HRU917526:HRX917526 IBQ917526:IBT917526 ILM917526:ILP917526 IVI917526:IVL917526 JFE917526:JFH917526 JPA917526:JPD917526 JYW917526:JYZ917526 KIS917526:KIV917526 KSO917526:KSR917526 LCK917526:LCN917526 LMG917526:LMJ917526 LWC917526:LWF917526 MFY917526:MGB917526 MPU917526:MPX917526 MZQ917526:MZT917526 NJM917526:NJP917526 NTI917526:NTL917526 ODE917526:ODH917526 ONA917526:OND917526 OWW917526:OWZ917526 PGS917526:PGV917526 PQO917526:PQR917526 QAK917526:QAN917526 QKG917526:QKJ917526 QUC917526:QUF917526 RDY917526:REB917526 RNU917526:RNX917526 RXQ917526:RXT917526 SHM917526:SHP917526 SRI917526:SRL917526 TBE917526:TBH917526 TLA917526:TLD917526 TUW917526:TUZ917526 UES917526:UEV917526 UOO917526:UOR917526 UYK917526:UYN917526 VIG917526:VIJ917526 VSC917526:VSF917526 WBY917526:WCB917526 WLU917526:WLX917526 WVQ917526:WVT917526" xr:uid="{00000000-0002-0000-0100-000000000000}">
      <formula1>$AF$8:$AF$10</formula1>
    </dataValidation>
    <dataValidation type="list" allowBlank="1" showInputMessage="1" showErrorMessage="1" sqref="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xr:uid="{00000000-0002-0000-0100-000001000000}">
      <formula1>$AE$8:$AE$9</formula1>
    </dataValidation>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DownQuarter">
              <controlPr defaultSize="0" autoLine="0" autoPict="0" macro="[0]!AdjustedBudgets">
                <anchor moveWithCells="1">
                  <from>
                    <xdr:col>1</xdr:col>
                    <xdr:colOff>304800</xdr:colOff>
                    <xdr:row>11</xdr:row>
                    <xdr:rowOff>139700</xdr:rowOff>
                  </from>
                  <to>
                    <xdr:col>5</xdr:col>
                    <xdr:colOff>571500</xdr:colOff>
                    <xdr:row>13</xdr:row>
                    <xdr:rowOff>6350</xdr:rowOff>
                  </to>
                </anchor>
              </controlPr>
            </control>
          </mc:Choice>
        </mc:AlternateContent>
        <mc:AlternateContent xmlns:mc="http://schemas.openxmlformats.org/markup-compatibility/2006">
          <mc:Choice Requires="x14">
            <control shapeId="7170" r:id="rId5" name="DropDownFinYear">
              <controlPr defaultSize="0" autoLine="0" autoPict="0">
                <anchor moveWithCells="1">
                  <from>
                    <xdr:col>1</xdr:col>
                    <xdr:colOff>311150</xdr:colOff>
                    <xdr:row>8</xdr:row>
                    <xdr:rowOff>82550</xdr:rowOff>
                  </from>
                  <to>
                    <xdr:col>5</xdr:col>
                    <xdr:colOff>565150</xdr:colOff>
                    <xdr:row>9</xdr:row>
                    <xdr:rowOff>146050</xdr:rowOff>
                  </to>
                </anchor>
              </controlPr>
            </control>
          </mc:Choice>
        </mc:AlternateContent>
        <mc:AlternateContent xmlns:mc="http://schemas.openxmlformats.org/markup-compatibility/2006">
          <mc:Choice Requires="x14">
            <control shapeId="7190" r:id="rId6" name="DropDownProvince">
              <controlPr defaultSize="0" autoLine="0" autoPict="0" macro="[0]!ProvinceSheets">
                <anchor moveWithCells="1">
                  <from>
                    <xdr:col>1</xdr:col>
                    <xdr:colOff>304800</xdr:colOff>
                    <xdr:row>14</xdr:row>
                    <xdr:rowOff>152400</xdr:rowOff>
                  </from>
                  <to>
                    <xdr:col>5</xdr:col>
                    <xdr:colOff>571500</xdr:colOff>
                    <xdr:row>16</xdr:row>
                    <xdr:rowOff>31750</xdr:rowOff>
                  </to>
                </anchor>
              </controlPr>
            </control>
          </mc:Choice>
        </mc:AlternateContent>
        <mc:AlternateContent xmlns:mc="http://schemas.openxmlformats.org/markup-compatibility/2006">
          <mc:Choice Requires="x14">
            <control shapeId="7191" r:id="rId7" name="Option Button 23">
              <controlPr defaultSize="0" autoFill="0" autoLine="0" autoPict="0">
                <anchor moveWithCells="1">
                  <from>
                    <xdr:col>1</xdr:col>
                    <xdr:colOff>539750</xdr:colOff>
                    <xdr:row>21</xdr:row>
                    <xdr:rowOff>82550</xdr:rowOff>
                  </from>
                  <to>
                    <xdr:col>4</xdr:col>
                    <xdr:colOff>501650</xdr:colOff>
                    <xdr:row>23</xdr:row>
                    <xdr:rowOff>31750</xdr:rowOff>
                  </to>
                </anchor>
              </controlPr>
            </control>
          </mc:Choice>
        </mc:AlternateContent>
        <mc:AlternateContent xmlns:mc="http://schemas.openxmlformats.org/markup-compatibility/2006">
          <mc:Choice Requires="x14">
            <control shapeId="7212" r:id="rId8" name="DirButton">
              <controlPr defaultSize="0" print="0" autoFill="0" autoPict="0" macro="[0]!GetFolder">
                <anchor moveWithCells="1" sizeWithCells="1">
                  <from>
                    <xdr:col>12</xdr:col>
                    <xdr:colOff>25400</xdr:colOff>
                    <xdr:row>22</xdr:row>
                    <xdr:rowOff>31750</xdr:rowOff>
                  </from>
                  <to>
                    <xdr:col>12</xdr:col>
                    <xdr:colOff>596900</xdr:colOff>
                    <xdr:row>23</xdr:row>
                    <xdr:rowOff>158750</xdr:rowOff>
                  </to>
                </anchor>
              </controlPr>
            </control>
          </mc:Choice>
        </mc:AlternateContent>
        <mc:AlternateContent xmlns:mc="http://schemas.openxmlformats.org/markup-compatibility/2006">
          <mc:Choice Requires="x14">
            <control shapeId="7213" r:id="rId9" name="Check Box 45">
              <controlPr defaultSize="0" autoFill="0" autoLine="0" autoPict="0">
                <anchor moveWithCells="1">
                  <from>
                    <xdr:col>8</xdr:col>
                    <xdr:colOff>1479550</xdr:colOff>
                    <xdr:row>23</xdr:row>
                    <xdr:rowOff>184150</xdr:rowOff>
                  </from>
                  <to>
                    <xdr:col>13</xdr:col>
                    <xdr:colOff>463550</xdr:colOff>
                    <xdr:row>25</xdr:row>
                    <xdr:rowOff>63500</xdr:rowOff>
                  </to>
                </anchor>
              </controlPr>
            </control>
          </mc:Choice>
        </mc:AlternateContent>
        <mc:AlternateContent xmlns:mc="http://schemas.openxmlformats.org/markup-compatibility/2006">
          <mc:Choice Requires="x14">
            <control shapeId="7215" r:id="rId10" name="Option Button 47">
              <controlPr defaultSize="0" autoFill="0" autoLine="0" autoPict="0">
                <anchor moveWithCells="1">
                  <from>
                    <xdr:col>1</xdr:col>
                    <xdr:colOff>539750</xdr:colOff>
                    <xdr:row>22</xdr:row>
                    <xdr:rowOff>114300</xdr:rowOff>
                  </from>
                  <to>
                    <xdr:col>4</xdr:col>
                    <xdr:colOff>501650</xdr:colOff>
                    <xdr:row>24</xdr:row>
                    <xdr:rowOff>63500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166</v>
      </c>
      <c r="D4" s="37"/>
      <c r="E4" s="37"/>
      <c r="F4" s="37"/>
      <c r="G4" s="37"/>
      <c r="H4" s="37"/>
      <c r="I4" s="37"/>
      <c r="J4" s="38"/>
      <c r="K4" s="38"/>
      <c r="L4" s="38"/>
      <c r="M4" s="38"/>
      <c r="N4" s="38"/>
      <c r="O4" s="33"/>
      <c r="R4"/>
      <c r="S4" s="36"/>
      <c r="T4" s="34" t="str">
        <f>C4</f>
        <v>NORTH WEST PROVINCE</v>
      </c>
      <c r="U4" s="37"/>
      <c r="V4" s="37"/>
      <c r="W4" s="37"/>
      <c r="X4" s="37"/>
      <c r="Y4" s="37"/>
      <c r="Z4" s="37"/>
      <c r="AA4" s="38"/>
      <c r="AB4" s="38"/>
      <c r="AC4" s="38"/>
      <c r="AD4" s="38"/>
      <c r="AE4" s="38"/>
      <c r="AF4" s="33"/>
      <c r="AG4" s="441"/>
      <c r="AH4" s="441"/>
      <c r="AI4"/>
      <c r="AJ4" s="348"/>
      <c r="AK4" s="349" t="str">
        <f>C4</f>
        <v>NORTH WEST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NW_1!D6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244681</v>
      </c>
      <c r="E13" s="198">
        <f t="shared" ref="E13:K13" si="2">SUM(E14+E15+E16)</f>
        <v>-4577</v>
      </c>
      <c r="F13" s="54">
        <f t="shared" si="2"/>
        <v>240104</v>
      </c>
      <c r="G13" s="54">
        <f t="shared" si="2"/>
        <v>2347</v>
      </c>
      <c r="H13" s="95">
        <f t="shared" si="2"/>
        <v>242451</v>
      </c>
      <c r="I13" s="216">
        <f t="shared" si="2"/>
        <v>0</v>
      </c>
      <c r="J13" s="101">
        <f t="shared" si="2"/>
        <v>240104</v>
      </c>
      <c r="K13" s="54">
        <f t="shared" si="2"/>
        <v>240104</v>
      </c>
      <c r="L13" s="54"/>
      <c r="M13" s="54">
        <f>SUM(M14+M15+M16)</f>
        <v>146148</v>
      </c>
      <c r="N13" s="183">
        <f>IFERROR(M13/H13,0)</f>
        <v>0.60279396661593476</v>
      </c>
      <c r="O13" s="55"/>
      <c r="R13"/>
      <c r="S13" s="53"/>
      <c r="T13" s="51" t="str">
        <f>C13</f>
        <v>Agriculture, Forestry and Fisheries (Vote 24)</v>
      </c>
      <c r="U13" s="95">
        <v>244681</v>
      </c>
      <c r="V13" s="198">
        <v>0</v>
      </c>
      <c r="W13" s="54">
        <v>244681</v>
      </c>
      <c r="X13" s="54">
        <v>0</v>
      </c>
      <c r="Y13" s="95">
        <v>244681</v>
      </c>
      <c r="Z13" s="216"/>
      <c r="AA13" s="101">
        <v>118350</v>
      </c>
      <c r="AB13" s="54">
        <v>118350</v>
      </c>
      <c r="AC13" s="54"/>
      <c r="AD13" s="54">
        <v>61481</v>
      </c>
      <c r="AE13" s="183">
        <v>0.2512700209660742</v>
      </c>
      <c r="AF13" s="55"/>
      <c r="AG13" s="442"/>
      <c r="AH13" s="442"/>
      <c r="AI13"/>
      <c r="AJ13" s="387"/>
      <c r="AK13" s="481" t="str">
        <f t="shared" ref="AK13" si="3">C13</f>
        <v>Agriculture, Forestry and Fisheries (Vote 24)</v>
      </c>
      <c r="AL13" s="388">
        <f>SUM(AL14:AL16)</f>
        <v>0</v>
      </c>
      <c r="AM13" s="389">
        <f t="shared" ref="AM13:AP13" si="4">SUM(AM14:AM16)</f>
        <v>4577</v>
      </c>
      <c r="AN13" s="390">
        <f t="shared" si="4"/>
        <v>4577</v>
      </c>
      <c r="AO13" s="390">
        <f t="shared" si="4"/>
        <v>-2347</v>
      </c>
      <c r="AP13" s="388">
        <f t="shared" si="4"/>
        <v>2230</v>
      </c>
      <c r="AQ13" s="391"/>
      <c r="AR13" s="392">
        <f t="shared" ref="AR13:AS13" si="5">SUM(AR14:AR16)</f>
        <v>-121754</v>
      </c>
      <c r="AS13" s="390">
        <f t="shared" si="5"/>
        <v>-121754</v>
      </c>
      <c r="AT13" s="390"/>
      <c r="AU13" s="390">
        <f>SUM(AU14:AU16)</f>
        <v>-84667</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164857</v>
      </c>
      <c r="E14" s="199">
        <f>SUM(F14-D14)</f>
        <v>0</v>
      </c>
      <c r="F14" s="497">
        <v>164857</v>
      </c>
      <c r="G14" s="497">
        <v>1831</v>
      </c>
      <c r="H14" s="96">
        <f>SUM(F14:G14)</f>
        <v>166688</v>
      </c>
      <c r="I14" s="217"/>
      <c r="J14" s="499">
        <v>164857</v>
      </c>
      <c r="K14" s="497">
        <v>164857</v>
      </c>
      <c r="L14" s="59"/>
      <c r="M14" s="497">
        <v>92288</v>
      </c>
      <c r="N14" s="172">
        <f t="shared" ref="N14:N16" si="6">IFERROR(M14/H14,0)</f>
        <v>0.5536571318871184</v>
      </c>
      <c r="O14" s="60"/>
      <c r="R14"/>
      <c r="S14" s="57"/>
      <c r="T14" s="58" t="str">
        <f t="shared" ref="T14:T18" si="7">C14</f>
        <v>(a) Comprehensive Agricultural Support Programme Grant</v>
      </c>
      <c r="U14" s="96">
        <v>164857</v>
      </c>
      <c r="V14" s="199">
        <v>0</v>
      </c>
      <c r="W14" s="59">
        <v>164857</v>
      </c>
      <c r="X14" s="59">
        <v>0</v>
      </c>
      <c r="Y14" s="96">
        <v>164857</v>
      </c>
      <c r="Z14" s="217"/>
      <c r="AA14" s="102">
        <v>82429</v>
      </c>
      <c r="AB14" s="59">
        <v>82429</v>
      </c>
      <c r="AC14" s="59"/>
      <c r="AD14" s="59">
        <v>36322</v>
      </c>
      <c r="AE14" s="172">
        <v>0.2203242810435711</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-1831</v>
      </c>
      <c r="AP14" s="396">
        <f t="shared" si="8"/>
        <v>-1831</v>
      </c>
      <c r="AQ14" s="399"/>
      <c r="AR14" s="400">
        <f t="shared" ref="AR14:AS15" si="9">IFERROR(AA14-J14,0)</f>
        <v>-82428</v>
      </c>
      <c r="AS14" s="398">
        <f t="shared" si="9"/>
        <v>-82428</v>
      </c>
      <c r="AT14" s="398"/>
      <c r="AU14" s="398">
        <f>IFERROR(AD14-M14,0)</f>
        <v>-55966</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70586</v>
      </c>
      <c r="E15" s="199">
        <f t="shared" ref="E15:E16" si="10">SUM(F15-D15)</f>
        <v>-4577</v>
      </c>
      <c r="F15" s="497">
        <v>66009</v>
      </c>
      <c r="G15" s="497">
        <v>0</v>
      </c>
      <c r="H15" s="96">
        <f t="shared" ref="H15:H16" si="11">SUM(F15:G15)</f>
        <v>66009</v>
      </c>
      <c r="I15" s="217"/>
      <c r="J15" s="499">
        <v>66009</v>
      </c>
      <c r="K15" s="497">
        <v>66009</v>
      </c>
      <c r="L15" s="59"/>
      <c r="M15" s="497">
        <v>45736</v>
      </c>
      <c r="N15" s="172">
        <f t="shared" si="6"/>
        <v>0.69287521398597163</v>
      </c>
      <c r="O15" s="60"/>
      <c r="P15" s="56"/>
      <c r="Q15" s="56"/>
      <c r="R15"/>
      <c r="S15" s="57"/>
      <c r="T15" s="58" t="str">
        <f t="shared" si="7"/>
        <v>(b) Ilima/Letsema Projects Grant</v>
      </c>
      <c r="U15" s="96">
        <v>70586</v>
      </c>
      <c r="V15" s="199">
        <v>0</v>
      </c>
      <c r="W15" s="59">
        <v>70586</v>
      </c>
      <c r="X15" s="59">
        <v>0</v>
      </c>
      <c r="Y15" s="96">
        <v>70586</v>
      </c>
      <c r="Z15" s="217"/>
      <c r="AA15" s="102">
        <v>31764</v>
      </c>
      <c r="AB15" s="59">
        <v>31764</v>
      </c>
      <c r="AC15" s="59"/>
      <c r="AD15" s="59">
        <v>20952</v>
      </c>
      <c r="AE15" s="172">
        <v>0.29682939959765392</v>
      </c>
      <c r="AF15" s="60"/>
      <c r="AG15" s="443"/>
      <c r="AH15" s="443"/>
      <c r="AI15"/>
      <c r="AJ15" s="394"/>
      <c r="AK15" s="479" t="str">
        <f t="shared" ref="AK15" si="12">C15</f>
        <v>(b) Ilima/Letsema Projects Grant</v>
      </c>
      <c r="AL15" s="396">
        <f t="shared" ref="AL15" si="13">IFERROR(U15-D15,0)</f>
        <v>0</v>
      </c>
      <c r="AM15" s="397">
        <f t="shared" si="8"/>
        <v>4577</v>
      </c>
      <c r="AN15" s="398">
        <f t="shared" si="8"/>
        <v>4577</v>
      </c>
      <c r="AO15" s="398">
        <f t="shared" si="8"/>
        <v>0</v>
      </c>
      <c r="AP15" s="396">
        <f t="shared" si="8"/>
        <v>4577</v>
      </c>
      <c r="AQ15" s="399"/>
      <c r="AR15" s="400">
        <f t="shared" si="9"/>
        <v>-34245</v>
      </c>
      <c r="AS15" s="398">
        <f t="shared" si="9"/>
        <v>-34245</v>
      </c>
      <c r="AT15" s="398"/>
      <c r="AU15" s="398">
        <f t="shared" ref="AU15" si="14">IFERROR(AD15-M15,0)</f>
        <v>-24784</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9238</v>
      </c>
      <c r="E16" s="199">
        <f t="shared" si="10"/>
        <v>0</v>
      </c>
      <c r="F16" s="497">
        <v>9238</v>
      </c>
      <c r="G16" s="497">
        <v>516</v>
      </c>
      <c r="H16" s="96">
        <f t="shared" si="11"/>
        <v>9754</v>
      </c>
      <c r="I16" s="217"/>
      <c r="J16" s="499">
        <v>9238</v>
      </c>
      <c r="K16" s="497">
        <v>9238</v>
      </c>
      <c r="L16" s="59"/>
      <c r="M16" s="497">
        <v>8124</v>
      </c>
      <c r="N16" s="172">
        <f t="shared" si="6"/>
        <v>0.83288907115029731</v>
      </c>
      <c r="O16" s="60"/>
      <c r="P16" s="56"/>
      <c r="Q16" s="56"/>
      <c r="R16"/>
      <c r="S16" s="57"/>
      <c r="T16" s="58" t="str">
        <f t="shared" si="7"/>
        <v>(c) Land Care Programme Grant: Poverty Relief and Infrastructure Development</v>
      </c>
      <c r="U16" s="96">
        <v>9238</v>
      </c>
      <c r="V16" s="199">
        <v>0</v>
      </c>
      <c r="W16" s="59">
        <v>9238</v>
      </c>
      <c r="X16" s="59">
        <v>0</v>
      </c>
      <c r="Y16" s="96">
        <v>9238</v>
      </c>
      <c r="Z16" s="217"/>
      <c r="AA16" s="102">
        <v>4157</v>
      </c>
      <c r="AB16" s="59">
        <v>4157</v>
      </c>
      <c r="AC16" s="59"/>
      <c r="AD16" s="59">
        <v>4207</v>
      </c>
      <c r="AE16" s="172">
        <v>0.45540160207837194</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-516</v>
      </c>
      <c r="AP16" s="396">
        <f t="shared" ref="AP16:AP83" si="20">IFERROR(Y16-H16,0)</f>
        <v>-516</v>
      </c>
      <c r="AQ16" s="399"/>
      <c r="AR16" s="400">
        <f t="shared" ref="AR16:AR83" si="21">IFERROR(AA16-J16,0)</f>
        <v>-5081</v>
      </c>
      <c r="AS16" s="398">
        <f t="shared" ref="AS16:AS83" si="22">IFERROR(AB16-K16,0)</f>
        <v>-5081</v>
      </c>
      <c r="AT16" s="398"/>
      <c r="AU16" s="398">
        <f t="shared" ref="AU16:AU83" si="23">IFERROR(AD16-M16,0)</f>
        <v>-3917</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144267</v>
      </c>
      <c r="E20" s="198">
        <f t="shared" ref="E20:K20" si="27">SUM(E21)</f>
        <v>0</v>
      </c>
      <c r="F20" s="54">
        <f t="shared" si="27"/>
        <v>144267</v>
      </c>
      <c r="G20" s="54">
        <f t="shared" si="27"/>
        <v>8713</v>
      </c>
      <c r="H20" s="95">
        <f t="shared" si="27"/>
        <v>152980</v>
      </c>
      <c r="I20" s="216">
        <f t="shared" si="27"/>
        <v>0</v>
      </c>
      <c r="J20" s="101">
        <f t="shared" si="27"/>
        <v>144267</v>
      </c>
      <c r="K20" s="54">
        <f t="shared" si="27"/>
        <v>144267</v>
      </c>
      <c r="L20" s="54"/>
      <c r="M20" s="54">
        <f>SUM(M21)</f>
        <v>97112</v>
      </c>
      <c r="N20" s="183">
        <f t="shared" ref="N20:N21" si="28">IFERROR(M20/H20,0)</f>
        <v>0.63480193489345016</v>
      </c>
      <c r="O20" s="63"/>
      <c r="P20" s="64"/>
      <c r="Q20" s="64"/>
      <c r="R20"/>
      <c r="S20" s="62"/>
      <c r="T20" s="51" t="str">
        <f>C20</f>
        <v>Arts and Culture (Vote 37)</v>
      </c>
      <c r="U20" s="95">
        <v>144267</v>
      </c>
      <c r="V20" s="198">
        <v>0</v>
      </c>
      <c r="W20" s="54">
        <v>144267</v>
      </c>
      <c r="X20" s="54">
        <v>0</v>
      </c>
      <c r="Y20" s="95">
        <v>144267</v>
      </c>
      <c r="Z20" s="216"/>
      <c r="AA20" s="101">
        <v>68130</v>
      </c>
      <c r="AB20" s="54">
        <v>68130</v>
      </c>
      <c r="AC20" s="54"/>
      <c r="AD20" s="54">
        <v>50752</v>
      </c>
      <c r="AE20" s="172">
        <v>0.35179216314195205</v>
      </c>
      <c r="AF20" s="63"/>
      <c r="AG20" s="444"/>
      <c r="AH20" s="444"/>
      <c r="AI20"/>
      <c r="AJ20" s="402"/>
      <c r="AK20" s="481" t="str">
        <f t="shared" si="15"/>
        <v>Arts and Culture (Vote 37)</v>
      </c>
      <c r="AL20" s="388">
        <f t="shared" si="16"/>
        <v>0</v>
      </c>
      <c r="AM20" s="389">
        <f t="shared" si="17"/>
        <v>0</v>
      </c>
      <c r="AN20" s="390">
        <f t="shared" si="18"/>
        <v>0</v>
      </c>
      <c r="AO20" s="390">
        <f t="shared" si="19"/>
        <v>-8713</v>
      </c>
      <c r="AP20" s="388">
        <f t="shared" si="20"/>
        <v>-8713</v>
      </c>
      <c r="AQ20" s="391"/>
      <c r="AR20" s="392">
        <f t="shared" si="21"/>
        <v>-76137</v>
      </c>
      <c r="AS20" s="390">
        <f t="shared" si="22"/>
        <v>-76137</v>
      </c>
      <c r="AT20" s="390"/>
      <c r="AU20" s="390">
        <f t="shared" si="23"/>
        <v>-46360</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144267</v>
      </c>
      <c r="E21" s="199">
        <f>SUM(F21-D21)</f>
        <v>0</v>
      </c>
      <c r="F21" s="497">
        <v>144267</v>
      </c>
      <c r="G21" s="497">
        <v>8713</v>
      </c>
      <c r="H21" s="96">
        <f>SUM(F21:G21)</f>
        <v>152980</v>
      </c>
      <c r="I21" s="217"/>
      <c r="J21" s="499">
        <v>144267</v>
      </c>
      <c r="K21" s="497">
        <v>144267</v>
      </c>
      <c r="L21" s="59"/>
      <c r="M21" s="497">
        <v>97112</v>
      </c>
      <c r="N21" s="172">
        <f t="shared" si="28"/>
        <v>0.63480193489345016</v>
      </c>
      <c r="O21" s="60"/>
      <c r="P21" s="56"/>
      <c r="Q21" s="56"/>
      <c r="R21"/>
      <c r="S21" s="57"/>
      <c r="T21" s="58" t="str">
        <f t="shared" ref="T21:T25" si="29">C21</f>
        <v>Community Library Services Grant</v>
      </c>
      <c r="U21" s="96">
        <v>144267</v>
      </c>
      <c r="V21" s="199">
        <v>0</v>
      </c>
      <c r="W21" s="59">
        <v>144267</v>
      </c>
      <c r="X21" s="59">
        <v>0</v>
      </c>
      <c r="Y21" s="96">
        <v>144267</v>
      </c>
      <c r="Z21" s="217"/>
      <c r="AA21" s="102">
        <v>68130</v>
      </c>
      <c r="AB21" s="59">
        <v>68130</v>
      </c>
      <c r="AC21" s="59"/>
      <c r="AD21" s="59">
        <v>50752</v>
      </c>
      <c r="AE21" s="172">
        <v>0.35179216314195205</v>
      </c>
      <c r="AF21" s="60"/>
      <c r="AG21" s="443"/>
      <c r="AH21" s="443"/>
      <c r="AI21"/>
      <c r="AJ21" s="394"/>
      <c r="AK21" s="479" t="str">
        <f t="shared" si="15"/>
        <v>Community Library Services Grant</v>
      </c>
      <c r="AL21" s="396">
        <f t="shared" si="16"/>
        <v>0</v>
      </c>
      <c r="AM21" s="397">
        <f t="shared" si="17"/>
        <v>0</v>
      </c>
      <c r="AN21" s="398">
        <f t="shared" si="18"/>
        <v>0</v>
      </c>
      <c r="AO21" s="398">
        <f t="shared" si="19"/>
        <v>-8713</v>
      </c>
      <c r="AP21" s="396">
        <f t="shared" si="20"/>
        <v>-8713</v>
      </c>
      <c r="AQ21" s="399"/>
      <c r="AR21" s="400">
        <f t="shared" si="21"/>
        <v>-76137</v>
      </c>
      <c r="AS21" s="398">
        <f t="shared" si="22"/>
        <v>-76137</v>
      </c>
      <c r="AT21" s="398"/>
      <c r="AU21" s="398">
        <f t="shared" si="23"/>
        <v>-46360</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555366.18999999994</v>
      </c>
      <c r="E27" s="198">
        <f t="shared" ref="E27:K27" si="33">SUM(E28+E29+E30+E31)</f>
        <v>0</v>
      </c>
      <c r="F27" s="54">
        <f t="shared" si="33"/>
        <v>555366.18999999994</v>
      </c>
      <c r="G27" s="54">
        <f t="shared" si="33"/>
        <v>2315</v>
      </c>
      <c r="H27" s="95">
        <f t="shared" si="33"/>
        <v>557681.18999999994</v>
      </c>
      <c r="I27" s="216">
        <f t="shared" si="33"/>
        <v>0</v>
      </c>
      <c r="J27" s="101">
        <f t="shared" si="33"/>
        <v>555366</v>
      </c>
      <c r="K27" s="54">
        <f t="shared" si="33"/>
        <v>555366</v>
      </c>
      <c r="L27" s="54"/>
      <c r="M27" s="54">
        <f>SUM(M28+M29+M30+M31)</f>
        <v>552429</v>
      </c>
      <c r="N27" s="183">
        <f t="shared" ref="N27:N31" si="34">IFERROR(M27/H27,0)</f>
        <v>0.99058209225238536</v>
      </c>
      <c r="O27" s="63"/>
      <c r="P27" s="65"/>
      <c r="Q27" s="65"/>
      <c r="R27"/>
      <c r="S27" s="62"/>
      <c r="T27" s="51" t="str">
        <f>C27</f>
        <v>Basic Education (Vote 14)</v>
      </c>
      <c r="U27" s="95">
        <v>555366.18999999994</v>
      </c>
      <c r="V27" s="198">
        <v>0</v>
      </c>
      <c r="W27" s="54">
        <v>555366.18999999994</v>
      </c>
      <c r="X27" s="54">
        <v>0</v>
      </c>
      <c r="Y27" s="95">
        <v>555366.18999999994</v>
      </c>
      <c r="Z27" s="216"/>
      <c r="AA27" s="101">
        <v>400132</v>
      </c>
      <c r="AB27" s="54">
        <v>400132</v>
      </c>
      <c r="AC27" s="54"/>
      <c r="AD27" s="54">
        <v>238982</v>
      </c>
      <c r="AE27" s="183">
        <v>0.43031427606351053</v>
      </c>
      <c r="AF27" s="63"/>
      <c r="AG27" s="444"/>
      <c r="AH27" s="444"/>
      <c r="AI27"/>
      <c r="AJ27" s="402"/>
      <c r="AK27" s="481" t="str">
        <f t="shared" si="15"/>
        <v>Basic Education (Vote 14)</v>
      </c>
      <c r="AL27" s="388">
        <f t="shared" si="16"/>
        <v>0</v>
      </c>
      <c r="AM27" s="389">
        <f t="shared" si="17"/>
        <v>0</v>
      </c>
      <c r="AN27" s="390">
        <f t="shared" si="18"/>
        <v>0</v>
      </c>
      <c r="AO27" s="390">
        <f t="shared" si="19"/>
        <v>-2315</v>
      </c>
      <c r="AP27" s="388">
        <f t="shared" si="20"/>
        <v>-2315</v>
      </c>
      <c r="AQ27" s="391"/>
      <c r="AR27" s="392">
        <f t="shared" si="21"/>
        <v>-155234</v>
      </c>
      <c r="AS27" s="390">
        <f t="shared" si="22"/>
        <v>-155234</v>
      </c>
      <c r="AT27" s="390"/>
      <c r="AU27" s="390">
        <f t="shared" si="23"/>
        <v>-313447</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18849</v>
      </c>
      <c r="E28" s="199">
        <f t="shared" ref="E28:E31" si="35">SUM(F28-D28)</f>
        <v>0</v>
      </c>
      <c r="F28" s="497">
        <v>18849</v>
      </c>
      <c r="G28" s="497">
        <v>0</v>
      </c>
      <c r="H28" s="96">
        <f t="shared" ref="H28:H31" si="36">SUM(F28:G28)</f>
        <v>18849</v>
      </c>
      <c r="I28" s="217"/>
      <c r="J28" s="499">
        <v>18849</v>
      </c>
      <c r="K28" s="497">
        <v>18849</v>
      </c>
      <c r="L28" s="59"/>
      <c r="M28" s="497">
        <v>18689</v>
      </c>
      <c r="N28" s="172">
        <f t="shared" si="34"/>
        <v>0.99151148602047856</v>
      </c>
      <c r="O28" s="60"/>
      <c r="P28" s="22"/>
      <c r="Q28" s="22"/>
      <c r="S28" s="57"/>
      <c r="T28" s="58" t="str">
        <f t="shared" ref="T28:T32" si="37">C28</f>
        <v>(a) HIV and AIDS (Life Skills Education) Grant</v>
      </c>
      <c r="U28" s="96">
        <v>18849</v>
      </c>
      <c r="V28" s="199">
        <v>0</v>
      </c>
      <c r="W28" s="59">
        <v>18849</v>
      </c>
      <c r="X28" s="59">
        <v>0</v>
      </c>
      <c r="Y28" s="96">
        <v>18849</v>
      </c>
      <c r="Z28" s="217"/>
      <c r="AA28" s="102">
        <v>7540</v>
      </c>
      <c r="AB28" s="59">
        <v>7540</v>
      </c>
      <c r="AC28" s="59"/>
      <c r="AD28" s="59">
        <v>8393</v>
      </c>
      <c r="AE28" s="172">
        <v>0.4452756114382726</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-11309</v>
      </c>
      <c r="AS28" s="398">
        <f t="shared" si="22"/>
        <v>-11309</v>
      </c>
      <c r="AT28" s="398"/>
      <c r="AU28" s="398">
        <f t="shared" si="23"/>
        <v>-10296</v>
      </c>
      <c r="AV28" s="290"/>
      <c r="AW28" s="401"/>
    </row>
    <row r="29" spans="1:82" ht="15.75" customHeight="1" x14ac:dyDescent="0.3">
      <c r="B29" s="57"/>
      <c r="C29" s="58" t="s">
        <v>24</v>
      </c>
      <c r="D29" s="496">
        <v>16267</v>
      </c>
      <c r="E29" s="199">
        <f t="shared" si="35"/>
        <v>0</v>
      </c>
      <c r="F29" s="497">
        <v>16267</v>
      </c>
      <c r="G29" s="497">
        <v>568</v>
      </c>
      <c r="H29" s="96">
        <f t="shared" si="36"/>
        <v>16835</v>
      </c>
      <c r="I29" s="217"/>
      <c r="J29" s="499">
        <v>16267</v>
      </c>
      <c r="K29" s="497">
        <v>16267</v>
      </c>
      <c r="L29" s="59"/>
      <c r="M29" s="497">
        <v>15920</v>
      </c>
      <c r="N29" s="172">
        <f t="shared" si="34"/>
        <v>0.94564894564894564</v>
      </c>
      <c r="O29" s="60"/>
      <c r="P29" s="22"/>
      <c r="Q29" s="22"/>
      <c r="S29" s="57"/>
      <c r="T29" s="58" t="str">
        <f t="shared" si="37"/>
        <v>(b) Learners with Profound Intellectual Disabilities Grant</v>
      </c>
      <c r="U29" s="96">
        <v>16267</v>
      </c>
      <c r="V29" s="199">
        <v>0</v>
      </c>
      <c r="W29" s="59">
        <v>16267</v>
      </c>
      <c r="X29" s="59">
        <v>0</v>
      </c>
      <c r="Y29" s="96">
        <v>16267</v>
      </c>
      <c r="Z29" s="217"/>
      <c r="AA29" s="102">
        <v>10677</v>
      </c>
      <c r="AB29" s="59">
        <v>10677</v>
      </c>
      <c r="AC29" s="59"/>
      <c r="AD29" s="59">
        <v>6487</v>
      </c>
      <c r="AE29" s="172">
        <v>0.39878281182762648</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-568</v>
      </c>
      <c r="AP29" s="396">
        <f t="shared" si="20"/>
        <v>-568</v>
      </c>
      <c r="AQ29" s="399"/>
      <c r="AR29" s="400">
        <f t="shared" si="21"/>
        <v>-5590</v>
      </c>
      <c r="AS29" s="398">
        <f t="shared" si="22"/>
        <v>-5590</v>
      </c>
      <c r="AT29" s="398"/>
      <c r="AU29" s="398">
        <f t="shared" si="23"/>
        <v>-9433</v>
      </c>
      <c r="AV29" s="290"/>
      <c r="AW29" s="401"/>
    </row>
    <row r="30" spans="1:82" ht="15.75" customHeight="1" x14ac:dyDescent="0.3">
      <c r="B30" s="57"/>
      <c r="C30" s="58" t="s">
        <v>25</v>
      </c>
      <c r="D30" s="496">
        <v>38391</v>
      </c>
      <c r="E30" s="199">
        <f t="shared" si="35"/>
        <v>0</v>
      </c>
      <c r="F30" s="497">
        <v>38391</v>
      </c>
      <c r="G30" s="497">
        <v>1179</v>
      </c>
      <c r="H30" s="96">
        <f t="shared" si="36"/>
        <v>39570</v>
      </c>
      <c r="I30" s="217"/>
      <c r="J30" s="499">
        <v>38391</v>
      </c>
      <c r="K30" s="497">
        <v>38391</v>
      </c>
      <c r="L30" s="59"/>
      <c r="M30" s="497">
        <v>36467</v>
      </c>
      <c r="N30" s="172">
        <f t="shared" si="34"/>
        <v>0.92158200657063427</v>
      </c>
      <c r="O30" s="60"/>
      <c r="P30" s="22"/>
      <c r="Q30" s="22"/>
      <c r="S30" s="57"/>
      <c r="T30" s="58" t="str">
        <f t="shared" si="37"/>
        <v>(c) Maths, Science and Technology Grant</v>
      </c>
      <c r="U30" s="96">
        <v>38391</v>
      </c>
      <c r="V30" s="199">
        <v>0</v>
      </c>
      <c r="W30" s="59">
        <v>38391</v>
      </c>
      <c r="X30" s="59">
        <v>0</v>
      </c>
      <c r="Y30" s="96">
        <v>38391</v>
      </c>
      <c r="Z30" s="217"/>
      <c r="AA30" s="102">
        <v>19195</v>
      </c>
      <c r="AB30" s="59">
        <v>19195</v>
      </c>
      <c r="AC30" s="59"/>
      <c r="AD30" s="59">
        <v>8529</v>
      </c>
      <c r="AE30" s="172">
        <v>0.22216144408845823</v>
      </c>
      <c r="AF30" s="60"/>
      <c r="AG30" s="443"/>
      <c r="AH30" s="443"/>
      <c r="AJ30" s="394"/>
      <c r="AK30" s="479" t="str">
        <f t="shared" si="15"/>
        <v>(c) Maths, Science and Technology Grant</v>
      </c>
      <c r="AL30" s="396">
        <f t="shared" si="16"/>
        <v>0</v>
      </c>
      <c r="AM30" s="397">
        <f t="shared" si="17"/>
        <v>0</v>
      </c>
      <c r="AN30" s="398">
        <f t="shared" si="18"/>
        <v>0</v>
      </c>
      <c r="AO30" s="398">
        <f t="shared" si="19"/>
        <v>-1179</v>
      </c>
      <c r="AP30" s="396">
        <f t="shared" si="20"/>
        <v>-1179</v>
      </c>
      <c r="AQ30" s="399"/>
      <c r="AR30" s="400">
        <f t="shared" si="21"/>
        <v>-19196</v>
      </c>
      <c r="AS30" s="398">
        <f t="shared" si="22"/>
        <v>-19196</v>
      </c>
      <c r="AT30" s="398"/>
      <c r="AU30" s="398">
        <f t="shared" si="23"/>
        <v>-27938</v>
      </c>
      <c r="AV30" s="290"/>
      <c r="AW30" s="401"/>
    </row>
    <row r="31" spans="1:82" ht="15.75" customHeight="1" x14ac:dyDescent="0.3">
      <c r="B31" s="57"/>
      <c r="C31" s="58" t="s">
        <v>26</v>
      </c>
      <c r="D31" s="496">
        <v>481859.19</v>
      </c>
      <c r="E31" s="199">
        <f t="shared" si="35"/>
        <v>0</v>
      </c>
      <c r="F31" s="497">
        <v>481859.19</v>
      </c>
      <c r="G31" s="497">
        <v>568</v>
      </c>
      <c r="H31" s="96">
        <f t="shared" si="36"/>
        <v>482427.19</v>
      </c>
      <c r="I31" s="217"/>
      <c r="J31" s="499">
        <v>481859</v>
      </c>
      <c r="K31" s="497">
        <v>481859</v>
      </c>
      <c r="L31" s="59"/>
      <c r="M31" s="497">
        <v>481353</v>
      </c>
      <c r="N31" s="172">
        <f t="shared" si="34"/>
        <v>0.99777336347895318</v>
      </c>
      <c r="O31" s="60"/>
      <c r="P31" s="22"/>
      <c r="Q31" s="22"/>
      <c r="S31" s="57"/>
      <c r="T31" s="58" t="str">
        <f t="shared" si="37"/>
        <v>(d) National School Nutrition Programme Grant</v>
      </c>
      <c r="U31" s="96">
        <v>481859.19</v>
      </c>
      <c r="V31" s="199">
        <v>0</v>
      </c>
      <c r="W31" s="59">
        <v>481859.19</v>
      </c>
      <c r="X31" s="59">
        <v>0</v>
      </c>
      <c r="Y31" s="96">
        <v>481859.19</v>
      </c>
      <c r="Z31" s="217"/>
      <c r="AA31" s="102">
        <v>362720</v>
      </c>
      <c r="AB31" s="59">
        <v>362720</v>
      </c>
      <c r="AC31" s="59"/>
      <c r="AD31" s="59">
        <v>215573</v>
      </c>
      <c r="AE31" s="172">
        <v>0.44737758348035245</v>
      </c>
      <c r="AF31" s="60"/>
      <c r="AG31" s="443"/>
      <c r="AH31" s="443"/>
      <c r="AJ31" s="394"/>
      <c r="AK31" s="479" t="str">
        <f t="shared" si="15"/>
        <v>(d) National School Nutrition Programme Grant</v>
      </c>
      <c r="AL31" s="396">
        <f t="shared" si="16"/>
        <v>0</v>
      </c>
      <c r="AM31" s="397">
        <f t="shared" si="17"/>
        <v>0</v>
      </c>
      <c r="AN31" s="398">
        <f t="shared" si="18"/>
        <v>0</v>
      </c>
      <c r="AO31" s="398">
        <f t="shared" si="19"/>
        <v>-568</v>
      </c>
      <c r="AP31" s="396">
        <f t="shared" si="20"/>
        <v>-568</v>
      </c>
      <c r="AQ31" s="399"/>
      <c r="AR31" s="400">
        <f t="shared" si="21"/>
        <v>-119139</v>
      </c>
      <c r="AS31" s="398">
        <f t="shared" si="22"/>
        <v>-119139</v>
      </c>
      <c r="AT31" s="398"/>
      <c r="AU31" s="398">
        <f t="shared" si="23"/>
        <v>-265780</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2027952.0000000005</v>
      </c>
      <c r="E41" s="198">
        <f t="shared" ref="E41:K41" si="58">SUM(E42+E43+E44+E45+E46)</f>
        <v>22833</v>
      </c>
      <c r="F41" s="54">
        <f t="shared" si="58"/>
        <v>2050785.0000000005</v>
      </c>
      <c r="G41" s="54">
        <f t="shared" si="58"/>
        <v>19444</v>
      </c>
      <c r="H41" s="95">
        <f t="shared" si="58"/>
        <v>2070229.0000000005</v>
      </c>
      <c r="I41" s="216">
        <f t="shared" si="58"/>
        <v>0</v>
      </c>
      <c r="J41" s="101">
        <f t="shared" si="58"/>
        <v>2050785</v>
      </c>
      <c r="K41" s="54">
        <f t="shared" si="58"/>
        <v>2050785</v>
      </c>
      <c r="L41" s="54"/>
      <c r="M41" s="54">
        <f>SUM(M42+M43+M44+M45+M46)</f>
        <v>1988788</v>
      </c>
      <c r="N41" s="183">
        <f t="shared" ref="N41:N45" si="59">IFERROR(M41/H41,0)</f>
        <v>0.96066087374874931</v>
      </c>
      <c r="O41" s="63"/>
      <c r="P41" s="65"/>
      <c r="Q41" s="65"/>
      <c r="R41"/>
      <c r="S41" s="62"/>
      <c r="T41" s="51" t="str">
        <f>C41</f>
        <v>Health (Vote 16)</v>
      </c>
      <c r="U41" s="95">
        <v>2027952.0000000005</v>
      </c>
      <c r="V41" s="198">
        <v>0</v>
      </c>
      <c r="W41" s="54">
        <v>2027952.0000000005</v>
      </c>
      <c r="X41" s="54">
        <v>0</v>
      </c>
      <c r="Y41" s="95">
        <v>2027952.0000000005</v>
      </c>
      <c r="Z41" s="216"/>
      <c r="AA41" s="101">
        <v>1086480</v>
      </c>
      <c r="AB41" s="54">
        <v>1086474</v>
      </c>
      <c r="AC41" s="54"/>
      <c r="AD41" s="54">
        <v>997720</v>
      </c>
      <c r="AE41" s="183">
        <v>0.49198403118022505</v>
      </c>
      <c r="AF41" s="63"/>
      <c r="AG41" s="444"/>
      <c r="AH41" s="444"/>
      <c r="AI41"/>
      <c r="AJ41" s="402"/>
      <c r="AK41" s="481" t="str">
        <f t="shared" si="15"/>
        <v>Health (Vote 16)</v>
      </c>
      <c r="AL41" s="388">
        <f t="shared" si="16"/>
        <v>0</v>
      </c>
      <c r="AM41" s="389">
        <f t="shared" si="17"/>
        <v>-22833</v>
      </c>
      <c r="AN41" s="390">
        <f t="shared" si="18"/>
        <v>-22833</v>
      </c>
      <c r="AO41" s="390">
        <f t="shared" si="19"/>
        <v>-19444</v>
      </c>
      <c r="AP41" s="388">
        <f t="shared" si="20"/>
        <v>-42277</v>
      </c>
      <c r="AQ41" s="391"/>
      <c r="AR41" s="392">
        <f t="shared" si="21"/>
        <v>-964305</v>
      </c>
      <c r="AS41" s="390">
        <f t="shared" si="22"/>
        <v>-964311</v>
      </c>
      <c r="AT41" s="390"/>
      <c r="AU41" s="390">
        <f t="shared" si="23"/>
        <v>-991068</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1475402.0000000005</v>
      </c>
      <c r="E42" s="199">
        <f t="shared" ref="E42:E46" si="60">SUM(F42-D42)</f>
        <v>0</v>
      </c>
      <c r="F42" s="497">
        <v>1475402.0000000005</v>
      </c>
      <c r="G42" s="497">
        <v>0</v>
      </c>
      <c r="H42" s="96">
        <f t="shared" ref="H42:H45" si="61">SUM(F42:G42)</f>
        <v>1475402.0000000005</v>
      </c>
      <c r="I42" s="217"/>
      <c r="J42" s="499">
        <v>1475402</v>
      </c>
      <c r="K42" s="497">
        <v>1475402</v>
      </c>
      <c r="L42" s="59"/>
      <c r="M42" s="497">
        <v>1475276</v>
      </c>
      <c r="N42" s="172">
        <f t="shared" si="59"/>
        <v>0.99991459954642836</v>
      </c>
      <c r="O42" s="60"/>
      <c r="P42" s="56"/>
      <c r="Q42" s="56"/>
      <c r="S42" s="57"/>
      <c r="T42" s="58" t="str">
        <f t="shared" ref="T42:T46" si="62">C42</f>
        <v>(a) HIV, TB, Malaria and Community Outreach Grant</v>
      </c>
      <c r="U42" s="96">
        <v>1475402.0000000005</v>
      </c>
      <c r="V42" s="199">
        <v>0</v>
      </c>
      <c r="W42" s="59">
        <v>1475402.0000000005</v>
      </c>
      <c r="X42" s="59">
        <v>0</v>
      </c>
      <c r="Y42" s="96">
        <v>1475402.0000000005</v>
      </c>
      <c r="Z42" s="217"/>
      <c r="AA42" s="102">
        <v>737700</v>
      </c>
      <c r="AB42" s="59">
        <v>737694</v>
      </c>
      <c r="AC42" s="59"/>
      <c r="AD42" s="59">
        <v>807854</v>
      </c>
      <c r="AE42" s="172">
        <v>0.54754839697926383</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-737702</v>
      </c>
      <c r="AS42" s="398">
        <f t="shared" si="22"/>
        <v>-737708</v>
      </c>
      <c r="AT42" s="398"/>
      <c r="AU42" s="398">
        <f t="shared" si="23"/>
        <v>-667422</v>
      </c>
      <c r="AV42" s="290"/>
      <c r="AW42" s="401"/>
    </row>
    <row r="43" spans="1:82" s="35" customFormat="1" ht="15.75" customHeight="1" x14ac:dyDescent="0.3">
      <c r="A43"/>
      <c r="B43" s="57"/>
      <c r="C43" s="58" t="s">
        <v>28</v>
      </c>
      <c r="D43" s="496">
        <v>508549</v>
      </c>
      <c r="E43" s="199">
        <f t="shared" si="60"/>
        <v>0</v>
      </c>
      <c r="F43" s="497">
        <v>508549</v>
      </c>
      <c r="G43" s="497">
        <v>19444</v>
      </c>
      <c r="H43" s="96">
        <f t="shared" si="61"/>
        <v>527993</v>
      </c>
      <c r="I43" s="217"/>
      <c r="J43" s="499">
        <v>508549</v>
      </c>
      <c r="K43" s="497">
        <v>508549</v>
      </c>
      <c r="L43" s="59"/>
      <c r="M43" s="497">
        <v>446520</v>
      </c>
      <c r="N43" s="172">
        <f t="shared" si="59"/>
        <v>0.84569303002123131</v>
      </c>
      <c r="O43" s="60"/>
      <c r="P43" s="56"/>
      <c r="Q43" s="56"/>
      <c r="R43"/>
      <c r="S43" s="57"/>
      <c r="T43" s="58" t="str">
        <f t="shared" si="62"/>
        <v>(b) Health Facility Revitalisation Grant</v>
      </c>
      <c r="U43" s="96">
        <v>508549</v>
      </c>
      <c r="V43" s="199">
        <v>0</v>
      </c>
      <c r="W43" s="59">
        <v>508549</v>
      </c>
      <c r="X43" s="59">
        <v>0</v>
      </c>
      <c r="Y43" s="96">
        <v>508549</v>
      </c>
      <c r="Z43" s="217"/>
      <c r="AA43" s="102">
        <v>326784</v>
      </c>
      <c r="AB43" s="59">
        <v>326784</v>
      </c>
      <c r="AC43" s="59"/>
      <c r="AD43" s="59">
        <v>179341</v>
      </c>
      <c r="AE43" s="172">
        <v>0.35265235011768775</v>
      </c>
      <c r="AF43" s="60"/>
      <c r="AG43" s="443"/>
      <c r="AH43" s="443"/>
      <c r="AI43"/>
      <c r="AJ43" s="394"/>
      <c r="AK43" s="479" t="str">
        <f t="shared" si="15"/>
        <v>(b) Health Facility Revitalisation Grant</v>
      </c>
      <c r="AL43" s="396">
        <f t="shared" si="16"/>
        <v>0</v>
      </c>
      <c r="AM43" s="397">
        <f t="shared" si="17"/>
        <v>0</v>
      </c>
      <c r="AN43" s="398">
        <f t="shared" si="18"/>
        <v>0</v>
      </c>
      <c r="AO43" s="398">
        <f t="shared" si="19"/>
        <v>-19444</v>
      </c>
      <c r="AP43" s="396">
        <f t="shared" si="20"/>
        <v>-19444</v>
      </c>
      <c r="AQ43" s="399"/>
      <c r="AR43" s="400">
        <f t="shared" si="21"/>
        <v>-181765</v>
      </c>
      <c r="AS43" s="398">
        <f t="shared" si="22"/>
        <v>-181765</v>
      </c>
      <c r="AT43" s="398"/>
      <c r="AU43" s="398">
        <f t="shared" si="23"/>
        <v>-267179</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14007</v>
      </c>
      <c r="E44" s="199">
        <f t="shared" si="60"/>
        <v>-3581</v>
      </c>
      <c r="F44" s="497">
        <v>10426</v>
      </c>
      <c r="G44" s="497">
        <v>0</v>
      </c>
      <c r="H44" s="96">
        <f t="shared" si="61"/>
        <v>10426</v>
      </c>
      <c r="I44" s="217"/>
      <c r="J44" s="499">
        <v>10426</v>
      </c>
      <c r="K44" s="497">
        <v>10426</v>
      </c>
      <c r="L44" s="59"/>
      <c r="M44" s="497">
        <v>10426</v>
      </c>
      <c r="N44" s="172">
        <f t="shared" si="59"/>
        <v>1</v>
      </c>
      <c r="O44" s="69"/>
      <c r="P44" s="70"/>
      <c r="Q44" s="70"/>
      <c r="R44"/>
      <c r="S44" s="67"/>
      <c r="T44" s="58" t="str">
        <f t="shared" si="62"/>
        <v>(c) Human Papillomavirus Vaccine Grant</v>
      </c>
      <c r="U44" s="97">
        <v>14007</v>
      </c>
      <c r="V44" s="200">
        <v>0</v>
      </c>
      <c r="W44" s="68">
        <v>14007</v>
      </c>
      <c r="X44" s="68">
        <v>0</v>
      </c>
      <c r="Y44" s="97">
        <v>14007</v>
      </c>
      <c r="Z44" s="218"/>
      <c r="AA44" s="103">
        <v>7002</v>
      </c>
      <c r="AB44" s="68">
        <v>7002</v>
      </c>
      <c r="AC44" s="68"/>
      <c r="AD44" s="68">
        <v>1847</v>
      </c>
      <c r="AE44" s="172">
        <v>0.13186264010851717</v>
      </c>
      <c r="AF44" s="69"/>
      <c r="AG44" s="445"/>
      <c r="AH44" s="445"/>
      <c r="AI44" s="71"/>
      <c r="AJ44" s="404"/>
      <c r="AK44" s="479" t="str">
        <f t="shared" si="15"/>
        <v>(c) Human Papillomavirus Vaccine Grant</v>
      </c>
      <c r="AL44" s="405">
        <f t="shared" si="16"/>
        <v>0</v>
      </c>
      <c r="AM44" s="406">
        <f t="shared" si="17"/>
        <v>3581</v>
      </c>
      <c r="AN44" s="407">
        <f t="shared" si="18"/>
        <v>3581</v>
      </c>
      <c r="AO44" s="407">
        <f t="shared" si="19"/>
        <v>0</v>
      </c>
      <c r="AP44" s="405">
        <f t="shared" si="20"/>
        <v>3581</v>
      </c>
      <c r="AQ44" s="408"/>
      <c r="AR44" s="409">
        <f t="shared" si="21"/>
        <v>-3424</v>
      </c>
      <c r="AS44" s="407">
        <f t="shared" si="22"/>
        <v>-3424</v>
      </c>
      <c r="AT44" s="407"/>
      <c r="AU44" s="407">
        <f t="shared" si="23"/>
        <v>-8579</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29994</v>
      </c>
      <c r="E45" s="199">
        <f t="shared" si="60"/>
        <v>5190</v>
      </c>
      <c r="F45" s="497">
        <v>35184</v>
      </c>
      <c r="G45" s="497">
        <v>0</v>
      </c>
      <c r="H45" s="96">
        <f t="shared" si="61"/>
        <v>35184</v>
      </c>
      <c r="I45" s="217"/>
      <c r="J45" s="499">
        <v>35184</v>
      </c>
      <c r="K45" s="497">
        <v>35184</v>
      </c>
      <c r="L45" s="59"/>
      <c r="M45" s="497">
        <v>35342</v>
      </c>
      <c r="N45" s="172">
        <f t="shared" si="59"/>
        <v>1.0044906775807185</v>
      </c>
      <c r="O45" s="60"/>
      <c r="P45" s="56"/>
      <c r="Q45" s="56"/>
      <c r="R45"/>
      <c r="S45" s="57"/>
      <c r="T45" s="58" t="str">
        <f t="shared" si="62"/>
        <v>(d) Human Resources Capacitation Grant</v>
      </c>
      <c r="U45" s="96">
        <v>29994</v>
      </c>
      <c r="V45" s="199">
        <v>0</v>
      </c>
      <c r="W45" s="59">
        <v>29994</v>
      </c>
      <c r="X45" s="59">
        <v>0</v>
      </c>
      <c r="Y45" s="96">
        <v>29994</v>
      </c>
      <c r="Z45" s="217"/>
      <c r="AA45" s="102">
        <v>14994</v>
      </c>
      <c r="AB45" s="59">
        <v>14994</v>
      </c>
      <c r="AC45" s="59"/>
      <c r="AD45" s="59">
        <v>8678</v>
      </c>
      <c r="AE45" s="172">
        <v>0.28932453157298127</v>
      </c>
      <c r="AF45" s="60"/>
      <c r="AG45" s="443"/>
      <c r="AH45" s="443"/>
      <c r="AI45"/>
      <c r="AJ45" s="394"/>
      <c r="AK45" s="479" t="str">
        <f t="shared" si="15"/>
        <v>(d) Human Resources Capacitation Grant</v>
      </c>
      <c r="AL45" s="396">
        <f t="shared" si="16"/>
        <v>0</v>
      </c>
      <c r="AM45" s="397">
        <f t="shared" si="17"/>
        <v>-5190</v>
      </c>
      <c r="AN45" s="398">
        <f t="shared" si="18"/>
        <v>-5190</v>
      </c>
      <c r="AO45" s="398">
        <f t="shared" si="19"/>
        <v>0</v>
      </c>
      <c r="AP45" s="396">
        <f t="shared" si="20"/>
        <v>-5190</v>
      </c>
      <c r="AQ45" s="399"/>
      <c r="AR45" s="400">
        <f t="shared" si="21"/>
        <v>-20190</v>
      </c>
      <c r="AS45" s="398">
        <f t="shared" si="22"/>
        <v>-20190</v>
      </c>
      <c r="AT45" s="398"/>
      <c r="AU45" s="398">
        <f t="shared" si="23"/>
        <v>-26664</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21224</v>
      </c>
      <c r="F46" s="497">
        <v>21224</v>
      </c>
      <c r="G46" s="497">
        <v>0</v>
      </c>
      <c r="H46" s="96">
        <f t="shared" ref="H46" si="63">SUM(F46:G46)</f>
        <v>21224</v>
      </c>
      <c r="I46" s="217"/>
      <c r="J46" s="499">
        <v>21224</v>
      </c>
      <c r="K46" s="497">
        <v>21224</v>
      </c>
      <c r="L46" s="59"/>
      <c r="M46" s="497">
        <v>21224</v>
      </c>
      <c r="N46" s="172">
        <f>IFERROR(M46/H46,0)</f>
        <v>1</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-21224</v>
      </c>
      <c r="AN46" s="398">
        <f t="shared" si="18"/>
        <v>-21224</v>
      </c>
      <c r="AO46" s="398">
        <f t="shared" si="19"/>
        <v>0</v>
      </c>
      <c r="AP46" s="396">
        <f t="shared" si="20"/>
        <v>-21224</v>
      </c>
      <c r="AQ46" s="399"/>
      <c r="AR46" s="400">
        <f t="shared" si="21"/>
        <v>-21224</v>
      </c>
      <c r="AS46" s="398">
        <f t="shared" si="22"/>
        <v>-21224</v>
      </c>
      <c r="AT46" s="398"/>
      <c r="AU46" s="398">
        <f t="shared" si="23"/>
        <v>-21224</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1985335</v>
      </c>
      <c r="E48" s="198">
        <f t="shared" ref="E48:K48" si="64">SUM(E49+E50)</f>
        <v>0</v>
      </c>
      <c r="F48" s="54">
        <f t="shared" si="64"/>
        <v>1985335</v>
      </c>
      <c r="G48" s="54">
        <f t="shared" si="64"/>
        <v>10884</v>
      </c>
      <c r="H48" s="95">
        <f t="shared" si="64"/>
        <v>1996219</v>
      </c>
      <c r="I48" s="216">
        <f t="shared" si="64"/>
        <v>0</v>
      </c>
      <c r="J48" s="101">
        <f t="shared" si="64"/>
        <v>1985335</v>
      </c>
      <c r="K48" s="54">
        <f t="shared" si="64"/>
        <v>1985335</v>
      </c>
      <c r="L48" s="54"/>
      <c r="M48" s="54">
        <f>SUM(M49+M50)</f>
        <v>1891926</v>
      </c>
      <c r="N48" s="183">
        <f t="shared" ref="N48:N50" si="65">IFERROR(M48/H48,0)</f>
        <v>0.94775473031766555</v>
      </c>
      <c r="O48" s="63"/>
      <c r="P48" s="64"/>
      <c r="Q48" s="64"/>
      <c r="R48"/>
      <c r="S48" s="62"/>
      <c r="T48" s="51" t="str">
        <f>C48</f>
        <v>Human Settlements (Vote 38)</v>
      </c>
      <c r="U48" s="95">
        <v>1985335</v>
      </c>
      <c r="V48" s="198">
        <v>0</v>
      </c>
      <c r="W48" s="54">
        <v>1985335</v>
      </c>
      <c r="X48" s="54">
        <v>0</v>
      </c>
      <c r="Y48" s="95">
        <v>1985335</v>
      </c>
      <c r="Z48" s="216"/>
      <c r="AA48" s="101">
        <v>873545</v>
      </c>
      <c r="AB48" s="54">
        <v>873545</v>
      </c>
      <c r="AC48" s="54"/>
      <c r="AD48" s="54">
        <v>756150</v>
      </c>
      <c r="AE48" s="183">
        <v>0.38086771250192031</v>
      </c>
      <c r="AF48" s="63"/>
      <c r="AG48" s="444"/>
      <c r="AH48" s="444"/>
      <c r="AI48" s="73"/>
      <c r="AJ48" s="402"/>
      <c r="AK48" s="481" t="str">
        <f t="shared" si="15"/>
        <v>Human Settlements (Vote 38)</v>
      </c>
      <c r="AL48" s="388">
        <f t="shared" si="16"/>
        <v>0</v>
      </c>
      <c r="AM48" s="389">
        <f t="shared" si="17"/>
        <v>0</v>
      </c>
      <c r="AN48" s="390">
        <f t="shared" si="18"/>
        <v>0</v>
      </c>
      <c r="AO48" s="390">
        <f t="shared" si="19"/>
        <v>-10884</v>
      </c>
      <c r="AP48" s="388">
        <f t="shared" si="20"/>
        <v>-10884</v>
      </c>
      <c r="AQ48" s="391"/>
      <c r="AR48" s="392">
        <f t="shared" si="21"/>
        <v>-1111790</v>
      </c>
      <c r="AS48" s="390">
        <f t="shared" si="22"/>
        <v>-1111790</v>
      </c>
      <c r="AT48" s="390"/>
      <c r="AU48" s="390">
        <f t="shared" si="23"/>
        <v>-1135776</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1934947</v>
      </c>
      <c r="E49" s="199">
        <f t="shared" ref="E49:E50" si="66">SUM(F49-D49)</f>
        <v>0</v>
      </c>
      <c r="F49" s="497">
        <v>1934947</v>
      </c>
      <c r="G49" s="497">
        <v>0</v>
      </c>
      <c r="H49" s="96">
        <f t="shared" ref="H49:H50" si="67">SUM(F49:G49)</f>
        <v>1934947</v>
      </c>
      <c r="I49" s="217"/>
      <c r="J49" s="499">
        <v>1934947</v>
      </c>
      <c r="K49" s="497">
        <v>1934947</v>
      </c>
      <c r="L49" s="59"/>
      <c r="M49" s="497">
        <v>1873561</v>
      </c>
      <c r="N49" s="172">
        <f t="shared" si="65"/>
        <v>0.96827510004149986</v>
      </c>
      <c r="O49" s="60"/>
      <c r="R49"/>
      <c r="S49" s="57"/>
      <c r="T49" s="58" t="str">
        <f t="shared" ref="T49:T53" si="68">C49</f>
        <v>(a) Human Settlements Development Grant</v>
      </c>
      <c r="U49" s="96">
        <v>1934947</v>
      </c>
      <c r="V49" s="199">
        <v>0</v>
      </c>
      <c r="W49" s="59">
        <v>1934947</v>
      </c>
      <c r="X49" s="59">
        <v>0</v>
      </c>
      <c r="Y49" s="96">
        <v>1934947</v>
      </c>
      <c r="Z49" s="217"/>
      <c r="AA49" s="102">
        <v>847926</v>
      </c>
      <c r="AB49" s="59">
        <v>847926</v>
      </c>
      <c r="AC49" s="59"/>
      <c r="AD49" s="59">
        <v>748814</v>
      </c>
      <c r="AE49" s="172">
        <v>0.3869945791796881</v>
      </c>
      <c r="AF49" s="60"/>
      <c r="AG49" s="443"/>
      <c r="AH49" s="443"/>
      <c r="AI49" s="61"/>
      <c r="AJ49" s="394"/>
      <c r="AK49" s="479" t="str">
        <f t="shared" si="15"/>
        <v>(a) Human Settlements Development Grant</v>
      </c>
      <c r="AL49" s="396">
        <f t="shared" si="16"/>
        <v>0</v>
      </c>
      <c r="AM49" s="397">
        <f t="shared" si="17"/>
        <v>0</v>
      </c>
      <c r="AN49" s="398">
        <f t="shared" si="18"/>
        <v>0</v>
      </c>
      <c r="AO49" s="398">
        <f t="shared" si="19"/>
        <v>0</v>
      </c>
      <c r="AP49" s="396">
        <f t="shared" si="20"/>
        <v>0</v>
      </c>
      <c r="AQ49" s="399"/>
      <c r="AR49" s="400">
        <f t="shared" si="21"/>
        <v>-1087021</v>
      </c>
      <c r="AS49" s="398">
        <f t="shared" si="22"/>
        <v>-1087021</v>
      </c>
      <c r="AT49" s="398"/>
      <c r="AU49" s="398">
        <f t="shared" si="23"/>
        <v>-1124747</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50388</v>
      </c>
      <c r="E50" s="199">
        <f t="shared" si="66"/>
        <v>0</v>
      </c>
      <c r="F50" s="497">
        <v>50388</v>
      </c>
      <c r="G50" s="497">
        <v>10884</v>
      </c>
      <c r="H50" s="96">
        <f t="shared" si="67"/>
        <v>61272</v>
      </c>
      <c r="I50" s="217"/>
      <c r="J50" s="499">
        <v>50388</v>
      </c>
      <c r="K50" s="497">
        <v>50388</v>
      </c>
      <c r="L50" s="59"/>
      <c r="M50" s="497">
        <v>18365</v>
      </c>
      <c r="N50" s="172">
        <f t="shared" si="65"/>
        <v>0.29972907690298994</v>
      </c>
      <c r="O50" s="60"/>
      <c r="P50" s="56"/>
      <c r="Q50" s="56"/>
      <c r="R50"/>
      <c r="S50" s="57"/>
      <c r="T50" s="58" t="str">
        <f t="shared" si="68"/>
        <v>(b) Title Deeds Restoriation Grant</v>
      </c>
      <c r="U50" s="96">
        <v>50388</v>
      </c>
      <c r="V50" s="199">
        <v>0</v>
      </c>
      <c r="W50" s="59">
        <v>50388</v>
      </c>
      <c r="X50" s="59">
        <v>0</v>
      </c>
      <c r="Y50" s="96">
        <v>50388</v>
      </c>
      <c r="Z50" s="217"/>
      <c r="AA50" s="102">
        <v>25619</v>
      </c>
      <c r="AB50" s="59">
        <v>25619</v>
      </c>
      <c r="AC50" s="59"/>
      <c r="AD50" s="59">
        <v>7336</v>
      </c>
      <c r="AE50" s="172">
        <v>0.14559021989362547</v>
      </c>
      <c r="AF50" s="60"/>
      <c r="AG50" s="443"/>
      <c r="AH50" s="443"/>
      <c r="AI50"/>
      <c r="AJ50" s="394"/>
      <c r="AK50" s="479" t="str">
        <f t="shared" si="15"/>
        <v>(b) Title Deeds Restoriation Grant</v>
      </c>
      <c r="AL50" s="396">
        <f t="shared" si="16"/>
        <v>0</v>
      </c>
      <c r="AM50" s="397">
        <f t="shared" si="17"/>
        <v>0</v>
      </c>
      <c r="AN50" s="398">
        <f t="shared" si="18"/>
        <v>0</v>
      </c>
      <c r="AO50" s="398">
        <f t="shared" si="19"/>
        <v>-10884</v>
      </c>
      <c r="AP50" s="396">
        <f t="shared" si="20"/>
        <v>-10884</v>
      </c>
      <c r="AQ50" s="399"/>
      <c r="AR50" s="400">
        <f t="shared" si="21"/>
        <v>-24769</v>
      </c>
      <c r="AS50" s="398">
        <f t="shared" si="22"/>
        <v>-24769</v>
      </c>
      <c r="AT50" s="398"/>
      <c r="AU50" s="398">
        <f t="shared" si="23"/>
        <v>-11029</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51856</v>
      </c>
      <c r="E55" s="198">
        <f t="shared" ref="E55:K55" si="72">SUM(E56+E57)</f>
        <v>0</v>
      </c>
      <c r="F55" s="54">
        <f t="shared" si="72"/>
        <v>51856</v>
      </c>
      <c r="G55" s="54">
        <f t="shared" si="72"/>
        <v>0</v>
      </c>
      <c r="H55" s="95">
        <f t="shared" si="72"/>
        <v>51856</v>
      </c>
      <c r="I55" s="216">
        <f t="shared" si="72"/>
        <v>0</v>
      </c>
      <c r="J55" s="101">
        <f t="shared" si="72"/>
        <v>51856</v>
      </c>
      <c r="K55" s="54">
        <f t="shared" si="72"/>
        <v>51856</v>
      </c>
      <c r="L55" s="54"/>
      <c r="M55" s="54">
        <f>SUM(M56+M57)</f>
        <v>46340</v>
      </c>
      <c r="N55" s="183">
        <f t="shared" ref="N55:N57" si="73">IFERROR(M55/H55,0)</f>
        <v>0.89362850971922247</v>
      </c>
      <c r="O55" s="63"/>
      <c r="P55" s="64"/>
      <c r="Q55" s="64"/>
      <c r="R55"/>
      <c r="S55" s="62"/>
      <c r="T55" s="51" t="str">
        <f>C55</f>
        <v>Public Works (Vote 11)</v>
      </c>
      <c r="U55" s="95">
        <v>51856</v>
      </c>
      <c r="V55" s="198">
        <v>0</v>
      </c>
      <c r="W55" s="54">
        <v>51856</v>
      </c>
      <c r="X55" s="54">
        <v>0</v>
      </c>
      <c r="Y55" s="95">
        <v>51856</v>
      </c>
      <c r="Z55" s="216"/>
      <c r="AA55" s="101">
        <v>36300</v>
      </c>
      <c r="AB55" s="54">
        <v>33372</v>
      </c>
      <c r="AC55" s="54"/>
      <c r="AD55" s="54">
        <v>25932</v>
      </c>
      <c r="AE55" s="183">
        <v>0.50007713668620801</v>
      </c>
      <c r="AF55" s="63"/>
      <c r="AG55" s="444"/>
      <c r="AH55" s="444"/>
      <c r="AI55"/>
      <c r="AJ55" s="402"/>
      <c r="AK55" s="481" t="str">
        <f t="shared" si="15"/>
        <v>Public Works (Vote 11)</v>
      </c>
      <c r="AL55" s="388">
        <f t="shared" si="16"/>
        <v>0</v>
      </c>
      <c r="AM55" s="389">
        <f t="shared" si="17"/>
        <v>0</v>
      </c>
      <c r="AN55" s="390">
        <f t="shared" si="18"/>
        <v>0</v>
      </c>
      <c r="AO55" s="390">
        <f t="shared" si="19"/>
        <v>0</v>
      </c>
      <c r="AP55" s="388">
        <f t="shared" si="20"/>
        <v>0</v>
      </c>
      <c r="AQ55" s="391"/>
      <c r="AR55" s="392">
        <f t="shared" si="21"/>
        <v>-15556</v>
      </c>
      <c r="AS55" s="390">
        <f t="shared" si="22"/>
        <v>-18484</v>
      </c>
      <c r="AT55" s="390"/>
      <c r="AU55" s="390">
        <f t="shared" si="23"/>
        <v>-20408</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21944</v>
      </c>
      <c r="E56" s="199">
        <f t="shared" ref="E56:E57" si="74">SUM(F56-D56)</f>
        <v>0</v>
      </c>
      <c r="F56" s="497">
        <v>21944</v>
      </c>
      <c r="G56" s="497">
        <v>0</v>
      </c>
      <c r="H56" s="96">
        <f t="shared" ref="H56:H57" si="75">SUM(F56:G56)</f>
        <v>21944</v>
      </c>
      <c r="I56" s="217"/>
      <c r="J56" s="499">
        <v>21944</v>
      </c>
      <c r="K56" s="497">
        <v>21944</v>
      </c>
      <c r="L56" s="59"/>
      <c r="M56" s="497">
        <v>16528</v>
      </c>
      <c r="N56" s="172">
        <f t="shared" si="73"/>
        <v>0.7531899380240612</v>
      </c>
      <c r="O56" s="60"/>
      <c r="P56" s="56"/>
      <c r="Q56" s="56"/>
      <c r="R56"/>
      <c r="S56" s="57"/>
      <c r="T56" s="58" t="str">
        <f t="shared" ref="T56:T60" si="76">C56</f>
        <v>(a) Expanded Public Works Programme Integrated Grant for Provinces</v>
      </c>
      <c r="U56" s="96">
        <v>21944</v>
      </c>
      <c r="V56" s="199">
        <v>0</v>
      </c>
      <c r="W56" s="59">
        <v>21944</v>
      </c>
      <c r="X56" s="59">
        <v>0</v>
      </c>
      <c r="Y56" s="96">
        <v>21944</v>
      </c>
      <c r="Z56" s="217"/>
      <c r="AA56" s="102">
        <v>15361</v>
      </c>
      <c r="AB56" s="59">
        <v>12433</v>
      </c>
      <c r="AC56" s="59"/>
      <c r="AD56" s="59">
        <v>6886</v>
      </c>
      <c r="AE56" s="172">
        <v>0.31379876048122496</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-6583</v>
      </c>
      <c r="AS56" s="398">
        <f t="shared" si="22"/>
        <v>-9511</v>
      </c>
      <c r="AT56" s="398"/>
      <c r="AU56" s="398">
        <f t="shared" si="23"/>
        <v>-9642</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29912</v>
      </c>
      <c r="E57" s="199">
        <f t="shared" si="74"/>
        <v>0</v>
      </c>
      <c r="F57" s="497">
        <v>29912</v>
      </c>
      <c r="G57" s="497">
        <v>0</v>
      </c>
      <c r="H57" s="96">
        <f t="shared" si="75"/>
        <v>29912</v>
      </c>
      <c r="I57" s="217"/>
      <c r="J57" s="499">
        <v>29912</v>
      </c>
      <c r="K57" s="497">
        <v>29912</v>
      </c>
      <c r="L57" s="59"/>
      <c r="M57" s="497">
        <v>29812</v>
      </c>
      <c r="N57" s="172">
        <f t="shared" si="73"/>
        <v>0.99665686012302757</v>
      </c>
      <c r="O57" s="60"/>
      <c r="P57" s="56"/>
      <c r="Q57" s="56"/>
      <c r="R57"/>
      <c r="S57" s="57"/>
      <c r="T57" s="58" t="str">
        <f t="shared" si="76"/>
        <v>(b) Social Sector Expanded Public Works Programme Incentive Grant for Provinces</v>
      </c>
      <c r="U57" s="96">
        <v>29912</v>
      </c>
      <c r="V57" s="199">
        <v>0</v>
      </c>
      <c r="W57" s="59">
        <v>29912</v>
      </c>
      <c r="X57" s="59">
        <v>0</v>
      </c>
      <c r="Y57" s="96">
        <v>29912</v>
      </c>
      <c r="Z57" s="217"/>
      <c r="AA57" s="102">
        <v>20939</v>
      </c>
      <c r="AB57" s="59">
        <v>20939</v>
      </c>
      <c r="AC57" s="59"/>
      <c r="AD57" s="59">
        <v>19046</v>
      </c>
      <c r="AE57" s="172">
        <v>0.63673442096817334</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-8973</v>
      </c>
      <c r="AS57" s="398">
        <f t="shared" si="22"/>
        <v>-8973</v>
      </c>
      <c r="AT57" s="398"/>
      <c r="AU57" s="398">
        <f t="shared" si="23"/>
        <v>-10766</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55201</v>
      </c>
      <c r="E62" s="198">
        <f t="shared" ref="E62:K62" si="79">SUM(E63)</f>
        <v>0</v>
      </c>
      <c r="F62" s="54">
        <f t="shared" si="79"/>
        <v>55201</v>
      </c>
      <c r="G62" s="54">
        <f t="shared" si="79"/>
        <v>0</v>
      </c>
      <c r="H62" s="95">
        <f t="shared" si="79"/>
        <v>55201</v>
      </c>
      <c r="I62" s="216">
        <f t="shared" si="79"/>
        <v>0</v>
      </c>
      <c r="J62" s="101">
        <f t="shared" si="79"/>
        <v>55201</v>
      </c>
      <c r="K62" s="54">
        <f t="shared" si="79"/>
        <v>55201</v>
      </c>
      <c r="L62" s="54"/>
      <c r="M62" s="54">
        <f>SUM(M63)</f>
        <v>51364</v>
      </c>
      <c r="N62" s="183">
        <f t="shared" ref="N62:N63" si="80">IFERROR(M62/H62,0)</f>
        <v>0.93049038966685382</v>
      </c>
      <c r="O62" s="63"/>
      <c r="P62" s="64"/>
      <c r="Q62" s="64"/>
      <c r="R62"/>
      <c r="S62" s="62"/>
      <c r="T62" s="51" t="str">
        <f>C62</f>
        <v>Social Development (Vote 17)</v>
      </c>
      <c r="U62" s="95">
        <v>55201</v>
      </c>
      <c r="V62" s="198">
        <v>0</v>
      </c>
      <c r="W62" s="54">
        <v>55201</v>
      </c>
      <c r="X62" s="54">
        <v>0</v>
      </c>
      <c r="Y62" s="95">
        <v>55201</v>
      </c>
      <c r="Z62" s="216"/>
      <c r="AA62" s="101">
        <v>27600</v>
      </c>
      <c r="AB62" s="54">
        <v>27948</v>
      </c>
      <c r="AC62" s="54"/>
      <c r="AD62" s="54">
        <v>18429</v>
      </c>
      <c r="AE62" s="183">
        <v>0.33385264759696381</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-27601</v>
      </c>
      <c r="AS62" s="390">
        <f t="shared" si="22"/>
        <v>-27253</v>
      </c>
      <c r="AT62" s="390"/>
      <c r="AU62" s="390">
        <f t="shared" si="23"/>
        <v>-32935</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55201</v>
      </c>
      <c r="E63" s="199">
        <f>SUM(F63-D63)</f>
        <v>0</v>
      </c>
      <c r="F63" s="497">
        <v>55201</v>
      </c>
      <c r="G63" s="497">
        <v>0</v>
      </c>
      <c r="H63" s="96">
        <f>SUM(F63:G63)</f>
        <v>55201</v>
      </c>
      <c r="I63" s="217"/>
      <c r="J63" s="499">
        <v>55201</v>
      </c>
      <c r="K63" s="497">
        <v>55201</v>
      </c>
      <c r="L63" s="59"/>
      <c r="M63" s="497">
        <v>51364</v>
      </c>
      <c r="N63" s="172">
        <f t="shared" si="80"/>
        <v>0.93049038966685382</v>
      </c>
      <c r="O63" s="33"/>
      <c r="P63" s="21"/>
      <c r="Q63" s="21"/>
      <c r="R63"/>
      <c r="S63" s="57"/>
      <c r="T63" s="58" t="str">
        <f t="shared" ref="T63:T67" si="81">C63</f>
        <v>Early Childhood Development Grant</v>
      </c>
      <c r="U63" s="96">
        <v>55201</v>
      </c>
      <c r="V63" s="199">
        <v>0</v>
      </c>
      <c r="W63" s="59">
        <v>55201</v>
      </c>
      <c r="X63" s="59">
        <v>0</v>
      </c>
      <c r="Y63" s="96">
        <v>55201</v>
      </c>
      <c r="Z63" s="217"/>
      <c r="AA63" s="102">
        <v>27600</v>
      </c>
      <c r="AB63" s="59">
        <v>27948</v>
      </c>
      <c r="AC63" s="59"/>
      <c r="AD63" s="59">
        <v>18429</v>
      </c>
      <c r="AE63" s="172">
        <v>0.33385264759696381</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-27601</v>
      </c>
      <c r="AS63" s="398">
        <f t="shared" si="22"/>
        <v>-27253</v>
      </c>
      <c r="AT63" s="398"/>
      <c r="AU63" s="398">
        <f t="shared" si="23"/>
        <v>-32935</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43814</v>
      </c>
      <c r="E69" s="198">
        <f t="shared" ref="E69:K69" si="85">SUM(E70)</f>
        <v>0</v>
      </c>
      <c r="F69" s="54">
        <f t="shared" si="85"/>
        <v>43814</v>
      </c>
      <c r="G69" s="54">
        <f t="shared" si="85"/>
        <v>0</v>
      </c>
      <c r="H69" s="95">
        <f t="shared" si="85"/>
        <v>43814</v>
      </c>
      <c r="I69" s="216">
        <f t="shared" si="85"/>
        <v>0</v>
      </c>
      <c r="J69" s="101">
        <f t="shared" si="85"/>
        <v>43814</v>
      </c>
      <c r="K69" s="54">
        <f t="shared" si="85"/>
        <v>43814</v>
      </c>
      <c r="L69" s="54"/>
      <c r="M69" s="54">
        <f>SUM(M70)</f>
        <v>38415</v>
      </c>
      <c r="N69" s="183">
        <f t="shared" ref="N69:N70" si="86">IFERROR(M69/H69,0)</f>
        <v>0.87677454694846391</v>
      </c>
      <c r="O69" s="63"/>
      <c r="P69" s="64"/>
      <c r="Q69" s="64"/>
      <c r="R69"/>
      <c r="S69" s="62"/>
      <c r="T69" s="51" t="str">
        <f>C69</f>
        <v>Sport and Recreation South Africa (Vote 40)</v>
      </c>
      <c r="U69" s="95">
        <v>43814</v>
      </c>
      <c r="V69" s="198">
        <v>0</v>
      </c>
      <c r="W69" s="54">
        <v>43814</v>
      </c>
      <c r="X69" s="54">
        <v>0</v>
      </c>
      <c r="Y69" s="95">
        <v>43814</v>
      </c>
      <c r="Z69" s="216"/>
      <c r="AA69" s="101">
        <v>21907</v>
      </c>
      <c r="AB69" s="54">
        <v>21907</v>
      </c>
      <c r="AC69" s="59"/>
      <c r="AD69" s="54">
        <v>18186</v>
      </c>
      <c r="AE69" s="172">
        <v>0.41507280777833572</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-21907</v>
      </c>
      <c r="AS69" s="390">
        <f t="shared" si="22"/>
        <v>-21907</v>
      </c>
      <c r="AT69" s="398"/>
      <c r="AU69" s="390">
        <f t="shared" si="23"/>
        <v>-20229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43814</v>
      </c>
      <c r="E70" s="199">
        <f>SUM(F70-D70)</f>
        <v>0</v>
      </c>
      <c r="F70" s="497">
        <v>43814</v>
      </c>
      <c r="G70" s="497">
        <v>0</v>
      </c>
      <c r="H70" s="96">
        <f>SUM(F70:G70)</f>
        <v>43814</v>
      </c>
      <c r="I70" s="217"/>
      <c r="J70" s="499">
        <v>43814</v>
      </c>
      <c r="K70" s="497">
        <v>43814</v>
      </c>
      <c r="L70" s="59"/>
      <c r="M70" s="497">
        <v>38415</v>
      </c>
      <c r="N70" s="172">
        <f t="shared" si="86"/>
        <v>0.87677454694846391</v>
      </c>
      <c r="O70" s="60"/>
      <c r="P70" s="56"/>
      <c r="Q70" s="56"/>
      <c r="R70"/>
      <c r="S70" s="57"/>
      <c r="T70" s="58" t="str">
        <f t="shared" ref="T70:T74" si="87">C70</f>
        <v>Mass Participation and Sport Development Grant</v>
      </c>
      <c r="U70" s="96">
        <v>43814</v>
      </c>
      <c r="V70" s="199">
        <v>0</v>
      </c>
      <c r="W70" s="59">
        <v>43814</v>
      </c>
      <c r="X70" s="59">
        <v>0</v>
      </c>
      <c r="Y70" s="96">
        <v>43814</v>
      </c>
      <c r="Z70" s="217"/>
      <c r="AA70" s="102">
        <v>21907</v>
      </c>
      <c r="AB70" s="59">
        <v>21907</v>
      </c>
      <c r="AC70" s="59"/>
      <c r="AD70" s="59">
        <v>18186</v>
      </c>
      <c r="AE70" s="183">
        <v>0.41507280777833572</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-21907</v>
      </c>
      <c r="AS70" s="398">
        <f t="shared" si="22"/>
        <v>-21907</v>
      </c>
      <c r="AT70" s="398"/>
      <c r="AU70" s="398">
        <f t="shared" si="23"/>
        <v>-20229</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5108472.1900000004</v>
      </c>
      <c r="E76" s="201">
        <f t="shared" ref="E76:K76" si="90">SUM(E13+E20+E27+E34+E41+E48+E55+E62+E69)</f>
        <v>18256</v>
      </c>
      <c r="F76" s="75">
        <f t="shared" si="90"/>
        <v>5126728.1900000004</v>
      </c>
      <c r="G76" s="75">
        <f t="shared" si="90"/>
        <v>43703</v>
      </c>
      <c r="H76" s="98">
        <f t="shared" si="90"/>
        <v>5170431.1900000004</v>
      </c>
      <c r="I76" s="219">
        <f t="shared" si="90"/>
        <v>0</v>
      </c>
      <c r="J76" s="104">
        <f t="shared" si="90"/>
        <v>5126728</v>
      </c>
      <c r="K76" s="75">
        <f t="shared" si="90"/>
        <v>5126728</v>
      </c>
      <c r="L76" s="59"/>
      <c r="M76" s="75">
        <f>SUM(M13+M20+M27+M34+M41+M48+M55+M62+M69)</f>
        <v>4812522</v>
      </c>
      <c r="N76" s="180">
        <f>IFERROR(M76/H76,0)</f>
        <v>0.93077769012916689</v>
      </c>
      <c r="O76" s="60"/>
      <c r="P76" s="65"/>
      <c r="Q76" s="65"/>
      <c r="R76"/>
      <c r="S76" s="53"/>
      <c r="T76" s="74" t="s">
        <v>37</v>
      </c>
      <c r="U76" s="98">
        <v>5108472.1900000004</v>
      </c>
      <c r="V76" s="201">
        <v>0</v>
      </c>
      <c r="W76" s="75">
        <v>5108472.1900000004</v>
      </c>
      <c r="X76" s="75">
        <v>0</v>
      </c>
      <c r="Y76" s="98">
        <v>5108472.1900000004</v>
      </c>
      <c r="Z76" s="219">
        <v>0</v>
      </c>
      <c r="AA76" s="104">
        <v>2632444</v>
      </c>
      <c r="AB76" s="75">
        <v>2629858</v>
      </c>
      <c r="AC76" s="59"/>
      <c r="AD76" s="75">
        <v>2167632</v>
      </c>
      <c r="AE76" s="180">
        <v>0.42432099449287591</v>
      </c>
      <c r="AF76" s="60"/>
      <c r="AG76" s="443"/>
      <c r="AH76" s="443"/>
      <c r="AI76"/>
      <c r="AJ76" s="387"/>
      <c r="AK76" s="411" t="str">
        <f t="shared" si="15"/>
        <v>Sub-Total</v>
      </c>
      <c r="AL76" s="412">
        <f t="shared" si="16"/>
        <v>0</v>
      </c>
      <c r="AM76" s="413">
        <f t="shared" si="17"/>
        <v>-18256</v>
      </c>
      <c r="AN76" s="414">
        <f t="shared" si="18"/>
        <v>-18256</v>
      </c>
      <c r="AO76" s="414">
        <f t="shared" si="19"/>
        <v>-43703</v>
      </c>
      <c r="AP76" s="412">
        <f t="shared" si="20"/>
        <v>-61959</v>
      </c>
      <c r="AQ76" s="415"/>
      <c r="AR76" s="416">
        <f t="shared" si="21"/>
        <v>-2494284</v>
      </c>
      <c r="AS76" s="414">
        <f t="shared" si="22"/>
        <v>-2496870</v>
      </c>
      <c r="AT76" s="398"/>
      <c r="AU76" s="414">
        <f t="shared" si="23"/>
        <v>-2644890</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902484</v>
      </c>
      <c r="E80" s="198">
        <f t="shared" ref="E80:K80" si="91">SUM(E81)</f>
        <v>-225621</v>
      </c>
      <c r="F80" s="54">
        <f t="shared" si="91"/>
        <v>676863</v>
      </c>
      <c r="G80" s="54">
        <f t="shared" si="91"/>
        <v>191831</v>
      </c>
      <c r="H80" s="95">
        <f t="shared" si="91"/>
        <v>868694</v>
      </c>
      <c r="I80" s="216">
        <f t="shared" si="91"/>
        <v>0</v>
      </c>
      <c r="J80" s="101">
        <f t="shared" si="91"/>
        <v>676863</v>
      </c>
      <c r="K80" s="54">
        <f t="shared" si="91"/>
        <v>676863</v>
      </c>
      <c r="L80" s="54"/>
      <c r="M80" s="76"/>
      <c r="N80" s="439"/>
      <c r="O80" s="55"/>
      <c r="R80"/>
      <c r="S80" s="62"/>
      <c r="T80" s="51" t="str">
        <f>C80</f>
        <v>Basic Education (Vote 14)</v>
      </c>
      <c r="U80" s="95">
        <v>902484</v>
      </c>
      <c r="V80" s="198">
        <v>0</v>
      </c>
      <c r="W80" s="54">
        <v>902484</v>
      </c>
      <c r="X80" s="54">
        <v>0</v>
      </c>
      <c r="Y80" s="95">
        <v>902484</v>
      </c>
      <c r="Z80" s="216"/>
      <c r="AA80" s="101">
        <v>564052</v>
      </c>
      <c r="AB80" s="54">
        <v>564052</v>
      </c>
      <c r="AC80" s="59"/>
      <c r="AD80" s="54"/>
      <c r="AE80" s="54"/>
      <c r="AF80" s="55"/>
      <c r="AG80" s="442"/>
      <c r="AH80" s="442"/>
      <c r="AI80"/>
      <c r="AJ80" s="402"/>
      <c r="AK80" s="481" t="str">
        <f t="shared" si="15"/>
        <v>Basic Education (Vote 14)</v>
      </c>
      <c r="AL80" s="388">
        <f t="shared" si="16"/>
        <v>0</v>
      </c>
      <c r="AM80" s="389">
        <f t="shared" si="17"/>
        <v>225621</v>
      </c>
      <c r="AN80" s="390">
        <f t="shared" si="18"/>
        <v>225621</v>
      </c>
      <c r="AO80" s="390">
        <f t="shared" si="19"/>
        <v>-191831</v>
      </c>
      <c r="AP80" s="388">
        <f t="shared" si="20"/>
        <v>33790</v>
      </c>
      <c r="AQ80" s="391"/>
      <c r="AR80" s="392">
        <f t="shared" si="21"/>
        <v>-112811</v>
      </c>
      <c r="AS80" s="390">
        <f t="shared" si="22"/>
        <v>-112811</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902484</v>
      </c>
      <c r="E81" s="199">
        <f>SUM(F81-D81)</f>
        <v>-225621</v>
      </c>
      <c r="F81" s="497">
        <v>676863</v>
      </c>
      <c r="G81" s="497">
        <v>191831</v>
      </c>
      <c r="H81" s="96">
        <f>SUM(F81:G81)</f>
        <v>868694</v>
      </c>
      <c r="I81" s="217"/>
      <c r="J81" s="499">
        <v>676863</v>
      </c>
      <c r="K81" s="497">
        <v>676863</v>
      </c>
      <c r="L81" s="59"/>
      <c r="M81" s="76"/>
      <c r="N81" s="439"/>
      <c r="O81" s="33"/>
      <c r="R81"/>
      <c r="S81" s="57"/>
      <c r="T81" s="58" t="str">
        <f t="shared" ref="T81:T85" si="92">C81</f>
        <v>Education Infrastructure Grant</v>
      </c>
      <c r="U81" s="96">
        <v>902484</v>
      </c>
      <c r="V81" s="199">
        <v>0</v>
      </c>
      <c r="W81" s="59">
        <v>902484</v>
      </c>
      <c r="X81" s="59">
        <v>0</v>
      </c>
      <c r="Y81" s="96">
        <v>902484</v>
      </c>
      <c r="Z81" s="217"/>
      <c r="AA81" s="102">
        <v>564052</v>
      </c>
      <c r="AB81" s="59">
        <v>564052</v>
      </c>
      <c r="AC81" s="59"/>
      <c r="AD81" s="76"/>
      <c r="AE81" s="76"/>
      <c r="AF81" s="33"/>
      <c r="AG81" s="441"/>
      <c r="AH81" s="441"/>
      <c r="AI81"/>
      <c r="AJ81" s="394"/>
      <c r="AK81" s="479" t="str">
        <f t="shared" si="15"/>
        <v>Education Infrastructure Grant</v>
      </c>
      <c r="AL81" s="396">
        <f t="shared" si="16"/>
        <v>0</v>
      </c>
      <c r="AM81" s="397">
        <f t="shared" si="17"/>
        <v>225621</v>
      </c>
      <c r="AN81" s="398">
        <f t="shared" si="18"/>
        <v>225621</v>
      </c>
      <c r="AO81" s="398">
        <f t="shared" si="19"/>
        <v>-191831</v>
      </c>
      <c r="AP81" s="396">
        <f t="shared" si="20"/>
        <v>33790</v>
      </c>
      <c r="AQ81" s="399"/>
      <c r="AR81" s="400">
        <f t="shared" si="21"/>
        <v>-112811</v>
      </c>
      <c r="AS81" s="398">
        <f t="shared" si="22"/>
        <v>-112811</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432934</v>
      </c>
      <c r="E87" s="198">
        <f t="shared" ref="E87:K87" si="104">SUM(E88+E89)</f>
        <v>0</v>
      </c>
      <c r="F87" s="54">
        <f t="shared" si="104"/>
        <v>432934</v>
      </c>
      <c r="G87" s="54">
        <f t="shared" si="104"/>
        <v>9766</v>
      </c>
      <c r="H87" s="95">
        <f t="shared" si="104"/>
        <v>442700</v>
      </c>
      <c r="I87" s="216">
        <f t="shared" si="104"/>
        <v>0</v>
      </c>
      <c r="J87" s="101">
        <f t="shared" si="104"/>
        <v>432934</v>
      </c>
      <c r="K87" s="54">
        <f t="shared" si="104"/>
        <v>432934</v>
      </c>
      <c r="L87" s="59"/>
      <c r="M87" s="591"/>
      <c r="N87" s="439"/>
      <c r="O87" s="55"/>
      <c r="R87"/>
      <c r="S87" s="62"/>
      <c r="T87" s="51" t="str">
        <f>C87</f>
        <v>Health (Vote 16)</v>
      </c>
      <c r="U87" s="95">
        <v>432934</v>
      </c>
      <c r="V87" s="198">
        <v>0</v>
      </c>
      <c r="W87" s="54">
        <v>432934</v>
      </c>
      <c r="X87" s="54">
        <v>0</v>
      </c>
      <c r="Y87" s="95">
        <v>432934</v>
      </c>
      <c r="Z87" s="216"/>
      <c r="AA87" s="101">
        <v>216464</v>
      </c>
      <c r="AB87" s="54">
        <v>216464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-9766</v>
      </c>
      <c r="AP87" s="388">
        <f t="shared" si="100"/>
        <v>-9766</v>
      </c>
      <c r="AQ87" s="391"/>
      <c r="AR87" s="392">
        <f t="shared" si="101"/>
        <v>-216470</v>
      </c>
      <c r="AS87" s="390">
        <f t="shared" si="102"/>
        <v>-216470</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132452</v>
      </c>
      <c r="E88" s="199">
        <f t="shared" ref="E88:E89" si="105">SUM(F88-D88)</f>
        <v>0</v>
      </c>
      <c r="F88" s="497">
        <v>132452</v>
      </c>
      <c r="G88" s="497">
        <v>0</v>
      </c>
      <c r="H88" s="96">
        <f t="shared" ref="H88:H89" si="106">SUM(F88:G88)</f>
        <v>132452</v>
      </c>
      <c r="I88" s="217"/>
      <c r="J88" s="499">
        <v>132452</v>
      </c>
      <c r="K88" s="497">
        <v>132452</v>
      </c>
      <c r="L88" s="59"/>
      <c r="M88" s="76"/>
      <c r="N88" s="439"/>
      <c r="O88" s="33"/>
      <c r="P88" s="21"/>
      <c r="Q88" s="21"/>
      <c r="R88"/>
      <c r="S88" s="57"/>
      <c r="T88" s="58" t="str">
        <f t="shared" ref="T88:T92" si="107">C88</f>
        <v>(a) Health Professions Training and Development Grant</v>
      </c>
      <c r="U88" s="96">
        <v>132452</v>
      </c>
      <c r="V88" s="199">
        <v>0</v>
      </c>
      <c r="W88" s="59">
        <v>132452</v>
      </c>
      <c r="X88" s="59">
        <v>0</v>
      </c>
      <c r="Y88" s="96">
        <v>132452</v>
      </c>
      <c r="Z88" s="217"/>
      <c r="AA88" s="102">
        <v>66224</v>
      </c>
      <c r="AB88" s="59">
        <v>66224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-66228</v>
      </c>
      <c r="AS88" s="398">
        <f t="shared" si="102"/>
        <v>-66228</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300482</v>
      </c>
      <c r="E89" s="199">
        <f t="shared" si="105"/>
        <v>0</v>
      </c>
      <c r="F89" s="497">
        <v>300482</v>
      </c>
      <c r="G89" s="497">
        <v>9766</v>
      </c>
      <c r="H89" s="96">
        <f t="shared" si="106"/>
        <v>310248</v>
      </c>
      <c r="I89" s="217"/>
      <c r="J89" s="499">
        <v>300482</v>
      </c>
      <c r="K89" s="497">
        <v>300482</v>
      </c>
      <c r="L89" s="59"/>
      <c r="M89" s="76"/>
      <c r="N89" s="439"/>
      <c r="O89" s="33"/>
      <c r="S89" s="57"/>
      <c r="T89" s="58" t="str">
        <f t="shared" si="107"/>
        <v>(b) National Tertiary Services Grant</v>
      </c>
      <c r="U89" s="96">
        <v>300482</v>
      </c>
      <c r="V89" s="199">
        <v>0</v>
      </c>
      <c r="W89" s="59">
        <v>300482</v>
      </c>
      <c r="X89" s="59">
        <v>0</v>
      </c>
      <c r="Y89" s="96">
        <v>300482</v>
      </c>
      <c r="Z89" s="217"/>
      <c r="AA89" s="102">
        <v>150240</v>
      </c>
      <c r="AB89" s="59">
        <v>150240</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-9766</v>
      </c>
      <c r="AP89" s="396">
        <f t="shared" si="100"/>
        <v>-9766</v>
      </c>
      <c r="AQ89" s="399"/>
      <c r="AR89" s="400">
        <f t="shared" si="101"/>
        <v>-150242</v>
      </c>
      <c r="AS89" s="398">
        <f t="shared" si="102"/>
        <v>-150242</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1107405</v>
      </c>
      <c r="E101" s="198">
        <f t="shared" ref="E101:K101" si="113">SUM(E102+E103)</f>
        <v>0</v>
      </c>
      <c r="F101" s="54">
        <f t="shared" si="113"/>
        <v>1107405</v>
      </c>
      <c r="G101" s="54">
        <f t="shared" si="113"/>
        <v>355115</v>
      </c>
      <c r="H101" s="95">
        <f t="shared" si="113"/>
        <v>1462520</v>
      </c>
      <c r="I101" s="216">
        <f t="shared" si="113"/>
        <v>0</v>
      </c>
      <c r="J101" s="101">
        <f t="shared" si="113"/>
        <v>1107405</v>
      </c>
      <c r="K101" s="54">
        <f t="shared" si="113"/>
        <v>1107405</v>
      </c>
      <c r="L101" s="59"/>
      <c r="M101" s="591"/>
      <c r="N101" s="439"/>
      <c r="O101" s="55"/>
      <c r="R101"/>
      <c r="S101" s="62"/>
      <c r="T101" s="51" t="str">
        <f>C101</f>
        <v>Transport (Vote 35)</v>
      </c>
      <c r="U101" s="95">
        <v>1107405</v>
      </c>
      <c r="V101" s="198">
        <v>0</v>
      </c>
      <c r="W101" s="54">
        <v>1107405</v>
      </c>
      <c r="X101" s="54">
        <v>0</v>
      </c>
      <c r="Y101" s="95">
        <v>1107405</v>
      </c>
      <c r="Z101" s="216"/>
      <c r="AA101" s="101">
        <v>634582</v>
      </c>
      <c r="AB101" s="54">
        <v>634582</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-355115</v>
      </c>
      <c r="AP101" s="388">
        <f t="shared" si="100"/>
        <v>-355115</v>
      </c>
      <c r="AQ101" s="391"/>
      <c r="AR101" s="392">
        <f t="shared" si="101"/>
        <v>-472823</v>
      </c>
      <c r="AS101" s="390">
        <f t="shared" si="102"/>
        <v>-472823</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990802</v>
      </c>
      <c r="E102" s="199">
        <f t="shared" ref="E102:E103" si="114">SUM(F102-D102)</f>
        <v>0</v>
      </c>
      <c r="F102" s="497">
        <v>990802</v>
      </c>
      <c r="G102" s="497">
        <v>355115</v>
      </c>
      <c r="H102" s="96">
        <f t="shared" ref="H102:H103" si="115">SUM(F102:G102)</f>
        <v>1345917</v>
      </c>
      <c r="I102" s="217"/>
      <c r="J102" s="499">
        <v>990802</v>
      </c>
      <c r="K102" s="497">
        <v>990802</v>
      </c>
      <c r="L102" s="59"/>
      <c r="M102" s="76"/>
      <c r="N102" s="439"/>
      <c r="O102" s="33"/>
      <c r="S102" s="57"/>
      <c r="T102" s="58" t="str">
        <f t="shared" ref="T102:T106" si="116">C102</f>
        <v>(a) Provincial Roads Maintenance Grant</v>
      </c>
      <c r="U102" s="96">
        <v>990802</v>
      </c>
      <c r="V102" s="199">
        <v>0</v>
      </c>
      <c r="W102" s="59">
        <v>990802</v>
      </c>
      <c r="X102" s="59">
        <v>0</v>
      </c>
      <c r="Y102" s="96">
        <v>990802</v>
      </c>
      <c r="Z102" s="217"/>
      <c r="AA102" s="102">
        <v>585264</v>
      </c>
      <c r="AB102" s="59">
        <v>585264</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-355115</v>
      </c>
      <c r="AP102" s="396">
        <f t="shared" si="100"/>
        <v>-355115</v>
      </c>
      <c r="AQ102" s="399"/>
      <c r="AR102" s="400">
        <f t="shared" si="101"/>
        <v>-405538</v>
      </c>
      <c r="AS102" s="398">
        <f t="shared" si="102"/>
        <v>-405538</v>
      </c>
      <c r="AT102" s="398"/>
      <c r="AU102" s="417">
        <f t="shared" si="103"/>
        <v>0</v>
      </c>
      <c r="AV102" s="417"/>
      <c r="AW102" s="347"/>
    </row>
    <row r="103" spans="1:82" ht="15.75" customHeight="1" x14ac:dyDescent="0.3">
      <c r="B103" s="57"/>
      <c r="C103" s="58" t="s">
        <v>44</v>
      </c>
      <c r="D103" s="496">
        <v>116603</v>
      </c>
      <c r="E103" s="199">
        <f t="shared" si="114"/>
        <v>0</v>
      </c>
      <c r="F103" s="497">
        <v>116603</v>
      </c>
      <c r="G103" s="497">
        <v>0</v>
      </c>
      <c r="H103" s="96">
        <f t="shared" si="115"/>
        <v>116603</v>
      </c>
      <c r="I103" s="217"/>
      <c r="J103" s="499">
        <v>116603</v>
      </c>
      <c r="K103" s="497">
        <v>116603</v>
      </c>
      <c r="L103" s="59"/>
      <c r="M103" s="76"/>
      <c r="N103" s="439"/>
      <c r="O103" s="33"/>
      <c r="S103" s="57"/>
      <c r="T103" s="58" t="str">
        <f t="shared" si="116"/>
        <v>(b) Public Transport Operations Grant</v>
      </c>
      <c r="U103" s="96">
        <v>116603</v>
      </c>
      <c r="V103" s="199">
        <v>0</v>
      </c>
      <c r="W103" s="59">
        <v>116603</v>
      </c>
      <c r="X103" s="59">
        <v>0</v>
      </c>
      <c r="Y103" s="96">
        <v>116603</v>
      </c>
      <c r="Z103" s="217"/>
      <c r="AA103" s="102">
        <v>49318</v>
      </c>
      <c r="AB103" s="59">
        <v>49318</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-67285</v>
      </c>
      <c r="AS103" s="398">
        <f t="shared" si="102"/>
        <v>-67285</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2442823</v>
      </c>
      <c r="E108" s="201">
        <f t="shared" ref="E108:K108" si="119">SUM(E80+E87+E101)</f>
        <v>-225621</v>
      </c>
      <c r="F108" s="75">
        <f t="shared" si="119"/>
        <v>2217202</v>
      </c>
      <c r="G108" s="75">
        <f t="shared" si="119"/>
        <v>556712</v>
      </c>
      <c r="H108" s="98">
        <f t="shared" si="119"/>
        <v>2773914</v>
      </c>
      <c r="I108" s="219">
        <f t="shared" si="119"/>
        <v>0</v>
      </c>
      <c r="J108" s="104">
        <f t="shared" si="119"/>
        <v>2217202</v>
      </c>
      <c r="K108" s="75">
        <f t="shared" si="119"/>
        <v>2217202</v>
      </c>
      <c r="L108" s="59"/>
      <c r="M108" s="77"/>
      <c r="N108" s="440"/>
      <c r="O108" s="55"/>
      <c r="R108"/>
      <c r="S108" s="53"/>
      <c r="T108" s="74" t="s">
        <v>37</v>
      </c>
      <c r="U108" s="98">
        <v>2442823</v>
      </c>
      <c r="V108" s="201">
        <v>0</v>
      </c>
      <c r="W108" s="75">
        <v>2442823</v>
      </c>
      <c r="X108" s="75">
        <v>0</v>
      </c>
      <c r="Y108" s="98">
        <v>2442823</v>
      </c>
      <c r="Z108" s="219"/>
      <c r="AA108" s="104">
        <v>1415098</v>
      </c>
      <c r="AB108" s="75">
        <v>1415098</v>
      </c>
      <c r="AC108" s="59"/>
      <c r="AD108" s="77"/>
      <c r="AE108" s="77"/>
      <c r="AF108" s="55"/>
      <c r="AG108" s="442"/>
      <c r="AH108" s="442"/>
      <c r="AI108"/>
      <c r="AJ108" s="387"/>
      <c r="AK108" s="411" t="str">
        <f t="shared" si="95"/>
        <v>Sub-Total</v>
      </c>
      <c r="AL108" s="412">
        <f t="shared" si="96"/>
        <v>0</v>
      </c>
      <c r="AM108" s="413">
        <f t="shared" si="97"/>
        <v>225621</v>
      </c>
      <c r="AN108" s="414">
        <f t="shared" si="98"/>
        <v>225621</v>
      </c>
      <c r="AO108" s="414">
        <f t="shared" si="99"/>
        <v>-556712</v>
      </c>
      <c r="AP108" s="412">
        <f t="shared" si="100"/>
        <v>-331091</v>
      </c>
      <c r="AQ108" s="415"/>
      <c r="AR108" s="416">
        <f t="shared" si="101"/>
        <v>-802104</v>
      </c>
      <c r="AS108" s="414">
        <f t="shared" si="102"/>
        <v>-802104</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7551295.1900000004</v>
      </c>
      <c r="E124" s="202">
        <f t="shared" ref="E124:K124" si="127">SUM(E76+E108+E122)</f>
        <v>-207365</v>
      </c>
      <c r="F124" s="81">
        <f t="shared" si="127"/>
        <v>7343930.1900000004</v>
      </c>
      <c r="G124" s="81">
        <f t="shared" si="127"/>
        <v>600415</v>
      </c>
      <c r="H124" s="80">
        <f t="shared" si="127"/>
        <v>7944345.1900000004</v>
      </c>
      <c r="I124" s="220">
        <f t="shared" si="127"/>
        <v>0</v>
      </c>
      <c r="J124" s="106">
        <f t="shared" si="127"/>
        <v>7343930</v>
      </c>
      <c r="K124" s="81">
        <f t="shared" si="127"/>
        <v>7343930</v>
      </c>
      <c r="L124" s="59"/>
      <c r="M124" s="82"/>
      <c r="N124" s="440"/>
      <c r="O124" s="55"/>
      <c r="R124"/>
      <c r="S124" s="78"/>
      <c r="T124" s="79" t="s">
        <v>4</v>
      </c>
      <c r="U124" s="80">
        <v>7551295.1900000004</v>
      </c>
      <c r="V124" s="202">
        <v>0</v>
      </c>
      <c r="W124" s="81">
        <v>7551295.1900000004</v>
      </c>
      <c r="X124" s="81">
        <v>0</v>
      </c>
      <c r="Y124" s="80">
        <v>7551295.1900000004</v>
      </c>
      <c r="Z124" s="220"/>
      <c r="AA124" s="106">
        <v>4047542</v>
      </c>
      <c r="AB124" s="81">
        <v>4044956</v>
      </c>
      <c r="AC124" s="59"/>
      <c r="AD124" s="82"/>
      <c r="AE124" s="82"/>
      <c r="AF124" s="55"/>
      <c r="AG124" s="442"/>
      <c r="AH124" s="442"/>
      <c r="AI124"/>
      <c r="AJ124" s="420"/>
      <c r="AK124" s="421" t="str">
        <f t="shared" si="95"/>
        <v>Total</v>
      </c>
      <c r="AL124" s="422">
        <f t="shared" si="96"/>
        <v>0</v>
      </c>
      <c r="AM124" s="423">
        <f t="shared" si="97"/>
        <v>207365</v>
      </c>
      <c r="AN124" s="424">
        <f t="shared" si="98"/>
        <v>207365</v>
      </c>
      <c r="AO124" s="424">
        <f t="shared" si="99"/>
        <v>-600415</v>
      </c>
      <c r="AP124" s="422">
        <f t="shared" si="100"/>
        <v>-393050</v>
      </c>
      <c r="AQ124" s="425"/>
      <c r="AR124" s="426">
        <f t="shared" si="101"/>
        <v>-3296388</v>
      </c>
      <c r="AS124" s="424">
        <f t="shared" si="102"/>
        <v>-3298974</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93gS8Z5SpU0U63sNfL45pAdNEF605fY8riCpZMcSgdXWtWuzNUSG5JY/kunSiuhJb25+CQHdhm05xqOtG54EeA==" saltValue="FAopRnfGNg9odORVRWoIMw=="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165</v>
      </c>
      <c r="D4" s="8"/>
      <c r="E4" s="8"/>
      <c r="F4" s="8"/>
      <c r="G4" s="8"/>
      <c r="H4" s="8"/>
      <c r="I4" s="8"/>
      <c r="J4" s="8"/>
      <c r="K4" s="8"/>
      <c r="L4" s="8"/>
      <c r="M4" s="8"/>
      <c r="N4" s="8"/>
      <c r="O4" s="11"/>
      <c r="P4"/>
      <c r="Q4"/>
      <c r="R4"/>
      <c r="S4" s="6"/>
      <c r="T4" s="10" t="str">
        <f>C4</f>
        <v>WESTERN CAPE PROVINCE</v>
      </c>
      <c r="U4" s="8"/>
      <c r="V4" s="8"/>
      <c r="W4" s="8"/>
      <c r="X4" s="8"/>
      <c r="Y4" s="8"/>
      <c r="Z4" s="8"/>
      <c r="AA4" s="8"/>
      <c r="AB4" s="8"/>
      <c r="AC4" s="8"/>
      <c r="AD4" s="8"/>
      <c r="AE4" s="8"/>
      <c r="AF4" s="11"/>
      <c r="AG4"/>
      <c r="AH4"/>
      <c r="AI4"/>
      <c r="AJ4" s="234"/>
      <c r="AK4" s="238" t="str">
        <f>C4</f>
        <v>WESTERN CAPE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64099177</v>
      </c>
      <c r="E12" s="152">
        <f>SUM(E13:E14)</f>
        <v>132998</v>
      </c>
      <c r="F12" s="153">
        <f>SUM(F13:F14)</f>
        <v>64232175</v>
      </c>
      <c r="G12" s="152"/>
      <c r="H12" s="154">
        <f>SUM(H13:H14)</f>
        <v>15920146</v>
      </c>
      <c r="I12" s="155">
        <f>SUM(I13:I14)</f>
        <v>16255388</v>
      </c>
      <c r="J12" s="155">
        <f>SUM(J13:J14)</f>
        <v>16156981</v>
      </c>
      <c r="K12" s="155">
        <f>SUM(K13:K14)</f>
        <v>15899660.00018</v>
      </c>
      <c r="L12" s="156"/>
      <c r="M12" s="155">
        <f t="shared" ref="M12" si="0">SUM(M13:M14)</f>
        <v>64232175.000179999</v>
      </c>
      <c r="N12" s="183">
        <f>IFERROR(M12/F12,0)</f>
        <v>1.0000000000028022</v>
      </c>
      <c r="O12" s="158"/>
      <c r="P12" s="594"/>
      <c r="Q12"/>
      <c r="R12"/>
      <c r="S12" s="119"/>
      <c r="T12" s="151" t="str">
        <f>C12</f>
        <v>Transfers from National Revenue Fund</v>
      </c>
      <c r="U12" s="152">
        <v>64099177</v>
      </c>
      <c r="V12" s="152">
        <v>0</v>
      </c>
      <c r="W12" s="153">
        <v>64099177</v>
      </c>
      <c r="X12" s="152"/>
      <c r="Y12" s="154">
        <v>15920146</v>
      </c>
      <c r="Z12" s="155">
        <v>16257061</v>
      </c>
      <c r="AA12" s="155">
        <v>0</v>
      </c>
      <c r="AB12" s="155">
        <v>0</v>
      </c>
      <c r="AC12" s="156"/>
      <c r="AD12" s="155">
        <v>32177207</v>
      </c>
      <c r="AE12" s="172">
        <v>0.50199095379960967</v>
      </c>
      <c r="AF12" s="144"/>
      <c r="AG12" s="118"/>
      <c r="AH12"/>
      <c r="AI12"/>
      <c r="AJ12" s="248"/>
      <c r="AK12" s="284" t="s">
        <v>8</v>
      </c>
      <c r="AL12" s="285">
        <f>SUM(AL13:AL14)</f>
        <v>0</v>
      </c>
      <c r="AM12" s="285">
        <f>SUM(AM13:AM14)</f>
        <v>-132998</v>
      </c>
      <c r="AN12" s="286">
        <f>SUM(AN13:AN14)</f>
        <v>-132998</v>
      </c>
      <c r="AO12" s="285"/>
      <c r="AP12" s="287">
        <f>SUM(AP13:AP14)</f>
        <v>0</v>
      </c>
      <c r="AQ12" s="288">
        <f t="shared" ref="AQ12:AS12" si="1">SUM(AQ13:AQ14)</f>
        <v>1673</v>
      </c>
      <c r="AR12" s="288">
        <f t="shared" si="1"/>
        <v>-16156981</v>
      </c>
      <c r="AS12" s="288">
        <f t="shared" si="1"/>
        <v>-15899660.00018</v>
      </c>
      <c r="AT12" s="289"/>
      <c r="AU12" s="288">
        <f t="shared" ref="AU12" si="2">SUM(AU13:AU14)</f>
        <v>-32054968.000179999</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51290593</v>
      </c>
      <c r="E13" s="482">
        <f>F13-D13</f>
        <v>0</v>
      </c>
      <c r="F13" s="483">
        <v>51290593</v>
      </c>
      <c r="G13" s="482"/>
      <c r="H13" s="484">
        <v>12822649</v>
      </c>
      <c r="I13" s="485">
        <v>12822648</v>
      </c>
      <c r="J13" s="485">
        <v>12822648</v>
      </c>
      <c r="K13" s="485">
        <v>12822648</v>
      </c>
      <c r="L13" s="150"/>
      <c r="M13" s="147">
        <f>SUM(H13:K13)</f>
        <v>51290593</v>
      </c>
      <c r="N13" s="172">
        <f t="shared" ref="N13:N14" si="3">IFERROR(M13/F13,0)</f>
        <v>1</v>
      </c>
      <c r="O13" s="158"/>
      <c r="P13" s="118"/>
      <c r="Q13"/>
      <c r="R13"/>
      <c r="S13" s="119"/>
      <c r="T13" s="157" t="str">
        <f t="shared" ref="T13:T15" si="4">C13</f>
        <v>Equitable share of revenue</v>
      </c>
      <c r="U13" s="146">
        <v>51290593</v>
      </c>
      <c r="V13" s="146">
        <v>0</v>
      </c>
      <c r="W13" s="148">
        <v>51290593</v>
      </c>
      <c r="X13" s="146"/>
      <c r="Y13" s="149">
        <v>12822649</v>
      </c>
      <c r="Z13" s="224">
        <v>12822648</v>
      </c>
      <c r="AA13" s="224"/>
      <c r="AB13" s="224"/>
      <c r="AC13" s="150"/>
      <c r="AD13" s="147">
        <v>25645297</v>
      </c>
      <c r="AE13" s="172">
        <v>0.50000000974837633</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-12822648</v>
      </c>
      <c r="AS13" s="283">
        <f t="shared" si="6"/>
        <v>-12822648</v>
      </c>
      <c r="AT13" s="280"/>
      <c r="AU13" s="283">
        <f t="shared" ref="AU13:AU15" si="7">IFERROR(AD13-M13,0)</f>
        <v>-25645296</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12808584</v>
      </c>
      <c r="E14" s="482">
        <f t="shared" ref="E14:E15" si="8">F14-D14</f>
        <v>132998</v>
      </c>
      <c r="F14" s="483">
        <v>12941582</v>
      </c>
      <c r="G14" s="486"/>
      <c r="H14" s="484">
        <v>3097497</v>
      </c>
      <c r="I14" s="485">
        <v>3432740</v>
      </c>
      <c r="J14" s="485">
        <v>3334333</v>
      </c>
      <c r="K14" s="485">
        <v>3077012.00018</v>
      </c>
      <c r="L14" s="162"/>
      <c r="M14" s="147">
        <f t="shared" ref="M14:M15" si="9">SUM(H14:K14)</f>
        <v>12941582.00018</v>
      </c>
      <c r="N14" s="172">
        <f t="shared" si="3"/>
        <v>1.0000000000139087</v>
      </c>
      <c r="O14" s="163"/>
      <c r="P14" s="118"/>
      <c r="Q14"/>
      <c r="R14"/>
      <c r="S14" s="159"/>
      <c r="T14" s="160" t="str">
        <f t="shared" si="4"/>
        <v>Conditional grants</v>
      </c>
      <c r="U14" s="146">
        <v>12808584</v>
      </c>
      <c r="V14" s="146">
        <v>0</v>
      </c>
      <c r="W14" s="148">
        <v>12808584</v>
      </c>
      <c r="X14" s="161"/>
      <c r="Y14" s="149">
        <v>3097497</v>
      </c>
      <c r="Z14" s="224">
        <v>3434413</v>
      </c>
      <c r="AA14" s="224"/>
      <c r="AB14" s="224"/>
      <c r="AC14" s="162"/>
      <c r="AD14" s="147">
        <v>6531910</v>
      </c>
      <c r="AE14" s="172">
        <v>0.50996347449491686</v>
      </c>
      <c r="AF14" s="163"/>
      <c r="AG14" s="118"/>
      <c r="AH14" s="61"/>
      <c r="AI14"/>
      <c r="AJ14" s="293"/>
      <c r="AK14" s="294" t="s">
        <v>72</v>
      </c>
      <c r="AL14" s="279">
        <f t="shared" si="5"/>
        <v>0</v>
      </c>
      <c r="AM14" s="279">
        <f t="shared" si="5"/>
        <v>-132998</v>
      </c>
      <c r="AN14" s="281">
        <f t="shared" si="5"/>
        <v>-132998</v>
      </c>
      <c r="AO14" s="295"/>
      <c r="AP14" s="282">
        <f t="shared" ref="AP14:AP15" si="10">IFERROR(Y14-H14,0)</f>
        <v>0</v>
      </c>
      <c r="AQ14" s="283">
        <f t="shared" si="6"/>
        <v>1673</v>
      </c>
      <c r="AR14" s="283">
        <f t="shared" si="6"/>
        <v>-3334333</v>
      </c>
      <c r="AS14" s="283">
        <f t="shared" si="6"/>
        <v>-3077012.00018</v>
      </c>
      <c r="AT14" s="296"/>
      <c r="AU14" s="283">
        <f t="shared" si="7"/>
        <v>-6409672.0001800004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2941761</v>
      </c>
      <c r="E15" s="487">
        <f t="shared" si="8"/>
        <v>-535545</v>
      </c>
      <c r="F15" s="488">
        <v>2406216</v>
      </c>
      <c r="G15" s="487"/>
      <c r="H15" s="489">
        <v>789948</v>
      </c>
      <c r="I15" s="490">
        <v>708306</v>
      </c>
      <c r="J15" s="490">
        <v>686801</v>
      </c>
      <c r="K15" s="490">
        <v>639942</v>
      </c>
      <c r="L15" s="156"/>
      <c r="M15" s="155">
        <f t="shared" si="9"/>
        <v>2824997</v>
      </c>
      <c r="N15" s="183">
        <f>IFERROR(M15/F15,0)</f>
        <v>1.174041316324054</v>
      </c>
      <c r="O15" s="158"/>
      <c r="P15" s="594"/>
      <c r="Q15"/>
      <c r="R15"/>
      <c r="S15" s="119"/>
      <c r="T15" s="151" t="str">
        <f t="shared" si="4"/>
        <v>Provincial own receipts</v>
      </c>
      <c r="U15" s="152">
        <v>2941761</v>
      </c>
      <c r="V15" s="152">
        <v>0</v>
      </c>
      <c r="W15" s="153">
        <v>2941761</v>
      </c>
      <c r="X15" s="152"/>
      <c r="Y15" s="154">
        <v>789948</v>
      </c>
      <c r="Z15" s="225">
        <v>708307</v>
      </c>
      <c r="AA15" s="225"/>
      <c r="AB15" s="225"/>
      <c r="AC15" s="156"/>
      <c r="AD15" s="155">
        <v>1498255</v>
      </c>
      <c r="AE15" s="172">
        <v>0.50930548062877978</v>
      </c>
      <c r="AF15" s="158"/>
      <c r="AG15" s="118"/>
      <c r="AH15"/>
      <c r="AI15"/>
      <c r="AJ15" s="248"/>
      <c r="AK15" s="284" t="s">
        <v>9</v>
      </c>
      <c r="AL15" s="285">
        <f t="shared" si="5"/>
        <v>0</v>
      </c>
      <c r="AM15" s="285">
        <f t="shared" si="5"/>
        <v>535545</v>
      </c>
      <c r="AN15" s="286">
        <f t="shared" si="5"/>
        <v>535545</v>
      </c>
      <c r="AO15" s="285"/>
      <c r="AP15" s="287">
        <f t="shared" si="10"/>
        <v>0</v>
      </c>
      <c r="AQ15" s="288">
        <f t="shared" si="6"/>
        <v>1</v>
      </c>
      <c r="AR15" s="288">
        <f t="shared" si="6"/>
        <v>-686801</v>
      </c>
      <c r="AS15" s="288">
        <f t="shared" si="6"/>
        <v>-639942</v>
      </c>
      <c r="AT15" s="289"/>
      <c r="AU15" s="288">
        <f t="shared" si="7"/>
        <v>-1326742</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67040938</v>
      </c>
      <c r="E17" s="165">
        <f>E12+E15</f>
        <v>-402547</v>
      </c>
      <c r="F17" s="166">
        <f t="shared" ref="F17:H17" si="12">F12+F15</f>
        <v>66638391</v>
      </c>
      <c r="G17" s="165">
        <f t="shared" si="12"/>
        <v>0</v>
      </c>
      <c r="H17" s="167">
        <f t="shared" si="12"/>
        <v>16710094</v>
      </c>
      <c r="I17" s="437">
        <f t="shared" ref="I17" si="13">I12+I15</f>
        <v>16963694</v>
      </c>
      <c r="J17" s="437">
        <f t="shared" ref="J17:K17" si="14">J12+J15</f>
        <v>16843782</v>
      </c>
      <c r="K17" s="437">
        <f t="shared" si="14"/>
        <v>16539602.00018</v>
      </c>
      <c r="L17" s="156"/>
      <c r="M17" s="168">
        <f t="shared" ref="M17" si="15">M12+M15</f>
        <v>67057172.000179999</v>
      </c>
      <c r="N17" s="180">
        <f>IFERROR(M17/F17,0)</f>
        <v>1.006284380428393</v>
      </c>
      <c r="O17" s="158"/>
      <c r="P17" s="594"/>
      <c r="Q17"/>
      <c r="R17"/>
      <c r="S17" s="119"/>
      <c r="T17" s="164" t="s">
        <v>10</v>
      </c>
      <c r="U17" s="165">
        <v>67040938</v>
      </c>
      <c r="V17" s="165">
        <v>0</v>
      </c>
      <c r="W17" s="166">
        <v>67040938</v>
      </c>
      <c r="X17" s="165">
        <v>0</v>
      </c>
      <c r="Y17" s="167">
        <v>16710094</v>
      </c>
      <c r="Z17" s="437">
        <v>16965368</v>
      </c>
      <c r="AA17" s="437">
        <v>0</v>
      </c>
      <c r="AB17" s="437" t="s">
        <v>52</v>
      </c>
      <c r="AC17" s="156"/>
      <c r="AD17" s="168">
        <v>33675462</v>
      </c>
      <c r="AE17" s="180">
        <v>0.50231191574318368</v>
      </c>
      <c r="AF17" s="158"/>
      <c r="AG17" s="118"/>
      <c r="AH17"/>
      <c r="AI17"/>
      <c r="AJ17" s="248"/>
      <c r="AK17" s="298" t="s">
        <v>10</v>
      </c>
      <c r="AL17" s="299">
        <f t="shared" ref="AL17:AS17" si="16">AL12+AL15</f>
        <v>0</v>
      </c>
      <c r="AM17" s="299">
        <f>AM12+AM15</f>
        <v>402547</v>
      </c>
      <c r="AN17" s="300">
        <f t="shared" si="16"/>
        <v>402547</v>
      </c>
      <c r="AO17" s="299">
        <f t="shared" si="16"/>
        <v>0</v>
      </c>
      <c r="AP17" s="301">
        <f t="shared" si="16"/>
        <v>0</v>
      </c>
      <c r="AQ17" s="302">
        <f t="shared" si="16"/>
        <v>1674</v>
      </c>
      <c r="AR17" s="302">
        <f t="shared" si="16"/>
        <v>-16843782</v>
      </c>
      <c r="AS17" s="302">
        <f t="shared" si="16"/>
        <v>-16539602.00018</v>
      </c>
      <c r="AT17" s="289"/>
      <c r="AU17" s="302">
        <f t="shared" ref="AU17" si="17">AU12+AU15</f>
        <v>-33381710.000179999</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23669089</v>
      </c>
      <c r="E20" s="491">
        <f t="shared" ref="E20:E39" si="18">F20-D20</f>
        <v>-19066</v>
      </c>
      <c r="F20" s="483">
        <v>23650023</v>
      </c>
      <c r="G20" s="492"/>
      <c r="H20" s="484">
        <v>5977706</v>
      </c>
      <c r="I20" s="485">
        <v>5344649</v>
      </c>
      <c r="J20" s="485">
        <v>6438557</v>
      </c>
      <c r="K20" s="485">
        <v>5685430</v>
      </c>
      <c r="L20" s="156"/>
      <c r="M20" s="147">
        <f t="shared" ref="M20:M39" si="19">SUM(H20:K20)</f>
        <v>23446342</v>
      </c>
      <c r="N20" s="172">
        <f>IFERROR(M20/F20,0)</f>
        <v>0.99138770393584819</v>
      </c>
      <c r="O20" s="163"/>
      <c r="P20" s="118"/>
      <c r="Q20"/>
      <c r="R20"/>
      <c r="S20" s="159"/>
      <c r="T20" s="170" t="str">
        <f t="shared" ref="T20:T39" si="20">C20</f>
        <v>Education</v>
      </c>
      <c r="U20" s="146">
        <v>23669089</v>
      </c>
      <c r="V20" s="150">
        <v>0</v>
      </c>
      <c r="W20" s="148">
        <v>23669089</v>
      </c>
      <c r="X20" s="171"/>
      <c r="Y20" s="149">
        <v>5977706</v>
      </c>
      <c r="Z20" s="224">
        <v>5344649</v>
      </c>
      <c r="AA20" s="224"/>
      <c r="AB20" s="224"/>
      <c r="AC20" s="156"/>
      <c r="AD20" s="147">
        <v>11322355</v>
      </c>
      <c r="AE20" s="172">
        <v>0.47836040499911087</v>
      </c>
      <c r="AF20" s="163"/>
      <c r="AG20" s="118"/>
      <c r="AH20"/>
      <c r="AI20"/>
      <c r="AJ20" s="293"/>
      <c r="AK20" s="305" t="str">
        <f>C20</f>
        <v>Education</v>
      </c>
      <c r="AL20" s="279">
        <f t="shared" ref="AL20:AN33" si="21">IFERROR(U20-D20,0)</f>
        <v>0</v>
      </c>
      <c r="AM20" s="280">
        <f t="shared" si="21"/>
        <v>19066</v>
      </c>
      <c r="AN20" s="281">
        <f t="shared" si="21"/>
        <v>19066</v>
      </c>
      <c r="AO20" s="306"/>
      <c r="AP20" s="282">
        <f t="shared" ref="AP20:AS33" si="22">IFERROR(Y20-H20,0)</f>
        <v>0</v>
      </c>
      <c r="AQ20" s="283">
        <f t="shared" si="22"/>
        <v>0</v>
      </c>
      <c r="AR20" s="283">
        <f t="shared" si="22"/>
        <v>-6438557</v>
      </c>
      <c r="AS20" s="283">
        <f t="shared" si="22"/>
        <v>-5685430</v>
      </c>
      <c r="AT20" s="289"/>
      <c r="AU20" s="283">
        <f t="shared" ref="AU20:AU33" si="23">IFERROR(AD20-M20,0)</f>
        <v>-12123987</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24757443</v>
      </c>
      <c r="E21" s="491">
        <f t="shared" si="18"/>
        <v>94596</v>
      </c>
      <c r="F21" s="483">
        <v>24852039</v>
      </c>
      <c r="G21" s="487"/>
      <c r="H21" s="484">
        <v>5590245</v>
      </c>
      <c r="I21" s="485">
        <v>6104257</v>
      </c>
      <c r="J21" s="485">
        <v>6264547</v>
      </c>
      <c r="K21" s="485">
        <v>6785336</v>
      </c>
      <c r="L21" s="156"/>
      <c r="M21" s="147">
        <f t="shared" si="19"/>
        <v>24744385</v>
      </c>
      <c r="N21" s="172">
        <f t="shared" ref="N21:N39" si="25">IFERROR(M21/F21,0)</f>
        <v>0.99566820251650179</v>
      </c>
      <c r="O21" s="163"/>
      <c r="P21" s="118"/>
      <c r="Q21"/>
      <c r="R21"/>
      <c r="S21" s="159"/>
      <c r="T21" s="170" t="str">
        <f t="shared" si="20"/>
        <v>Health</v>
      </c>
      <c r="U21" s="146">
        <v>24757443</v>
      </c>
      <c r="V21" s="150">
        <v>0</v>
      </c>
      <c r="W21" s="148">
        <v>24757443</v>
      </c>
      <c r="X21" s="152"/>
      <c r="Y21" s="149">
        <v>5590245</v>
      </c>
      <c r="Z21" s="224">
        <v>6104257</v>
      </c>
      <c r="AA21" s="224"/>
      <c r="AB21" s="224"/>
      <c r="AC21" s="156"/>
      <c r="AD21" s="147">
        <v>11694502</v>
      </c>
      <c r="AE21" s="172">
        <v>0.47236307885269091</v>
      </c>
      <c r="AF21" s="163"/>
      <c r="AG21" s="118"/>
      <c r="AH21"/>
      <c r="AI21"/>
      <c r="AJ21" s="293"/>
      <c r="AK21" s="305" t="str">
        <f t="shared" ref="AK21:AK39" si="26">C21</f>
        <v>Health</v>
      </c>
      <c r="AL21" s="279">
        <f t="shared" si="21"/>
        <v>0</v>
      </c>
      <c r="AM21" s="280">
        <f t="shared" si="21"/>
        <v>-94596</v>
      </c>
      <c r="AN21" s="281">
        <f t="shared" si="21"/>
        <v>-94596</v>
      </c>
      <c r="AO21" s="285"/>
      <c r="AP21" s="282">
        <f t="shared" si="22"/>
        <v>0</v>
      </c>
      <c r="AQ21" s="283">
        <f t="shared" si="22"/>
        <v>0</v>
      </c>
      <c r="AR21" s="283">
        <f t="shared" si="22"/>
        <v>-6264547</v>
      </c>
      <c r="AS21" s="283">
        <f t="shared" si="22"/>
        <v>-6785336</v>
      </c>
      <c r="AT21" s="289"/>
      <c r="AU21" s="283">
        <f t="shared" si="23"/>
        <v>-13049883</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2464379</v>
      </c>
      <c r="E22" s="491">
        <f t="shared" si="18"/>
        <v>-3025</v>
      </c>
      <c r="F22" s="483">
        <v>2461354</v>
      </c>
      <c r="G22" s="492"/>
      <c r="H22" s="484">
        <v>610243</v>
      </c>
      <c r="I22" s="485">
        <v>665465</v>
      </c>
      <c r="J22" s="485">
        <v>607328</v>
      </c>
      <c r="K22" s="485">
        <v>548615</v>
      </c>
      <c r="L22" s="156"/>
      <c r="M22" s="147">
        <f t="shared" si="19"/>
        <v>2431651</v>
      </c>
      <c r="N22" s="172">
        <f t="shared" si="25"/>
        <v>0.9879322519231285</v>
      </c>
      <c r="O22" s="163"/>
      <c r="P22" s="118"/>
      <c r="S22" s="159"/>
      <c r="T22" s="170" t="str">
        <f t="shared" si="20"/>
        <v>Social Development</v>
      </c>
      <c r="U22" s="146">
        <v>2464379</v>
      </c>
      <c r="V22" s="150">
        <v>0</v>
      </c>
      <c r="W22" s="148">
        <v>2464379</v>
      </c>
      <c r="X22" s="171"/>
      <c r="Y22" s="149">
        <v>610243</v>
      </c>
      <c r="Z22" s="224">
        <v>665466</v>
      </c>
      <c r="AA22" s="224"/>
      <c r="AB22" s="224"/>
      <c r="AC22" s="156"/>
      <c r="AD22" s="147">
        <v>1275709</v>
      </c>
      <c r="AE22" s="172">
        <v>0.51765941845795638</v>
      </c>
      <c r="AF22" s="163"/>
      <c r="AG22" s="118"/>
      <c r="AJ22" s="293"/>
      <c r="AK22" s="305" t="str">
        <f t="shared" si="26"/>
        <v>Social Development</v>
      </c>
      <c r="AL22" s="279">
        <f t="shared" si="21"/>
        <v>0</v>
      </c>
      <c r="AM22" s="280">
        <f t="shared" si="21"/>
        <v>3025</v>
      </c>
      <c r="AN22" s="281">
        <f t="shared" si="21"/>
        <v>3025</v>
      </c>
      <c r="AO22" s="306"/>
      <c r="AP22" s="282">
        <f t="shared" si="22"/>
        <v>0</v>
      </c>
      <c r="AQ22" s="283">
        <f t="shared" si="22"/>
        <v>1</v>
      </c>
      <c r="AR22" s="283">
        <f t="shared" si="22"/>
        <v>-607328</v>
      </c>
      <c r="AS22" s="283">
        <f t="shared" si="22"/>
        <v>-548615</v>
      </c>
      <c r="AT22" s="289"/>
      <c r="AU22" s="283">
        <f t="shared" si="23"/>
        <v>-1155942</v>
      </c>
      <c r="AV22" s="290"/>
      <c r="AW22" s="297"/>
      <c r="AX22" s="118"/>
    </row>
    <row r="23" spans="1:79" ht="15.75" customHeight="1" x14ac:dyDescent="0.3">
      <c r="A23" s="446">
        <f t="shared" si="24"/>
        <v>1</v>
      </c>
      <c r="B23" s="159"/>
      <c r="C23" s="500" t="str">
        <f>PROPER("PREMIER")</f>
        <v>Premier</v>
      </c>
      <c r="D23" s="482">
        <v>1571114</v>
      </c>
      <c r="E23" s="491">
        <f t="shared" si="18"/>
        <v>11674</v>
      </c>
      <c r="F23" s="483">
        <v>1582788</v>
      </c>
      <c r="G23" s="493"/>
      <c r="H23" s="484">
        <v>347342</v>
      </c>
      <c r="I23" s="485">
        <v>476314</v>
      </c>
      <c r="J23" s="485">
        <v>363988</v>
      </c>
      <c r="K23" s="485">
        <v>373712</v>
      </c>
      <c r="L23" s="174"/>
      <c r="M23" s="147">
        <f t="shared" si="19"/>
        <v>1561356</v>
      </c>
      <c r="N23" s="172">
        <f t="shared" si="25"/>
        <v>0.98645933631035865</v>
      </c>
      <c r="O23" s="163"/>
      <c r="P23" s="118"/>
      <c r="S23" s="159"/>
      <c r="T23" s="170" t="str">
        <f t="shared" si="20"/>
        <v>Premier</v>
      </c>
      <c r="U23" s="146">
        <v>1571114</v>
      </c>
      <c r="V23" s="150">
        <v>0</v>
      </c>
      <c r="W23" s="148">
        <v>1571114</v>
      </c>
      <c r="X23" s="173"/>
      <c r="Y23" s="149">
        <v>347342</v>
      </c>
      <c r="Z23" s="224">
        <v>476314</v>
      </c>
      <c r="AA23" s="224"/>
      <c r="AB23" s="224"/>
      <c r="AC23" s="174"/>
      <c r="AD23" s="147">
        <v>823656</v>
      </c>
      <c r="AE23" s="172">
        <v>0.52424967252535459</v>
      </c>
      <c r="AF23" s="163"/>
      <c r="AG23" s="118"/>
      <c r="AJ23" s="293"/>
      <c r="AK23" s="305" t="str">
        <f t="shared" si="26"/>
        <v>Premier</v>
      </c>
      <c r="AL23" s="279">
        <f t="shared" si="21"/>
        <v>0</v>
      </c>
      <c r="AM23" s="280">
        <f t="shared" si="21"/>
        <v>-11674</v>
      </c>
      <c r="AN23" s="281">
        <f t="shared" si="21"/>
        <v>-11674</v>
      </c>
      <c r="AO23" s="307"/>
      <c r="AP23" s="282">
        <f t="shared" si="22"/>
        <v>0</v>
      </c>
      <c r="AQ23" s="283">
        <f t="shared" si="22"/>
        <v>0</v>
      </c>
      <c r="AR23" s="283">
        <f t="shared" si="22"/>
        <v>-363988</v>
      </c>
      <c r="AS23" s="283">
        <f t="shared" si="22"/>
        <v>-373712</v>
      </c>
      <c r="AT23" s="308"/>
      <c r="AU23" s="283">
        <f t="shared" si="23"/>
        <v>-737700</v>
      </c>
      <c r="AV23" s="290"/>
      <c r="AW23" s="297"/>
      <c r="AX23" s="118"/>
    </row>
    <row r="24" spans="1:79" ht="15.75" customHeight="1" x14ac:dyDescent="0.3">
      <c r="A24" s="446">
        <f t="shared" si="24"/>
        <v>1</v>
      </c>
      <c r="B24" s="159"/>
      <c r="C24" s="500" t="str">
        <f>PROPER("PROVINCIAL PARLIAMENT")</f>
        <v>Provincial Parliament</v>
      </c>
      <c r="D24" s="482">
        <v>202094</v>
      </c>
      <c r="E24" s="491">
        <f t="shared" si="18"/>
        <v>1520</v>
      </c>
      <c r="F24" s="483">
        <v>203614</v>
      </c>
      <c r="G24" s="487"/>
      <c r="H24" s="484">
        <v>57057</v>
      </c>
      <c r="I24" s="485">
        <v>45666</v>
      </c>
      <c r="J24" s="485">
        <v>49748</v>
      </c>
      <c r="K24" s="485">
        <v>35873</v>
      </c>
      <c r="L24" s="156"/>
      <c r="M24" s="147">
        <f t="shared" si="19"/>
        <v>188344</v>
      </c>
      <c r="N24" s="172">
        <f t="shared" si="25"/>
        <v>0.92500515681632889</v>
      </c>
      <c r="O24" s="163"/>
      <c r="P24" s="118"/>
      <c r="S24" s="159"/>
      <c r="T24" s="170" t="str">
        <f t="shared" si="20"/>
        <v>Provincial Parliament</v>
      </c>
      <c r="U24" s="146">
        <v>202094</v>
      </c>
      <c r="V24" s="150">
        <v>0</v>
      </c>
      <c r="W24" s="148">
        <v>202094</v>
      </c>
      <c r="X24" s="152"/>
      <c r="Y24" s="149">
        <v>57045</v>
      </c>
      <c r="Z24" s="224">
        <v>45667</v>
      </c>
      <c r="AA24" s="224"/>
      <c r="AB24" s="224"/>
      <c r="AC24" s="156"/>
      <c r="AD24" s="147">
        <v>102712</v>
      </c>
      <c r="AE24" s="172">
        <v>0.50823874038813621</v>
      </c>
      <c r="AF24" s="163"/>
      <c r="AG24" s="118"/>
      <c r="AJ24" s="293"/>
      <c r="AK24" s="305" t="str">
        <f t="shared" si="26"/>
        <v>Provincial Parliament</v>
      </c>
      <c r="AL24" s="279">
        <f t="shared" si="21"/>
        <v>0</v>
      </c>
      <c r="AM24" s="280">
        <f t="shared" si="21"/>
        <v>-1520</v>
      </c>
      <c r="AN24" s="281">
        <f t="shared" si="21"/>
        <v>-1520</v>
      </c>
      <c r="AO24" s="285"/>
      <c r="AP24" s="282">
        <f t="shared" si="22"/>
        <v>-12</v>
      </c>
      <c r="AQ24" s="283">
        <f t="shared" si="22"/>
        <v>1</v>
      </c>
      <c r="AR24" s="283">
        <f t="shared" si="22"/>
        <v>-49748</v>
      </c>
      <c r="AS24" s="283">
        <f t="shared" si="22"/>
        <v>-35873</v>
      </c>
      <c r="AT24" s="289"/>
      <c r="AU24" s="283">
        <f t="shared" si="23"/>
        <v>-85632</v>
      </c>
      <c r="AV24" s="290"/>
      <c r="AW24" s="297"/>
      <c r="AX24" s="118"/>
    </row>
    <row r="25" spans="1:79" ht="15.75" customHeight="1" x14ac:dyDescent="0.3">
      <c r="A25" s="446">
        <f t="shared" si="24"/>
        <v>1</v>
      </c>
      <c r="B25" s="159"/>
      <c r="C25" s="500" t="str">
        <f>PROPER("PROVINCIAL TREASURY")</f>
        <v>Provincial Treasury</v>
      </c>
      <c r="D25" s="482">
        <v>357353</v>
      </c>
      <c r="E25" s="491">
        <f t="shared" si="18"/>
        <v>-19344</v>
      </c>
      <c r="F25" s="483">
        <v>338009</v>
      </c>
      <c r="G25" s="487"/>
      <c r="H25" s="484">
        <v>73907</v>
      </c>
      <c r="I25" s="485">
        <v>73692</v>
      </c>
      <c r="J25" s="485">
        <v>77808</v>
      </c>
      <c r="K25" s="485">
        <v>103368</v>
      </c>
      <c r="L25" s="156"/>
      <c r="M25" s="147">
        <f t="shared" si="19"/>
        <v>328775</v>
      </c>
      <c r="N25" s="172">
        <f t="shared" si="25"/>
        <v>0.9726812007964285</v>
      </c>
      <c r="O25" s="163"/>
      <c r="P25" s="118"/>
      <c r="S25" s="159"/>
      <c r="T25" s="170" t="str">
        <f t="shared" si="20"/>
        <v>Provincial Treasury</v>
      </c>
      <c r="U25" s="146">
        <v>357353</v>
      </c>
      <c r="V25" s="150">
        <v>0</v>
      </c>
      <c r="W25" s="148">
        <v>357353</v>
      </c>
      <c r="X25" s="152"/>
      <c r="Y25" s="149">
        <v>73907</v>
      </c>
      <c r="Z25" s="224">
        <v>73692</v>
      </c>
      <c r="AA25" s="224"/>
      <c r="AB25" s="224"/>
      <c r="AC25" s="156"/>
      <c r="AD25" s="147">
        <v>147599</v>
      </c>
      <c r="AE25" s="172">
        <v>0.4130341706939637</v>
      </c>
      <c r="AF25" s="163"/>
      <c r="AG25" s="118"/>
      <c r="AJ25" s="293"/>
      <c r="AK25" s="305" t="str">
        <f t="shared" si="26"/>
        <v>Provincial Treasury</v>
      </c>
      <c r="AL25" s="279">
        <f t="shared" si="21"/>
        <v>0</v>
      </c>
      <c r="AM25" s="280">
        <f t="shared" si="21"/>
        <v>19344</v>
      </c>
      <c r="AN25" s="281">
        <f t="shared" si="21"/>
        <v>19344</v>
      </c>
      <c r="AO25" s="285"/>
      <c r="AP25" s="282">
        <f t="shared" si="22"/>
        <v>0</v>
      </c>
      <c r="AQ25" s="283">
        <f t="shared" si="22"/>
        <v>0</v>
      </c>
      <c r="AR25" s="283">
        <f t="shared" si="22"/>
        <v>-77808</v>
      </c>
      <c r="AS25" s="283">
        <f t="shared" si="22"/>
        <v>-103368</v>
      </c>
      <c r="AT25" s="289"/>
      <c r="AU25" s="283">
        <f t="shared" si="23"/>
        <v>-181176</v>
      </c>
      <c r="AV25" s="290"/>
      <c r="AW25" s="297"/>
      <c r="AX25" s="118"/>
    </row>
    <row r="26" spans="1:79" ht="15.75" customHeight="1" x14ac:dyDescent="0.3">
      <c r="A26" s="446">
        <f t="shared" si="24"/>
        <v>1</v>
      </c>
      <c r="B26" s="175"/>
      <c r="C26" s="500" t="str">
        <f>PROPER("COMMUNITY SAFETY")</f>
        <v>Community Safety</v>
      </c>
      <c r="D26" s="482">
        <v>359301</v>
      </c>
      <c r="E26" s="491">
        <f t="shared" si="18"/>
        <v>112031</v>
      </c>
      <c r="F26" s="483">
        <v>471332</v>
      </c>
      <c r="G26" s="494"/>
      <c r="H26" s="484">
        <v>66440</v>
      </c>
      <c r="I26" s="485">
        <v>74216</v>
      </c>
      <c r="J26" s="485">
        <v>89737</v>
      </c>
      <c r="K26" s="485">
        <v>234540</v>
      </c>
      <c r="L26" s="174"/>
      <c r="M26" s="147">
        <f t="shared" si="19"/>
        <v>464933</v>
      </c>
      <c r="N26" s="172">
        <f t="shared" si="25"/>
        <v>0.98642358252781481</v>
      </c>
      <c r="O26" s="177"/>
      <c r="P26" s="118"/>
      <c r="S26" s="175"/>
      <c r="T26" s="170" t="str">
        <f t="shared" si="20"/>
        <v>Community Safety</v>
      </c>
      <c r="U26" s="146">
        <v>359301</v>
      </c>
      <c r="V26" s="150">
        <v>0</v>
      </c>
      <c r="W26" s="148">
        <v>359301</v>
      </c>
      <c r="X26" s="176"/>
      <c r="Y26" s="149">
        <v>66440</v>
      </c>
      <c r="Z26" s="224">
        <v>74217</v>
      </c>
      <c r="AA26" s="224"/>
      <c r="AB26" s="224"/>
      <c r="AC26" s="174"/>
      <c r="AD26" s="147">
        <v>140657</v>
      </c>
      <c r="AE26" s="172">
        <v>0.39147400090731727</v>
      </c>
      <c r="AF26" s="177"/>
      <c r="AG26" s="118"/>
      <c r="AJ26" s="309"/>
      <c r="AK26" s="305" t="str">
        <f t="shared" si="26"/>
        <v>Community Safety</v>
      </c>
      <c r="AL26" s="279">
        <f t="shared" si="21"/>
        <v>0</v>
      </c>
      <c r="AM26" s="280">
        <f t="shared" si="21"/>
        <v>-112031</v>
      </c>
      <c r="AN26" s="281">
        <f t="shared" si="21"/>
        <v>-112031</v>
      </c>
      <c r="AO26" s="310"/>
      <c r="AP26" s="282">
        <f t="shared" si="22"/>
        <v>0</v>
      </c>
      <c r="AQ26" s="283">
        <f t="shared" si="22"/>
        <v>1</v>
      </c>
      <c r="AR26" s="283">
        <f t="shared" si="22"/>
        <v>-89737</v>
      </c>
      <c r="AS26" s="283">
        <f t="shared" si="22"/>
        <v>-234540</v>
      </c>
      <c r="AT26" s="308"/>
      <c r="AU26" s="283">
        <f t="shared" si="23"/>
        <v>-324276</v>
      </c>
      <c r="AV26" s="290"/>
      <c r="AW26" s="311"/>
      <c r="AX26" s="118"/>
    </row>
    <row r="27" spans="1:79" s="22" customFormat="1" ht="15.75" customHeight="1" x14ac:dyDescent="0.3">
      <c r="A27" s="446">
        <f t="shared" si="24"/>
        <v>1</v>
      </c>
      <c r="B27" s="159"/>
      <c r="C27" s="500" t="str">
        <f>PROPER("HUMAN SETTLEMENTS")</f>
        <v>Human Settlements</v>
      </c>
      <c r="D27" s="482">
        <v>2463227</v>
      </c>
      <c r="E27" s="491">
        <f t="shared" si="18"/>
        <v>220894</v>
      </c>
      <c r="F27" s="483">
        <v>2684121</v>
      </c>
      <c r="G27" s="487"/>
      <c r="H27" s="484">
        <v>645887</v>
      </c>
      <c r="I27" s="485">
        <v>695010</v>
      </c>
      <c r="J27" s="485">
        <v>868075</v>
      </c>
      <c r="K27" s="485">
        <v>474758</v>
      </c>
      <c r="L27" s="156"/>
      <c r="M27" s="147">
        <f t="shared" si="19"/>
        <v>2683730</v>
      </c>
      <c r="N27" s="172">
        <f t="shared" si="25"/>
        <v>0.99985432847475952</v>
      </c>
      <c r="O27" s="163"/>
      <c r="P27" s="118"/>
      <c r="Q27"/>
      <c r="R27"/>
      <c r="S27" s="159"/>
      <c r="T27" s="170" t="str">
        <f t="shared" si="20"/>
        <v>Human Settlements</v>
      </c>
      <c r="U27" s="146">
        <v>2463227</v>
      </c>
      <c r="V27" s="150">
        <v>0</v>
      </c>
      <c r="W27" s="148">
        <v>2463227</v>
      </c>
      <c r="X27" s="152"/>
      <c r="Y27" s="149">
        <v>645887</v>
      </c>
      <c r="Z27" s="224">
        <v>695010</v>
      </c>
      <c r="AA27" s="224"/>
      <c r="AB27" s="224"/>
      <c r="AC27" s="156"/>
      <c r="AD27" s="147">
        <v>1340897</v>
      </c>
      <c r="AE27" s="172">
        <v>0.54436598819353632</v>
      </c>
      <c r="AF27" s="163"/>
      <c r="AG27" s="118"/>
      <c r="AH27" s="61"/>
      <c r="AI27"/>
      <c r="AJ27" s="293"/>
      <c r="AK27" s="305" t="str">
        <f t="shared" si="26"/>
        <v>Human Settlements</v>
      </c>
      <c r="AL27" s="279">
        <f t="shared" si="21"/>
        <v>0</v>
      </c>
      <c r="AM27" s="280">
        <f t="shared" si="21"/>
        <v>-220894</v>
      </c>
      <c r="AN27" s="281">
        <f t="shared" si="21"/>
        <v>-220894</v>
      </c>
      <c r="AO27" s="285"/>
      <c r="AP27" s="282">
        <f t="shared" si="22"/>
        <v>0</v>
      </c>
      <c r="AQ27" s="283">
        <f t="shared" si="22"/>
        <v>0</v>
      </c>
      <c r="AR27" s="283">
        <f t="shared" si="22"/>
        <v>-868075</v>
      </c>
      <c r="AS27" s="283">
        <f t="shared" si="22"/>
        <v>-474758</v>
      </c>
      <c r="AT27" s="289"/>
      <c r="AU27" s="283">
        <f t="shared" si="23"/>
        <v>-1342833</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PROPER("ENVIRONMENTAL AFFAIRS AND DEVELOPMENT PLANNING")</f>
        <v>Environmental Affairs And Development Planning</v>
      </c>
      <c r="D28" s="482">
        <v>639689</v>
      </c>
      <c r="E28" s="491">
        <f t="shared" si="18"/>
        <v>-4930</v>
      </c>
      <c r="F28" s="483">
        <v>634759</v>
      </c>
      <c r="G28" s="487"/>
      <c r="H28" s="484">
        <v>138784</v>
      </c>
      <c r="I28" s="485">
        <v>164128</v>
      </c>
      <c r="J28" s="485">
        <v>162239</v>
      </c>
      <c r="K28" s="485">
        <v>159813</v>
      </c>
      <c r="L28" s="156"/>
      <c r="M28" s="147">
        <f t="shared" si="19"/>
        <v>624964</v>
      </c>
      <c r="N28" s="172">
        <f t="shared" si="25"/>
        <v>0.98456894663959083</v>
      </c>
      <c r="O28" s="163"/>
      <c r="P28" s="118"/>
      <c r="Q28"/>
      <c r="R28"/>
      <c r="S28" s="159"/>
      <c r="T28" s="170" t="str">
        <f t="shared" si="20"/>
        <v>Environmental Affairs And Development Planning</v>
      </c>
      <c r="U28" s="146">
        <v>639689</v>
      </c>
      <c r="V28" s="150">
        <v>0</v>
      </c>
      <c r="W28" s="148">
        <v>639689</v>
      </c>
      <c r="X28" s="152"/>
      <c r="Y28" s="149">
        <v>138784</v>
      </c>
      <c r="Z28" s="224">
        <v>164125</v>
      </c>
      <c r="AA28" s="224"/>
      <c r="AB28" s="224"/>
      <c r="AC28" s="156"/>
      <c r="AD28" s="147">
        <v>302909</v>
      </c>
      <c r="AE28" s="172">
        <v>0.47352541625696237</v>
      </c>
      <c r="AF28" s="163"/>
      <c r="AG28" s="118"/>
      <c r="AH28" s="61"/>
      <c r="AI28"/>
      <c r="AJ28" s="293"/>
      <c r="AK28" s="305" t="str">
        <f t="shared" si="26"/>
        <v>Environmental Affairs And Development Planning</v>
      </c>
      <c r="AL28" s="279">
        <f t="shared" si="21"/>
        <v>0</v>
      </c>
      <c r="AM28" s="280">
        <f t="shared" si="21"/>
        <v>4930</v>
      </c>
      <c r="AN28" s="281">
        <f t="shared" si="21"/>
        <v>4930</v>
      </c>
      <c r="AO28" s="285"/>
      <c r="AP28" s="282">
        <f t="shared" si="22"/>
        <v>0</v>
      </c>
      <c r="AQ28" s="283">
        <f t="shared" si="22"/>
        <v>-3</v>
      </c>
      <c r="AR28" s="283">
        <f t="shared" si="22"/>
        <v>-162239</v>
      </c>
      <c r="AS28" s="283">
        <f t="shared" si="22"/>
        <v>-159813</v>
      </c>
      <c r="AT28" s="289"/>
      <c r="AU28" s="283">
        <f t="shared" si="23"/>
        <v>-322055</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PROPER("TRANSPORT AND PUBLIC WORKS")</f>
        <v>Transport And Public Works</v>
      </c>
      <c r="D29" s="482">
        <v>8117512</v>
      </c>
      <c r="E29" s="491">
        <f t="shared" si="18"/>
        <v>440076</v>
      </c>
      <c r="F29" s="483">
        <v>8557588</v>
      </c>
      <c r="G29" s="487"/>
      <c r="H29" s="484">
        <v>1479140</v>
      </c>
      <c r="I29" s="485">
        <v>2441500</v>
      </c>
      <c r="J29" s="485">
        <v>2194340</v>
      </c>
      <c r="K29" s="485">
        <v>2374181</v>
      </c>
      <c r="L29" s="156"/>
      <c r="M29" s="147">
        <f t="shared" si="19"/>
        <v>8489161</v>
      </c>
      <c r="N29" s="172">
        <f t="shared" si="25"/>
        <v>0.99200393849294921</v>
      </c>
      <c r="O29" s="163"/>
      <c r="P29" s="118"/>
      <c r="Q29"/>
      <c r="R29"/>
      <c r="S29" s="159"/>
      <c r="T29" s="170" t="str">
        <f t="shared" si="20"/>
        <v>Transport And Public Works</v>
      </c>
      <c r="U29" s="146">
        <v>8117512</v>
      </c>
      <c r="V29" s="150">
        <v>0</v>
      </c>
      <c r="W29" s="148">
        <v>8117512</v>
      </c>
      <c r="X29" s="152"/>
      <c r="Y29" s="149">
        <v>1479140</v>
      </c>
      <c r="Z29" s="224">
        <v>2441500</v>
      </c>
      <c r="AA29" s="224"/>
      <c r="AB29" s="224"/>
      <c r="AC29" s="156"/>
      <c r="AD29" s="147">
        <v>3920640</v>
      </c>
      <c r="AE29" s="172">
        <v>0.48298542706188791</v>
      </c>
      <c r="AF29" s="163"/>
      <c r="AG29" s="118"/>
      <c r="AH29" s="61"/>
      <c r="AI29"/>
      <c r="AJ29" s="293"/>
      <c r="AK29" s="305" t="str">
        <f t="shared" si="26"/>
        <v>Transport And Public Works</v>
      </c>
      <c r="AL29" s="279">
        <f t="shared" si="21"/>
        <v>0</v>
      </c>
      <c r="AM29" s="280">
        <f t="shared" si="21"/>
        <v>-440076</v>
      </c>
      <c r="AN29" s="281">
        <f t="shared" si="21"/>
        <v>-440076</v>
      </c>
      <c r="AO29" s="285"/>
      <c r="AP29" s="282">
        <f t="shared" si="22"/>
        <v>0</v>
      </c>
      <c r="AQ29" s="283">
        <f t="shared" si="22"/>
        <v>0</v>
      </c>
      <c r="AR29" s="283">
        <f t="shared" si="22"/>
        <v>-2194340</v>
      </c>
      <c r="AS29" s="283">
        <f t="shared" si="22"/>
        <v>-2374181</v>
      </c>
      <c r="AT29" s="289"/>
      <c r="AU29" s="283">
        <f t="shared" si="23"/>
        <v>-4568521</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PROPER("AGRICULTURE")</f>
        <v>Agriculture</v>
      </c>
      <c r="D30" s="482">
        <v>911131</v>
      </c>
      <c r="E30" s="491">
        <f t="shared" si="18"/>
        <v>36798</v>
      </c>
      <c r="F30" s="483">
        <v>947929</v>
      </c>
      <c r="G30" s="492"/>
      <c r="H30" s="484">
        <v>196160</v>
      </c>
      <c r="I30" s="485">
        <v>248556</v>
      </c>
      <c r="J30" s="485">
        <v>238817</v>
      </c>
      <c r="K30" s="485">
        <v>245458</v>
      </c>
      <c r="L30" s="156"/>
      <c r="M30" s="147">
        <f t="shared" si="19"/>
        <v>928991</v>
      </c>
      <c r="N30" s="172">
        <f t="shared" si="25"/>
        <v>0.9800217104867559</v>
      </c>
      <c r="O30" s="177"/>
      <c r="P30" s="118"/>
      <c r="Q30"/>
      <c r="R30"/>
      <c r="S30" s="175"/>
      <c r="T30" s="170" t="str">
        <f t="shared" si="20"/>
        <v>Agriculture</v>
      </c>
      <c r="U30" s="146">
        <v>911131</v>
      </c>
      <c r="V30" s="150">
        <v>0</v>
      </c>
      <c r="W30" s="148">
        <v>911131</v>
      </c>
      <c r="X30" s="171"/>
      <c r="Y30" s="149">
        <v>196160</v>
      </c>
      <c r="Z30" s="224">
        <v>248556</v>
      </c>
      <c r="AA30" s="224"/>
      <c r="AB30" s="224"/>
      <c r="AC30" s="156"/>
      <c r="AD30" s="147">
        <v>444716</v>
      </c>
      <c r="AE30" s="172">
        <v>0.48809227213210832</v>
      </c>
      <c r="AF30" s="177"/>
      <c r="AG30" s="118"/>
      <c r="AH30"/>
      <c r="AI30"/>
      <c r="AJ30" s="309"/>
      <c r="AK30" s="305" t="str">
        <f t="shared" si="26"/>
        <v>Agriculture</v>
      </c>
      <c r="AL30" s="279">
        <f t="shared" si="21"/>
        <v>0</v>
      </c>
      <c r="AM30" s="280">
        <f t="shared" si="21"/>
        <v>-36798</v>
      </c>
      <c r="AN30" s="281">
        <f t="shared" si="21"/>
        <v>-36798</v>
      </c>
      <c r="AO30" s="306"/>
      <c r="AP30" s="282">
        <f t="shared" si="22"/>
        <v>0</v>
      </c>
      <c r="AQ30" s="283">
        <f t="shared" si="22"/>
        <v>0</v>
      </c>
      <c r="AR30" s="283">
        <f t="shared" si="22"/>
        <v>-238817</v>
      </c>
      <c r="AS30" s="283">
        <f t="shared" si="22"/>
        <v>-245458</v>
      </c>
      <c r="AT30" s="289"/>
      <c r="AU30" s="283">
        <f t="shared" si="23"/>
        <v>-484275</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PROPER("ECONOMIC DEVELOPMENT AND TOURISM")</f>
        <v>Economic Development And Tourism</v>
      </c>
      <c r="D31" s="482">
        <v>523367</v>
      </c>
      <c r="E31" s="491">
        <f t="shared" si="18"/>
        <v>-12104</v>
      </c>
      <c r="F31" s="483">
        <v>511263</v>
      </c>
      <c r="G31" s="487"/>
      <c r="H31" s="484">
        <v>68326</v>
      </c>
      <c r="I31" s="485">
        <v>153548</v>
      </c>
      <c r="J31" s="485">
        <v>127999</v>
      </c>
      <c r="K31" s="485">
        <v>148918</v>
      </c>
      <c r="L31" s="156"/>
      <c r="M31" s="147">
        <f t="shared" si="19"/>
        <v>498791</v>
      </c>
      <c r="N31" s="172">
        <f t="shared" si="25"/>
        <v>0.97560551027553333</v>
      </c>
      <c r="O31" s="163"/>
      <c r="P31" s="118"/>
      <c r="Q31"/>
      <c r="R31"/>
      <c r="S31" s="159"/>
      <c r="T31" s="170" t="str">
        <f t="shared" si="20"/>
        <v>Economic Development And Tourism</v>
      </c>
      <c r="U31" s="146">
        <v>523367</v>
      </c>
      <c r="V31" s="150">
        <v>0</v>
      </c>
      <c r="W31" s="148">
        <v>523367</v>
      </c>
      <c r="X31" s="152"/>
      <c r="Y31" s="149">
        <v>68325</v>
      </c>
      <c r="Z31" s="224">
        <v>153543</v>
      </c>
      <c r="AA31" s="224"/>
      <c r="AB31" s="224"/>
      <c r="AC31" s="156"/>
      <c r="AD31" s="147">
        <v>221868</v>
      </c>
      <c r="AE31" s="172">
        <v>0.42392432079210191</v>
      </c>
      <c r="AF31" s="163"/>
      <c r="AG31" s="118"/>
      <c r="AH31"/>
      <c r="AI31"/>
      <c r="AJ31" s="293"/>
      <c r="AK31" s="305" t="str">
        <f t="shared" si="26"/>
        <v>Economic Development And Tourism</v>
      </c>
      <c r="AL31" s="279">
        <f t="shared" si="21"/>
        <v>0</v>
      </c>
      <c r="AM31" s="280">
        <f t="shared" si="21"/>
        <v>12104</v>
      </c>
      <c r="AN31" s="281">
        <f t="shared" si="21"/>
        <v>12104</v>
      </c>
      <c r="AO31" s="285"/>
      <c r="AP31" s="282">
        <f t="shared" si="22"/>
        <v>-1</v>
      </c>
      <c r="AQ31" s="283">
        <f t="shared" si="22"/>
        <v>-5</v>
      </c>
      <c r="AR31" s="283">
        <f t="shared" si="22"/>
        <v>-127999</v>
      </c>
      <c r="AS31" s="283">
        <f t="shared" si="22"/>
        <v>-148918</v>
      </c>
      <c r="AT31" s="289"/>
      <c r="AU31" s="283">
        <f t="shared" si="23"/>
        <v>-276923</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PROPER("CULTURAL AFFAIRS AND SPORT")</f>
        <v>Cultural Affairs And Sport</v>
      </c>
      <c r="D32" s="482">
        <v>820305</v>
      </c>
      <c r="E32" s="491">
        <f t="shared" si="18"/>
        <v>-25855</v>
      </c>
      <c r="F32" s="483">
        <v>794450</v>
      </c>
      <c r="G32" s="487"/>
      <c r="H32" s="484">
        <v>105544</v>
      </c>
      <c r="I32" s="485">
        <v>228931</v>
      </c>
      <c r="J32" s="485">
        <v>232083</v>
      </c>
      <c r="K32" s="485">
        <v>218013</v>
      </c>
      <c r="L32" s="156"/>
      <c r="M32" s="147">
        <f t="shared" si="19"/>
        <v>784571</v>
      </c>
      <c r="N32" s="172">
        <f t="shared" si="25"/>
        <v>0.98756498206306254</v>
      </c>
      <c r="O32" s="163"/>
      <c r="P32" s="118"/>
      <c r="S32" s="159"/>
      <c r="T32" s="170" t="str">
        <f t="shared" si="20"/>
        <v>Cultural Affairs And Sport</v>
      </c>
      <c r="U32" s="146">
        <v>820305</v>
      </c>
      <c r="V32" s="150">
        <v>0</v>
      </c>
      <c r="W32" s="148">
        <v>820305</v>
      </c>
      <c r="X32" s="152"/>
      <c r="Y32" s="149">
        <v>105544</v>
      </c>
      <c r="Z32" s="224">
        <v>228931</v>
      </c>
      <c r="AA32" s="224"/>
      <c r="AB32" s="224"/>
      <c r="AC32" s="156"/>
      <c r="AD32" s="147">
        <v>334475</v>
      </c>
      <c r="AE32" s="172">
        <v>0.40774468033231542</v>
      </c>
      <c r="AF32" s="163"/>
      <c r="AG32" s="118"/>
      <c r="AJ32" s="293"/>
      <c r="AK32" s="305" t="str">
        <f t="shared" si="26"/>
        <v>Cultural Affairs And Sport</v>
      </c>
      <c r="AL32" s="279">
        <f t="shared" si="21"/>
        <v>0</v>
      </c>
      <c r="AM32" s="280">
        <f t="shared" si="21"/>
        <v>25855</v>
      </c>
      <c r="AN32" s="281">
        <f t="shared" si="21"/>
        <v>25855</v>
      </c>
      <c r="AO32" s="285"/>
      <c r="AP32" s="282">
        <f t="shared" si="22"/>
        <v>0</v>
      </c>
      <c r="AQ32" s="283">
        <f t="shared" si="22"/>
        <v>0</v>
      </c>
      <c r="AR32" s="283">
        <f t="shared" si="22"/>
        <v>-232083</v>
      </c>
      <c r="AS32" s="283">
        <f t="shared" si="22"/>
        <v>-218013</v>
      </c>
      <c r="AT32" s="289"/>
      <c r="AU32" s="283">
        <f t="shared" si="23"/>
        <v>-450096</v>
      </c>
      <c r="AV32" s="290"/>
      <c r="AW32" s="297"/>
      <c r="AX32" s="118"/>
    </row>
    <row r="33" spans="1:79" s="35" customFormat="1" ht="15.75" customHeight="1" x14ac:dyDescent="0.3">
      <c r="A33" s="446">
        <f t="shared" si="24"/>
        <v>1</v>
      </c>
      <c r="B33" s="159"/>
      <c r="C33" s="500" t="str">
        <f>PROPER("LOCAL GOVERNMENT")</f>
        <v>Local Government</v>
      </c>
      <c r="D33" s="482">
        <v>335480</v>
      </c>
      <c r="E33" s="491">
        <f t="shared" si="18"/>
        <v>-16185</v>
      </c>
      <c r="F33" s="483">
        <v>319295</v>
      </c>
      <c r="G33" s="487"/>
      <c r="H33" s="484">
        <v>53012</v>
      </c>
      <c r="I33" s="485">
        <v>59720</v>
      </c>
      <c r="J33" s="485">
        <v>70643</v>
      </c>
      <c r="K33" s="485">
        <v>130375</v>
      </c>
      <c r="L33" s="156"/>
      <c r="M33" s="147">
        <f t="shared" si="19"/>
        <v>313750</v>
      </c>
      <c r="N33" s="172">
        <f t="shared" si="25"/>
        <v>0.982633614682347</v>
      </c>
      <c r="O33" s="163"/>
      <c r="P33" s="118"/>
      <c r="Q33"/>
      <c r="R33"/>
      <c r="S33" s="159"/>
      <c r="T33" s="170" t="str">
        <f t="shared" si="20"/>
        <v>Local Government</v>
      </c>
      <c r="U33" s="146">
        <v>335480</v>
      </c>
      <c r="V33" s="150">
        <v>0</v>
      </c>
      <c r="W33" s="148">
        <v>335480</v>
      </c>
      <c r="X33" s="152"/>
      <c r="Y33" s="149">
        <v>53012</v>
      </c>
      <c r="Z33" s="224">
        <v>59720</v>
      </c>
      <c r="AA33" s="224"/>
      <c r="AB33" s="224"/>
      <c r="AC33" s="156"/>
      <c r="AD33" s="147">
        <v>112732</v>
      </c>
      <c r="AE33" s="172">
        <v>0.33603195421485632</v>
      </c>
      <c r="AF33" s="163"/>
      <c r="AG33" s="118"/>
      <c r="AH33"/>
      <c r="AI33"/>
      <c r="AJ33" s="293"/>
      <c r="AK33" s="305" t="str">
        <f t="shared" si="26"/>
        <v>Local Government</v>
      </c>
      <c r="AL33" s="279">
        <f t="shared" si="21"/>
        <v>0</v>
      </c>
      <c r="AM33" s="280">
        <f t="shared" si="21"/>
        <v>16185</v>
      </c>
      <c r="AN33" s="281">
        <f t="shared" si="21"/>
        <v>16185</v>
      </c>
      <c r="AO33" s="285"/>
      <c r="AP33" s="282">
        <f t="shared" si="22"/>
        <v>0</v>
      </c>
      <c r="AQ33" s="283">
        <f t="shared" si="22"/>
        <v>0</v>
      </c>
      <c r="AR33" s="283">
        <f t="shared" si="22"/>
        <v>-70643</v>
      </c>
      <c r="AS33" s="283">
        <f t="shared" si="22"/>
        <v>-130375</v>
      </c>
      <c r="AT33" s="289"/>
      <c r="AU33" s="283">
        <f t="shared" si="23"/>
        <v>-201018</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ref="C34:C39" si="27">PROPER("")</f>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67191484</v>
      </c>
      <c r="E41" s="179">
        <f t="shared" ref="E41:F41" si="31">SUM(E20:E39)</f>
        <v>817080</v>
      </c>
      <c r="F41" s="166">
        <f t="shared" si="31"/>
        <v>68008564</v>
      </c>
      <c r="G41" s="165"/>
      <c r="H41" s="436">
        <f t="shared" ref="H41:I41" si="32">SUM(H20:H39)</f>
        <v>15409793</v>
      </c>
      <c r="I41" s="437">
        <f t="shared" si="32"/>
        <v>16775652</v>
      </c>
      <c r="J41" s="437">
        <f t="shared" ref="J41:K41" si="33">SUM(J20:J39)</f>
        <v>17785909</v>
      </c>
      <c r="K41" s="438">
        <f t="shared" si="33"/>
        <v>17518390</v>
      </c>
      <c r="L41" s="156"/>
      <c r="M41" s="168">
        <f>SUM(M20:M39)</f>
        <v>67489744</v>
      </c>
      <c r="N41" s="180">
        <f>IFERROR(M41/F41,0)</f>
        <v>0.99237125489078115</v>
      </c>
      <c r="O41" s="595"/>
      <c r="P41" s="594"/>
      <c r="Q41"/>
      <c r="R41"/>
      <c r="S41" s="119"/>
      <c r="T41" s="164" t="s">
        <v>12</v>
      </c>
      <c r="U41" s="165">
        <v>67191484</v>
      </c>
      <c r="V41" s="179">
        <v>0</v>
      </c>
      <c r="W41" s="166">
        <v>67191484</v>
      </c>
      <c r="X41" s="165"/>
      <c r="Y41" s="436">
        <v>15409780</v>
      </c>
      <c r="Z41" s="437">
        <v>16775647</v>
      </c>
      <c r="AA41" s="437">
        <v>0</v>
      </c>
      <c r="AB41" s="438" t="s">
        <v>52</v>
      </c>
      <c r="AC41" s="156"/>
      <c r="AD41" s="168">
        <v>32185427</v>
      </c>
      <c r="AE41" s="180">
        <v>0.47901050972471454</v>
      </c>
      <c r="AF41" s="163"/>
      <c r="AG41" s="118"/>
      <c r="AH41"/>
      <c r="AI41"/>
      <c r="AJ41" s="248"/>
      <c r="AK41" s="298" t="s">
        <v>12</v>
      </c>
      <c r="AL41" s="299">
        <f>SUM(AL20:AL39)</f>
        <v>0</v>
      </c>
      <c r="AM41" s="313">
        <f t="shared" ref="AM41" si="34">SUM(AM20:AM39)</f>
        <v>-817080</v>
      </c>
      <c r="AN41" s="300">
        <f>SUM(AN20:AN39)</f>
        <v>-817080</v>
      </c>
      <c r="AO41" s="299"/>
      <c r="AP41" s="301">
        <f>SUM(AP20:AP39)</f>
        <v>-13</v>
      </c>
      <c r="AQ41" s="302">
        <f t="shared" ref="AQ41:AS41" si="35">SUM(AQ20:AQ39)</f>
        <v>-5</v>
      </c>
      <c r="AR41" s="302">
        <f t="shared" si="35"/>
        <v>-17785909</v>
      </c>
      <c r="AS41" s="302">
        <f t="shared" si="35"/>
        <v>-17518390</v>
      </c>
      <c r="AT41" s="289"/>
      <c r="AU41" s="302">
        <f>SUM(AU20:AU39)</f>
        <v>-35304317</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51467842</v>
      </c>
      <c r="E44" s="156">
        <f t="shared" ref="E44:M44" si="36">SUM(E45:E47)</f>
        <v>220207.16999999993</v>
      </c>
      <c r="F44" s="153">
        <f t="shared" si="36"/>
        <v>51688049.170000002</v>
      </c>
      <c r="G44" s="152">
        <f t="shared" si="36"/>
        <v>0</v>
      </c>
      <c r="H44" s="154">
        <f t="shared" si="36"/>
        <v>11903045</v>
      </c>
      <c r="I44" s="155">
        <f t="shared" ref="I44" si="37">SUM(I45:I47)</f>
        <v>12706582</v>
      </c>
      <c r="J44" s="155">
        <f t="shared" ref="J44:K44" si="38">SUM(J45:J47)</f>
        <v>13232339</v>
      </c>
      <c r="K44" s="155">
        <f t="shared" si="38"/>
        <v>13148444</v>
      </c>
      <c r="L44" s="156"/>
      <c r="M44" s="155">
        <f t="shared" si="36"/>
        <v>50990410</v>
      </c>
      <c r="N44" s="183">
        <f t="shared" ref="N44:N64" si="39">IFERROR(M44/F44,0)</f>
        <v>0.98650289223132615</v>
      </c>
      <c r="O44" s="595"/>
      <c r="P44" s="478"/>
      <c r="Q44"/>
      <c r="R44"/>
      <c r="S44" s="159"/>
      <c r="T44" s="182" t="str">
        <f t="shared" ref="T44:T64" si="40">C44</f>
        <v>Current payments</v>
      </c>
      <c r="U44" s="152">
        <v>51467842</v>
      </c>
      <c r="V44" s="156">
        <v>0</v>
      </c>
      <c r="W44" s="153">
        <v>51467842</v>
      </c>
      <c r="X44" s="152">
        <v>0</v>
      </c>
      <c r="Y44" s="154">
        <v>11903031</v>
      </c>
      <c r="Z44" s="155">
        <v>12706579</v>
      </c>
      <c r="AA44" s="155">
        <v>0</v>
      </c>
      <c r="AB44" s="155">
        <v>0</v>
      </c>
      <c r="AC44" s="156"/>
      <c r="AD44" s="155">
        <v>24609610</v>
      </c>
      <c r="AE44" s="172">
        <v>0.47815507788338979</v>
      </c>
      <c r="AF44" s="163"/>
      <c r="AG44" s="181"/>
      <c r="AH44"/>
      <c r="AI44"/>
      <c r="AJ44" s="293"/>
      <c r="AK44" s="314" t="s">
        <v>0</v>
      </c>
      <c r="AL44" s="285">
        <f>SUM(AL45:AL47)</f>
        <v>0</v>
      </c>
      <c r="AM44" s="289">
        <f t="shared" ref="AM44:AO44" si="41">SUM(AM45:AM47)</f>
        <v>-220207.16999999993</v>
      </c>
      <c r="AN44" s="286">
        <f>SUM(AN45:AN47)</f>
        <v>-220207.16999999993</v>
      </c>
      <c r="AO44" s="285">
        <f t="shared" si="41"/>
        <v>0</v>
      </c>
      <c r="AP44" s="287">
        <f>SUM(AP45:AP47)</f>
        <v>-14</v>
      </c>
      <c r="AQ44" s="288">
        <f t="shared" ref="AQ44:AS44" si="42">SUM(AQ45:AQ47)</f>
        <v>-3</v>
      </c>
      <c r="AR44" s="288">
        <f t="shared" si="42"/>
        <v>-13232339</v>
      </c>
      <c r="AS44" s="288">
        <f t="shared" si="42"/>
        <v>-13148444</v>
      </c>
      <c r="AT44" s="289"/>
      <c r="AU44" s="288">
        <f t="shared" ref="AU44" si="43">SUM(AU45:AU47)</f>
        <v>-26380800</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36887805</v>
      </c>
      <c r="E45" s="491">
        <f t="shared" ref="E45:E47" si="44">F45-D45</f>
        <v>-83743</v>
      </c>
      <c r="F45" s="483">
        <v>36804062</v>
      </c>
      <c r="G45" s="482"/>
      <c r="H45" s="484">
        <v>8955225</v>
      </c>
      <c r="I45" s="485">
        <v>9096297</v>
      </c>
      <c r="J45" s="485">
        <v>9356232</v>
      </c>
      <c r="K45" s="485">
        <v>9110428</v>
      </c>
      <c r="L45" s="156"/>
      <c r="M45" s="147">
        <f t="shared" ref="M45:M47" si="45">SUM(H45:K45)</f>
        <v>36518182</v>
      </c>
      <c r="N45" s="172">
        <f t="shared" si="39"/>
        <v>0.99223237913249906</v>
      </c>
      <c r="O45" s="163"/>
      <c r="P45" s="181"/>
      <c r="Q45"/>
      <c r="R45"/>
      <c r="S45" s="159"/>
      <c r="T45" s="157" t="str">
        <f t="shared" si="40"/>
        <v>Compensation of employees</v>
      </c>
      <c r="U45" s="146">
        <v>36887805</v>
      </c>
      <c r="V45" s="150">
        <v>0</v>
      </c>
      <c r="W45" s="148">
        <v>36887805</v>
      </c>
      <c r="X45" s="146"/>
      <c r="Y45" s="149">
        <v>8955222</v>
      </c>
      <c r="Z45" s="224">
        <v>9096298</v>
      </c>
      <c r="AA45" s="224"/>
      <c r="AB45" s="224"/>
      <c r="AC45" s="156"/>
      <c r="AD45" s="147">
        <v>18051520</v>
      </c>
      <c r="AE45" s="172">
        <v>0.4893628124525165</v>
      </c>
      <c r="AF45" s="163"/>
      <c r="AG45" s="181"/>
      <c r="AH45"/>
      <c r="AI45"/>
      <c r="AJ45" s="293"/>
      <c r="AK45" s="291" t="s">
        <v>54</v>
      </c>
      <c r="AL45" s="279">
        <f t="shared" ref="AL45:AN47" si="46">IFERROR(U45-D45,0)</f>
        <v>0</v>
      </c>
      <c r="AM45" s="280">
        <f t="shared" si="46"/>
        <v>83743</v>
      </c>
      <c r="AN45" s="281">
        <f t="shared" si="46"/>
        <v>83743</v>
      </c>
      <c r="AO45" s="279"/>
      <c r="AP45" s="282">
        <f t="shared" ref="AP45:AS47" si="47">IFERROR(Y45-H45,0)</f>
        <v>-3</v>
      </c>
      <c r="AQ45" s="283">
        <f t="shared" si="47"/>
        <v>1</v>
      </c>
      <c r="AR45" s="283">
        <f t="shared" si="47"/>
        <v>-9356232</v>
      </c>
      <c r="AS45" s="283">
        <f t="shared" si="47"/>
        <v>-9110428</v>
      </c>
      <c r="AT45" s="289"/>
      <c r="AU45" s="283">
        <f t="shared" ref="AU45:AU47" si="48">IFERROR(AD45-M45,0)</f>
        <v>-18466662</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14579917</v>
      </c>
      <c r="E46" s="491">
        <f t="shared" si="44"/>
        <v>303950.16999999993</v>
      </c>
      <c r="F46" s="483">
        <v>14883867.17</v>
      </c>
      <c r="G46" s="482"/>
      <c r="H46" s="484">
        <v>2947785</v>
      </c>
      <c r="I46" s="485">
        <v>3610279</v>
      </c>
      <c r="J46" s="485">
        <v>3876104</v>
      </c>
      <c r="K46" s="485">
        <v>4037973</v>
      </c>
      <c r="L46" s="156"/>
      <c r="M46" s="147">
        <f t="shared" si="45"/>
        <v>14472141</v>
      </c>
      <c r="N46" s="172">
        <f t="shared" si="39"/>
        <v>0.972337419751375</v>
      </c>
      <c r="O46" s="163"/>
      <c r="P46" s="181"/>
      <c r="Q46"/>
      <c r="R46"/>
      <c r="S46" s="159"/>
      <c r="T46" s="157" t="str">
        <f t="shared" si="40"/>
        <v>Goods and services</v>
      </c>
      <c r="U46" s="146">
        <v>14579917</v>
      </c>
      <c r="V46" s="150">
        <v>0</v>
      </c>
      <c r="W46" s="148">
        <v>14579917</v>
      </c>
      <c r="X46" s="146"/>
      <c r="Y46" s="149">
        <v>2947774</v>
      </c>
      <c r="Z46" s="224">
        <v>3610275</v>
      </c>
      <c r="AA46" s="224"/>
      <c r="AB46" s="224"/>
      <c r="AC46" s="156"/>
      <c r="AD46" s="147">
        <v>6558049</v>
      </c>
      <c r="AE46" s="172">
        <v>0.44980016004206336</v>
      </c>
      <c r="AF46" s="163"/>
      <c r="AG46" s="181"/>
      <c r="AH46"/>
      <c r="AI46"/>
      <c r="AJ46" s="293"/>
      <c r="AK46" s="291" t="s">
        <v>55</v>
      </c>
      <c r="AL46" s="279">
        <f t="shared" si="46"/>
        <v>0</v>
      </c>
      <c r="AM46" s="280">
        <f t="shared" si="46"/>
        <v>-303950.16999999993</v>
      </c>
      <c r="AN46" s="281">
        <f t="shared" si="46"/>
        <v>-303950.16999999993</v>
      </c>
      <c r="AO46" s="279"/>
      <c r="AP46" s="282">
        <f t="shared" si="47"/>
        <v>-11</v>
      </c>
      <c r="AQ46" s="283">
        <f t="shared" si="47"/>
        <v>-4</v>
      </c>
      <c r="AR46" s="283">
        <f t="shared" si="47"/>
        <v>-3876104</v>
      </c>
      <c r="AS46" s="283">
        <f t="shared" si="47"/>
        <v>-4037973</v>
      </c>
      <c r="AT46" s="289"/>
      <c r="AU46" s="283">
        <f t="shared" si="48"/>
        <v>-7914092</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120</v>
      </c>
      <c r="E47" s="491">
        <f t="shared" si="44"/>
        <v>0</v>
      </c>
      <c r="F47" s="483">
        <v>120</v>
      </c>
      <c r="G47" s="482"/>
      <c r="H47" s="484">
        <v>35</v>
      </c>
      <c r="I47" s="485">
        <v>6</v>
      </c>
      <c r="J47" s="485">
        <v>3</v>
      </c>
      <c r="K47" s="485">
        <v>43</v>
      </c>
      <c r="L47" s="156"/>
      <c r="M47" s="147">
        <f t="shared" si="45"/>
        <v>87</v>
      </c>
      <c r="N47" s="172">
        <f t="shared" si="39"/>
        <v>0.72499999999999998</v>
      </c>
      <c r="O47" s="163"/>
      <c r="P47" s="181"/>
      <c r="Q47"/>
      <c r="R47"/>
      <c r="S47" s="159"/>
      <c r="T47" s="157" t="str">
        <f t="shared" si="40"/>
        <v>Interest and rent on land</v>
      </c>
      <c r="U47" s="146">
        <v>120</v>
      </c>
      <c r="V47" s="150">
        <v>0</v>
      </c>
      <c r="W47" s="148">
        <v>120</v>
      </c>
      <c r="X47" s="146"/>
      <c r="Y47" s="149">
        <v>35</v>
      </c>
      <c r="Z47" s="224">
        <v>6</v>
      </c>
      <c r="AA47" s="224"/>
      <c r="AB47" s="224"/>
      <c r="AC47" s="156"/>
      <c r="AD47" s="147">
        <v>41</v>
      </c>
      <c r="AE47" s="172">
        <v>0.34166666666666667</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-3</v>
      </c>
      <c r="AS47" s="283">
        <f t="shared" si="47"/>
        <v>-43</v>
      </c>
      <c r="AT47" s="289"/>
      <c r="AU47" s="283">
        <f t="shared" si="48"/>
        <v>-46</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10453690</v>
      </c>
      <c r="E48" s="156">
        <f t="shared" ref="E48:M48" si="49">SUM(E49:E55)</f>
        <v>505803.83000000007</v>
      </c>
      <c r="F48" s="153">
        <f t="shared" si="49"/>
        <v>10959493.83</v>
      </c>
      <c r="G48" s="152">
        <f t="shared" si="49"/>
        <v>0</v>
      </c>
      <c r="H48" s="154">
        <f t="shared" si="49"/>
        <v>2543193</v>
      </c>
      <c r="I48" s="155">
        <f t="shared" ref="I48" si="50">SUM(I49:I55)</f>
        <v>2892614.8</v>
      </c>
      <c r="J48" s="155">
        <f t="shared" ref="J48:K48" si="51">SUM(J49:J55)</f>
        <v>2976271</v>
      </c>
      <c r="K48" s="155">
        <f t="shared" si="51"/>
        <v>2668036</v>
      </c>
      <c r="L48" s="156"/>
      <c r="M48" s="155">
        <f t="shared" si="49"/>
        <v>11080114.800000001</v>
      </c>
      <c r="N48" s="183">
        <f t="shared" si="39"/>
        <v>1.0110060712539313</v>
      </c>
      <c r="O48" s="595"/>
      <c r="P48" s="478"/>
      <c r="Q48"/>
      <c r="R48"/>
      <c r="S48" s="159"/>
      <c r="T48" s="182" t="str">
        <f t="shared" si="40"/>
        <v>Transfers and subsidies</v>
      </c>
      <c r="U48" s="152">
        <v>10453690</v>
      </c>
      <c r="V48" s="156">
        <v>0</v>
      </c>
      <c r="W48" s="153">
        <v>10453690</v>
      </c>
      <c r="X48" s="152">
        <v>0</v>
      </c>
      <c r="Y48" s="154">
        <v>2543192</v>
      </c>
      <c r="Z48" s="155">
        <v>2892614.8</v>
      </c>
      <c r="AA48" s="155">
        <v>0</v>
      </c>
      <c r="AB48" s="155">
        <v>0</v>
      </c>
      <c r="AC48" s="156"/>
      <c r="AD48" s="155">
        <v>5435806.7999999998</v>
      </c>
      <c r="AE48" s="183">
        <v>0.51998928607984352</v>
      </c>
      <c r="AF48" s="163"/>
      <c r="AG48" s="181"/>
      <c r="AH48"/>
      <c r="AI48"/>
      <c r="AJ48" s="293"/>
      <c r="AK48" s="314" t="s">
        <v>1</v>
      </c>
      <c r="AL48" s="285">
        <f>SUM(AL49:AL55)</f>
        <v>0</v>
      </c>
      <c r="AM48" s="289">
        <f t="shared" ref="AM48:AO48" si="52">SUM(AM49:AM55)</f>
        <v>-505803.83000000007</v>
      </c>
      <c r="AN48" s="286">
        <f>SUM(AN49:AN55)</f>
        <v>-505803.83000000007</v>
      </c>
      <c r="AO48" s="285">
        <f t="shared" si="52"/>
        <v>0</v>
      </c>
      <c r="AP48" s="287">
        <f>SUM(AP49:AP55)</f>
        <v>-1</v>
      </c>
      <c r="AQ48" s="288">
        <f t="shared" ref="AQ48:AS48" si="53">SUM(AQ49:AQ55)</f>
        <v>0</v>
      </c>
      <c r="AR48" s="288">
        <f t="shared" si="53"/>
        <v>-2976271</v>
      </c>
      <c r="AS48" s="288">
        <f t="shared" si="53"/>
        <v>-2668036</v>
      </c>
      <c r="AT48" s="289"/>
      <c r="AU48" s="288">
        <f t="shared" ref="AU48" si="54">SUM(AU49:AU55)</f>
        <v>-5644308</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1835064</v>
      </c>
      <c r="E49" s="491">
        <f t="shared" ref="E49:E55" si="55">F49-D49</f>
        <v>262286</v>
      </c>
      <c r="F49" s="483">
        <v>2097350</v>
      </c>
      <c r="G49" s="482"/>
      <c r="H49" s="484">
        <v>145752</v>
      </c>
      <c r="I49" s="485">
        <v>854166</v>
      </c>
      <c r="J49" s="485">
        <v>333722</v>
      </c>
      <c r="K49" s="485">
        <v>759337</v>
      </c>
      <c r="L49" s="156"/>
      <c r="M49" s="147">
        <f t="shared" ref="M49:M55" si="56">SUM(H49:K49)</f>
        <v>2092977</v>
      </c>
      <c r="N49" s="172">
        <f t="shared" si="39"/>
        <v>0.99791498796099842</v>
      </c>
      <c r="O49" s="163"/>
      <c r="P49" s="181"/>
      <c r="Q49"/>
      <c r="R49"/>
      <c r="S49" s="159"/>
      <c r="T49" s="157" t="str">
        <f t="shared" si="40"/>
        <v>Provinces and municipalities</v>
      </c>
      <c r="U49" s="146">
        <v>1835064</v>
      </c>
      <c r="V49" s="150">
        <v>0</v>
      </c>
      <c r="W49" s="148">
        <v>1835064</v>
      </c>
      <c r="X49" s="146"/>
      <c r="Y49" s="149">
        <v>145752</v>
      </c>
      <c r="Z49" s="224">
        <v>854166</v>
      </c>
      <c r="AA49" s="224"/>
      <c r="AB49" s="224"/>
      <c r="AC49" s="156"/>
      <c r="AD49" s="147">
        <v>999918</v>
      </c>
      <c r="AE49" s="172">
        <v>0.54489543688939457</v>
      </c>
      <c r="AF49" s="163"/>
      <c r="AG49" s="181"/>
      <c r="AH49"/>
      <c r="AI49"/>
      <c r="AJ49" s="293"/>
      <c r="AK49" s="291" t="s">
        <v>57</v>
      </c>
      <c r="AL49" s="279">
        <f t="shared" ref="AL49:AN55" si="57">IFERROR(U49-D49,0)</f>
        <v>0</v>
      </c>
      <c r="AM49" s="280">
        <f t="shared" si="57"/>
        <v>-262286</v>
      </c>
      <c r="AN49" s="281">
        <f t="shared" si="57"/>
        <v>-262286</v>
      </c>
      <c r="AO49" s="279"/>
      <c r="AP49" s="282">
        <f t="shared" ref="AP49:AS55" si="58">IFERROR(Y49-H49,0)</f>
        <v>0</v>
      </c>
      <c r="AQ49" s="283">
        <f t="shared" si="58"/>
        <v>0</v>
      </c>
      <c r="AR49" s="283">
        <f t="shared" si="58"/>
        <v>-333722</v>
      </c>
      <c r="AS49" s="283">
        <f t="shared" si="58"/>
        <v>-759337</v>
      </c>
      <c r="AT49" s="289"/>
      <c r="AU49" s="283">
        <f t="shared" ref="AU49:AU55" si="59">IFERROR(AD49-M49,0)</f>
        <v>-1093059</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609546</v>
      </c>
      <c r="E50" s="491">
        <f t="shared" si="55"/>
        <v>14570</v>
      </c>
      <c r="F50" s="483">
        <v>624116</v>
      </c>
      <c r="G50" s="482"/>
      <c r="H50" s="484">
        <v>144270</v>
      </c>
      <c r="I50" s="485">
        <v>210269</v>
      </c>
      <c r="J50" s="485">
        <v>137426</v>
      </c>
      <c r="K50" s="485">
        <v>134420</v>
      </c>
      <c r="L50" s="156"/>
      <c r="M50" s="147">
        <f t="shared" si="56"/>
        <v>626385</v>
      </c>
      <c r="N50" s="172">
        <f t="shared" si="39"/>
        <v>1.0036355421107614</v>
      </c>
      <c r="O50" s="163"/>
      <c r="P50" s="181"/>
      <c r="Q50"/>
      <c r="R50"/>
      <c r="S50" s="159"/>
      <c r="T50" s="157" t="str">
        <f t="shared" si="40"/>
        <v>Departmental agencies and accounts</v>
      </c>
      <c r="U50" s="146">
        <v>609546</v>
      </c>
      <c r="V50" s="150">
        <v>0</v>
      </c>
      <c r="W50" s="148">
        <v>609546</v>
      </c>
      <c r="X50" s="146"/>
      <c r="Y50" s="149">
        <v>144270</v>
      </c>
      <c r="Z50" s="224">
        <v>210270</v>
      </c>
      <c r="AA50" s="224"/>
      <c r="AB50" s="224"/>
      <c r="AC50" s="156"/>
      <c r="AD50" s="147">
        <v>354540</v>
      </c>
      <c r="AE50" s="172">
        <v>0.58164601194987742</v>
      </c>
      <c r="AF50" s="163"/>
      <c r="AG50" s="181"/>
      <c r="AH50"/>
      <c r="AI50"/>
      <c r="AJ50" s="293"/>
      <c r="AK50" s="291" t="s">
        <v>58</v>
      </c>
      <c r="AL50" s="279">
        <f t="shared" si="57"/>
        <v>0</v>
      </c>
      <c r="AM50" s="280">
        <f t="shared" si="57"/>
        <v>-14570</v>
      </c>
      <c r="AN50" s="281">
        <f t="shared" si="57"/>
        <v>-14570</v>
      </c>
      <c r="AO50" s="279"/>
      <c r="AP50" s="282">
        <f t="shared" si="58"/>
        <v>0</v>
      </c>
      <c r="AQ50" s="283">
        <f t="shared" si="58"/>
        <v>1</v>
      </c>
      <c r="AR50" s="283">
        <f t="shared" si="58"/>
        <v>-137426</v>
      </c>
      <c r="AS50" s="283">
        <f t="shared" si="58"/>
        <v>-134420</v>
      </c>
      <c r="AT50" s="289"/>
      <c r="AU50" s="283">
        <f t="shared" si="59"/>
        <v>-271845</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10000</v>
      </c>
      <c r="E51" s="491">
        <f t="shared" si="55"/>
        <v>500</v>
      </c>
      <c r="F51" s="483">
        <v>10500</v>
      </c>
      <c r="G51" s="482"/>
      <c r="H51" s="484">
        <v>10000</v>
      </c>
      <c r="I51" s="485">
        <v>100</v>
      </c>
      <c r="J51" s="485">
        <v>200</v>
      </c>
      <c r="K51" s="485">
        <v>200</v>
      </c>
      <c r="L51" s="156"/>
      <c r="M51" s="147">
        <f t="shared" si="56"/>
        <v>10500</v>
      </c>
      <c r="N51" s="172">
        <f t="shared" si="39"/>
        <v>1</v>
      </c>
      <c r="O51" s="163"/>
      <c r="P51" s="181"/>
      <c r="Q51"/>
      <c r="R51"/>
      <c r="S51" s="159"/>
      <c r="T51" s="157" t="str">
        <f t="shared" si="40"/>
        <v>Higher education and institutions</v>
      </c>
      <c r="U51" s="146">
        <v>10000</v>
      </c>
      <c r="V51" s="150">
        <v>0</v>
      </c>
      <c r="W51" s="148">
        <v>10000</v>
      </c>
      <c r="X51" s="146"/>
      <c r="Y51" s="149">
        <v>10000</v>
      </c>
      <c r="Z51" s="224">
        <v>100</v>
      </c>
      <c r="AA51" s="224"/>
      <c r="AB51" s="224"/>
      <c r="AC51" s="156"/>
      <c r="AD51" s="147">
        <v>10100</v>
      </c>
      <c r="AE51" s="172">
        <v>1.01</v>
      </c>
      <c r="AF51" s="163"/>
      <c r="AG51" s="181"/>
      <c r="AH51"/>
      <c r="AI51"/>
      <c r="AJ51" s="293"/>
      <c r="AK51" s="291" t="s">
        <v>59</v>
      </c>
      <c r="AL51" s="279">
        <f t="shared" si="57"/>
        <v>0</v>
      </c>
      <c r="AM51" s="280">
        <f t="shared" si="57"/>
        <v>-500</v>
      </c>
      <c r="AN51" s="281">
        <f t="shared" si="57"/>
        <v>-500</v>
      </c>
      <c r="AO51" s="279"/>
      <c r="AP51" s="282">
        <f t="shared" si="58"/>
        <v>0</v>
      </c>
      <c r="AQ51" s="283">
        <f t="shared" si="58"/>
        <v>0</v>
      </c>
      <c r="AR51" s="283">
        <f t="shared" si="58"/>
        <v>-200</v>
      </c>
      <c r="AS51" s="283">
        <f t="shared" si="58"/>
        <v>-200</v>
      </c>
      <c r="AT51" s="289"/>
      <c r="AU51" s="283">
        <f t="shared" si="59"/>
        <v>-400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299</v>
      </c>
      <c r="E52" s="491">
        <f t="shared" si="55"/>
        <v>0</v>
      </c>
      <c r="F52" s="483">
        <v>299</v>
      </c>
      <c r="G52" s="482"/>
      <c r="H52" s="484">
        <v>0</v>
      </c>
      <c r="I52" s="485">
        <v>0</v>
      </c>
      <c r="J52" s="485">
        <v>140</v>
      </c>
      <c r="K52" s="485">
        <v>149</v>
      </c>
      <c r="L52" s="156"/>
      <c r="M52" s="147">
        <f t="shared" si="56"/>
        <v>289</v>
      </c>
      <c r="N52" s="172">
        <f t="shared" si="39"/>
        <v>0.96655518394648832</v>
      </c>
      <c r="O52" s="163"/>
      <c r="P52" s="181"/>
      <c r="Q52"/>
      <c r="R52"/>
      <c r="S52" s="159"/>
      <c r="T52" s="157" t="str">
        <f t="shared" si="40"/>
        <v>Foreign governments and international organisations</v>
      </c>
      <c r="U52" s="146">
        <v>299</v>
      </c>
      <c r="V52" s="150">
        <v>0</v>
      </c>
      <c r="W52" s="148">
        <v>299</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-140</v>
      </c>
      <c r="AS52" s="283">
        <f t="shared" si="58"/>
        <v>-149</v>
      </c>
      <c r="AT52" s="289"/>
      <c r="AU52" s="283">
        <f t="shared" si="59"/>
        <v>-289</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1250893</v>
      </c>
      <c r="E53" s="491">
        <f t="shared" si="55"/>
        <v>21329</v>
      </c>
      <c r="F53" s="483">
        <v>1272222</v>
      </c>
      <c r="G53" s="482"/>
      <c r="H53" s="484">
        <v>224793</v>
      </c>
      <c r="I53" s="485">
        <v>327325</v>
      </c>
      <c r="J53" s="485">
        <v>337907</v>
      </c>
      <c r="K53" s="485">
        <v>331942</v>
      </c>
      <c r="L53" s="156"/>
      <c r="M53" s="147">
        <f t="shared" si="56"/>
        <v>1221967</v>
      </c>
      <c r="N53" s="172">
        <f t="shared" si="39"/>
        <v>0.96049824637523951</v>
      </c>
      <c r="O53" s="163"/>
      <c r="P53" s="181"/>
      <c r="Q53"/>
      <c r="R53"/>
      <c r="S53" s="159"/>
      <c r="T53" s="157" t="str">
        <f t="shared" si="40"/>
        <v>Public corporations and private enterprises</v>
      </c>
      <c r="U53" s="146">
        <v>1250893</v>
      </c>
      <c r="V53" s="150">
        <v>0</v>
      </c>
      <c r="W53" s="148">
        <v>1250893</v>
      </c>
      <c r="X53" s="146"/>
      <c r="Y53" s="149">
        <v>224793</v>
      </c>
      <c r="Z53" s="224">
        <v>327325</v>
      </c>
      <c r="AA53" s="224"/>
      <c r="AB53" s="224"/>
      <c r="AC53" s="156"/>
      <c r="AD53" s="147">
        <v>552118</v>
      </c>
      <c r="AE53" s="172">
        <v>0.44137907878611521</v>
      </c>
      <c r="AF53" s="163"/>
      <c r="AG53" s="181"/>
      <c r="AH53" s="61"/>
      <c r="AI53"/>
      <c r="AJ53" s="293"/>
      <c r="AK53" s="291" t="s">
        <v>61</v>
      </c>
      <c r="AL53" s="279">
        <f t="shared" si="57"/>
        <v>0</v>
      </c>
      <c r="AM53" s="280">
        <f t="shared" si="57"/>
        <v>-21329</v>
      </c>
      <c r="AN53" s="281">
        <f t="shared" si="57"/>
        <v>-21329</v>
      </c>
      <c r="AO53" s="279"/>
      <c r="AP53" s="282">
        <f t="shared" si="58"/>
        <v>0</v>
      </c>
      <c r="AQ53" s="283">
        <f t="shared" si="58"/>
        <v>0</v>
      </c>
      <c r="AR53" s="283">
        <f t="shared" si="58"/>
        <v>-337907</v>
      </c>
      <c r="AS53" s="283">
        <f t="shared" si="58"/>
        <v>-331942</v>
      </c>
      <c r="AT53" s="289"/>
      <c r="AU53" s="283">
        <f t="shared" si="59"/>
        <v>-669849</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4337322</v>
      </c>
      <c r="E54" s="491">
        <f t="shared" si="55"/>
        <v>17582.830000000075</v>
      </c>
      <c r="F54" s="483">
        <v>4354904.83</v>
      </c>
      <c r="G54" s="482"/>
      <c r="H54" s="484">
        <v>1418446</v>
      </c>
      <c r="I54" s="485">
        <v>813214</v>
      </c>
      <c r="J54" s="485">
        <v>1362352</v>
      </c>
      <c r="K54" s="485">
        <v>899651</v>
      </c>
      <c r="L54" s="156"/>
      <c r="M54" s="147">
        <f t="shared" si="56"/>
        <v>4493663</v>
      </c>
      <c r="N54" s="172">
        <f t="shared" si="39"/>
        <v>1.0318625034108955</v>
      </c>
      <c r="O54" s="163"/>
      <c r="P54" s="181"/>
      <c r="Q54"/>
      <c r="R54"/>
      <c r="S54" s="159"/>
      <c r="T54" s="157" t="str">
        <f t="shared" si="40"/>
        <v>Non profit institutions</v>
      </c>
      <c r="U54" s="146">
        <v>4337322</v>
      </c>
      <c r="V54" s="150">
        <v>0</v>
      </c>
      <c r="W54" s="148">
        <v>4337322</v>
      </c>
      <c r="X54" s="146"/>
      <c r="Y54" s="149">
        <v>1418446</v>
      </c>
      <c r="Z54" s="224">
        <v>813212</v>
      </c>
      <c r="AA54" s="224"/>
      <c r="AB54" s="224"/>
      <c r="AC54" s="156"/>
      <c r="AD54" s="147">
        <v>2231658</v>
      </c>
      <c r="AE54" s="172">
        <v>0.51452440007912714</v>
      </c>
      <c r="AF54" s="163"/>
      <c r="AG54" s="181"/>
      <c r="AH54" s="61"/>
      <c r="AI54"/>
      <c r="AJ54" s="293"/>
      <c r="AK54" s="291" t="s">
        <v>62</v>
      </c>
      <c r="AL54" s="279">
        <f t="shared" si="57"/>
        <v>0</v>
      </c>
      <c r="AM54" s="280">
        <f t="shared" si="57"/>
        <v>-17582.830000000075</v>
      </c>
      <c r="AN54" s="281">
        <f t="shared" si="57"/>
        <v>-17582.830000000075</v>
      </c>
      <c r="AO54" s="279"/>
      <c r="AP54" s="282">
        <f t="shared" si="58"/>
        <v>0</v>
      </c>
      <c r="AQ54" s="283">
        <f t="shared" si="58"/>
        <v>-2</v>
      </c>
      <c r="AR54" s="283">
        <f t="shared" si="58"/>
        <v>-1362352</v>
      </c>
      <c r="AS54" s="283">
        <f t="shared" si="58"/>
        <v>-899651</v>
      </c>
      <c r="AT54" s="289"/>
      <c r="AU54" s="283">
        <f t="shared" si="59"/>
        <v>-2262005</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2410566</v>
      </c>
      <c r="E55" s="491">
        <f t="shared" si="55"/>
        <v>189536</v>
      </c>
      <c r="F55" s="483">
        <v>2600102</v>
      </c>
      <c r="G55" s="482"/>
      <c r="H55" s="484">
        <v>599932</v>
      </c>
      <c r="I55" s="485">
        <v>687540.8</v>
      </c>
      <c r="J55" s="485">
        <v>804524</v>
      </c>
      <c r="K55" s="485">
        <v>542337</v>
      </c>
      <c r="L55" s="156"/>
      <c r="M55" s="147">
        <f t="shared" si="56"/>
        <v>2634333.7999999998</v>
      </c>
      <c r="N55" s="172">
        <f t="shared" si="39"/>
        <v>1.0131655604280139</v>
      </c>
      <c r="O55" s="163"/>
      <c r="P55" s="181"/>
      <c r="Q55"/>
      <c r="R55"/>
      <c r="S55" s="159"/>
      <c r="T55" s="157" t="str">
        <f t="shared" si="40"/>
        <v>Households</v>
      </c>
      <c r="U55" s="146">
        <v>2410566</v>
      </c>
      <c r="V55" s="150">
        <v>0</v>
      </c>
      <c r="W55" s="148">
        <v>2410566</v>
      </c>
      <c r="X55" s="146"/>
      <c r="Y55" s="149">
        <v>599931</v>
      </c>
      <c r="Z55" s="224">
        <v>687541.8</v>
      </c>
      <c r="AA55" s="224"/>
      <c r="AB55" s="224"/>
      <c r="AC55" s="156"/>
      <c r="AD55" s="147">
        <v>1287472.8</v>
      </c>
      <c r="AE55" s="172">
        <v>0.53409564392760878</v>
      </c>
      <c r="AF55" s="163"/>
      <c r="AG55" s="181"/>
      <c r="AH55"/>
      <c r="AI55"/>
      <c r="AJ55" s="293"/>
      <c r="AK55" s="291" t="s">
        <v>63</v>
      </c>
      <c r="AL55" s="279">
        <f t="shared" si="57"/>
        <v>0</v>
      </c>
      <c r="AM55" s="280">
        <f t="shared" si="57"/>
        <v>-189536</v>
      </c>
      <c r="AN55" s="281">
        <f t="shared" si="57"/>
        <v>-189536</v>
      </c>
      <c r="AO55" s="279"/>
      <c r="AP55" s="282">
        <f t="shared" si="58"/>
        <v>-1</v>
      </c>
      <c r="AQ55" s="283">
        <f t="shared" si="58"/>
        <v>1</v>
      </c>
      <c r="AR55" s="283">
        <f t="shared" si="58"/>
        <v>-804524</v>
      </c>
      <c r="AS55" s="283">
        <f t="shared" si="58"/>
        <v>-542337</v>
      </c>
      <c r="AT55" s="289"/>
      <c r="AU55" s="283">
        <f t="shared" si="59"/>
        <v>-1346860.9999999998</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5263297</v>
      </c>
      <c r="E56" s="156">
        <f t="shared" ref="E56:M56" si="60">SUM(E57:E63)</f>
        <v>88811</v>
      </c>
      <c r="F56" s="153">
        <f t="shared" si="60"/>
        <v>5352108</v>
      </c>
      <c r="G56" s="152">
        <f t="shared" si="60"/>
        <v>0</v>
      </c>
      <c r="H56" s="154">
        <f t="shared" si="60"/>
        <v>962124</v>
      </c>
      <c r="I56" s="155">
        <f t="shared" ref="I56" si="61">SUM(I57:I63)</f>
        <v>1172867</v>
      </c>
      <c r="J56" s="155">
        <f t="shared" ref="J56:K56" si="62">SUM(J57:J63)</f>
        <v>1574018</v>
      </c>
      <c r="K56" s="155">
        <f t="shared" si="62"/>
        <v>1697787</v>
      </c>
      <c r="L56" s="156"/>
      <c r="M56" s="155">
        <f t="shared" si="60"/>
        <v>5406796</v>
      </c>
      <c r="N56" s="183">
        <f t="shared" si="39"/>
        <v>1.010218029979963</v>
      </c>
      <c r="O56" s="595"/>
      <c r="P56" s="478"/>
      <c r="Q56"/>
      <c r="R56"/>
      <c r="S56" s="159"/>
      <c r="T56" s="182" t="str">
        <f t="shared" si="40"/>
        <v>Payments for capital assets</v>
      </c>
      <c r="U56" s="152">
        <v>5263297</v>
      </c>
      <c r="V56" s="156">
        <v>0</v>
      </c>
      <c r="W56" s="153">
        <v>5263297</v>
      </c>
      <c r="X56" s="152">
        <v>0</v>
      </c>
      <c r="Y56" s="154">
        <v>962126</v>
      </c>
      <c r="Z56" s="155">
        <v>1172625</v>
      </c>
      <c r="AA56" s="155">
        <v>0</v>
      </c>
      <c r="AB56" s="155">
        <v>0</v>
      </c>
      <c r="AC56" s="156"/>
      <c r="AD56" s="155">
        <v>2134751</v>
      </c>
      <c r="AE56" s="183">
        <v>0.40559197020422749</v>
      </c>
      <c r="AF56" s="163"/>
      <c r="AG56" s="181"/>
      <c r="AH56"/>
      <c r="AI56"/>
      <c r="AJ56" s="293"/>
      <c r="AK56" s="314" t="s">
        <v>2</v>
      </c>
      <c r="AL56" s="285">
        <f>SUM(AL57:AL63)</f>
        <v>0</v>
      </c>
      <c r="AM56" s="289">
        <f t="shared" ref="AM56:AO56" si="63">SUM(AM57:AM63)</f>
        <v>-88811</v>
      </c>
      <c r="AN56" s="286">
        <f>SUM(AN57:AN63)</f>
        <v>-88811</v>
      </c>
      <c r="AO56" s="285">
        <f t="shared" si="63"/>
        <v>0</v>
      </c>
      <c r="AP56" s="287">
        <f>SUM(AP57:AP63)</f>
        <v>2</v>
      </c>
      <c r="AQ56" s="288">
        <f t="shared" ref="AQ56:AS56" si="64">SUM(AQ57:AQ63)</f>
        <v>-242</v>
      </c>
      <c r="AR56" s="288">
        <f t="shared" si="64"/>
        <v>-1574018</v>
      </c>
      <c r="AS56" s="288">
        <f t="shared" si="64"/>
        <v>-1697787</v>
      </c>
      <c r="AT56" s="289"/>
      <c r="AU56" s="288">
        <f t="shared" ref="AU56" si="65">SUM(AU57:AU63)</f>
        <v>-3272045</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4448470</v>
      </c>
      <c r="E57" s="491">
        <f t="shared" ref="E57:E64" si="66">F57-D57</f>
        <v>-94075</v>
      </c>
      <c r="F57" s="483">
        <v>4354395</v>
      </c>
      <c r="G57" s="482"/>
      <c r="H57" s="484">
        <v>831415</v>
      </c>
      <c r="I57" s="485">
        <v>971739</v>
      </c>
      <c r="J57" s="485">
        <v>1337515</v>
      </c>
      <c r="K57" s="485">
        <v>1153695</v>
      </c>
      <c r="L57" s="156"/>
      <c r="M57" s="147">
        <f t="shared" ref="M57:M64" si="67">SUM(H57:K57)</f>
        <v>4294364</v>
      </c>
      <c r="N57" s="172">
        <f t="shared" si="39"/>
        <v>0.9862136990328163</v>
      </c>
      <c r="O57" s="163"/>
      <c r="P57" s="181"/>
      <c r="Q57"/>
      <c r="R57"/>
      <c r="S57" s="159"/>
      <c r="T57" s="157" t="str">
        <f t="shared" si="40"/>
        <v>Buildings and other fixed structures</v>
      </c>
      <c r="U57" s="146">
        <v>4448470</v>
      </c>
      <c r="V57" s="150">
        <v>0</v>
      </c>
      <c r="W57" s="148">
        <v>4448470</v>
      </c>
      <c r="X57" s="146"/>
      <c r="Y57" s="149">
        <v>831415</v>
      </c>
      <c r="Z57" s="224">
        <v>971739</v>
      </c>
      <c r="AA57" s="224"/>
      <c r="AB57" s="224"/>
      <c r="AC57" s="156"/>
      <c r="AD57" s="147">
        <v>1803154</v>
      </c>
      <c r="AE57" s="172">
        <v>0.40534251102064306</v>
      </c>
      <c r="AF57" s="163"/>
      <c r="AG57" s="181"/>
      <c r="AH57"/>
      <c r="AI57"/>
      <c r="AJ57" s="293"/>
      <c r="AK57" s="291" t="s">
        <v>64</v>
      </c>
      <c r="AL57" s="279">
        <f t="shared" ref="AL57:AN64" si="68">IFERROR(U57-D57,0)</f>
        <v>0</v>
      </c>
      <c r="AM57" s="280">
        <f t="shared" si="68"/>
        <v>94075</v>
      </c>
      <c r="AN57" s="281">
        <f t="shared" si="68"/>
        <v>94075</v>
      </c>
      <c r="AO57" s="279"/>
      <c r="AP57" s="282">
        <f t="shared" ref="AP57:AS64" si="69">IFERROR(Y57-H57,0)</f>
        <v>0</v>
      </c>
      <c r="AQ57" s="283">
        <f t="shared" si="69"/>
        <v>0</v>
      </c>
      <c r="AR57" s="283">
        <f t="shared" si="69"/>
        <v>-1337515</v>
      </c>
      <c r="AS57" s="283">
        <f t="shared" si="69"/>
        <v>-1153695</v>
      </c>
      <c r="AT57" s="289"/>
      <c r="AU57" s="283">
        <f t="shared" ref="AU57:AU64" si="70">IFERROR(AD57-M57,0)</f>
        <v>-2491210</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782666</v>
      </c>
      <c r="E58" s="491">
        <f t="shared" si="66"/>
        <v>129691</v>
      </c>
      <c r="F58" s="483">
        <v>912357</v>
      </c>
      <c r="G58" s="482"/>
      <c r="H58" s="484">
        <v>120989</v>
      </c>
      <c r="I58" s="485">
        <v>167800</v>
      </c>
      <c r="J58" s="485">
        <v>199447</v>
      </c>
      <c r="K58" s="485">
        <v>494442</v>
      </c>
      <c r="L58" s="156"/>
      <c r="M58" s="147">
        <f t="shared" si="67"/>
        <v>982678</v>
      </c>
      <c r="N58" s="172">
        <f t="shared" si="39"/>
        <v>1.0770761883780142</v>
      </c>
      <c r="O58" s="163"/>
      <c r="P58" s="181"/>
      <c r="Q58"/>
      <c r="R58"/>
      <c r="S58" s="159"/>
      <c r="T58" s="157" t="str">
        <f t="shared" si="40"/>
        <v>Machinery and equipment</v>
      </c>
      <c r="U58" s="146">
        <v>782666</v>
      </c>
      <c r="V58" s="150">
        <v>0</v>
      </c>
      <c r="W58" s="148">
        <v>782666</v>
      </c>
      <c r="X58" s="146"/>
      <c r="Y58" s="149">
        <v>120991</v>
      </c>
      <c r="Z58" s="224">
        <v>167797</v>
      </c>
      <c r="AA58" s="224"/>
      <c r="AB58" s="224"/>
      <c r="AC58" s="156"/>
      <c r="AD58" s="147">
        <v>288788</v>
      </c>
      <c r="AE58" s="172">
        <v>0.36897987136275245</v>
      </c>
      <c r="AF58" s="163"/>
      <c r="AG58" s="181"/>
      <c r="AH58"/>
      <c r="AI58"/>
      <c r="AJ58" s="293"/>
      <c r="AK58" s="291" t="s">
        <v>65</v>
      </c>
      <c r="AL58" s="279">
        <f t="shared" si="68"/>
        <v>0</v>
      </c>
      <c r="AM58" s="280">
        <f t="shared" si="68"/>
        <v>-129691</v>
      </c>
      <c r="AN58" s="281">
        <f t="shared" si="68"/>
        <v>-129691</v>
      </c>
      <c r="AO58" s="279"/>
      <c r="AP58" s="282">
        <f t="shared" si="69"/>
        <v>2</v>
      </c>
      <c r="AQ58" s="283">
        <f t="shared" si="69"/>
        <v>-3</v>
      </c>
      <c r="AR58" s="283">
        <f t="shared" si="69"/>
        <v>-199447</v>
      </c>
      <c r="AS58" s="283">
        <f t="shared" si="69"/>
        <v>-494442</v>
      </c>
      <c r="AT58" s="289"/>
      <c r="AU58" s="283">
        <f t="shared" si="70"/>
        <v>-693890</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0</v>
      </c>
      <c r="F59" s="483">
        <v>0</v>
      </c>
      <c r="G59" s="482"/>
      <c r="H59" s="484">
        <v>0</v>
      </c>
      <c r="I59" s="485">
        <v>0</v>
      </c>
      <c r="J59" s="485">
        <v>0</v>
      </c>
      <c r="K59" s="485">
        <v>0</v>
      </c>
      <c r="L59" s="156"/>
      <c r="M59" s="147">
        <f t="shared" si="67"/>
        <v>0</v>
      </c>
      <c r="N59" s="172">
        <f t="shared" si="39"/>
        <v>0</v>
      </c>
      <c r="O59" s="163"/>
      <c r="P59" s="181"/>
      <c r="Q59"/>
      <c r="R59"/>
      <c r="S59" s="159"/>
      <c r="T59" s="157" t="str">
        <f t="shared" si="40"/>
        <v>Heritage assets</v>
      </c>
      <c r="U59" s="146">
        <v>0</v>
      </c>
      <c r="V59" s="150">
        <v>0</v>
      </c>
      <c r="W59" s="148">
        <v>0</v>
      </c>
      <c r="X59" s="146"/>
      <c r="Y59" s="149">
        <v>0</v>
      </c>
      <c r="Z59" s="224">
        <v>0</v>
      </c>
      <c r="AA59" s="224"/>
      <c r="AB59" s="224"/>
      <c r="AC59" s="156"/>
      <c r="AD59" s="147">
        <v>0</v>
      </c>
      <c r="AE59" s="172">
        <v>0</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16</v>
      </c>
      <c r="F61" s="483">
        <v>16</v>
      </c>
      <c r="G61" s="482"/>
      <c r="H61" s="484">
        <v>0</v>
      </c>
      <c r="I61" s="485">
        <v>0</v>
      </c>
      <c r="J61" s="485">
        <v>0</v>
      </c>
      <c r="K61" s="485">
        <v>0</v>
      </c>
      <c r="L61" s="156"/>
      <c r="M61" s="147">
        <f t="shared" si="67"/>
        <v>0</v>
      </c>
      <c r="N61" s="172">
        <f t="shared" si="39"/>
        <v>0</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-16</v>
      </c>
      <c r="AN61" s="281">
        <f t="shared" si="68"/>
        <v>-16</v>
      </c>
      <c r="AO61" s="279"/>
      <c r="AP61" s="282">
        <f t="shared" si="69"/>
        <v>0</v>
      </c>
      <c r="AQ61" s="283">
        <f t="shared" si="69"/>
        <v>0</v>
      </c>
      <c r="AR61" s="283">
        <f t="shared" si="69"/>
        <v>0</v>
      </c>
      <c r="AS61" s="283">
        <f t="shared" si="69"/>
        <v>0</v>
      </c>
      <c r="AT61" s="289"/>
      <c r="AU61" s="283">
        <f t="shared" si="70"/>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7800</v>
      </c>
      <c r="E62" s="491">
        <f t="shared" si="66"/>
        <v>28159</v>
      </c>
      <c r="F62" s="483">
        <v>35959</v>
      </c>
      <c r="G62" s="482"/>
      <c r="H62" s="484">
        <v>3404</v>
      </c>
      <c r="I62" s="485">
        <v>1801</v>
      </c>
      <c r="J62" s="485">
        <v>28518</v>
      </c>
      <c r="K62" s="485">
        <v>11</v>
      </c>
      <c r="L62" s="156"/>
      <c r="M62" s="147">
        <f t="shared" si="67"/>
        <v>33734</v>
      </c>
      <c r="N62" s="172">
        <f t="shared" si="39"/>
        <v>0.93812397452654417</v>
      </c>
      <c r="O62" s="163"/>
      <c r="P62" s="181"/>
      <c r="S62" s="159"/>
      <c r="T62" s="157" t="str">
        <f t="shared" si="40"/>
        <v>Land and sub-soil assets</v>
      </c>
      <c r="U62" s="146">
        <v>7800</v>
      </c>
      <c r="V62" s="150">
        <v>0</v>
      </c>
      <c r="W62" s="148">
        <v>7800</v>
      </c>
      <c r="X62" s="146"/>
      <c r="Y62" s="149">
        <v>3404</v>
      </c>
      <c r="Z62" s="224">
        <v>1801</v>
      </c>
      <c r="AA62" s="224"/>
      <c r="AB62" s="224"/>
      <c r="AC62" s="156"/>
      <c r="AD62" s="147">
        <v>5205</v>
      </c>
      <c r="AE62" s="172">
        <v>0.66730769230769227</v>
      </c>
      <c r="AF62" s="163"/>
      <c r="AG62" s="181"/>
      <c r="AJ62" s="293"/>
      <c r="AK62" s="291" t="s">
        <v>69</v>
      </c>
      <c r="AL62" s="279">
        <f t="shared" si="68"/>
        <v>0</v>
      </c>
      <c r="AM62" s="280">
        <f t="shared" si="68"/>
        <v>-28159</v>
      </c>
      <c r="AN62" s="281">
        <f t="shared" si="68"/>
        <v>-28159</v>
      </c>
      <c r="AO62" s="279"/>
      <c r="AP62" s="282">
        <f t="shared" si="69"/>
        <v>0</v>
      </c>
      <c r="AQ62" s="283">
        <f t="shared" si="69"/>
        <v>0</v>
      </c>
      <c r="AR62" s="283">
        <f t="shared" si="69"/>
        <v>-28518</v>
      </c>
      <c r="AS62" s="283">
        <f t="shared" si="69"/>
        <v>-11</v>
      </c>
      <c r="AT62" s="289"/>
      <c r="AU62" s="283">
        <f t="shared" si="70"/>
        <v>-28529</v>
      </c>
      <c r="AV62" s="290"/>
      <c r="AW62" s="297"/>
      <c r="AX62" s="181"/>
    </row>
    <row r="63" spans="1:79" s="66" customFormat="1" ht="15.75" customHeight="1" x14ac:dyDescent="0.3">
      <c r="A63" s="446">
        <v>1</v>
      </c>
      <c r="B63" s="159"/>
      <c r="C63" s="157" t="s">
        <v>70</v>
      </c>
      <c r="D63" s="482">
        <v>24361</v>
      </c>
      <c r="E63" s="491">
        <f t="shared" si="66"/>
        <v>25020</v>
      </c>
      <c r="F63" s="483">
        <v>49381</v>
      </c>
      <c r="G63" s="482"/>
      <c r="H63" s="484">
        <v>6316</v>
      </c>
      <c r="I63" s="485">
        <v>31527</v>
      </c>
      <c r="J63" s="485">
        <v>8538</v>
      </c>
      <c r="K63" s="485">
        <v>49639</v>
      </c>
      <c r="L63" s="156"/>
      <c r="M63" s="147">
        <f t="shared" si="67"/>
        <v>96020</v>
      </c>
      <c r="N63" s="172">
        <f t="shared" si="39"/>
        <v>1.9444725704218222</v>
      </c>
      <c r="O63" s="163"/>
      <c r="P63" s="181"/>
      <c r="Q63"/>
      <c r="R63"/>
      <c r="S63" s="159"/>
      <c r="T63" s="157" t="str">
        <f t="shared" si="40"/>
        <v>Software and other intangible assets</v>
      </c>
      <c r="U63" s="146">
        <v>24361</v>
      </c>
      <c r="V63" s="150">
        <v>0</v>
      </c>
      <c r="W63" s="148">
        <v>24361</v>
      </c>
      <c r="X63" s="146"/>
      <c r="Y63" s="149">
        <v>6316</v>
      </c>
      <c r="Z63" s="224">
        <v>31288</v>
      </c>
      <c r="AA63" s="224"/>
      <c r="AB63" s="224"/>
      <c r="AC63" s="156"/>
      <c r="AD63" s="147">
        <v>37604</v>
      </c>
      <c r="AE63" s="172">
        <v>1.5436147941381717</v>
      </c>
      <c r="AF63" s="163"/>
      <c r="AG63" s="181"/>
      <c r="AH63"/>
      <c r="AI63"/>
      <c r="AJ63" s="293"/>
      <c r="AK63" s="291" t="s">
        <v>70</v>
      </c>
      <c r="AL63" s="279">
        <f t="shared" si="68"/>
        <v>0</v>
      </c>
      <c r="AM63" s="280">
        <f t="shared" si="68"/>
        <v>-25020</v>
      </c>
      <c r="AN63" s="281">
        <f t="shared" si="68"/>
        <v>-25020</v>
      </c>
      <c r="AO63" s="279"/>
      <c r="AP63" s="282">
        <f t="shared" si="69"/>
        <v>0</v>
      </c>
      <c r="AQ63" s="283">
        <f t="shared" si="69"/>
        <v>-239</v>
      </c>
      <c r="AR63" s="283">
        <f t="shared" si="69"/>
        <v>-8538</v>
      </c>
      <c r="AS63" s="283">
        <f t="shared" si="69"/>
        <v>-49639</v>
      </c>
      <c r="AT63" s="289"/>
      <c r="AU63" s="283">
        <f t="shared" si="70"/>
        <v>-58416</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6655</v>
      </c>
      <c r="E64" s="495">
        <f t="shared" si="66"/>
        <v>2258</v>
      </c>
      <c r="F64" s="488">
        <v>8913</v>
      </c>
      <c r="G64" s="487"/>
      <c r="H64" s="489">
        <v>1431</v>
      </c>
      <c r="I64" s="490">
        <v>3588</v>
      </c>
      <c r="J64" s="490">
        <v>3281</v>
      </c>
      <c r="K64" s="490">
        <v>4123</v>
      </c>
      <c r="L64" s="156"/>
      <c r="M64" s="155">
        <f t="shared" si="67"/>
        <v>12423</v>
      </c>
      <c r="N64" s="183">
        <f t="shared" si="39"/>
        <v>1.3938067990575564</v>
      </c>
      <c r="O64" s="595"/>
      <c r="P64" s="478"/>
      <c r="Q64"/>
      <c r="R64"/>
      <c r="S64" s="159"/>
      <c r="T64" s="182" t="str">
        <f t="shared" si="40"/>
        <v>Payments for financial assets</v>
      </c>
      <c r="U64" s="152">
        <v>6655</v>
      </c>
      <c r="V64" s="156">
        <v>0</v>
      </c>
      <c r="W64" s="153">
        <v>6655</v>
      </c>
      <c r="X64" s="152"/>
      <c r="Y64" s="154">
        <v>1431</v>
      </c>
      <c r="Z64" s="224">
        <v>3828</v>
      </c>
      <c r="AA64" s="224"/>
      <c r="AB64" s="224"/>
      <c r="AC64" s="156"/>
      <c r="AD64" s="155">
        <v>5259</v>
      </c>
      <c r="AE64" s="172">
        <v>0.79023290758827947</v>
      </c>
      <c r="AF64" s="163"/>
      <c r="AG64" s="181"/>
      <c r="AH64"/>
      <c r="AI64"/>
      <c r="AJ64" s="293"/>
      <c r="AK64" s="314" t="s">
        <v>3</v>
      </c>
      <c r="AL64" s="285">
        <f t="shared" si="68"/>
        <v>0</v>
      </c>
      <c r="AM64" s="289">
        <f t="shared" si="68"/>
        <v>-2258</v>
      </c>
      <c r="AN64" s="286">
        <f t="shared" si="68"/>
        <v>-2258</v>
      </c>
      <c r="AO64" s="285"/>
      <c r="AP64" s="287">
        <f t="shared" si="69"/>
        <v>0</v>
      </c>
      <c r="AQ64" s="288">
        <f t="shared" si="69"/>
        <v>240</v>
      </c>
      <c r="AR64" s="288">
        <f t="shared" si="69"/>
        <v>-3281</v>
      </c>
      <c r="AS64" s="288">
        <f t="shared" si="69"/>
        <v>-4123</v>
      </c>
      <c r="AT64" s="289"/>
      <c r="AU64" s="288">
        <f t="shared" si="70"/>
        <v>-7164</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67191484</v>
      </c>
      <c r="E66" s="179">
        <f t="shared" ref="E66:F66" si="71">E44+E48+E56+E64</f>
        <v>817080</v>
      </c>
      <c r="F66" s="166">
        <f t="shared" si="71"/>
        <v>68008564</v>
      </c>
      <c r="G66" s="165"/>
      <c r="H66" s="167">
        <f t="shared" ref="H66:I66" si="72">H44+H48+H56+H64</f>
        <v>15409793</v>
      </c>
      <c r="I66" s="437">
        <f t="shared" si="72"/>
        <v>16775651.800000001</v>
      </c>
      <c r="J66" s="437">
        <f t="shared" ref="J66:K66" si="73">J44+J48+J56+J64</f>
        <v>17785909</v>
      </c>
      <c r="K66" s="437">
        <f t="shared" si="73"/>
        <v>17518390</v>
      </c>
      <c r="L66" s="156"/>
      <c r="M66" s="168">
        <f>M44+M48+M56+M64</f>
        <v>67489743.799999997</v>
      </c>
      <c r="N66" s="180">
        <f>IFERROR(M66/F66,0)</f>
        <v>0.992371251949975</v>
      </c>
      <c r="O66" s="595"/>
      <c r="P66" s="594"/>
      <c r="Q66"/>
      <c r="R66"/>
      <c r="S66" s="119"/>
      <c r="T66" s="164" t="s">
        <v>12</v>
      </c>
      <c r="U66" s="165">
        <v>67191484</v>
      </c>
      <c r="V66" s="179">
        <v>0</v>
      </c>
      <c r="W66" s="166">
        <v>67191484</v>
      </c>
      <c r="X66" s="165"/>
      <c r="Y66" s="167">
        <v>15409780</v>
      </c>
      <c r="Z66" s="437">
        <v>16775646.800000001</v>
      </c>
      <c r="AA66" s="437" t="s">
        <v>52</v>
      </c>
      <c r="AB66" s="437" t="s">
        <v>52</v>
      </c>
      <c r="AC66" s="156"/>
      <c r="AD66" s="168">
        <v>32185426.800000001</v>
      </c>
      <c r="AE66" s="180">
        <v>0.47901050674814682</v>
      </c>
      <c r="AF66" s="163"/>
      <c r="AG66" s="118"/>
      <c r="AH66"/>
      <c r="AI66"/>
      <c r="AJ66" s="248"/>
      <c r="AK66" s="298" t="s">
        <v>12</v>
      </c>
      <c r="AL66" s="299">
        <f>AL44+AL48+AL56+AL64</f>
        <v>0</v>
      </c>
      <c r="AM66" s="313">
        <f t="shared" ref="AM66" si="74">AM44+AM48+AM56+AM64</f>
        <v>-817080</v>
      </c>
      <c r="AN66" s="300">
        <f>AN44+AN48+AN56+AN64</f>
        <v>-817080</v>
      </c>
      <c r="AO66" s="299"/>
      <c r="AP66" s="301">
        <f>AP44+AP48+AP56+AP64</f>
        <v>-13</v>
      </c>
      <c r="AQ66" s="302">
        <f t="shared" ref="AQ66:AS66" si="75">AQ44+AQ48+AQ56+AQ64</f>
        <v>-5</v>
      </c>
      <c r="AR66" s="302">
        <f t="shared" si="75"/>
        <v>-17785909</v>
      </c>
      <c r="AS66" s="302">
        <f t="shared" si="75"/>
        <v>-17518390</v>
      </c>
      <c r="AT66" s="289"/>
      <c r="AU66" s="302">
        <f>AU44+AU48+AU56+AU64</f>
        <v>-35304317</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Settings!$X$16 &amp; "    " &amp; Settings!$Z$16 &amp; ": Provincial Treasury Western Cape     Tel No:  " &amp; Settings!$AB$16</f>
        <v>Information submitted by:  David Savage    Head Official: Provincial Treasury Western Cape     Tel No:  (021) 483-3749</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7T+aA3RJBItVTZIF2FfcWrbOeLudmH7UYY/IPc5LzpkMh+1C9yrVMrkkIjcn5H9t+/nIen4bUBiA2rbMKrKlfg==" saltValue="vGEgQMVSvhvrRIakVeXmuQ==" spinCount="100000" sheet="1" objects="1" scenarios="1"/>
  <autoFilter ref="A9:A226" xr:uid="{96B320F5-9C25-458C-8A84-A8AC28DDB2B5}">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A409FF52-FF4F-4932-848C-4A7E0DB818A7}">
            <xm:f>General!$BE$1&gt;=2</xm:f>
            <x14:dxf>
              <fill>
                <patternFill patternType="none">
                  <bgColor auto="1"/>
                </patternFill>
              </fill>
            </x14:dxf>
          </x14:cfRule>
          <xm:sqref>I66</xm:sqref>
        </x14:conditionalFormatting>
        <x14:conditionalFormatting xmlns:xm="http://schemas.microsoft.com/office/excel/2006/main">
          <x14:cfRule type="expression" priority="17" id="{E163CEE0-2711-44A8-9F67-DDE48AED2706}">
            <xm:f>General!$BE$1&gt;=3</xm:f>
            <x14:dxf>
              <fill>
                <patternFill patternType="none">
                  <bgColor auto="1"/>
                </patternFill>
              </fill>
            </x14:dxf>
          </x14:cfRule>
          <xm:sqref>J66</xm:sqref>
        </x14:conditionalFormatting>
        <x14:conditionalFormatting xmlns:xm="http://schemas.microsoft.com/office/excel/2006/main">
          <x14:cfRule type="expression" priority="16" id="{674A1037-12AC-4CD1-9DEA-6B9A2FAEDEF2}">
            <xm:f>General!$BE$1=4</xm:f>
            <x14:dxf>
              <fill>
                <patternFill patternType="none">
                  <bgColor auto="1"/>
                </patternFill>
              </fill>
            </x14:dxf>
          </x14:cfRule>
          <xm:sqref>K66</xm:sqref>
        </x14:conditionalFormatting>
        <x14:conditionalFormatting xmlns:xm="http://schemas.microsoft.com/office/excel/2006/main">
          <x14:cfRule type="expression" priority="15" id="{64D73A4D-472E-4C85-B7D1-8C0B1882A6E1}">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26428C26-AFE9-461F-804B-8E77C0CA2FE4}">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E42D0B5A-6F9C-4642-8D35-FE03724D14A6}">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7C672DF2-F220-46A2-AFE7-10A3242F0BB5}">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D17B669F-99A7-4323-B9A1-E59C025F70C7}">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1445DB42-158E-4AAD-8153-8E816AAB3E75}">
            <xm:f>General!$BE$1=4</xm:f>
            <x14:dxf>
              <fill>
                <patternFill patternType="none">
                  <bgColor auto="1"/>
                </patternFill>
              </fill>
            </x14:dxf>
          </x14:cfRule>
          <xm:sqref>K13:K15 K17 K20:K39 K41 K45:K47 K49:K55 K57:K64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165</v>
      </c>
      <c r="D4" s="37"/>
      <c r="E4" s="37"/>
      <c r="F4" s="37"/>
      <c r="G4" s="37"/>
      <c r="H4" s="37"/>
      <c r="I4" s="37"/>
      <c r="J4" s="38"/>
      <c r="K4" s="38"/>
      <c r="L4" s="38"/>
      <c r="M4" s="38"/>
      <c r="N4" s="38"/>
      <c r="O4" s="33"/>
      <c r="R4"/>
      <c r="S4" s="36"/>
      <c r="T4" s="34" t="str">
        <f>C4</f>
        <v>WESTERN CAPE PROVINCE</v>
      </c>
      <c r="U4" s="37"/>
      <c r="V4" s="37"/>
      <c r="W4" s="37"/>
      <c r="X4" s="37"/>
      <c r="Y4" s="37"/>
      <c r="Z4" s="37"/>
      <c r="AA4" s="38"/>
      <c r="AB4" s="38"/>
      <c r="AC4" s="38"/>
      <c r="AD4" s="38"/>
      <c r="AE4" s="38"/>
      <c r="AF4" s="33"/>
      <c r="AG4" s="441"/>
      <c r="AH4" s="441"/>
      <c r="AI4"/>
      <c r="AJ4" s="348"/>
      <c r="AK4" s="349" t="str">
        <f>C4</f>
        <v>WESTERN CAPE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WC_1!D6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211"/>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214295</v>
      </c>
      <c r="E13" s="198">
        <f t="shared" ref="E13:K13" si="2">SUM(E14+E15+E16)</f>
        <v>-9301</v>
      </c>
      <c r="F13" s="54">
        <f t="shared" si="2"/>
        <v>204994</v>
      </c>
      <c r="G13" s="54">
        <f t="shared" si="2"/>
        <v>1422</v>
      </c>
      <c r="H13" s="95">
        <f t="shared" si="2"/>
        <v>206416</v>
      </c>
      <c r="I13" s="216">
        <f t="shared" si="2"/>
        <v>0</v>
      </c>
      <c r="J13" s="101">
        <f t="shared" si="2"/>
        <v>204994</v>
      </c>
      <c r="K13" s="54">
        <f t="shared" si="2"/>
        <v>204994.00018</v>
      </c>
      <c r="L13" s="54"/>
      <c r="M13" s="54">
        <f>SUM(M14+M15+M16)</f>
        <v>204289</v>
      </c>
      <c r="N13" s="183">
        <f>IFERROR(M13/H13,0)</f>
        <v>0.98969556623517552</v>
      </c>
      <c r="O13" s="55"/>
      <c r="R13"/>
      <c r="S13" s="53"/>
      <c r="T13" s="51" t="str">
        <f>C13</f>
        <v>Agriculture, Forestry and Fisheries (Vote 24)</v>
      </c>
      <c r="U13" s="95">
        <v>214295</v>
      </c>
      <c r="V13" s="198">
        <v>0</v>
      </c>
      <c r="W13" s="54">
        <v>214295</v>
      </c>
      <c r="X13" s="54">
        <v>0</v>
      </c>
      <c r="Y13" s="95">
        <v>214295</v>
      </c>
      <c r="Z13" s="216"/>
      <c r="AA13" s="101">
        <v>139325</v>
      </c>
      <c r="AB13" s="54">
        <v>137486</v>
      </c>
      <c r="AC13" s="54"/>
      <c r="AD13" s="54">
        <v>109636</v>
      </c>
      <c r="AE13" s="183">
        <v>0.51161249679180565</v>
      </c>
      <c r="AF13" s="55"/>
      <c r="AG13" s="442"/>
      <c r="AH13" s="442"/>
      <c r="AI13"/>
      <c r="AJ13" s="387"/>
      <c r="AK13" s="481" t="str">
        <f t="shared" ref="AK13" si="3">C13</f>
        <v>Agriculture, Forestry and Fisheries (Vote 24)</v>
      </c>
      <c r="AL13" s="388">
        <f>SUM(AL14:AL16)</f>
        <v>0</v>
      </c>
      <c r="AM13" s="389">
        <f t="shared" ref="AM13:AP13" si="4">SUM(AM14:AM16)</f>
        <v>9301</v>
      </c>
      <c r="AN13" s="390">
        <f t="shared" si="4"/>
        <v>9301</v>
      </c>
      <c r="AO13" s="390">
        <f t="shared" si="4"/>
        <v>-1422</v>
      </c>
      <c r="AP13" s="388">
        <f t="shared" si="4"/>
        <v>7879</v>
      </c>
      <c r="AQ13" s="391"/>
      <c r="AR13" s="392">
        <f t="shared" ref="AR13:AS13" si="5">SUM(AR14:AR16)</f>
        <v>-65669</v>
      </c>
      <c r="AS13" s="390">
        <f t="shared" si="5"/>
        <v>-67508.000180000003</v>
      </c>
      <c r="AT13" s="390"/>
      <c r="AU13" s="390">
        <f>SUM(AU14:AU16)</f>
        <v>-94653</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150261</v>
      </c>
      <c r="E14" s="199">
        <f>SUM(F14-D14)</f>
        <v>0</v>
      </c>
      <c r="F14" s="497">
        <v>150261</v>
      </c>
      <c r="G14" s="497">
        <v>1422</v>
      </c>
      <c r="H14" s="96">
        <f>SUM(F14:G14)</f>
        <v>151683</v>
      </c>
      <c r="I14" s="217"/>
      <c r="J14" s="499">
        <v>150261</v>
      </c>
      <c r="K14" s="497">
        <v>150261.00018</v>
      </c>
      <c r="L14" s="59"/>
      <c r="M14" s="497">
        <v>151757</v>
      </c>
      <c r="N14" s="172">
        <f t="shared" ref="N14:N16" si="6">IFERROR(M14/H14,0)</f>
        <v>1.0004878595491915</v>
      </c>
      <c r="O14" s="60"/>
      <c r="R14"/>
      <c r="S14" s="57"/>
      <c r="T14" s="58" t="str">
        <f t="shared" ref="T14:T18" si="7">C14</f>
        <v>(a) Comprehensive Agricultural Support Programme Grant</v>
      </c>
      <c r="U14" s="96">
        <v>150261</v>
      </c>
      <c r="V14" s="199">
        <v>0</v>
      </c>
      <c r="W14" s="59">
        <v>150261</v>
      </c>
      <c r="X14" s="59">
        <v>0</v>
      </c>
      <c r="Y14" s="96">
        <v>150261</v>
      </c>
      <c r="Z14" s="217"/>
      <c r="AA14" s="102">
        <v>107570</v>
      </c>
      <c r="AB14" s="59">
        <v>107570</v>
      </c>
      <c r="AC14" s="59"/>
      <c r="AD14" s="59">
        <v>79749</v>
      </c>
      <c r="AE14" s="172">
        <v>0.53073651845788328</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-1422</v>
      </c>
      <c r="AP14" s="396">
        <f t="shared" si="8"/>
        <v>-1422</v>
      </c>
      <c r="AQ14" s="399"/>
      <c r="AR14" s="400">
        <f t="shared" ref="AR14:AS15" si="9">IFERROR(AA14-J14,0)</f>
        <v>-42691</v>
      </c>
      <c r="AS14" s="398">
        <f t="shared" si="9"/>
        <v>-42691.000180000003</v>
      </c>
      <c r="AT14" s="398"/>
      <c r="AU14" s="398">
        <f>IFERROR(AD14-M14,0)</f>
        <v>-72008</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58779</v>
      </c>
      <c r="E15" s="199">
        <f t="shared" ref="E15:E16" si="10">SUM(F15-D15)</f>
        <v>-9301</v>
      </c>
      <c r="F15" s="497">
        <v>49478</v>
      </c>
      <c r="G15" s="497">
        <v>0</v>
      </c>
      <c r="H15" s="96">
        <f t="shared" ref="H15:H16" si="11">SUM(F15:G15)</f>
        <v>49478</v>
      </c>
      <c r="I15" s="217"/>
      <c r="J15" s="499">
        <v>49478</v>
      </c>
      <c r="K15" s="497">
        <v>49478</v>
      </c>
      <c r="L15" s="59"/>
      <c r="M15" s="497">
        <v>47437</v>
      </c>
      <c r="N15" s="172">
        <f t="shared" si="6"/>
        <v>0.95874934314240667</v>
      </c>
      <c r="O15" s="60"/>
      <c r="P15" s="56"/>
      <c r="Q15" s="56"/>
      <c r="R15"/>
      <c r="S15" s="57"/>
      <c r="T15" s="58" t="str">
        <f t="shared" si="7"/>
        <v>(b) Ilima/Letsema Projects Grant</v>
      </c>
      <c r="U15" s="96">
        <v>58779</v>
      </c>
      <c r="V15" s="199">
        <v>0</v>
      </c>
      <c r="W15" s="59">
        <v>58779</v>
      </c>
      <c r="X15" s="59">
        <v>0</v>
      </c>
      <c r="Y15" s="96">
        <v>58779</v>
      </c>
      <c r="Z15" s="217"/>
      <c r="AA15" s="102">
        <v>29390</v>
      </c>
      <c r="AB15" s="59">
        <v>29390</v>
      </c>
      <c r="AC15" s="59"/>
      <c r="AD15" s="59">
        <v>29390</v>
      </c>
      <c r="AE15" s="172">
        <v>0.50000850643937456</v>
      </c>
      <c r="AF15" s="60"/>
      <c r="AG15" s="443"/>
      <c r="AH15" s="443"/>
      <c r="AI15"/>
      <c r="AJ15" s="394"/>
      <c r="AK15" s="479" t="str">
        <f t="shared" ref="AK15" si="12">C15</f>
        <v>(b) Ilima/Letsema Projects Grant</v>
      </c>
      <c r="AL15" s="396">
        <f t="shared" ref="AL15" si="13">IFERROR(U15-D15,0)</f>
        <v>0</v>
      </c>
      <c r="AM15" s="397">
        <f t="shared" si="8"/>
        <v>9301</v>
      </c>
      <c r="AN15" s="398">
        <f t="shared" si="8"/>
        <v>9301</v>
      </c>
      <c r="AO15" s="398">
        <f t="shared" si="8"/>
        <v>0</v>
      </c>
      <c r="AP15" s="396">
        <f t="shared" si="8"/>
        <v>9301</v>
      </c>
      <c r="AQ15" s="399"/>
      <c r="AR15" s="400">
        <f t="shared" si="9"/>
        <v>-20088</v>
      </c>
      <c r="AS15" s="398">
        <f t="shared" si="9"/>
        <v>-20088</v>
      </c>
      <c r="AT15" s="398"/>
      <c r="AU15" s="398">
        <f t="shared" ref="AU15" si="14">IFERROR(AD15-M15,0)</f>
        <v>-18047</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5255</v>
      </c>
      <c r="E16" s="199">
        <f t="shared" si="10"/>
        <v>0</v>
      </c>
      <c r="F16" s="497">
        <v>5255</v>
      </c>
      <c r="G16" s="497">
        <v>0</v>
      </c>
      <c r="H16" s="96">
        <f t="shared" si="11"/>
        <v>5255</v>
      </c>
      <c r="I16" s="217"/>
      <c r="J16" s="499">
        <v>5255</v>
      </c>
      <c r="K16" s="497">
        <v>5255</v>
      </c>
      <c r="L16" s="59"/>
      <c r="M16" s="497">
        <v>5095</v>
      </c>
      <c r="N16" s="172">
        <f t="shared" si="6"/>
        <v>0.96955280685061851</v>
      </c>
      <c r="O16" s="60"/>
      <c r="P16" s="56"/>
      <c r="Q16" s="56"/>
      <c r="R16"/>
      <c r="S16" s="57"/>
      <c r="T16" s="58" t="str">
        <f t="shared" si="7"/>
        <v>(c) Land Care Programme Grant: Poverty Relief and Infrastructure Development</v>
      </c>
      <c r="U16" s="96">
        <v>5255</v>
      </c>
      <c r="V16" s="199">
        <v>0</v>
      </c>
      <c r="W16" s="59">
        <v>5255</v>
      </c>
      <c r="X16" s="59">
        <v>0</v>
      </c>
      <c r="Y16" s="96">
        <v>5255</v>
      </c>
      <c r="Z16" s="217"/>
      <c r="AA16" s="102">
        <v>2365</v>
      </c>
      <c r="AB16" s="59">
        <v>526</v>
      </c>
      <c r="AC16" s="59"/>
      <c r="AD16" s="59">
        <v>497</v>
      </c>
      <c r="AE16" s="172">
        <v>9.4576593720266416E-2</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-2890</v>
      </c>
      <c r="AS16" s="398">
        <f t="shared" ref="AS16:AS83" si="22">IFERROR(AB16-K16,0)</f>
        <v>-4729</v>
      </c>
      <c r="AT16" s="398"/>
      <c r="AU16" s="398">
        <f t="shared" ref="AU16:AU83" si="23">IFERROR(AD16-M16,0)</f>
        <v>-4598</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186763</v>
      </c>
      <c r="E20" s="198">
        <f t="shared" ref="E20:K20" si="27">SUM(E21)</f>
        <v>0</v>
      </c>
      <c r="F20" s="54">
        <f t="shared" si="27"/>
        <v>186763</v>
      </c>
      <c r="G20" s="54">
        <f t="shared" si="27"/>
        <v>0</v>
      </c>
      <c r="H20" s="95">
        <f t="shared" si="27"/>
        <v>186763</v>
      </c>
      <c r="I20" s="216">
        <f t="shared" si="27"/>
        <v>0</v>
      </c>
      <c r="J20" s="101">
        <f t="shared" si="27"/>
        <v>186763</v>
      </c>
      <c r="K20" s="54">
        <f t="shared" si="27"/>
        <v>186763</v>
      </c>
      <c r="L20" s="54"/>
      <c r="M20" s="54">
        <f>SUM(M21)</f>
        <v>186763</v>
      </c>
      <c r="N20" s="183">
        <f t="shared" ref="N20:N21" si="28">IFERROR(M20/H20,0)</f>
        <v>1</v>
      </c>
      <c r="O20" s="63"/>
      <c r="P20" s="64"/>
      <c r="Q20" s="64"/>
      <c r="R20"/>
      <c r="S20" s="62"/>
      <c r="T20" s="51" t="str">
        <f>C20</f>
        <v>Arts and Culture (Vote 37)</v>
      </c>
      <c r="U20" s="95">
        <v>186763</v>
      </c>
      <c r="V20" s="198">
        <v>0</v>
      </c>
      <c r="W20" s="54">
        <v>186763</v>
      </c>
      <c r="X20" s="54">
        <v>0</v>
      </c>
      <c r="Y20" s="95">
        <v>186763</v>
      </c>
      <c r="Z20" s="216"/>
      <c r="AA20" s="101">
        <v>74243</v>
      </c>
      <c r="AB20" s="54">
        <v>74243</v>
      </c>
      <c r="AC20" s="54"/>
      <c r="AD20" s="54">
        <v>71703</v>
      </c>
      <c r="AE20" s="172">
        <v>0.38392508152042965</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-112520</v>
      </c>
      <c r="AS20" s="390">
        <f t="shared" si="22"/>
        <v>-112520</v>
      </c>
      <c r="AT20" s="390"/>
      <c r="AU20" s="390">
        <f t="shared" si="23"/>
        <v>-115060</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186763</v>
      </c>
      <c r="E21" s="199">
        <f>SUM(F21-D21)</f>
        <v>0</v>
      </c>
      <c r="F21" s="497">
        <v>186763</v>
      </c>
      <c r="G21" s="497">
        <v>0</v>
      </c>
      <c r="H21" s="96">
        <f>SUM(F21:G21)</f>
        <v>186763</v>
      </c>
      <c r="I21" s="217"/>
      <c r="J21" s="499">
        <v>186763</v>
      </c>
      <c r="K21" s="497">
        <v>186763</v>
      </c>
      <c r="L21" s="59"/>
      <c r="M21" s="497">
        <v>186763</v>
      </c>
      <c r="N21" s="172">
        <f t="shared" si="28"/>
        <v>1</v>
      </c>
      <c r="O21" s="60"/>
      <c r="P21" s="56"/>
      <c r="Q21" s="56"/>
      <c r="R21"/>
      <c r="S21" s="57"/>
      <c r="T21" s="58" t="str">
        <f t="shared" ref="T21:T25" si="29">C21</f>
        <v>Community Library Services Grant</v>
      </c>
      <c r="U21" s="96">
        <v>186763</v>
      </c>
      <c r="V21" s="199">
        <v>0</v>
      </c>
      <c r="W21" s="59">
        <v>186763</v>
      </c>
      <c r="X21" s="59">
        <v>0</v>
      </c>
      <c r="Y21" s="96">
        <v>186763</v>
      </c>
      <c r="Z21" s="217"/>
      <c r="AA21" s="102">
        <v>74243</v>
      </c>
      <c r="AB21" s="59">
        <v>74243</v>
      </c>
      <c r="AC21" s="59"/>
      <c r="AD21" s="59">
        <v>71703</v>
      </c>
      <c r="AE21" s="172">
        <v>0.38392508152042965</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-112520</v>
      </c>
      <c r="AS21" s="398">
        <f t="shared" si="22"/>
        <v>-112520</v>
      </c>
      <c r="AT21" s="398"/>
      <c r="AU21" s="398">
        <f t="shared" si="23"/>
        <v>-115060</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467616</v>
      </c>
      <c r="E27" s="198">
        <f t="shared" ref="E27:K27" si="33">SUM(E28+E29+E30+E31)</f>
        <v>0</v>
      </c>
      <c r="F27" s="54">
        <f t="shared" si="33"/>
        <v>467616</v>
      </c>
      <c r="G27" s="54">
        <f t="shared" si="33"/>
        <v>3586</v>
      </c>
      <c r="H27" s="95">
        <f t="shared" si="33"/>
        <v>471202</v>
      </c>
      <c r="I27" s="216">
        <f t="shared" si="33"/>
        <v>0</v>
      </c>
      <c r="J27" s="101">
        <f t="shared" si="33"/>
        <v>467616</v>
      </c>
      <c r="K27" s="54">
        <f t="shared" si="33"/>
        <v>467616</v>
      </c>
      <c r="L27" s="54"/>
      <c r="M27" s="54">
        <f>SUM(M28+M29+M30+M31)</f>
        <v>449363</v>
      </c>
      <c r="N27" s="183">
        <f t="shared" ref="N27:N31" si="34">IFERROR(M27/H27,0)</f>
        <v>0.95365257363084199</v>
      </c>
      <c r="O27" s="63"/>
      <c r="P27" s="65"/>
      <c r="Q27" s="65"/>
      <c r="R27"/>
      <c r="S27" s="62"/>
      <c r="T27" s="51" t="str">
        <f>C27</f>
        <v>Basic Education (Vote 14)</v>
      </c>
      <c r="U27" s="95">
        <v>467616</v>
      </c>
      <c r="V27" s="198">
        <v>0</v>
      </c>
      <c r="W27" s="54">
        <v>467616</v>
      </c>
      <c r="X27" s="54">
        <v>0</v>
      </c>
      <c r="Y27" s="95">
        <v>467616</v>
      </c>
      <c r="Z27" s="216"/>
      <c r="AA27" s="101">
        <v>247753</v>
      </c>
      <c r="AB27" s="54">
        <v>247753</v>
      </c>
      <c r="AC27" s="54"/>
      <c r="AD27" s="54">
        <v>210431</v>
      </c>
      <c r="AE27" s="183">
        <v>0.45000812632587422</v>
      </c>
      <c r="AF27" s="63"/>
      <c r="AG27" s="444"/>
      <c r="AH27" s="444"/>
      <c r="AI27"/>
      <c r="AJ27" s="402"/>
      <c r="AK27" s="481" t="str">
        <f t="shared" si="15"/>
        <v>Basic Education (Vote 14)</v>
      </c>
      <c r="AL27" s="388">
        <f t="shared" si="16"/>
        <v>0</v>
      </c>
      <c r="AM27" s="389">
        <f t="shared" si="17"/>
        <v>0</v>
      </c>
      <c r="AN27" s="390">
        <f t="shared" si="18"/>
        <v>0</v>
      </c>
      <c r="AO27" s="390">
        <f t="shared" si="19"/>
        <v>-3586</v>
      </c>
      <c r="AP27" s="388">
        <f t="shared" si="20"/>
        <v>-3586</v>
      </c>
      <c r="AQ27" s="391"/>
      <c r="AR27" s="392">
        <f t="shared" si="21"/>
        <v>-219863</v>
      </c>
      <c r="AS27" s="390">
        <f t="shared" si="22"/>
        <v>-219863</v>
      </c>
      <c r="AT27" s="390"/>
      <c r="AU27" s="390">
        <f t="shared" si="23"/>
        <v>-238932</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21800</v>
      </c>
      <c r="E28" s="199">
        <f t="shared" ref="E28:E31" si="35">SUM(F28-D28)</f>
        <v>0</v>
      </c>
      <c r="F28" s="497">
        <v>21800</v>
      </c>
      <c r="G28" s="497">
        <v>0</v>
      </c>
      <c r="H28" s="96">
        <f t="shared" ref="H28:H31" si="36">SUM(F28:G28)</f>
        <v>21800</v>
      </c>
      <c r="I28" s="217"/>
      <c r="J28" s="499">
        <v>21800</v>
      </c>
      <c r="K28" s="497">
        <v>21800</v>
      </c>
      <c r="L28" s="59"/>
      <c r="M28" s="497">
        <v>22086</v>
      </c>
      <c r="N28" s="172">
        <f t="shared" si="34"/>
        <v>1.0131192660550459</v>
      </c>
      <c r="O28" s="60"/>
      <c r="P28" s="22"/>
      <c r="Q28" s="22"/>
      <c r="S28" s="57"/>
      <c r="T28" s="58" t="str">
        <f t="shared" ref="T28:T32" si="37">C28</f>
        <v>(a) HIV and AIDS (Life Skills Education) Grant</v>
      </c>
      <c r="U28" s="96">
        <v>21800</v>
      </c>
      <c r="V28" s="199">
        <v>0</v>
      </c>
      <c r="W28" s="59">
        <v>21800</v>
      </c>
      <c r="X28" s="59">
        <v>0</v>
      </c>
      <c r="Y28" s="96">
        <v>21800</v>
      </c>
      <c r="Z28" s="217"/>
      <c r="AA28" s="102">
        <v>8720</v>
      </c>
      <c r="AB28" s="59">
        <v>8720</v>
      </c>
      <c r="AC28" s="59"/>
      <c r="AD28" s="59">
        <v>11209</v>
      </c>
      <c r="AE28" s="172">
        <v>0.51417431192660545</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-13080</v>
      </c>
      <c r="AS28" s="398">
        <f t="shared" si="22"/>
        <v>-13080</v>
      </c>
      <c r="AT28" s="398"/>
      <c r="AU28" s="398">
        <f t="shared" si="23"/>
        <v>-10877</v>
      </c>
      <c r="AV28" s="290"/>
      <c r="AW28" s="401"/>
    </row>
    <row r="29" spans="1:82" ht="15.75" customHeight="1" x14ac:dyDescent="0.3">
      <c r="B29" s="57"/>
      <c r="C29" s="58" t="s">
        <v>24</v>
      </c>
      <c r="D29" s="496">
        <v>26198</v>
      </c>
      <c r="E29" s="199">
        <f t="shared" si="35"/>
        <v>0</v>
      </c>
      <c r="F29" s="497">
        <v>26198</v>
      </c>
      <c r="G29" s="497">
        <v>685</v>
      </c>
      <c r="H29" s="96">
        <f t="shared" si="36"/>
        <v>26883</v>
      </c>
      <c r="I29" s="217"/>
      <c r="J29" s="499">
        <v>26198</v>
      </c>
      <c r="K29" s="497">
        <v>26198</v>
      </c>
      <c r="L29" s="59"/>
      <c r="M29" s="497">
        <v>23938</v>
      </c>
      <c r="N29" s="172">
        <f t="shared" si="34"/>
        <v>0.89045121452218878</v>
      </c>
      <c r="O29" s="60"/>
      <c r="P29" s="22"/>
      <c r="Q29" s="22"/>
      <c r="S29" s="57"/>
      <c r="T29" s="58" t="str">
        <f t="shared" si="37"/>
        <v>(b) Learners with Profound Intellectual Disabilities Grant</v>
      </c>
      <c r="U29" s="96">
        <v>26198</v>
      </c>
      <c r="V29" s="199">
        <v>0</v>
      </c>
      <c r="W29" s="59">
        <v>26198</v>
      </c>
      <c r="X29" s="59">
        <v>0</v>
      </c>
      <c r="Y29" s="96">
        <v>26198</v>
      </c>
      <c r="Z29" s="217"/>
      <c r="AA29" s="102">
        <v>17408</v>
      </c>
      <c r="AB29" s="59">
        <v>17408</v>
      </c>
      <c r="AC29" s="59"/>
      <c r="AD29" s="59">
        <v>11139</v>
      </c>
      <c r="AE29" s="172">
        <v>0.42518512863577373</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-685</v>
      </c>
      <c r="AP29" s="396">
        <f t="shared" si="20"/>
        <v>-685</v>
      </c>
      <c r="AQ29" s="399"/>
      <c r="AR29" s="400">
        <f t="shared" si="21"/>
        <v>-8790</v>
      </c>
      <c r="AS29" s="398">
        <f t="shared" si="22"/>
        <v>-8790</v>
      </c>
      <c r="AT29" s="398"/>
      <c r="AU29" s="398">
        <f t="shared" si="23"/>
        <v>-12799</v>
      </c>
      <c r="AV29" s="290"/>
      <c r="AW29" s="401"/>
    </row>
    <row r="30" spans="1:82" ht="15.75" customHeight="1" x14ac:dyDescent="0.3">
      <c r="B30" s="57"/>
      <c r="C30" s="58" t="s">
        <v>25</v>
      </c>
      <c r="D30" s="496">
        <v>34416</v>
      </c>
      <c r="E30" s="199">
        <f t="shared" si="35"/>
        <v>0</v>
      </c>
      <c r="F30" s="497">
        <v>34416</v>
      </c>
      <c r="G30" s="497">
        <v>2901</v>
      </c>
      <c r="H30" s="96">
        <f t="shared" si="36"/>
        <v>37317</v>
      </c>
      <c r="I30" s="217"/>
      <c r="J30" s="499">
        <v>34416</v>
      </c>
      <c r="K30" s="497">
        <v>34416</v>
      </c>
      <c r="L30" s="59"/>
      <c r="M30" s="497">
        <v>28014</v>
      </c>
      <c r="N30" s="172">
        <f t="shared" si="34"/>
        <v>0.75070343275182894</v>
      </c>
      <c r="O30" s="60"/>
      <c r="P30" s="22"/>
      <c r="Q30" s="22"/>
      <c r="S30" s="57"/>
      <c r="T30" s="58" t="str">
        <f t="shared" si="37"/>
        <v>(c) Maths, Science and Technology Grant</v>
      </c>
      <c r="U30" s="96">
        <v>34416</v>
      </c>
      <c r="V30" s="199">
        <v>0</v>
      </c>
      <c r="W30" s="59">
        <v>34416</v>
      </c>
      <c r="X30" s="59">
        <v>0</v>
      </c>
      <c r="Y30" s="96">
        <v>34416</v>
      </c>
      <c r="Z30" s="217"/>
      <c r="AA30" s="102">
        <v>17208</v>
      </c>
      <c r="AB30" s="59">
        <v>17208</v>
      </c>
      <c r="AC30" s="59"/>
      <c r="AD30" s="59">
        <v>15739</v>
      </c>
      <c r="AE30" s="172">
        <v>0.45731636448163643</v>
      </c>
      <c r="AF30" s="60"/>
      <c r="AG30" s="443"/>
      <c r="AH30" s="443"/>
      <c r="AJ30" s="394"/>
      <c r="AK30" s="479" t="str">
        <f t="shared" si="15"/>
        <v>(c) Maths, Science and Technology Grant</v>
      </c>
      <c r="AL30" s="396">
        <f t="shared" si="16"/>
        <v>0</v>
      </c>
      <c r="AM30" s="397">
        <f t="shared" si="17"/>
        <v>0</v>
      </c>
      <c r="AN30" s="398">
        <f t="shared" si="18"/>
        <v>0</v>
      </c>
      <c r="AO30" s="398">
        <f t="shared" si="19"/>
        <v>-2901</v>
      </c>
      <c r="AP30" s="396">
        <f t="shared" si="20"/>
        <v>-2901</v>
      </c>
      <c r="AQ30" s="399"/>
      <c r="AR30" s="400">
        <f t="shared" si="21"/>
        <v>-17208</v>
      </c>
      <c r="AS30" s="398">
        <f t="shared" si="22"/>
        <v>-17208</v>
      </c>
      <c r="AT30" s="398"/>
      <c r="AU30" s="398">
        <f t="shared" si="23"/>
        <v>-12275</v>
      </c>
      <c r="AV30" s="290"/>
      <c r="AW30" s="401"/>
    </row>
    <row r="31" spans="1:82" ht="15.75" customHeight="1" x14ac:dyDescent="0.3">
      <c r="B31" s="57"/>
      <c r="C31" s="58" t="s">
        <v>26</v>
      </c>
      <c r="D31" s="496">
        <v>385202</v>
      </c>
      <c r="E31" s="199">
        <f t="shared" si="35"/>
        <v>0</v>
      </c>
      <c r="F31" s="497">
        <v>385202</v>
      </c>
      <c r="G31" s="497">
        <v>0</v>
      </c>
      <c r="H31" s="96">
        <f t="shared" si="36"/>
        <v>385202</v>
      </c>
      <c r="I31" s="217"/>
      <c r="J31" s="499">
        <v>385202</v>
      </c>
      <c r="K31" s="497">
        <v>385202</v>
      </c>
      <c r="L31" s="59"/>
      <c r="M31" s="497">
        <v>375325</v>
      </c>
      <c r="N31" s="172">
        <f t="shared" si="34"/>
        <v>0.97435890779383283</v>
      </c>
      <c r="O31" s="60"/>
      <c r="P31" s="22"/>
      <c r="Q31" s="22"/>
      <c r="S31" s="57"/>
      <c r="T31" s="58" t="str">
        <f t="shared" si="37"/>
        <v>(d) National School Nutrition Programme Grant</v>
      </c>
      <c r="U31" s="96">
        <v>385202</v>
      </c>
      <c r="V31" s="199">
        <v>0</v>
      </c>
      <c r="W31" s="59">
        <v>385202</v>
      </c>
      <c r="X31" s="59">
        <v>0</v>
      </c>
      <c r="Y31" s="96">
        <v>385202</v>
      </c>
      <c r="Z31" s="217"/>
      <c r="AA31" s="102">
        <v>204417</v>
      </c>
      <c r="AB31" s="59">
        <v>204417</v>
      </c>
      <c r="AC31" s="59"/>
      <c r="AD31" s="59">
        <v>172344</v>
      </c>
      <c r="AE31" s="172">
        <v>0.44741200720660845</v>
      </c>
      <c r="AF31" s="60"/>
      <c r="AG31" s="443"/>
      <c r="AH31" s="443"/>
      <c r="AJ31" s="394"/>
      <c r="AK31" s="479" t="str">
        <f t="shared" si="15"/>
        <v>(d) National School Nutrition Programme Grant</v>
      </c>
      <c r="AL31" s="396">
        <f t="shared" si="16"/>
        <v>0</v>
      </c>
      <c r="AM31" s="397">
        <f t="shared" si="17"/>
        <v>0</v>
      </c>
      <c r="AN31" s="398">
        <f t="shared" si="18"/>
        <v>0</v>
      </c>
      <c r="AO31" s="398">
        <f t="shared" si="19"/>
        <v>0</v>
      </c>
      <c r="AP31" s="396">
        <f t="shared" si="20"/>
        <v>0</v>
      </c>
      <c r="AQ31" s="399"/>
      <c r="AR31" s="400">
        <f t="shared" si="21"/>
        <v>-180785</v>
      </c>
      <c r="AS31" s="398">
        <f t="shared" si="22"/>
        <v>-180785</v>
      </c>
      <c r="AT31" s="398"/>
      <c r="AU31" s="398">
        <f t="shared" si="23"/>
        <v>-202981</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2654123.9999999995</v>
      </c>
      <c r="E41" s="198">
        <f t="shared" ref="E41:K41" si="58">SUM(E42+E43+E44+E45+E46)</f>
        <v>40384</v>
      </c>
      <c r="F41" s="54">
        <f t="shared" si="58"/>
        <v>2694507.9999999995</v>
      </c>
      <c r="G41" s="54">
        <f t="shared" si="58"/>
        <v>0</v>
      </c>
      <c r="H41" s="95">
        <f t="shared" si="58"/>
        <v>2694507.9999999995</v>
      </c>
      <c r="I41" s="216">
        <f t="shared" si="58"/>
        <v>0</v>
      </c>
      <c r="J41" s="101">
        <f t="shared" si="58"/>
        <v>2694508</v>
      </c>
      <c r="K41" s="54">
        <f t="shared" si="58"/>
        <v>2694508</v>
      </c>
      <c r="L41" s="54"/>
      <c r="M41" s="54">
        <f>SUM(M42+M43+M44+M45+M46)</f>
        <v>2703970</v>
      </c>
      <c r="N41" s="183">
        <f t="shared" ref="N41:N45" si="59">IFERROR(M41/H41,0)</f>
        <v>1.0035115872730755</v>
      </c>
      <c r="O41" s="63"/>
      <c r="P41" s="65"/>
      <c r="Q41" s="65"/>
      <c r="R41"/>
      <c r="S41" s="62"/>
      <c r="T41" s="51" t="str">
        <f>C41</f>
        <v>Health (Vote 16)</v>
      </c>
      <c r="U41" s="95">
        <v>2654123.9999999995</v>
      </c>
      <c r="V41" s="198">
        <v>0</v>
      </c>
      <c r="W41" s="54">
        <v>2654123.9999999995</v>
      </c>
      <c r="X41" s="54">
        <v>0</v>
      </c>
      <c r="Y41" s="95">
        <v>2654123.9999999995</v>
      </c>
      <c r="Z41" s="216"/>
      <c r="AA41" s="101">
        <v>1333736</v>
      </c>
      <c r="AB41" s="54">
        <v>1333736</v>
      </c>
      <c r="AC41" s="54"/>
      <c r="AD41" s="54">
        <v>1059978</v>
      </c>
      <c r="AE41" s="183">
        <v>0.39937018767774235</v>
      </c>
      <c r="AF41" s="63"/>
      <c r="AG41" s="444"/>
      <c r="AH41" s="444"/>
      <c r="AI41"/>
      <c r="AJ41" s="402"/>
      <c r="AK41" s="481" t="str">
        <f t="shared" si="15"/>
        <v>Health (Vote 16)</v>
      </c>
      <c r="AL41" s="388">
        <f t="shared" si="16"/>
        <v>0</v>
      </c>
      <c r="AM41" s="389">
        <f t="shared" si="17"/>
        <v>-40384</v>
      </c>
      <c r="AN41" s="390">
        <f t="shared" si="18"/>
        <v>-40384</v>
      </c>
      <c r="AO41" s="390">
        <f t="shared" si="19"/>
        <v>0</v>
      </c>
      <c r="AP41" s="388">
        <f t="shared" si="20"/>
        <v>-40384</v>
      </c>
      <c r="AQ41" s="391"/>
      <c r="AR41" s="392">
        <f t="shared" si="21"/>
        <v>-1360772</v>
      </c>
      <c r="AS41" s="390">
        <f t="shared" si="22"/>
        <v>-1360772</v>
      </c>
      <c r="AT41" s="390"/>
      <c r="AU41" s="390">
        <f t="shared" si="23"/>
        <v>-1643992</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1685516.9999999995</v>
      </c>
      <c r="E42" s="199">
        <f t="shared" ref="E42:E46" si="60">SUM(F42-D42)</f>
        <v>0</v>
      </c>
      <c r="F42" s="497">
        <v>1685516.9999999995</v>
      </c>
      <c r="G42" s="497">
        <v>0</v>
      </c>
      <c r="H42" s="96">
        <f t="shared" ref="H42:H45" si="61">SUM(F42:G42)</f>
        <v>1685516.9999999995</v>
      </c>
      <c r="I42" s="217"/>
      <c r="J42" s="499">
        <v>1685517</v>
      </c>
      <c r="K42" s="497">
        <v>1685517</v>
      </c>
      <c r="L42" s="59"/>
      <c r="M42" s="497">
        <v>1668517</v>
      </c>
      <c r="N42" s="172">
        <f t="shared" si="59"/>
        <v>0.98991407384203212</v>
      </c>
      <c r="O42" s="60"/>
      <c r="P42" s="56"/>
      <c r="Q42" s="56"/>
      <c r="S42" s="57"/>
      <c r="T42" s="58" t="str">
        <f t="shared" ref="T42:T46" si="62">C42</f>
        <v>(a) HIV, TB, Malaria and Community Outreach Grant</v>
      </c>
      <c r="U42" s="96">
        <v>1685516.9999999995</v>
      </c>
      <c r="V42" s="199">
        <v>0</v>
      </c>
      <c r="W42" s="59">
        <v>1685516.9999999995</v>
      </c>
      <c r="X42" s="59">
        <v>0</v>
      </c>
      <c r="Y42" s="96">
        <v>1685516.9999999995</v>
      </c>
      <c r="Z42" s="217"/>
      <c r="AA42" s="102">
        <v>842754</v>
      </c>
      <c r="AB42" s="59">
        <v>842754</v>
      </c>
      <c r="AC42" s="59"/>
      <c r="AD42" s="59">
        <v>740659</v>
      </c>
      <c r="AE42" s="172">
        <v>0.43942541071967839</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-842763</v>
      </c>
      <c r="AS42" s="398">
        <f t="shared" si="22"/>
        <v>-842763</v>
      </c>
      <c r="AT42" s="398"/>
      <c r="AU42" s="398">
        <f t="shared" si="23"/>
        <v>-927858</v>
      </c>
      <c r="AV42" s="290"/>
      <c r="AW42" s="401"/>
    </row>
    <row r="43" spans="1:82" s="35" customFormat="1" ht="15.75" customHeight="1" x14ac:dyDescent="0.3">
      <c r="A43"/>
      <c r="B43" s="57"/>
      <c r="C43" s="58" t="s">
        <v>28</v>
      </c>
      <c r="D43" s="496">
        <v>812626</v>
      </c>
      <c r="E43" s="199">
        <f t="shared" si="60"/>
        <v>0</v>
      </c>
      <c r="F43" s="497">
        <v>812626</v>
      </c>
      <c r="G43" s="497">
        <v>0</v>
      </c>
      <c r="H43" s="96">
        <f t="shared" si="61"/>
        <v>812626</v>
      </c>
      <c r="I43" s="217"/>
      <c r="J43" s="499">
        <v>812626</v>
      </c>
      <c r="K43" s="497">
        <v>812626</v>
      </c>
      <c r="L43" s="59"/>
      <c r="M43" s="497">
        <v>812235</v>
      </c>
      <c r="N43" s="172">
        <f t="shared" si="59"/>
        <v>0.99951884384698497</v>
      </c>
      <c r="O43" s="60"/>
      <c r="P43" s="56"/>
      <c r="Q43" s="56"/>
      <c r="R43"/>
      <c r="S43" s="57"/>
      <c r="T43" s="58" t="str">
        <f t="shared" si="62"/>
        <v>(b) Health Facility Revitalisation Grant</v>
      </c>
      <c r="U43" s="96">
        <v>812626</v>
      </c>
      <c r="V43" s="199">
        <v>0</v>
      </c>
      <c r="W43" s="59">
        <v>812626</v>
      </c>
      <c r="X43" s="59">
        <v>0</v>
      </c>
      <c r="Y43" s="96">
        <v>812626</v>
      </c>
      <c r="Z43" s="217"/>
      <c r="AA43" s="102">
        <v>413000</v>
      </c>
      <c r="AB43" s="59">
        <v>413000</v>
      </c>
      <c r="AC43" s="59"/>
      <c r="AD43" s="59">
        <v>218593</v>
      </c>
      <c r="AE43" s="172">
        <v>0.26899582341692241</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-399626</v>
      </c>
      <c r="AS43" s="398">
        <f t="shared" si="22"/>
        <v>-399626</v>
      </c>
      <c r="AT43" s="398"/>
      <c r="AU43" s="398">
        <f t="shared" si="23"/>
        <v>-593642</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20697</v>
      </c>
      <c r="E44" s="199">
        <f t="shared" si="60"/>
        <v>-5293</v>
      </c>
      <c r="F44" s="497">
        <v>15404</v>
      </c>
      <c r="G44" s="497">
        <v>0</v>
      </c>
      <c r="H44" s="96">
        <f t="shared" si="61"/>
        <v>15404</v>
      </c>
      <c r="I44" s="217"/>
      <c r="J44" s="499">
        <v>15404</v>
      </c>
      <c r="K44" s="497">
        <v>15404</v>
      </c>
      <c r="L44" s="59"/>
      <c r="M44" s="497">
        <v>15404</v>
      </c>
      <c r="N44" s="172">
        <f t="shared" si="59"/>
        <v>1</v>
      </c>
      <c r="O44" s="69"/>
      <c r="P44" s="70"/>
      <c r="Q44" s="70"/>
      <c r="R44"/>
      <c r="S44" s="67"/>
      <c r="T44" s="58" t="str">
        <f t="shared" si="62"/>
        <v>(c) Human Papillomavirus Vaccine Grant</v>
      </c>
      <c r="U44" s="97">
        <v>20697</v>
      </c>
      <c r="V44" s="200">
        <v>0</v>
      </c>
      <c r="W44" s="68">
        <v>20697</v>
      </c>
      <c r="X44" s="68">
        <v>0</v>
      </c>
      <c r="Y44" s="97">
        <v>20697</v>
      </c>
      <c r="Z44" s="218"/>
      <c r="AA44" s="103">
        <v>10344</v>
      </c>
      <c r="AB44" s="68">
        <v>10344</v>
      </c>
      <c r="AC44" s="68"/>
      <c r="AD44" s="68">
        <v>6709</v>
      </c>
      <c r="AE44" s="172">
        <v>0.32415325892641444</v>
      </c>
      <c r="AF44" s="69"/>
      <c r="AG44" s="445"/>
      <c r="AH44" s="445"/>
      <c r="AI44" s="71"/>
      <c r="AJ44" s="404"/>
      <c r="AK44" s="479" t="str">
        <f t="shared" si="15"/>
        <v>(c) Human Papillomavirus Vaccine Grant</v>
      </c>
      <c r="AL44" s="405">
        <f t="shared" si="16"/>
        <v>0</v>
      </c>
      <c r="AM44" s="406">
        <f t="shared" si="17"/>
        <v>5293</v>
      </c>
      <c r="AN44" s="407">
        <f t="shared" si="18"/>
        <v>5293</v>
      </c>
      <c r="AO44" s="407">
        <f t="shared" si="19"/>
        <v>0</v>
      </c>
      <c r="AP44" s="405">
        <f t="shared" si="20"/>
        <v>5293</v>
      </c>
      <c r="AQ44" s="408"/>
      <c r="AR44" s="409">
        <f t="shared" si="21"/>
        <v>-5060</v>
      </c>
      <c r="AS44" s="407">
        <f t="shared" si="22"/>
        <v>-5060</v>
      </c>
      <c r="AT44" s="407"/>
      <c r="AU44" s="407">
        <f t="shared" si="23"/>
        <v>-8695</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135284</v>
      </c>
      <c r="E45" s="199">
        <f t="shared" si="60"/>
        <v>26167</v>
      </c>
      <c r="F45" s="497">
        <v>161451</v>
      </c>
      <c r="G45" s="497">
        <v>0</v>
      </c>
      <c r="H45" s="96">
        <f t="shared" si="61"/>
        <v>161451</v>
      </c>
      <c r="I45" s="217"/>
      <c r="J45" s="499">
        <v>161451</v>
      </c>
      <c r="K45" s="497">
        <v>161451</v>
      </c>
      <c r="L45" s="59"/>
      <c r="M45" s="497">
        <v>188313</v>
      </c>
      <c r="N45" s="172">
        <f t="shared" si="59"/>
        <v>1.1663786535852982</v>
      </c>
      <c r="O45" s="60"/>
      <c r="P45" s="56"/>
      <c r="Q45" s="56"/>
      <c r="R45"/>
      <c r="S45" s="57"/>
      <c r="T45" s="58" t="str">
        <f t="shared" si="62"/>
        <v>(d) Human Resources Capacitation Grant</v>
      </c>
      <c r="U45" s="96">
        <v>135284</v>
      </c>
      <c r="V45" s="199">
        <v>0</v>
      </c>
      <c r="W45" s="59">
        <v>135284</v>
      </c>
      <c r="X45" s="59">
        <v>0</v>
      </c>
      <c r="Y45" s="96">
        <v>135284</v>
      </c>
      <c r="Z45" s="217"/>
      <c r="AA45" s="102">
        <v>67638</v>
      </c>
      <c r="AB45" s="59">
        <v>67638</v>
      </c>
      <c r="AC45" s="59"/>
      <c r="AD45" s="59">
        <v>94017</v>
      </c>
      <c r="AE45" s="172">
        <v>0.69496023180863964</v>
      </c>
      <c r="AF45" s="60"/>
      <c r="AG45" s="443"/>
      <c r="AH45" s="443"/>
      <c r="AI45"/>
      <c r="AJ45" s="394"/>
      <c r="AK45" s="479" t="str">
        <f t="shared" si="15"/>
        <v>(d) Human Resources Capacitation Grant</v>
      </c>
      <c r="AL45" s="396">
        <f t="shared" si="16"/>
        <v>0</v>
      </c>
      <c r="AM45" s="397">
        <f t="shared" si="17"/>
        <v>-26167</v>
      </c>
      <c r="AN45" s="398">
        <f t="shared" si="18"/>
        <v>-26167</v>
      </c>
      <c r="AO45" s="398">
        <f t="shared" si="19"/>
        <v>0</v>
      </c>
      <c r="AP45" s="396">
        <f t="shared" si="20"/>
        <v>-26167</v>
      </c>
      <c r="AQ45" s="399"/>
      <c r="AR45" s="400">
        <f t="shared" si="21"/>
        <v>-93813</v>
      </c>
      <c r="AS45" s="398">
        <f t="shared" si="22"/>
        <v>-93813</v>
      </c>
      <c r="AT45" s="398"/>
      <c r="AU45" s="398">
        <f t="shared" si="23"/>
        <v>-94296</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19510</v>
      </c>
      <c r="F46" s="497">
        <v>19510</v>
      </c>
      <c r="G46" s="497">
        <v>0</v>
      </c>
      <c r="H46" s="96">
        <f t="shared" ref="H46" si="63">SUM(F46:G46)</f>
        <v>19510</v>
      </c>
      <c r="I46" s="217"/>
      <c r="J46" s="499">
        <v>19510</v>
      </c>
      <c r="K46" s="497">
        <v>19510</v>
      </c>
      <c r="L46" s="59"/>
      <c r="M46" s="497">
        <v>19501</v>
      </c>
      <c r="N46" s="172">
        <f>IFERROR(M46/H46,0)</f>
        <v>0.99953869810353668</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-19510</v>
      </c>
      <c r="AN46" s="398">
        <f t="shared" si="18"/>
        <v>-19510</v>
      </c>
      <c r="AO46" s="398">
        <f t="shared" si="19"/>
        <v>0</v>
      </c>
      <c r="AP46" s="396">
        <f t="shared" si="20"/>
        <v>-19510</v>
      </c>
      <c r="AQ46" s="399"/>
      <c r="AR46" s="400">
        <f t="shared" si="21"/>
        <v>-19510</v>
      </c>
      <c r="AS46" s="398">
        <f t="shared" si="22"/>
        <v>-19510</v>
      </c>
      <c r="AT46" s="398"/>
      <c r="AU46" s="398">
        <f t="shared" si="23"/>
        <v>-19501</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2138020</v>
      </c>
      <c r="E48" s="198">
        <f t="shared" ref="E48:K48" si="64">SUM(E49+E50)</f>
        <v>98500</v>
      </c>
      <c r="F48" s="54">
        <f t="shared" si="64"/>
        <v>2236520</v>
      </c>
      <c r="G48" s="54">
        <f t="shared" si="64"/>
        <v>0</v>
      </c>
      <c r="H48" s="95">
        <f t="shared" si="64"/>
        <v>2236520</v>
      </c>
      <c r="I48" s="216">
        <f t="shared" si="64"/>
        <v>0</v>
      </c>
      <c r="J48" s="101">
        <f t="shared" si="64"/>
        <v>2236520</v>
      </c>
      <c r="K48" s="54">
        <f t="shared" si="64"/>
        <v>2236520</v>
      </c>
      <c r="L48" s="54"/>
      <c r="M48" s="54">
        <f>SUM(M49+M50)</f>
        <v>2239946</v>
      </c>
      <c r="N48" s="183">
        <f t="shared" ref="N48:N50" si="65">IFERROR(M48/H48,0)</f>
        <v>1.0015318441149643</v>
      </c>
      <c r="O48" s="63"/>
      <c r="P48" s="64"/>
      <c r="Q48" s="64"/>
      <c r="R48"/>
      <c r="S48" s="62"/>
      <c r="T48" s="51" t="str">
        <f>C48</f>
        <v>Human Settlements (Vote 38)</v>
      </c>
      <c r="U48" s="95">
        <v>2138020</v>
      </c>
      <c r="V48" s="198">
        <v>0</v>
      </c>
      <c r="W48" s="54">
        <v>2138020</v>
      </c>
      <c r="X48" s="54">
        <v>0</v>
      </c>
      <c r="Y48" s="95">
        <v>2138020</v>
      </c>
      <c r="Z48" s="216"/>
      <c r="AA48" s="101">
        <v>960252</v>
      </c>
      <c r="AB48" s="54">
        <v>990252</v>
      </c>
      <c r="AC48" s="54"/>
      <c r="AD48" s="54">
        <v>1196899</v>
      </c>
      <c r="AE48" s="183">
        <v>0.5598165592464055</v>
      </c>
      <c r="AF48" s="63"/>
      <c r="AG48" s="444"/>
      <c r="AH48" s="444"/>
      <c r="AI48" s="73"/>
      <c r="AJ48" s="402"/>
      <c r="AK48" s="481" t="str">
        <f t="shared" si="15"/>
        <v>Human Settlements (Vote 38)</v>
      </c>
      <c r="AL48" s="388">
        <f t="shared" si="16"/>
        <v>0</v>
      </c>
      <c r="AM48" s="389">
        <f t="shared" si="17"/>
        <v>-98500</v>
      </c>
      <c r="AN48" s="390">
        <f t="shared" si="18"/>
        <v>-98500</v>
      </c>
      <c r="AO48" s="390">
        <f t="shared" si="19"/>
        <v>0</v>
      </c>
      <c r="AP48" s="388">
        <f t="shared" si="20"/>
        <v>-98500</v>
      </c>
      <c r="AQ48" s="391"/>
      <c r="AR48" s="392">
        <f t="shared" si="21"/>
        <v>-1276268</v>
      </c>
      <c r="AS48" s="390">
        <f t="shared" si="22"/>
        <v>-1246268</v>
      </c>
      <c r="AT48" s="390"/>
      <c r="AU48" s="390">
        <f t="shared" si="23"/>
        <v>-1043047</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2073610</v>
      </c>
      <c r="E49" s="199">
        <f t="shared" ref="E49:E50" si="66">SUM(F49-D49)</f>
        <v>98500</v>
      </c>
      <c r="F49" s="497">
        <v>2172110</v>
      </c>
      <c r="G49" s="497">
        <v>0</v>
      </c>
      <c r="H49" s="96">
        <f t="shared" ref="H49:H50" si="67">SUM(F49:G49)</f>
        <v>2172110</v>
      </c>
      <c r="I49" s="217"/>
      <c r="J49" s="499">
        <v>2172110</v>
      </c>
      <c r="K49" s="497">
        <v>2172110</v>
      </c>
      <c r="L49" s="59"/>
      <c r="M49" s="497">
        <v>2175536</v>
      </c>
      <c r="N49" s="172">
        <f t="shared" si="65"/>
        <v>1.0015772681862336</v>
      </c>
      <c r="O49" s="60"/>
      <c r="R49"/>
      <c r="S49" s="57"/>
      <c r="T49" s="58" t="str">
        <f t="shared" ref="T49:T53" si="68">C49</f>
        <v>(a) Human Settlements Development Grant</v>
      </c>
      <c r="U49" s="96">
        <v>2073610</v>
      </c>
      <c r="V49" s="199">
        <v>0</v>
      </c>
      <c r="W49" s="59">
        <v>2073610</v>
      </c>
      <c r="X49" s="59">
        <v>0</v>
      </c>
      <c r="Y49" s="96">
        <v>2073610</v>
      </c>
      <c r="Z49" s="217"/>
      <c r="AA49" s="102">
        <v>950252</v>
      </c>
      <c r="AB49" s="59">
        <v>980252</v>
      </c>
      <c r="AC49" s="59"/>
      <c r="AD49" s="59">
        <v>1196002</v>
      </c>
      <c r="AE49" s="172">
        <v>0.57677287435920932</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0</v>
      </c>
      <c r="AP49" s="396">
        <f t="shared" si="20"/>
        <v>-98500</v>
      </c>
      <c r="AQ49" s="399"/>
      <c r="AR49" s="400">
        <f t="shared" si="21"/>
        <v>-1221858</v>
      </c>
      <c r="AS49" s="398">
        <f t="shared" si="22"/>
        <v>-1191858</v>
      </c>
      <c r="AT49" s="398"/>
      <c r="AU49" s="398">
        <f t="shared" si="23"/>
        <v>-979534</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64410</v>
      </c>
      <c r="E50" s="199">
        <f t="shared" si="66"/>
        <v>0</v>
      </c>
      <c r="F50" s="497">
        <v>64410</v>
      </c>
      <c r="G50" s="497">
        <v>0</v>
      </c>
      <c r="H50" s="96">
        <f t="shared" si="67"/>
        <v>64410</v>
      </c>
      <c r="I50" s="217"/>
      <c r="J50" s="499">
        <v>64410</v>
      </c>
      <c r="K50" s="497">
        <v>64410</v>
      </c>
      <c r="L50" s="59"/>
      <c r="M50" s="497">
        <v>64410</v>
      </c>
      <c r="N50" s="172">
        <f t="shared" si="65"/>
        <v>1</v>
      </c>
      <c r="O50" s="60"/>
      <c r="P50" s="56"/>
      <c r="Q50" s="56"/>
      <c r="R50"/>
      <c r="S50" s="57"/>
      <c r="T50" s="58" t="str">
        <f t="shared" si="68"/>
        <v>(b) Title Deeds Restoriation Grant</v>
      </c>
      <c r="U50" s="96">
        <v>64410</v>
      </c>
      <c r="V50" s="199">
        <v>0</v>
      </c>
      <c r="W50" s="59">
        <v>64410</v>
      </c>
      <c r="X50" s="59">
        <v>0</v>
      </c>
      <c r="Y50" s="96">
        <v>64410</v>
      </c>
      <c r="Z50" s="217"/>
      <c r="AA50" s="102">
        <v>10000</v>
      </c>
      <c r="AB50" s="59">
        <v>10000</v>
      </c>
      <c r="AC50" s="59"/>
      <c r="AD50" s="59">
        <v>897</v>
      </c>
      <c r="AE50" s="172">
        <v>1.392640894271076E-2</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-54410</v>
      </c>
      <c r="AS50" s="398">
        <f t="shared" si="22"/>
        <v>-54410</v>
      </c>
      <c r="AT50" s="398"/>
      <c r="AU50" s="398">
        <f t="shared" si="23"/>
        <v>-63513</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67674</v>
      </c>
      <c r="E55" s="198">
        <f t="shared" ref="E55:K55" si="72">SUM(E56+E57)</f>
        <v>0</v>
      </c>
      <c r="F55" s="54">
        <f t="shared" si="72"/>
        <v>67674</v>
      </c>
      <c r="G55" s="54">
        <f t="shared" si="72"/>
        <v>0</v>
      </c>
      <c r="H55" s="95">
        <f t="shared" si="72"/>
        <v>67674</v>
      </c>
      <c r="I55" s="216">
        <f t="shared" si="72"/>
        <v>0</v>
      </c>
      <c r="J55" s="101">
        <f t="shared" si="72"/>
        <v>67674</v>
      </c>
      <c r="K55" s="54">
        <f t="shared" si="72"/>
        <v>67674</v>
      </c>
      <c r="L55" s="54"/>
      <c r="M55" s="54">
        <f>SUM(M56+M57)</f>
        <v>68607</v>
      </c>
      <c r="N55" s="183">
        <f t="shared" ref="N55:N57" si="73">IFERROR(M55/H55,0)</f>
        <v>1.0137866832165972</v>
      </c>
      <c r="O55" s="63"/>
      <c r="P55" s="64"/>
      <c r="Q55" s="64"/>
      <c r="R55"/>
      <c r="S55" s="62"/>
      <c r="T55" s="51" t="str">
        <f>C55</f>
        <v>Public Works (Vote 11)</v>
      </c>
      <c r="U55" s="95">
        <v>67674</v>
      </c>
      <c r="V55" s="198">
        <v>0</v>
      </c>
      <c r="W55" s="54">
        <v>67674</v>
      </c>
      <c r="X55" s="54">
        <v>0</v>
      </c>
      <c r="Y55" s="95">
        <v>67674</v>
      </c>
      <c r="Z55" s="216"/>
      <c r="AA55" s="101">
        <v>47371</v>
      </c>
      <c r="AB55" s="54">
        <v>39707</v>
      </c>
      <c r="AC55" s="54"/>
      <c r="AD55" s="54">
        <v>29620</v>
      </c>
      <c r="AE55" s="183">
        <v>0.43768655613677337</v>
      </c>
      <c r="AF55" s="63"/>
      <c r="AG55" s="444"/>
      <c r="AH55" s="444"/>
      <c r="AI55"/>
      <c r="AJ55" s="402"/>
      <c r="AK55" s="481" t="str">
        <f t="shared" si="15"/>
        <v>Public Works (Vote 11)</v>
      </c>
      <c r="AL55" s="388">
        <f t="shared" si="16"/>
        <v>0</v>
      </c>
      <c r="AM55" s="389">
        <f t="shared" si="17"/>
        <v>0</v>
      </c>
      <c r="AN55" s="390">
        <f t="shared" si="18"/>
        <v>0</v>
      </c>
      <c r="AO55" s="390">
        <f t="shared" si="19"/>
        <v>0</v>
      </c>
      <c r="AP55" s="388">
        <f t="shared" si="20"/>
        <v>0</v>
      </c>
      <c r="AQ55" s="391"/>
      <c r="AR55" s="392">
        <f t="shared" si="21"/>
        <v>-20303</v>
      </c>
      <c r="AS55" s="390">
        <f t="shared" si="22"/>
        <v>-27967</v>
      </c>
      <c r="AT55" s="390"/>
      <c r="AU55" s="390">
        <f t="shared" si="23"/>
        <v>-38987</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28690</v>
      </c>
      <c r="E56" s="199">
        <f t="shared" ref="E56:E57" si="74">SUM(F56-D56)</f>
        <v>0</v>
      </c>
      <c r="F56" s="497">
        <v>28690</v>
      </c>
      <c r="G56" s="497">
        <v>0</v>
      </c>
      <c r="H56" s="96">
        <f t="shared" ref="H56:H57" si="75">SUM(F56:G56)</f>
        <v>28690</v>
      </c>
      <c r="I56" s="217"/>
      <c r="J56" s="499">
        <v>28690</v>
      </c>
      <c r="K56" s="497">
        <v>28690</v>
      </c>
      <c r="L56" s="59"/>
      <c r="M56" s="497">
        <v>29689</v>
      </c>
      <c r="N56" s="172">
        <f t="shared" si="73"/>
        <v>1.0348204949459743</v>
      </c>
      <c r="O56" s="60"/>
      <c r="P56" s="56"/>
      <c r="Q56" s="56"/>
      <c r="R56"/>
      <c r="S56" s="57"/>
      <c r="T56" s="58" t="str">
        <f t="shared" ref="T56:T60" si="76">C56</f>
        <v>(a) Expanded Public Works Programme Integrated Grant for Provinces</v>
      </c>
      <c r="U56" s="96">
        <v>28690</v>
      </c>
      <c r="V56" s="199">
        <v>0</v>
      </c>
      <c r="W56" s="59">
        <v>28690</v>
      </c>
      <c r="X56" s="59">
        <v>0</v>
      </c>
      <c r="Y56" s="96">
        <v>28690</v>
      </c>
      <c r="Z56" s="217"/>
      <c r="AA56" s="102">
        <v>20083</v>
      </c>
      <c r="AB56" s="59">
        <v>12419</v>
      </c>
      <c r="AC56" s="59"/>
      <c r="AD56" s="59">
        <v>10368</v>
      </c>
      <c r="AE56" s="172">
        <v>0.36138027187173233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-8607</v>
      </c>
      <c r="AS56" s="398">
        <f t="shared" si="22"/>
        <v>-16271</v>
      </c>
      <c r="AT56" s="398"/>
      <c r="AU56" s="398">
        <f t="shared" si="23"/>
        <v>-19321</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38984</v>
      </c>
      <c r="E57" s="199">
        <f t="shared" si="74"/>
        <v>0</v>
      </c>
      <c r="F57" s="497">
        <v>38984</v>
      </c>
      <c r="G57" s="497">
        <v>0</v>
      </c>
      <c r="H57" s="96">
        <f t="shared" si="75"/>
        <v>38984</v>
      </c>
      <c r="I57" s="217"/>
      <c r="J57" s="499">
        <v>38984</v>
      </c>
      <c r="K57" s="497">
        <v>38984</v>
      </c>
      <c r="L57" s="59"/>
      <c r="M57" s="497">
        <v>38918</v>
      </c>
      <c r="N57" s="172">
        <f t="shared" si="73"/>
        <v>0.99830699774266363</v>
      </c>
      <c r="O57" s="60"/>
      <c r="P57" s="56"/>
      <c r="Q57" s="56"/>
      <c r="R57"/>
      <c r="S57" s="57"/>
      <c r="T57" s="58" t="str">
        <f t="shared" si="76"/>
        <v>(b) Social Sector Expanded Public Works Programme Incentive Grant for Provinces</v>
      </c>
      <c r="U57" s="96">
        <v>38984</v>
      </c>
      <c r="V57" s="199">
        <v>0</v>
      </c>
      <c r="W57" s="59">
        <v>38984</v>
      </c>
      <c r="X57" s="59">
        <v>0</v>
      </c>
      <c r="Y57" s="96">
        <v>38984</v>
      </c>
      <c r="Z57" s="217"/>
      <c r="AA57" s="102">
        <v>27288</v>
      </c>
      <c r="AB57" s="59">
        <v>27288</v>
      </c>
      <c r="AC57" s="59"/>
      <c r="AD57" s="59">
        <v>19252</v>
      </c>
      <c r="AE57" s="172">
        <v>0.49384362815514055</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-11696</v>
      </c>
      <c r="AS57" s="398">
        <f t="shared" si="22"/>
        <v>-11696</v>
      </c>
      <c r="AT57" s="398"/>
      <c r="AU57" s="398">
        <f t="shared" si="23"/>
        <v>-19666</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40479</v>
      </c>
      <c r="E62" s="198">
        <f t="shared" ref="E62:K62" si="79">SUM(E63)</f>
        <v>0</v>
      </c>
      <c r="F62" s="54">
        <f t="shared" si="79"/>
        <v>40479</v>
      </c>
      <c r="G62" s="54">
        <f t="shared" si="79"/>
        <v>0</v>
      </c>
      <c r="H62" s="95">
        <f t="shared" si="79"/>
        <v>40479</v>
      </c>
      <c r="I62" s="216">
        <f t="shared" si="79"/>
        <v>0</v>
      </c>
      <c r="J62" s="101">
        <f t="shared" si="79"/>
        <v>40479</v>
      </c>
      <c r="K62" s="54">
        <f t="shared" si="79"/>
        <v>40479</v>
      </c>
      <c r="L62" s="54"/>
      <c r="M62" s="54">
        <f>SUM(M63)</f>
        <v>42025</v>
      </c>
      <c r="N62" s="183">
        <f t="shared" ref="N62:N63" si="80">IFERROR(M62/H62,0)</f>
        <v>1.0381926430988908</v>
      </c>
      <c r="O62" s="63"/>
      <c r="P62" s="64"/>
      <c r="Q62" s="64"/>
      <c r="R62"/>
      <c r="S62" s="62"/>
      <c r="T62" s="51" t="str">
        <f>C62</f>
        <v>Social Development (Vote 17)</v>
      </c>
      <c r="U62" s="95">
        <v>40479</v>
      </c>
      <c r="V62" s="198">
        <v>0</v>
      </c>
      <c r="W62" s="54">
        <v>40479</v>
      </c>
      <c r="X62" s="54">
        <v>0</v>
      </c>
      <c r="Y62" s="95">
        <v>40479</v>
      </c>
      <c r="Z62" s="216"/>
      <c r="AA62" s="101">
        <v>20239</v>
      </c>
      <c r="AB62" s="54">
        <v>20239</v>
      </c>
      <c r="AC62" s="54"/>
      <c r="AD62" s="54">
        <v>22560</v>
      </c>
      <c r="AE62" s="183">
        <v>0.55732602089972583</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-20240</v>
      </c>
      <c r="AS62" s="390">
        <f t="shared" si="22"/>
        <v>-20240</v>
      </c>
      <c r="AT62" s="390"/>
      <c r="AU62" s="390">
        <f t="shared" si="23"/>
        <v>-19465</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40479</v>
      </c>
      <c r="E63" s="199">
        <f>SUM(F63-D63)</f>
        <v>0</v>
      </c>
      <c r="F63" s="497">
        <v>40479</v>
      </c>
      <c r="G63" s="497">
        <v>0</v>
      </c>
      <c r="H63" s="96">
        <f>SUM(F63:G63)</f>
        <v>40479</v>
      </c>
      <c r="I63" s="217"/>
      <c r="J63" s="499">
        <v>40479</v>
      </c>
      <c r="K63" s="497">
        <v>40479</v>
      </c>
      <c r="L63" s="59"/>
      <c r="M63" s="497">
        <v>42025</v>
      </c>
      <c r="N63" s="172">
        <f t="shared" si="80"/>
        <v>1.0381926430988908</v>
      </c>
      <c r="O63" s="33"/>
      <c r="P63" s="21"/>
      <c r="Q63" s="21"/>
      <c r="R63"/>
      <c r="S63" s="57"/>
      <c r="T63" s="58" t="str">
        <f t="shared" ref="T63:T67" si="81">C63</f>
        <v>Early Childhood Development Grant</v>
      </c>
      <c r="U63" s="96">
        <v>40479</v>
      </c>
      <c r="V63" s="199">
        <v>0</v>
      </c>
      <c r="W63" s="59">
        <v>40479</v>
      </c>
      <c r="X63" s="59">
        <v>0</v>
      </c>
      <c r="Y63" s="96">
        <v>40479</v>
      </c>
      <c r="Z63" s="217"/>
      <c r="AA63" s="102">
        <v>20239</v>
      </c>
      <c r="AB63" s="59">
        <v>20239</v>
      </c>
      <c r="AC63" s="59"/>
      <c r="AD63" s="59">
        <v>22560</v>
      </c>
      <c r="AE63" s="172">
        <v>0.55732602089972583</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-20240</v>
      </c>
      <c r="AS63" s="398">
        <f t="shared" si="22"/>
        <v>-20240</v>
      </c>
      <c r="AT63" s="398"/>
      <c r="AU63" s="398">
        <f t="shared" si="23"/>
        <v>-19465</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56064</v>
      </c>
      <c r="E69" s="198">
        <f t="shared" ref="E69:K69" si="85">SUM(E70)</f>
        <v>0</v>
      </c>
      <c r="F69" s="54">
        <f t="shared" si="85"/>
        <v>56064</v>
      </c>
      <c r="G69" s="54">
        <f t="shared" si="85"/>
        <v>0</v>
      </c>
      <c r="H69" s="95">
        <f t="shared" si="85"/>
        <v>56064</v>
      </c>
      <c r="I69" s="216">
        <f t="shared" si="85"/>
        <v>0</v>
      </c>
      <c r="J69" s="101">
        <f t="shared" si="85"/>
        <v>56064</v>
      </c>
      <c r="K69" s="54">
        <f t="shared" si="85"/>
        <v>56064</v>
      </c>
      <c r="L69" s="54"/>
      <c r="M69" s="54">
        <f>SUM(M70)</f>
        <v>56063</v>
      </c>
      <c r="N69" s="183">
        <f t="shared" ref="N69:N70" si="86">IFERROR(M69/H69,0)</f>
        <v>0.99998216324200917</v>
      </c>
      <c r="O69" s="63"/>
      <c r="P69" s="64"/>
      <c r="Q69" s="64"/>
      <c r="R69"/>
      <c r="S69" s="62"/>
      <c r="T69" s="51" t="str">
        <f>C69</f>
        <v>Sport and Recreation South Africa (Vote 40)</v>
      </c>
      <c r="U69" s="95">
        <v>56064</v>
      </c>
      <c r="V69" s="198">
        <v>0</v>
      </c>
      <c r="W69" s="54">
        <v>56064</v>
      </c>
      <c r="X69" s="54">
        <v>0</v>
      </c>
      <c r="Y69" s="95">
        <v>56064</v>
      </c>
      <c r="Z69" s="216"/>
      <c r="AA69" s="101">
        <v>28032</v>
      </c>
      <c r="AB69" s="54">
        <v>28032</v>
      </c>
      <c r="AC69" s="59"/>
      <c r="AD69" s="54">
        <v>22354</v>
      </c>
      <c r="AE69" s="172">
        <v>0.39872288812785389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-28032</v>
      </c>
      <c r="AS69" s="390">
        <f t="shared" si="22"/>
        <v>-28032</v>
      </c>
      <c r="AT69" s="398"/>
      <c r="AU69" s="390">
        <f t="shared" si="23"/>
        <v>-33709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56064</v>
      </c>
      <c r="E70" s="199">
        <f>SUM(F70-D70)</f>
        <v>0</v>
      </c>
      <c r="F70" s="497">
        <v>56064</v>
      </c>
      <c r="G70" s="497">
        <v>0</v>
      </c>
      <c r="H70" s="96">
        <f>SUM(F70:G70)</f>
        <v>56064</v>
      </c>
      <c r="I70" s="217"/>
      <c r="J70" s="499">
        <v>56064</v>
      </c>
      <c r="K70" s="497">
        <v>56064</v>
      </c>
      <c r="L70" s="59"/>
      <c r="M70" s="497">
        <v>56063</v>
      </c>
      <c r="N70" s="172">
        <f t="shared" si="86"/>
        <v>0.99998216324200917</v>
      </c>
      <c r="O70" s="60"/>
      <c r="P70" s="56"/>
      <c r="Q70" s="56"/>
      <c r="R70"/>
      <c r="S70" s="57"/>
      <c r="T70" s="58" t="str">
        <f t="shared" ref="T70:T74" si="87">C70</f>
        <v>Mass Participation and Sport Development Grant</v>
      </c>
      <c r="U70" s="96">
        <v>56064</v>
      </c>
      <c r="V70" s="199">
        <v>0</v>
      </c>
      <c r="W70" s="59">
        <v>56064</v>
      </c>
      <c r="X70" s="59">
        <v>0</v>
      </c>
      <c r="Y70" s="96">
        <v>56064</v>
      </c>
      <c r="Z70" s="217"/>
      <c r="AA70" s="102">
        <v>28032</v>
      </c>
      <c r="AB70" s="59">
        <v>28032</v>
      </c>
      <c r="AC70" s="59"/>
      <c r="AD70" s="59">
        <v>22354</v>
      </c>
      <c r="AE70" s="183">
        <v>0.39872288812785389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-28032</v>
      </c>
      <c r="AS70" s="398">
        <f t="shared" si="22"/>
        <v>-28032</v>
      </c>
      <c r="AT70" s="398"/>
      <c r="AU70" s="398">
        <f t="shared" si="23"/>
        <v>-33709</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5825035</v>
      </c>
      <c r="E76" s="201">
        <f t="shared" ref="E76:K76" si="90">SUM(E13+E20+E27+E34+E41+E48+E55+E62+E69)</f>
        <v>129583</v>
      </c>
      <c r="F76" s="75">
        <f t="shared" si="90"/>
        <v>5954618</v>
      </c>
      <c r="G76" s="75">
        <f t="shared" si="90"/>
        <v>5008</v>
      </c>
      <c r="H76" s="98">
        <f t="shared" si="90"/>
        <v>5959626</v>
      </c>
      <c r="I76" s="219">
        <f t="shared" si="90"/>
        <v>0</v>
      </c>
      <c r="J76" s="104">
        <f t="shared" si="90"/>
        <v>5954618</v>
      </c>
      <c r="K76" s="75">
        <f t="shared" si="90"/>
        <v>5954618.0001800004</v>
      </c>
      <c r="L76" s="59"/>
      <c r="M76" s="75">
        <f>SUM(M13+M20+M27+M34+M41+M48+M55+M62+M69)</f>
        <v>5951026</v>
      </c>
      <c r="N76" s="180">
        <f>IFERROR(M76/H76,0)</f>
        <v>0.99855695642646036</v>
      </c>
      <c r="O76" s="60"/>
      <c r="P76" s="65"/>
      <c r="Q76" s="65"/>
      <c r="R76"/>
      <c r="S76" s="53"/>
      <c r="T76" s="74" t="s">
        <v>37</v>
      </c>
      <c r="U76" s="98">
        <v>5825035</v>
      </c>
      <c r="V76" s="201">
        <v>0</v>
      </c>
      <c r="W76" s="75">
        <v>5825035</v>
      </c>
      <c r="X76" s="75">
        <v>0</v>
      </c>
      <c r="Y76" s="98">
        <v>5825035</v>
      </c>
      <c r="Z76" s="219">
        <v>0</v>
      </c>
      <c r="AA76" s="104">
        <v>2850951</v>
      </c>
      <c r="AB76" s="75">
        <v>2871448</v>
      </c>
      <c r="AC76" s="59"/>
      <c r="AD76" s="75">
        <v>2723181</v>
      </c>
      <c r="AE76" s="180">
        <v>0.46749607513087904</v>
      </c>
      <c r="AF76" s="60"/>
      <c r="AG76" s="443"/>
      <c r="AH76" s="443"/>
      <c r="AI76"/>
      <c r="AJ76" s="387"/>
      <c r="AK76" s="411" t="str">
        <f t="shared" si="15"/>
        <v>Sub-Total</v>
      </c>
      <c r="AL76" s="412">
        <f t="shared" si="16"/>
        <v>0</v>
      </c>
      <c r="AM76" s="413">
        <f t="shared" si="17"/>
        <v>-129583</v>
      </c>
      <c r="AN76" s="414">
        <f t="shared" si="18"/>
        <v>-129583</v>
      </c>
      <c r="AO76" s="414">
        <f t="shared" si="19"/>
        <v>-5008</v>
      </c>
      <c r="AP76" s="412">
        <f t="shared" si="20"/>
        <v>-134591</v>
      </c>
      <c r="AQ76" s="415"/>
      <c r="AR76" s="416">
        <f t="shared" si="21"/>
        <v>-3103667</v>
      </c>
      <c r="AS76" s="414">
        <f t="shared" si="22"/>
        <v>-3083170.0001800004</v>
      </c>
      <c r="AT76" s="398"/>
      <c r="AU76" s="414">
        <f t="shared" si="23"/>
        <v>-3227845</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1109331</v>
      </c>
      <c r="E80" s="198">
        <f t="shared" ref="E80:K80" si="91">SUM(E81)</f>
        <v>0</v>
      </c>
      <c r="F80" s="54">
        <f t="shared" si="91"/>
        <v>1109331</v>
      </c>
      <c r="G80" s="54">
        <f t="shared" si="91"/>
        <v>25174</v>
      </c>
      <c r="H80" s="95">
        <f t="shared" si="91"/>
        <v>1134505</v>
      </c>
      <c r="I80" s="216">
        <f t="shared" si="91"/>
        <v>0</v>
      </c>
      <c r="J80" s="101">
        <f t="shared" si="91"/>
        <v>1109331</v>
      </c>
      <c r="K80" s="54">
        <f t="shared" si="91"/>
        <v>1109331</v>
      </c>
      <c r="L80" s="54"/>
      <c r="M80" s="76"/>
      <c r="N80" s="439"/>
      <c r="O80" s="55"/>
      <c r="R80"/>
      <c r="S80" s="62"/>
      <c r="T80" s="51" t="str">
        <f>C80</f>
        <v>Basic Education (Vote 14)</v>
      </c>
      <c r="U80" s="95">
        <v>1109331</v>
      </c>
      <c r="V80" s="198">
        <v>0</v>
      </c>
      <c r="W80" s="54">
        <v>1109331</v>
      </c>
      <c r="X80" s="54">
        <v>0</v>
      </c>
      <c r="Y80" s="95">
        <v>1109331</v>
      </c>
      <c r="Z80" s="216"/>
      <c r="AA80" s="101">
        <v>693332</v>
      </c>
      <c r="AB80" s="54">
        <v>693332</v>
      </c>
      <c r="AC80" s="59"/>
      <c r="AD80" s="54"/>
      <c r="AE80" s="54"/>
      <c r="AF80" s="55"/>
      <c r="AG80" s="442"/>
      <c r="AH80" s="442"/>
      <c r="AI80"/>
      <c r="AJ80" s="402"/>
      <c r="AK80" s="481" t="str">
        <f t="shared" si="15"/>
        <v>Basic Education (Vote 14)</v>
      </c>
      <c r="AL80" s="388">
        <f t="shared" si="16"/>
        <v>0</v>
      </c>
      <c r="AM80" s="389">
        <f t="shared" si="17"/>
        <v>0</v>
      </c>
      <c r="AN80" s="390">
        <f t="shared" si="18"/>
        <v>0</v>
      </c>
      <c r="AO80" s="390">
        <f t="shared" si="19"/>
        <v>-25174</v>
      </c>
      <c r="AP80" s="388">
        <f t="shared" si="20"/>
        <v>-25174</v>
      </c>
      <c r="AQ80" s="391"/>
      <c r="AR80" s="392">
        <f t="shared" si="21"/>
        <v>-415999</v>
      </c>
      <c r="AS80" s="390">
        <f t="shared" si="22"/>
        <v>-415999</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1109331</v>
      </c>
      <c r="E81" s="199">
        <f>SUM(F81-D81)</f>
        <v>0</v>
      </c>
      <c r="F81" s="497">
        <v>1109331</v>
      </c>
      <c r="G81" s="497">
        <v>25174</v>
      </c>
      <c r="H81" s="96">
        <f>SUM(F81:G81)</f>
        <v>1134505</v>
      </c>
      <c r="I81" s="217"/>
      <c r="J81" s="499">
        <v>1109331</v>
      </c>
      <c r="K81" s="497">
        <v>1109331</v>
      </c>
      <c r="L81" s="59"/>
      <c r="M81" s="76"/>
      <c r="N81" s="439"/>
      <c r="O81" s="33"/>
      <c r="R81"/>
      <c r="S81" s="57"/>
      <c r="T81" s="58" t="str">
        <f t="shared" ref="T81:T85" si="92">C81</f>
        <v>Education Infrastructure Grant</v>
      </c>
      <c r="U81" s="96">
        <v>1109331</v>
      </c>
      <c r="V81" s="199">
        <v>0</v>
      </c>
      <c r="W81" s="59">
        <v>1109331</v>
      </c>
      <c r="X81" s="59">
        <v>0</v>
      </c>
      <c r="Y81" s="96">
        <v>1109331</v>
      </c>
      <c r="Z81" s="217"/>
      <c r="AA81" s="102">
        <v>693332</v>
      </c>
      <c r="AB81" s="59">
        <v>693332</v>
      </c>
      <c r="AC81" s="59"/>
      <c r="AD81" s="76"/>
      <c r="AE81" s="76"/>
      <c r="AF81" s="33"/>
      <c r="AG81" s="441"/>
      <c r="AH81" s="441"/>
      <c r="AI81"/>
      <c r="AJ81" s="394"/>
      <c r="AK81" s="479" t="str">
        <f t="shared" si="15"/>
        <v>Education Infrastructure Grant</v>
      </c>
      <c r="AL81" s="396">
        <f t="shared" si="16"/>
        <v>0</v>
      </c>
      <c r="AM81" s="397">
        <f t="shared" si="17"/>
        <v>0</v>
      </c>
      <c r="AN81" s="398">
        <f t="shared" si="18"/>
        <v>0</v>
      </c>
      <c r="AO81" s="398">
        <f t="shared" si="19"/>
        <v>-25174</v>
      </c>
      <c r="AP81" s="396">
        <f t="shared" si="20"/>
        <v>-25174</v>
      </c>
      <c r="AQ81" s="399"/>
      <c r="AR81" s="400">
        <f t="shared" si="21"/>
        <v>-415999</v>
      </c>
      <c r="AS81" s="398">
        <f t="shared" si="22"/>
        <v>-415999</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3827985</v>
      </c>
      <c r="E87" s="198">
        <f t="shared" ref="E87:K87" si="104">SUM(E88+E89)</f>
        <v>0</v>
      </c>
      <c r="F87" s="54">
        <f t="shared" si="104"/>
        <v>3827985</v>
      </c>
      <c r="G87" s="54">
        <f t="shared" si="104"/>
        <v>0</v>
      </c>
      <c r="H87" s="95">
        <f t="shared" si="104"/>
        <v>3827985</v>
      </c>
      <c r="I87" s="216">
        <f t="shared" si="104"/>
        <v>0</v>
      </c>
      <c r="J87" s="101">
        <f t="shared" si="104"/>
        <v>3827985</v>
      </c>
      <c r="K87" s="54">
        <f t="shared" si="104"/>
        <v>3827985</v>
      </c>
      <c r="L87" s="59"/>
      <c r="M87" s="591"/>
      <c r="N87" s="439"/>
      <c r="O87" s="55"/>
      <c r="R87"/>
      <c r="S87" s="62"/>
      <c r="T87" s="51" t="str">
        <f>C87</f>
        <v>Health (Vote 16)</v>
      </c>
      <c r="U87" s="95">
        <v>3827985</v>
      </c>
      <c r="V87" s="198">
        <v>0</v>
      </c>
      <c r="W87" s="54">
        <v>3827985</v>
      </c>
      <c r="X87" s="54">
        <v>0</v>
      </c>
      <c r="Y87" s="95">
        <v>3827985</v>
      </c>
      <c r="Z87" s="216"/>
      <c r="AA87" s="101">
        <v>1913982</v>
      </c>
      <c r="AB87" s="54">
        <v>1913982</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0</v>
      </c>
      <c r="AP87" s="388">
        <f t="shared" si="100"/>
        <v>0</v>
      </c>
      <c r="AQ87" s="391"/>
      <c r="AR87" s="392">
        <f t="shared" si="101"/>
        <v>-1914003</v>
      </c>
      <c r="AS87" s="390">
        <f t="shared" si="102"/>
        <v>-1914003</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606334</v>
      </c>
      <c r="E88" s="199">
        <f t="shared" ref="E88:E89" si="105">SUM(F88-D88)</f>
        <v>0</v>
      </c>
      <c r="F88" s="497">
        <v>606334</v>
      </c>
      <c r="G88" s="497">
        <v>0</v>
      </c>
      <c r="H88" s="96">
        <f t="shared" ref="H88:H89" si="106">SUM(F88:G88)</f>
        <v>606334</v>
      </c>
      <c r="I88" s="217"/>
      <c r="J88" s="499">
        <v>606334</v>
      </c>
      <c r="K88" s="497">
        <v>606334</v>
      </c>
      <c r="L88" s="59"/>
      <c r="M88" s="76"/>
      <c r="N88" s="439"/>
      <c r="O88" s="33"/>
      <c r="P88" s="21"/>
      <c r="Q88" s="21"/>
      <c r="R88"/>
      <c r="S88" s="57"/>
      <c r="T88" s="58" t="str">
        <f t="shared" ref="T88:T92" si="107">C88</f>
        <v>(a) Health Professions Training and Development Grant</v>
      </c>
      <c r="U88" s="96">
        <v>606334</v>
      </c>
      <c r="V88" s="199">
        <v>0</v>
      </c>
      <c r="W88" s="59">
        <v>606334</v>
      </c>
      <c r="X88" s="59">
        <v>0</v>
      </c>
      <c r="Y88" s="96">
        <v>606334</v>
      </c>
      <c r="Z88" s="217"/>
      <c r="AA88" s="102">
        <v>303162</v>
      </c>
      <c r="AB88" s="59">
        <v>303162</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-303172</v>
      </c>
      <c r="AS88" s="398">
        <f t="shared" si="102"/>
        <v>-303172</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3221651</v>
      </c>
      <c r="E89" s="199">
        <f t="shared" si="105"/>
        <v>0</v>
      </c>
      <c r="F89" s="497">
        <v>3221651</v>
      </c>
      <c r="G89" s="497">
        <v>0</v>
      </c>
      <c r="H89" s="96">
        <f t="shared" si="106"/>
        <v>3221651</v>
      </c>
      <c r="I89" s="217"/>
      <c r="J89" s="499">
        <v>3221651</v>
      </c>
      <c r="K89" s="497">
        <v>3221651</v>
      </c>
      <c r="L89" s="59"/>
      <c r="M89" s="76"/>
      <c r="N89" s="439"/>
      <c r="O89" s="33"/>
      <c r="S89" s="57"/>
      <c r="T89" s="58" t="str">
        <f t="shared" si="107"/>
        <v>(b) National Tertiary Services Grant</v>
      </c>
      <c r="U89" s="96">
        <v>3221651</v>
      </c>
      <c r="V89" s="199">
        <v>0</v>
      </c>
      <c r="W89" s="59">
        <v>3221651</v>
      </c>
      <c r="X89" s="59">
        <v>0</v>
      </c>
      <c r="Y89" s="96">
        <v>3221651</v>
      </c>
      <c r="Z89" s="217"/>
      <c r="AA89" s="102">
        <v>1610820</v>
      </c>
      <c r="AB89" s="59">
        <v>1610820</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0</v>
      </c>
      <c r="AP89" s="396">
        <f t="shared" si="100"/>
        <v>0</v>
      </c>
      <c r="AQ89" s="399"/>
      <c r="AR89" s="400">
        <f t="shared" si="101"/>
        <v>-1610831</v>
      </c>
      <c r="AS89" s="398">
        <f t="shared" si="102"/>
        <v>-1610831</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2046233</v>
      </c>
      <c r="E101" s="198">
        <f t="shared" ref="E101:K101" si="113">SUM(E102+E103)</f>
        <v>0</v>
      </c>
      <c r="F101" s="54">
        <f t="shared" si="113"/>
        <v>2046233</v>
      </c>
      <c r="G101" s="54">
        <f t="shared" si="113"/>
        <v>0</v>
      </c>
      <c r="H101" s="95">
        <f t="shared" si="113"/>
        <v>2046233</v>
      </c>
      <c r="I101" s="216">
        <f t="shared" si="113"/>
        <v>0</v>
      </c>
      <c r="J101" s="101">
        <f t="shared" si="113"/>
        <v>2046233</v>
      </c>
      <c r="K101" s="54">
        <f t="shared" si="113"/>
        <v>2046233</v>
      </c>
      <c r="L101" s="59"/>
      <c r="M101" s="591"/>
      <c r="N101" s="439"/>
      <c r="O101" s="55"/>
      <c r="R101"/>
      <c r="S101" s="62"/>
      <c r="T101" s="51" t="str">
        <f>C101</f>
        <v>Transport (Vote 35)</v>
      </c>
      <c r="U101" s="95">
        <v>2046233</v>
      </c>
      <c r="V101" s="198">
        <v>0</v>
      </c>
      <c r="W101" s="54">
        <v>2046233</v>
      </c>
      <c r="X101" s="54">
        <v>0</v>
      </c>
      <c r="Y101" s="95">
        <v>2046233</v>
      </c>
      <c r="Z101" s="216"/>
      <c r="AA101" s="101">
        <v>1049733</v>
      </c>
      <c r="AB101" s="54">
        <v>1049733</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-996500</v>
      </c>
      <c r="AS101" s="390">
        <f t="shared" si="102"/>
        <v>-996500</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1040051</v>
      </c>
      <c r="E102" s="199">
        <f t="shared" ref="E102:E103" si="114">SUM(F102-D102)</f>
        <v>0</v>
      </c>
      <c r="F102" s="497">
        <v>1040051</v>
      </c>
      <c r="G102" s="497">
        <v>0</v>
      </c>
      <c r="H102" s="96">
        <f t="shared" ref="H102:H103" si="115">SUM(F102:G102)</f>
        <v>1040051</v>
      </c>
      <c r="I102" s="217"/>
      <c r="J102" s="499">
        <v>1040051</v>
      </c>
      <c r="K102" s="497">
        <v>1040051</v>
      </c>
      <c r="L102" s="59"/>
      <c r="M102" s="76"/>
      <c r="N102" s="439"/>
      <c r="O102" s="33"/>
      <c r="S102" s="57"/>
      <c r="T102" s="58" t="str">
        <f t="shared" ref="T102:T106" si="116">C102</f>
        <v>(a) Provincial Roads Maintenance Grant</v>
      </c>
      <c r="U102" s="96">
        <v>1040051</v>
      </c>
      <c r="V102" s="199">
        <v>0</v>
      </c>
      <c r="W102" s="59">
        <v>1040051</v>
      </c>
      <c r="X102" s="59">
        <v>0</v>
      </c>
      <c r="Y102" s="96">
        <v>1040051</v>
      </c>
      <c r="Z102" s="217"/>
      <c r="AA102" s="102">
        <v>610146</v>
      </c>
      <c r="AB102" s="59">
        <v>610146</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-429905</v>
      </c>
      <c r="AS102" s="398">
        <f t="shared" si="102"/>
        <v>-429905</v>
      </c>
      <c r="AT102" s="398"/>
      <c r="AU102" s="417">
        <f t="shared" si="103"/>
        <v>0</v>
      </c>
      <c r="AV102" s="417"/>
      <c r="AW102" s="347"/>
    </row>
    <row r="103" spans="1:82" ht="15.75" customHeight="1" x14ac:dyDescent="0.3">
      <c r="B103" s="57"/>
      <c r="C103" s="58" t="s">
        <v>44</v>
      </c>
      <c r="D103" s="496">
        <v>1006182</v>
      </c>
      <c r="E103" s="199">
        <f t="shared" si="114"/>
        <v>0</v>
      </c>
      <c r="F103" s="497">
        <v>1006182</v>
      </c>
      <c r="G103" s="497">
        <v>0</v>
      </c>
      <c r="H103" s="96">
        <f t="shared" si="115"/>
        <v>1006182</v>
      </c>
      <c r="I103" s="217"/>
      <c r="J103" s="499">
        <v>1006182</v>
      </c>
      <c r="K103" s="497">
        <v>1006182</v>
      </c>
      <c r="L103" s="59"/>
      <c r="M103" s="76"/>
      <c r="N103" s="439"/>
      <c r="O103" s="33"/>
      <c r="S103" s="57"/>
      <c r="T103" s="58" t="str">
        <f t="shared" si="116"/>
        <v>(b) Public Transport Operations Grant</v>
      </c>
      <c r="U103" s="96">
        <v>1006182</v>
      </c>
      <c r="V103" s="199">
        <v>0</v>
      </c>
      <c r="W103" s="59">
        <v>1006182</v>
      </c>
      <c r="X103" s="59">
        <v>0</v>
      </c>
      <c r="Y103" s="96">
        <v>1006182</v>
      </c>
      <c r="Z103" s="217"/>
      <c r="AA103" s="102">
        <v>439587</v>
      </c>
      <c r="AB103" s="59">
        <v>439587</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-566595</v>
      </c>
      <c r="AS103" s="398">
        <f t="shared" si="102"/>
        <v>-566595</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6983549</v>
      </c>
      <c r="E108" s="201">
        <f t="shared" ref="E108:K108" si="119">SUM(E80+E87+E101)</f>
        <v>0</v>
      </c>
      <c r="F108" s="75">
        <f t="shared" si="119"/>
        <v>6983549</v>
      </c>
      <c r="G108" s="75">
        <f t="shared" si="119"/>
        <v>25174</v>
      </c>
      <c r="H108" s="98">
        <f t="shared" si="119"/>
        <v>7008723</v>
      </c>
      <c r="I108" s="219">
        <f t="shared" si="119"/>
        <v>0</v>
      </c>
      <c r="J108" s="104">
        <f t="shared" si="119"/>
        <v>6983549</v>
      </c>
      <c r="K108" s="75">
        <f t="shared" si="119"/>
        <v>6983549</v>
      </c>
      <c r="L108" s="59"/>
      <c r="M108" s="77"/>
      <c r="N108" s="440"/>
      <c r="O108" s="55"/>
      <c r="R108"/>
      <c r="S108" s="53"/>
      <c r="T108" s="74" t="s">
        <v>37</v>
      </c>
      <c r="U108" s="98">
        <v>6983549</v>
      </c>
      <c r="V108" s="201">
        <v>0</v>
      </c>
      <c r="W108" s="75">
        <v>6983549</v>
      </c>
      <c r="X108" s="75">
        <v>0</v>
      </c>
      <c r="Y108" s="98">
        <v>6983549</v>
      </c>
      <c r="Z108" s="219"/>
      <c r="AA108" s="104">
        <v>3657047</v>
      </c>
      <c r="AB108" s="75">
        <v>3657047</v>
      </c>
      <c r="AC108" s="59"/>
      <c r="AD108" s="77"/>
      <c r="AE108" s="77"/>
      <c r="AF108" s="55"/>
      <c r="AG108" s="442"/>
      <c r="AH108" s="442"/>
      <c r="AI108"/>
      <c r="AJ108" s="387"/>
      <c r="AK108" s="411" t="str">
        <f t="shared" si="95"/>
        <v>Sub-Total</v>
      </c>
      <c r="AL108" s="412">
        <f t="shared" si="96"/>
        <v>0</v>
      </c>
      <c r="AM108" s="413">
        <f t="shared" si="97"/>
        <v>0</v>
      </c>
      <c r="AN108" s="414">
        <f t="shared" si="98"/>
        <v>0</v>
      </c>
      <c r="AO108" s="414">
        <f t="shared" si="99"/>
        <v>-25174</v>
      </c>
      <c r="AP108" s="412">
        <f t="shared" si="100"/>
        <v>-25174</v>
      </c>
      <c r="AQ108" s="415"/>
      <c r="AR108" s="416">
        <f t="shared" si="101"/>
        <v>-3326502</v>
      </c>
      <c r="AS108" s="414">
        <f t="shared" si="102"/>
        <v>-3326502</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3415</v>
      </c>
      <c r="F117" s="54">
        <f t="shared" si="124"/>
        <v>3415</v>
      </c>
      <c r="G117" s="54">
        <f t="shared" si="124"/>
        <v>83773</v>
      </c>
      <c r="H117" s="95">
        <f t="shared" si="124"/>
        <v>87188</v>
      </c>
      <c r="I117" s="216"/>
      <c r="J117" s="105"/>
      <c r="K117" s="54">
        <f>SUM(K118)</f>
        <v>3415</v>
      </c>
      <c r="L117" s="54"/>
      <c r="M117" s="76"/>
      <c r="N117" s="439"/>
      <c r="O117" s="55"/>
      <c r="R117"/>
      <c r="S117" s="62"/>
      <c r="T117" s="51" t="str">
        <f>C117</f>
        <v>Human Settlements (Vote 38)</v>
      </c>
      <c r="U117" s="95">
        <v>0</v>
      </c>
      <c r="V117" s="198">
        <v>0</v>
      </c>
      <c r="W117" s="54">
        <v>0</v>
      </c>
      <c r="X117" s="54">
        <v>0</v>
      </c>
      <c r="Y117" s="95">
        <v>0</v>
      </c>
      <c r="Z117" s="216"/>
      <c r="AA117" s="101"/>
      <c r="AB117" s="54">
        <v>3415</v>
      </c>
      <c r="AC117" s="59"/>
      <c r="AD117" s="54"/>
      <c r="AE117" s="54"/>
      <c r="AF117" s="55"/>
      <c r="AG117" s="442"/>
      <c r="AH117" s="442"/>
      <c r="AI117"/>
      <c r="AJ117" s="402"/>
      <c r="AK117" s="481" t="str">
        <f t="shared" si="95"/>
        <v>Human Settlements (Vote 38)</v>
      </c>
      <c r="AL117" s="388">
        <f t="shared" si="96"/>
        <v>0</v>
      </c>
      <c r="AM117" s="389">
        <f t="shared" si="97"/>
        <v>-3415</v>
      </c>
      <c r="AN117" s="390">
        <f t="shared" si="98"/>
        <v>-3415</v>
      </c>
      <c r="AO117" s="390">
        <f t="shared" si="99"/>
        <v>-83773</v>
      </c>
      <c r="AP117" s="388">
        <f t="shared" si="100"/>
        <v>-87188</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3415</v>
      </c>
      <c r="F118" s="501">
        <v>3415</v>
      </c>
      <c r="G118" s="498">
        <v>83773</v>
      </c>
      <c r="H118" s="96">
        <f>SUM(F118:G118)</f>
        <v>87188</v>
      </c>
      <c r="I118" s="217"/>
      <c r="J118" s="105"/>
      <c r="K118" s="497">
        <v>3415</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3415</v>
      </c>
      <c r="AC118" s="59"/>
      <c r="AD118" s="76"/>
      <c r="AE118" s="76"/>
      <c r="AF118" s="33"/>
      <c r="AG118" s="441"/>
      <c r="AH118" s="441"/>
      <c r="AI118"/>
      <c r="AJ118" s="394"/>
      <c r="AK118" s="479" t="str">
        <f t="shared" si="95"/>
        <v>Provincial Emergency Housing Grant</v>
      </c>
      <c r="AL118" s="396">
        <f t="shared" si="96"/>
        <v>0</v>
      </c>
      <c r="AM118" s="397">
        <f t="shared" si="97"/>
        <v>-3415</v>
      </c>
      <c r="AN118" s="398">
        <f t="shared" si="98"/>
        <v>-3415</v>
      </c>
      <c r="AO118" s="398">
        <f t="shared" si="99"/>
        <v>-83773</v>
      </c>
      <c r="AP118" s="396">
        <f t="shared" si="100"/>
        <v>-87188</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3415</v>
      </c>
      <c r="F122" s="75">
        <f t="shared" si="126"/>
        <v>3415</v>
      </c>
      <c r="G122" s="75">
        <f t="shared" si="126"/>
        <v>83773</v>
      </c>
      <c r="H122" s="98">
        <f t="shared" si="126"/>
        <v>87188</v>
      </c>
      <c r="I122" s="433"/>
      <c r="J122" s="432"/>
      <c r="K122" s="75">
        <f>SUM(K112+K117)</f>
        <v>3415</v>
      </c>
      <c r="L122" s="59"/>
      <c r="M122" s="77"/>
      <c r="N122" s="440"/>
      <c r="O122" s="33"/>
      <c r="R122"/>
      <c r="S122" s="53"/>
      <c r="T122" s="74" t="s">
        <v>37</v>
      </c>
      <c r="U122" s="98">
        <v>0</v>
      </c>
      <c r="V122" s="201">
        <v>0</v>
      </c>
      <c r="W122" s="75">
        <v>0</v>
      </c>
      <c r="X122" s="75">
        <v>0</v>
      </c>
      <c r="Y122" s="98">
        <v>0</v>
      </c>
      <c r="Z122" s="433"/>
      <c r="AA122" s="432"/>
      <c r="AB122" s="75">
        <v>3415</v>
      </c>
      <c r="AC122" s="59"/>
      <c r="AD122" s="77"/>
      <c r="AE122" s="77"/>
      <c r="AF122" s="33"/>
      <c r="AG122" s="441"/>
      <c r="AH122" s="441"/>
      <c r="AI122"/>
      <c r="AJ122" s="387"/>
      <c r="AK122" s="411" t="str">
        <f t="shared" si="95"/>
        <v>Sub-Total</v>
      </c>
      <c r="AL122" s="412">
        <f t="shared" si="96"/>
        <v>0</v>
      </c>
      <c r="AM122" s="413">
        <f t="shared" si="97"/>
        <v>-3415</v>
      </c>
      <c r="AN122" s="414">
        <f t="shared" si="98"/>
        <v>-3415</v>
      </c>
      <c r="AO122" s="414">
        <f t="shared" si="99"/>
        <v>-83773</v>
      </c>
      <c r="AP122" s="412">
        <f t="shared" si="100"/>
        <v>-87188</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12808584</v>
      </c>
      <c r="E124" s="202">
        <f t="shared" ref="E124:K124" si="127">SUM(E76+E108+E122)</f>
        <v>132998</v>
      </c>
      <c r="F124" s="81">
        <f t="shared" si="127"/>
        <v>12941582</v>
      </c>
      <c r="G124" s="81">
        <f t="shared" si="127"/>
        <v>113955</v>
      </c>
      <c r="H124" s="80">
        <f t="shared" si="127"/>
        <v>13055537</v>
      </c>
      <c r="I124" s="220">
        <f t="shared" si="127"/>
        <v>0</v>
      </c>
      <c r="J124" s="106">
        <f t="shared" si="127"/>
        <v>12938167</v>
      </c>
      <c r="K124" s="81">
        <f t="shared" si="127"/>
        <v>12941582.00018</v>
      </c>
      <c r="L124" s="59"/>
      <c r="M124" s="82"/>
      <c r="N124" s="440"/>
      <c r="O124" s="55"/>
      <c r="R124"/>
      <c r="S124" s="78"/>
      <c r="T124" s="79" t="s">
        <v>4</v>
      </c>
      <c r="U124" s="80">
        <v>12808584</v>
      </c>
      <c r="V124" s="202">
        <v>0</v>
      </c>
      <c r="W124" s="81">
        <v>12808584</v>
      </c>
      <c r="X124" s="81">
        <v>0</v>
      </c>
      <c r="Y124" s="80">
        <v>12808584</v>
      </c>
      <c r="Z124" s="220"/>
      <c r="AA124" s="106">
        <v>6507998</v>
      </c>
      <c r="AB124" s="81">
        <v>6531910</v>
      </c>
      <c r="AC124" s="59"/>
      <c r="AD124" s="82"/>
      <c r="AE124" s="82"/>
      <c r="AF124" s="55"/>
      <c r="AG124" s="442"/>
      <c r="AH124" s="442"/>
      <c r="AI124"/>
      <c r="AJ124" s="420"/>
      <c r="AK124" s="421" t="str">
        <f t="shared" si="95"/>
        <v>Total</v>
      </c>
      <c r="AL124" s="422">
        <f t="shared" si="96"/>
        <v>0</v>
      </c>
      <c r="AM124" s="423">
        <f t="shared" si="97"/>
        <v>-132998</v>
      </c>
      <c r="AN124" s="424">
        <f t="shared" si="98"/>
        <v>-132998</v>
      </c>
      <c r="AO124" s="424">
        <f t="shared" si="99"/>
        <v>-113955</v>
      </c>
      <c r="AP124" s="422">
        <f t="shared" si="100"/>
        <v>-246953</v>
      </c>
      <c r="AQ124" s="425"/>
      <c r="AR124" s="426">
        <f t="shared" si="101"/>
        <v>-6430169</v>
      </c>
      <c r="AS124" s="424">
        <f t="shared" si="102"/>
        <v>-6409672.0001800004</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4XxzAJHKB3etXIcQpIA0CDWkZkIZrZqWs3EIZvbXmmBn7xHeG7jTGC3fgwgFCqthfEWmlIsfwZh0qYk+bPNJig==" saltValue="XH4PZJjiXnZV2dKK9OAJr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pageSetUpPr autoPageBreaks="0" fitToPage="1"/>
  </sheetPr>
  <dimension ref="A1:CA237"/>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tr">
        <f>UPPER(Prov) &amp; " PROVINCE"</f>
        <v>ALL PROVINCES PROVINCE</v>
      </c>
      <c r="D4" s="8"/>
      <c r="E4" s="8"/>
      <c r="F4" s="8"/>
      <c r="G4" s="8"/>
      <c r="H4" s="8"/>
      <c r="I4" s="8"/>
      <c r="J4" s="8"/>
      <c r="K4" s="8"/>
      <c r="L4" s="8"/>
      <c r="M4" s="8"/>
      <c r="N4" s="8"/>
      <c r="O4" s="11"/>
      <c r="P4"/>
      <c r="Q4"/>
      <c r="R4"/>
      <c r="S4" s="6"/>
      <c r="T4" s="10" t="str">
        <f>C4</f>
        <v>ALL PROVINCES PROVINCE</v>
      </c>
      <c r="U4" s="8"/>
      <c r="V4" s="8"/>
      <c r="W4" s="8"/>
      <c r="X4" s="8"/>
      <c r="Y4" s="8"/>
      <c r="Z4" s="8"/>
      <c r="AA4" s="8"/>
      <c r="AB4" s="8"/>
      <c r="AC4" s="8"/>
      <c r="AD4" s="8"/>
      <c r="AE4" s="8"/>
      <c r="AF4" s="11"/>
      <c r="AG4"/>
      <c r="AH4"/>
      <c r="AI4"/>
      <c r="AJ4" s="234"/>
      <c r="AK4" s="238" t="str">
        <f>C4</f>
        <v>ALL PROVINCES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86</v>
      </c>
      <c r="I7" s="206"/>
      <c r="J7" s="206"/>
      <c r="K7" s="124"/>
      <c r="L7" s="125"/>
      <c r="M7" s="126" t="s">
        <v>87</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78</v>
      </c>
      <c r="N8" s="129" t="s">
        <v>79</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35" customFormat="1" ht="15.75" customHeight="1" x14ac:dyDescent="0.3">
      <c r="A12" s="446">
        <v>1</v>
      </c>
      <c r="B12" s="119"/>
      <c r="C12" s="151" t="s">
        <v>8</v>
      </c>
      <c r="D12" s="152">
        <f>SUM(D13:D14)</f>
        <v>611858281.19000006</v>
      </c>
      <c r="E12" s="152">
        <f>SUM(E13:E14)</f>
        <v>1134864</v>
      </c>
      <c r="F12" s="153">
        <f>SUM(F13:F14)</f>
        <v>612993145.19000006</v>
      </c>
      <c r="G12" s="152"/>
      <c r="H12" s="154">
        <f>SUM(H13:H14)</f>
        <v>153576981</v>
      </c>
      <c r="I12" s="155">
        <f t="shared" ref="I12:M12" si="0">SUM(I13:I14)</f>
        <v>154410981</v>
      </c>
      <c r="J12" s="155">
        <f t="shared" ref="J12:K12" si="1">SUM(J13:J14)</f>
        <v>153336626</v>
      </c>
      <c r="K12" s="155">
        <f t="shared" si="1"/>
        <v>151658962.00018001</v>
      </c>
      <c r="L12" s="156"/>
      <c r="M12" s="155">
        <f t="shared" si="0"/>
        <v>612983550.00018001</v>
      </c>
      <c r="N12" s="172">
        <f>IFERROR(M12/F12,0)</f>
        <v>0.9999843469867562</v>
      </c>
      <c r="O12" s="144"/>
      <c r="P12" s="118"/>
      <c r="Q12"/>
      <c r="R12"/>
      <c r="S12" s="119"/>
      <c r="T12" s="151" t="str">
        <f>C12</f>
        <v>Transfers from National Revenue Fund</v>
      </c>
      <c r="U12" s="152">
        <v>611858281.19000006</v>
      </c>
      <c r="V12" s="152">
        <v>0</v>
      </c>
      <c r="W12" s="153">
        <v>611858281.19000006</v>
      </c>
      <c r="X12" s="152"/>
      <c r="Y12" s="154">
        <v>153798224.33200002</v>
      </c>
      <c r="Z12" s="155">
        <v>154419901</v>
      </c>
      <c r="AA12" s="155">
        <v>0</v>
      </c>
      <c r="AB12" s="155">
        <v>0</v>
      </c>
      <c r="AC12" s="156"/>
      <c r="AD12" s="155">
        <v>308218125.33200002</v>
      </c>
      <c r="AE12" s="172">
        <v>0.5037410374385195</v>
      </c>
      <c r="AF12" s="144"/>
      <c r="AG12" s="118"/>
      <c r="AH12"/>
      <c r="AI12"/>
      <c r="AJ12" s="248"/>
      <c r="AK12" s="284" t="s">
        <v>8</v>
      </c>
      <c r="AL12" s="285">
        <f>SUM(AL13:AL14)</f>
        <v>0</v>
      </c>
      <c r="AM12" s="285">
        <f>SUM(AM13:AM14)</f>
        <v>-1134864</v>
      </c>
      <c r="AN12" s="286">
        <f>SUM(AN13:AN14)</f>
        <v>-1134864</v>
      </c>
      <c r="AO12" s="285"/>
      <c r="AP12" s="287">
        <f>SUM(AP13:AP14)</f>
        <v>221243.33200000226</v>
      </c>
      <c r="AQ12" s="288">
        <f t="shared" ref="AQ12:AS12" si="2">SUM(AQ13:AQ14)</f>
        <v>8920</v>
      </c>
      <c r="AR12" s="288">
        <f t="shared" si="2"/>
        <v>-153336626</v>
      </c>
      <c r="AS12" s="288">
        <f t="shared" si="2"/>
        <v>-151658962.00018001</v>
      </c>
      <c r="AT12" s="289"/>
      <c r="AU12" s="288">
        <f t="shared" ref="AU12" si="3">SUM(AU13:AU14)</f>
        <v>-304765424.66817999</v>
      </c>
      <c r="AV12" s="290"/>
      <c r="AW12" s="277"/>
      <c r="AX12" s="118"/>
      <c r="AY12"/>
      <c r="AZ12"/>
      <c r="BA12"/>
      <c r="BB12"/>
      <c r="BC12"/>
      <c r="BD12"/>
      <c r="BE12"/>
      <c r="BF12"/>
      <c r="BG12"/>
      <c r="BH12"/>
      <c r="BI12"/>
      <c r="BJ12"/>
      <c r="BK12"/>
      <c r="BL12"/>
      <c r="BM12"/>
      <c r="BN12"/>
      <c r="BO12"/>
      <c r="BP12"/>
      <c r="BQ12"/>
      <c r="BR12"/>
      <c r="BS12"/>
      <c r="BT12"/>
      <c r="BU12"/>
      <c r="BV12"/>
      <c r="BW12"/>
      <c r="BX12"/>
      <c r="BY12"/>
      <c r="BZ12"/>
      <c r="CA12"/>
    </row>
    <row r="13" spans="1:79" s="52" customFormat="1" ht="15.75" customHeight="1" x14ac:dyDescent="0.3">
      <c r="A13" s="446">
        <v>1</v>
      </c>
      <c r="B13" s="119"/>
      <c r="C13" s="157" t="s">
        <v>71</v>
      </c>
      <c r="D13" s="146">
        <f>EC_1!D13+FS_1!D13+GT_1!D13+KZN_1!D13+LIM_1!D13+MPU_1!D13+NC_1!D13+NW_1!D13+WC_1!D13</f>
        <v>505553753</v>
      </c>
      <c r="E13" s="146">
        <f>F13-D13</f>
        <v>0</v>
      </c>
      <c r="F13" s="148">
        <f>EC_1!F13+FS_1!F13+GT_1!F13+KZN_1!F13+LIM_1!F13+MPU_1!F13+NC_1!F13+NW_1!F13+WC_1!F13</f>
        <v>505553753</v>
      </c>
      <c r="G13" s="146"/>
      <c r="H13" s="149">
        <f>EC_1!H13+FS_1!H13+GT_1!H13+KZN_1!H13+LIM_1!H13+MPU_1!H13+NC_1!H13+NW_1!H13+WC_1!H13</f>
        <v>126388448</v>
      </c>
      <c r="I13" s="224">
        <f>EC_1!I13+FS_1!I13+GT_1!I13+KZN_1!I13+LIM_1!I13+MPU_1!I13+NC_1!I13+NW_1!I13+WC_1!I13</f>
        <v>126388442</v>
      </c>
      <c r="J13" s="224">
        <f>EC_1!J13+FS_1!J13+GT_1!J13+KZN_1!J13+LIM_1!J13+MPU_1!J13+NC_1!J13+NW_1!J13+WC_1!J13</f>
        <v>126388436</v>
      </c>
      <c r="K13" s="224">
        <f>EC_1!K13+FS_1!K13+GT_1!K13+KZN_1!K13+LIM_1!K13+MPU_1!K13+NC_1!K13+NW_1!K13+WC_1!K13</f>
        <v>126388427</v>
      </c>
      <c r="L13" s="150"/>
      <c r="M13" s="147">
        <f>SUM(H13:K13)</f>
        <v>505553753</v>
      </c>
      <c r="N13" s="172">
        <f t="shared" ref="N13:N14" si="4">IFERROR(M13/F13,0)</f>
        <v>1</v>
      </c>
      <c r="O13" s="158"/>
      <c r="P13" s="118"/>
      <c r="Q13"/>
      <c r="R13"/>
      <c r="S13" s="119"/>
      <c r="T13" s="157" t="str">
        <f t="shared" ref="T13:T15" si="5">C13</f>
        <v>Equitable share of revenue</v>
      </c>
      <c r="U13" s="146">
        <v>505553753</v>
      </c>
      <c r="V13" s="146">
        <v>0</v>
      </c>
      <c r="W13" s="148">
        <v>505553753</v>
      </c>
      <c r="X13" s="146"/>
      <c r="Y13" s="149">
        <v>126388448</v>
      </c>
      <c r="Z13" s="224">
        <v>126388442</v>
      </c>
      <c r="AA13" s="224">
        <v>0</v>
      </c>
      <c r="AB13" s="224">
        <v>0</v>
      </c>
      <c r="AC13" s="150"/>
      <c r="AD13" s="147">
        <v>252776890</v>
      </c>
      <c r="AE13" s="172">
        <v>0.50000002670339194</v>
      </c>
      <c r="AF13" s="158"/>
      <c r="AG13" s="118"/>
      <c r="AH13"/>
      <c r="AI13"/>
      <c r="AJ13" s="248"/>
      <c r="AK13" s="291" t="s">
        <v>71</v>
      </c>
      <c r="AL13" s="279">
        <f t="shared" ref="AL13:AL15" si="6">IFERROR(U13-D13,0)</f>
        <v>0</v>
      </c>
      <c r="AM13" s="279">
        <f t="shared" ref="AM13:AM15" si="7">IFERROR(V13-E13,0)</f>
        <v>0</v>
      </c>
      <c r="AN13" s="281">
        <f t="shared" ref="AN13:AN15" si="8">IFERROR(W13-F13,0)</f>
        <v>0</v>
      </c>
      <c r="AO13" s="279"/>
      <c r="AP13" s="282">
        <f>IFERROR(Y13-H13,0)</f>
        <v>0</v>
      </c>
      <c r="AQ13" s="283">
        <f t="shared" ref="AQ13:AQ15" si="9">IFERROR(Z13-I13,0)</f>
        <v>0</v>
      </c>
      <c r="AR13" s="283">
        <f t="shared" ref="AR13:AR15" si="10">IFERROR(AA13-J13,0)</f>
        <v>-126388436</v>
      </c>
      <c r="AS13" s="283">
        <f t="shared" ref="AS13:AS15" si="11">IFERROR(AB13-K13,0)</f>
        <v>-126388427</v>
      </c>
      <c r="AT13" s="280"/>
      <c r="AU13" s="283">
        <f t="shared" ref="AU13:AU15" si="12">IFERROR(AD13-M13,0)</f>
        <v>-252776863</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146">
        <f>EC_1!D14+FS_1!D14+GT_1!D14+KZN_1!D14+LIM_1!D14+MPU_1!D14+NC_1!D14+NW_1!D14+WC_1!D14</f>
        <v>106304528.19</v>
      </c>
      <c r="E14" s="146">
        <f t="shared" ref="E14:E15" si="13">F14-D14</f>
        <v>1134864</v>
      </c>
      <c r="F14" s="148">
        <f>EC_1!F14+FS_1!F14+GT_1!F14+KZN_1!F14+LIM_1!F14+MPU_1!F14+NC_1!F14+NW_1!F14+WC_1!F14</f>
        <v>107439392.19</v>
      </c>
      <c r="G14" s="161"/>
      <c r="H14" s="149">
        <f>EC_1!H14+FS_1!H14+GT_1!H14+KZN_1!H14+LIM_1!H14+MPU_1!H14+NC_1!H14+NW_1!H14+WC_1!H14</f>
        <v>27188533</v>
      </c>
      <c r="I14" s="224">
        <f>EC_1!I14+FS_1!I14+GT_1!I14+KZN_1!I14+LIM_1!I14+MPU_1!I14+NC_1!I14+NW_1!I14+WC_1!I14</f>
        <v>28022539</v>
      </c>
      <c r="J14" s="224">
        <f>EC_1!J14+FS_1!J14+GT_1!J14+KZN_1!J14+LIM_1!J14+MPU_1!J14+NC_1!J14+NW_1!J14+WC_1!J14</f>
        <v>26948190</v>
      </c>
      <c r="K14" s="224">
        <f>EC_1!K14+FS_1!K14+GT_1!K14+KZN_1!K14+LIM_1!K14+MPU_1!K14+NC_1!K14+NW_1!K14+WC_1!K14</f>
        <v>25270535.000179999</v>
      </c>
      <c r="L14" s="162"/>
      <c r="M14" s="147">
        <f t="shared" ref="M14:M15" si="14">SUM(H14:K14)</f>
        <v>107429797.00018001</v>
      </c>
      <c r="N14" s="172">
        <f t="shared" si="4"/>
        <v>0.99991069206904093</v>
      </c>
      <c r="O14" s="163"/>
      <c r="P14" s="118"/>
      <c r="Q14"/>
      <c r="R14"/>
      <c r="S14" s="159"/>
      <c r="T14" s="160" t="str">
        <f t="shared" si="5"/>
        <v>Conditional grants</v>
      </c>
      <c r="U14" s="146">
        <v>106304528.19</v>
      </c>
      <c r="V14" s="146">
        <v>0</v>
      </c>
      <c r="W14" s="148">
        <v>106304528.19</v>
      </c>
      <c r="X14" s="161"/>
      <c r="Y14" s="149">
        <v>27409776.332000002</v>
      </c>
      <c r="Z14" s="224">
        <v>28031459</v>
      </c>
      <c r="AA14" s="224">
        <v>0</v>
      </c>
      <c r="AB14" s="224">
        <v>0</v>
      </c>
      <c r="AC14" s="162"/>
      <c r="AD14" s="147">
        <v>55441235.332000002</v>
      </c>
      <c r="AE14" s="172">
        <v>0.52153220823207913</v>
      </c>
      <c r="AF14" s="163"/>
      <c r="AG14" s="118"/>
      <c r="AH14" s="61"/>
      <c r="AI14"/>
      <c r="AJ14" s="293"/>
      <c r="AK14" s="294" t="s">
        <v>72</v>
      </c>
      <c r="AL14" s="279">
        <f t="shared" si="6"/>
        <v>0</v>
      </c>
      <c r="AM14" s="279">
        <f t="shared" si="7"/>
        <v>-1134864</v>
      </c>
      <c r="AN14" s="281">
        <f t="shared" si="8"/>
        <v>-1134864</v>
      </c>
      <c r="AO14" s="295"/>
      <c r="AP14" s="282">
        <f t="shared" ref="AP14:AP15" si="15">IFERROR(Y14-H14,0)</f>
        <v>221243.33200000226</v>
      </c>
      <c r="AQ14" s="283">
        <f t="shared" si="9"/>
        <v>8920</v>
      </c>
      <c r="AR14" s="283">
        <f t="shared" si="10"/>
        <v>-26948190</v>
      </c>
      <c r="AS14" s="283">
        <f t="shared" si="11"/>
        <v>-25270535.000179999</v>
      </c>
      <c r="AT14" s="296"/>
      <c r="AU14" s="283">
        <f t="shared" si="12"/>
        <v>-51988561.668180004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35" customFormat="1" ht="15.75" customHeight="1" x14ac:dyDescent="0.3">
      <c r="A15" s="446">
        <v>1</v>
      </c>
      <c r="B15" s="119"/>
      <c r="C15" s="151" t="s">
        <v>9</v>
      </c>
      <c r="D15" s="152">
        <f>EC_1!D15+FS_1!D15+GT_1!D15+KZN_1!D15+LIM_1!D15+MPU_1!D15+NC_1!D15+NW_1!D15+WC_1!D15</f>
        <v>19908785.670000002</v>
      </c>
      <c r="E15" s="152">
        <f t="shared" si="13"/>
        <v>-75027</v>
      </c>
      <c r="F15" s="153">
        <f>EC_1!F15+FS_1!F15+GT_1!F15+KZN_1!F15+LIM_1!F15+MPU_1!F15+NC_1!F15+NW_1!F15+WC_1!F15</f>
        <v>19833758.670000002</v>
      </c>
      <c r="G15" s="152"/>
      <c r="H15" s="154">
        <f>EC_1!H15+FS_1!H15+GT_1!H15+KZN_1!H15+LIM_1!H15+MPU_1!H15+NC_1!H15+NW_1!H15+WC_1!H15</f>
        <v>5081261.3469099998</v>
      </c>
      <c r="I15" s="225">
        <f>EC_1!I15+FS_1!I15+GT_1!I15+KZN_1!I15+LIM_1!I15+MPU_1!I15+NC_1!I15+NW_1!I15+WC_1!I15</f>
        <v>5753159.7954200003</v>
      </c>
      <c r="J15" s="225">
        <f>EC_1!J15+FS_1!J15+GT_1!J15+KZN_1!J15+LIM_1!J15+MPU_1!J15+NC_1!J15+NW_1!J15+WC_1!J15</f>
        <v>5553323.7144999998</v>
      </c>
      <c r="K15" s="225">
        <f>EC_1!K15+FS_1!K15+GT_1!K15+KZN_1!K15+LIM_1!K15+MPU_1!K15+NC_1!K15+NW_1!K15+WC_1!K15</f>
        <v>5132064.3054099996</v>
      </c>
      <c r="L15" s="156"/>
      <c r="M15" s="155">
        <f t="shared" si="14"/>
        <v>21519809.162239999</v>
      </c>
      <c r="N15" s="172">
        <f>IFERROR(M15/F15,0)</f>
        <v>1.0850091261214281</v>
      </c>
      <c r="O15" s="158"/>
      <c r="P15" s="118"/>
      <c r="Q15"/>
      <c r="R15"/>
      <c r="S15" s="119"/>
      <c r="T15" s="151" t="str">
        <f t="shared" si="5"/>
        <v>Provincial own receipts</v>
      </c>
      <c r="U15" s="152">
        <v>19913905.469999999</v>
      </c>
      <c r="V15" s="152">
        <v>0</v>
      </c>
      <c r="W15" s="153">
        <v>19913905.469999999</v>
      </c>
      <c r="X15" s="152"/>
      <c r="Y15" s="154">
        <v>5080097.3469099998</v>
      </c>
      <c r="Z15" s="225">
        <v>5764382.39542</v>
      </c>
      <c r="AA15" s="225">
        <v>0</v>
      </c>
      <c r="AB15" s="225">
        <v>0</v>
      </c>
      <c r="AC15" s="156"/>
      <c r="AD15" s="155">
        <v>10844479.74233</v>
      </c>
      <c r="AE15" s="172">
        <v>0.54456820429659303</v>
      </c>
      <c r="AF15" s="158"/>
      <c r="AG15" s="118"/>
      <c r="AH15"/>
      <c r="AI15"/>
      <c r="AJ15" s="248"/>
      <c r="AK15" s="284" t="s">
        <v>9</v>
      </c>
      <c r="AL15" s="285">
        <f t="shared" si="6"/>
        <v>5119.7999999970198</v>
      </c>
      <c r="AM15" s="285">
        <f t="shared" si="7"/>
        <v>75027</v>
      </c>
      <c r="AN15" s="286">
        <f t="shared" si="8"/>
        <v>80146.79999999702</v>
      </c>
      <c r="AO15" s="285"/>
      <c r="AP15" s="287">
        <f t="shared" si="15"/>
        <v>-1164</v>
      </c>
      <c r="AQ15" s="288">
        <f t="shared" si="9"/>
        <v>11222.599999999627</v>
      </c>
      <c r="AR15" s="288">
        <f t="shared" si="10"/>
        <v>-5553323.7144999998</v>
      </c>
      <c r="AS15" s="288">
        <f t="shared" si="11"/>
        <v>-5132064.3054099996</v>
      </c>
      <c r="AT15" s="289"/>
      <c r="AU15" s="288">
        <f t="shared" si="12"/>
        <v>-10675329.419909999</v>
      </c>
      <c r="AV15" s="290"/>
      <c r="AW15" s="292"/>
      <c r="AX15" s="118"/>
      <c r="AY15"/>
      <c r="AZ15"/>
      <c r="BA15"/>
      <c r="BB15"/>
      <c r="BC15"/>
      <c r="BD15"/>
      <c r="BE15"/>
      <c r="BF15"/>
      <c r="BG15"/>
      <c r="BH15"/>
      <c r="BI15"/>
      <c r="BJ15"/>
      <c r="BK15"/>
      <c r="BL15"/>
      <c r="BM15"/>
      <c r="BN15"/>
      <c r="BO15"/>
      <c r="BP15"/>
      <c r="BQ15"/>
      <c r="BR15"/>
      <c r="BS15"/>
      <c r="BT15"/>
      <c r="BU15"/>
      <c r="BV15"/>
      <c r="BW15"/>
      <c r="BX15"/>
      <c r="BY15"/>
      <c r="BZ15"/>
      <c r="CA15"/>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35" customFormat="1" ht="15.75" customHeight="1" x14ac:dyDescent="0.3">
      <c r="A17" s="446">
        <v>1</v>
      </c>
      <c r="B17" s="119"/>
      <c r="C17" s="164" t="s">
        <v>10</v>
      </c>
      <c r="D17" s="165">
        <f t="shared" ref="D17" si="16">D12+D15</f>
        <v>631767066.86000001</v>
      </c>
      <c r="E17" s="165">
        <f>E12+E15</f>
        <v>1059837</v>
      </c>
      <c r="F17" s="166">
        <f t="shared" ref="F17:H17" si="17">F12+F15</f>
        <v>632826903.86000001</v>
      </c>
      <c r="G17" s="165">
        <f t="shared" si="17"/>
        <v>0</v>
      </c>
      <c r="H17" s="167">
        <f t="shared" si="17"/>
        <v>158658242.34691</v>
      </c>
      <c r="I17" s="437">
        <f>IF(General!$BE$1&gt;1,I12+I15,"")</f>
        <v>160164140.79541999</v>
      </c>
      <c r="J17" s="437">
        <f>IF(General!$BE$1&gt;2,J12+J15,"")</f>
        <v>158889949.71450001</v>
      </c>
      <c r="K17" s="437">
        <f>IF(General!$BE$1&gt;2,K12+K15,"")</f>
        <v>156791026.30559</v>
      </c>
      <c r="L17" s="156"/>
      <c r="M17" s="168">
        <f t="shared" ref="M17" si="18">M12+M15</f>
        <v>634503359.16242003</v>
      </c>
      <c r="N17" s="180">
        <f>IFERROR(M17/F17,0)</f>
        <v>1.0026491530182966</v>
      </c>
      <c r="O17" s="158"/>
      <c r="P17" s="118"/>
      <c r="Q17"/>
      <c r="R17"/>
      <c r="S17" s="119"/>
      <c r="T17" s="164" t="s">
        <v>10</v>
      </c>
      <c r="U17" s="165">
        <v>631772186.66000009</v>
      </c>
      <c r="V17" s="165">
        <v>0</v>
      </c>
      <c r="W17" s="166">
        <v>631772186.66000009</v>
      </c>
      <c r="X17" s="165">
        <v>0</v>
      </c>
      <c r="Y17" s="167">
        <v>158878321.67891002</v>
      </c>
      <c r="Z17" s="437">
        <v>160184283.39542001</v>
      </c>
      <c r="AA17" s="437" t="s">
        <v>52</v>
      </c>
      <c r="AB17" s="437" t="s">
        <v>52</v>
      </c>
      <c r="AC17" s="156"/>
      <c r="AD17" s="168">
        <v>319062605.07433003</v>
      </c>
      <c r="AE17" s="180">
        <v>0.50502793856931771</v>
      </c>
      <c r="AF17" s="158"/>
      <c r="AG17" s="118"/>
      <c r="AH17"/>
      <c r="AI17"/>
      <c r="AJ17" s="248"/>
      <c r="AK17" s="298" t="s">
        <v>10</v>
      </c>
      <c r="AL17" s="299">
        <f t="shared" ref="AL17:AN17" si="19">AL12+AL15</f>
        <v>5119.7999999970198</v>
      </c>
      <c r="AM17" s="299">
        <f>AM12+AM15</f>
        <v>-1059837</v>
      </c>
      <c r="AN17" s="300">
        <f t="shared" si="19"/>
        <v>-1054717.200000003</v>
      </c>
      <c r="AO17" s="299">
        <f t="shared" ref="AO17:AP17" si="20">AO12+AO15</f>
        <v>0</v>
      </c>
      <c r="AP17" s="301">
        <f t="shared" si="20"/>
        <v>220079.33200000226</v>
      </c>
      <c r="AQ17" s="302">
        <f t="shared" ref="AQ17:AS17" si="21">AQ12+AQ15</f>
        <v>20142.599999999627</v>
      </c>
      <c r="AR17" s="302">
        <f t="shared" si="21"/>
        <v>-158889949.71450001</v>
      </c>
      <c r="AS17" s="302">
        <f t="shared" si="21"/>
        <v>-156791026.30559</v>
      </c>
      <c r="AT17" s="289"/>
      <c r="AU17" s="302">
        <f t="shared" ref="AU17" si="22">AU12+AU15</f>
        <v>-315440754.08809</v>
      </c>
      <c r="AV17" s="303"/>
      <c r="AW17" s="292"/>
      <c r="AX17" s="118"/>
      <c r="AY17"/>
      <c r="AZ17"/>
      <c r="BA17"/>
      <c r="BB17"/>
      <c r="BC17"/>
      <c r="BD17"/>
      <c r="BE17"/>
      <c r="BF17"/>
      <c r="BG17"/>
      <c r="BH17"/>
      <c r="BI17"/>
      <c r="BJ17"/>
      <c r="BK17"/>
      <c r="BL17"/>
      <c r="BM17"/>
      <c r="BN17"/>
      <c r="BO17"/>
      <c r="BP17"/>
      <c r="BQ17"/>
      <c r="BR17"/>
      <c r="BS17"/>
      <c r="BT17"/>
      <c r="BU17"/>
      <c r="BV17"/>
      <c r="BW17"/>
      <c r="BX17"/>
      <c r="BY17"/>
      <c r="BZ17"/>
      <c r="CA17"/>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170" t="s">
        <v>114</v>
      </c>
      <c r="D20" s="146">
        <f>EC_1!D$41</f>
        <v>82198245.152090013</v>
      </c>
      <c r="E20" s="150">
        <f t="shared" ref="E20:E33" si="23">F20-D20</f>
        <v>1491519.6399999857</v>
      </c>
      <c r="F20" s="148">
        <f>EC_1!F$41</f>
        <v>83689764.792089999</v>
      </c>
      <c r="G20" s="171"/>
      <c r="H20" s="149">
        <f>EC_1!H$41</f>
        <v>21789359.03957</v>
      </c>
      <c r="I20" s="149">
        <f>EC_1!I$41</f>
        <v>20798790.968710002</v>
      </c>
      <c r="J20" s="147">
        <f>EC_1!J$41</f>
        <v>21223707.807999998</v>
      </c>
      <c r="K20" s="224">
        <f>EC_1!K$41</f>
        <v>20005498.592</v>
      </c>
      <c r="L20" s="156"/>
      <c r="M20" s="147">
        <f t="shared" ref="M20:M39" si="24">SUM(H20:K20)</f>
        <v>83817356.40828</v>
      </c>
      <c r="N20" s="172">
        <f>IFERROR(M20/F20,0)</f>
        <v>1.0015245785014091</v>
      </c>
      <c r="O20" s="163"/>
      <c r="P20" s="118"/>
      <c r="Q20"/>
      <c r="R20"/>
      <c r="S20" s="159"/>
      <c r="T20" s="170" t="str">
        <f t="shared" ref="T20:T39" si="25">C20</f>
        <v>Eastern Cape</v>
      </c>
      <c r="U20" s="146">
        <v>82198245.269999996</v>
      </c>
      <c r="V20" s="150">
        <v>0</v>
      </c>
      <c r="W20" s="148">
        <v>82198245.269999996</v>
      </c>
      <c r="X20" s="171"/>
      <c r="Y20" s="149">
        <v>21789359.03957</v>
      </c>
      <c r="Z20" s="224">
        <v>20799153.566709999</v>
      </c>
      <c r="AA20" s="224">
        <v>0</v>
      </c>
      <c r="AB20" s="224" t="s">
        <v>52</v>
      </c>
      <c r="AC20" s="156"/>
      <c r="AD20" s="147">
        <v>42588512.606279999</v>
      </c>
      <c r="AE20" s="172">
        <v>0.51811948620542614</v>
      </c>
      <c r="AF20" s="163"/>
      <c r="AG20" s="118"/>
      <c r="AH20"/>
      <c r="AI20"/>
      <c r="AJ20" s="293"/>
      <c r="AK20" s="305" t="str">
        <f>C20</f>
        <v>Eastern Cape</v>
      </c>
      <c r="AL20" s="279">
        <f t="shared" ref="AL20:AL33" si="26">IFERROR(U20-D20,0)</f>
        <v>0.1179099828004837</v>
      </c>
      <c r="AM20" s="280">
        <f t="shared" ref="AM20:AM33" si="27">IFERROR(V20-E20,0)</f>
        <v>-1491519.6399999857</v>
      </c>
      <c r="AN20" s="281">
        <f t="shared" ref="AN20:AN33" si="28">IFERROR(W20-F20,0)</f>
        <v>-1491519.5220900029</v>
      </c>
      <c r="AO20" s="306"/>
      <c r="AP20" s="282">
        <f t="shared" ref="AP20:AP33" si="29">IFERROR(Y20-H20,0)</f>
        <v>0</v>
      </c>
      <c r="AQ20" s="283">
        <f t="shared" ref="AQ20:AQ33" si="30">IFERROR(Z20-I20,0)</f>
        <v>362.597999997437</v>
      </c>
      <c r="AR20" s="283">
        <f t="shared" ref="AR20:AR33" si="31">IFERROR(AA20-J20,0)</f>
        <v>-21223707.807999998</v>
      </c>
      <c r="AS20" s="283">
        <f t="shared" ref="AS20:AS33" si="32">IFERROR(AB20-K20,0)</f>
        <v>0</v>
      </c>
      <c r="AT20" s="289"/>
      <c r="AU20" s="283">
        <f t="shared" ref="AU20:AU33" si="33">IFERROR(AD20-M20,0)</f>
        <v>-41228843.802000001</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34">IF(LEN(C21)&gt;3,1,0)</f>
        <v>1</v>
      </c>
      <c r="B21" s="159"/>
      <c r="C21" s="170" t="s">
        <v>119</v>
      </c>
      <c r="D21" s="146">
        <f>FS_1!D$41</f>
        <v>37274018</v>
      </c>
      <c r="E21" s="150">
        <f t="shared" si="23"/>
        <v>338457</v>
      </c>
      <c r="F21" s="148">
        <f>FS_1!F$41</f>
        <v>37612475</v>
      </c>
      <c r="G21" s="152"/>
      <c r="H21" s="149">
        <f>FS_1!H$41</f>
        <v>8962964</v>
      </c>
      <c r="I21" s="149">
        <f>FS_1!I$41</f>
        <v>9036969</v>
      </c>
      <c r="J21" s="147">
        <f>FS_1!J$41</f>
        <v>10115538</v>
      </c>
      <c r="K21" s="224">
        <f>FS_1!K$41</f>
        <v>9103721</v>
      </c>
      <c r="L21" s="156"/>
      <c r="M21" s="147">
        <f t="shared" si="24"/>
        <v>37219192</v>
      </c>
      <c r="N21" s="172">
        <f t="shared" ref="N21:N39" si="35">IFERROR(M21/F21,0)</f>
        <v>0.98954381491778987</v>
      </c>
      <c r="O21" s="163"/>
      <c r="P21" s="118"/>
      <c r="Q21"/>
      <c r="R21"/>
      <c r="S21" s="159"/>
      <c r="T21" s="170" t="str">
        <f t="shared" si="25"/>
        <v>Free State</v>
      </c>
      <c r="U21" s="146">
        <v>37274018</v>
      </c>
      <c r="V21" s="150">
        <v>0</v>
      </c>
      <c r="W21" s="148">
        <v>37274018</v>
      </c>
      <c r="X21" s="152"/>
      <c r="Y21" s="149">
        <v>8962964</v>
      </c>
      <c r="Z21" s="224">
        <v>9036969</v>
      </c>
      <c r="AA21" s="224">
        <v>0</v>
      </c>
      <c r="AB21" s="224" t="s">
        <v>52</v>
      </c>
      <c r="AC21" s="156"/>
      <c r="AD21" s="147">
        <v>17999933</v>
      </c>
      <c r="AE21" s="172">
        <v>0.48290830894592585</v>
      </c>
      <c r="AF21" s="163"/>
      <c r="AG21" s="118"/>
      <c r="AH21"/>
      <c r="AI21"/>
      <c r="AJ21" s="293"/>
      <c r="AK21" s="305" t="str">
        <f t="shared" ref="AK21:AK39" si="36">C21</f>
        <v>Free State</v>
      </c>
      <c r="AL21" s="279">
        <f t="shared" si="26"/>
        <v>0</v>
      </c>
      <c r="AM21" s="280">
        <f t="shared" si="27"/>
        <v>-338457</v>
      </c>
      <c r="AN21" s="281">
        <f t="shared" si="28"/>
        <v>-338457</v>
      </c>
      <c r="AO21" s="285"/>
      <c r="AP21" s="282">
        <f t="shared" si="29"/>
        <v>0</v>
      </c>
      <c r="AQ21" s="283">
        <f t="shared" si="30"/>
        <v>0</v>
      </c>
      <c r="AR21" s="283">
        <f t="shared" si="31"/>
        <v>-10115538</v>
      </c>
      <c r="AS21" s="283">
        <f t="shared" si="32"/>
        <v>0</v>
      </c>
      <c r="AT21" s="289"/>
      <c r="AU21" s="283">
        <f t="shared" si="33"/>
        <v>-19219259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34"/>
        <v>1</v>
      </c>
      <c r="B22" s="159"/>
      <c r="C22" s="170" t="s">
        <v>125</v>
      </c>
      <c r="D22" s="146">
        <f>GT_1!D$41</f>
        <v>132442501.00000003</v>
      </c>
      <c r="E22" s="150">
        <f t="shared" si="23"/>
        <v>9621.0499999970198</v>
      </c>
      <c r="F22" s="148">
        <f>GT_1!F$41</f>
        <v>132452122.05000003</v>
      </c>
      <c r="G22" s="171"/>
      <c r="H22" s="149">
        <f>GT_1!H$41</f>
        <v>30753425.600000001</v>
      </c>
      <c r="I22" s="149">
        <f>GT_1!I$41</f>
        <v>30435941</v>
      </c>
      <c r="J22" s="147">
        <f>GT_1!J$41</f>
        <v>32495585</v>
      </c>
      <c r="K22" s="224">
        <f>GT_1!K$41</f>
        <v>34585385.910999998</v>
      </c>
      <c r="L22" s="156"/>
      <c r="M22" s="147">
        <f t="shared" si="24"/>
        <v>128270337.51099999</v>
      </c>
      <c r="N22" s="172">
        <f t="shared" si="35"/>
        <v>0.96842795363126433</v>
      </c>
      <c r="O22" s="163"/>
      <c r="P22" s="118"/>
      <c r="S22" s="159"/>
      <c r="T22" s="170" t="str">
        <f t="shared" si="25"/>
        <v>Gauteng</v>
      </c>
      <c r="U22" s="146">
        <v>132442501.00000003</v>
      </c>
      <c r="V22" s="150">
        <v>0</v>
      </c>
      <c r="W22" s="148">
        <v>132442501.00000003</v>
      </c>
      <c r="X22" s="171"/>
      <c r="Y22" s="149">
        <v>30749660.600000001</v>
      </c>
      <c r="Z22" s="224">
        <v>30439757</v>
      </c>
      <c r="AA22" s="224">
        <v>0</v>
      </c>
      <c r="AB22" s="224" t="s">
        <v>52</v>
      </c>
      <c r="AC22" s="156"/>
      <c r="AD22" s="147">
        <v>61189417.600000001</v>
      </c>
      <c r="AE22" s="172">
        <v>0.46200741558029013</v>
      </c>
      <c r="AF22" s="163"/>
      <c r="AG22" s="118"/>
      <c r="AJ22" s="293"/>
      <c r="AK22" s="305" t="str">
        <f t="shared" si="36"/>
        <v>Gauteng</v>
      </c>
      <c r="AL22" s="279">
        <f t="shared" si="26"/>
        <v>0</v>
      </c>
      <c r="AM22" s="280">
        <f t="shared" si="27"/>
        <v>-9621.0499999970198</v>
      </c>
      <c r="AN22" s="281">
        <f t="shared" si="28"/>
        <v>-9621.0499999970198</v>
      </c>
      <c r="AO22" s="306"/>
      <c r="AP22" s="282">
        <f t="shared" si="29"/>
        <v>-3765</v>
      </c>
      <c r="AQ22" s="283">
        <f t="shared" si="30"/>
        <v>3816</v>
      </c>
      <c r="AR22" s="283">
        <f t="shared" si="31"/>
        <v>-32495585</v>
      </c>
      <c r="AS22" s="283">
        <f t="shared" si="32"/>
        <v>0</v>
      </c>
      <c r="AT22" s="289"/>
      <c r="AU22" s="283">
        <f t="shared" si="33"/>
        <v>-67080919.910999991</v>
      </c>
      <c r="AV22" s="290"/>
      <c r="AW22" s="297"/>
      <c r="AX22" s="118"/>
    </row>
    <row r="23" spans="1:79" ht="15.75" customHeight="1" x14ac:dyDescent="0.3">
      <c r="A23" s="446">
        <f t="shared" si="34"/>
        <v>1</v>
      </c>
      <c r="B23" s="159"/>
      <c r="C23" s="170" t="s">
        <v>129</v>
      </c>
      <c r="D23" s="146">
        <f>KZN_1!D$41</f>
        <v>130474221</v>
      </c>
      <c r="E23" s="150">
        <f t="shared" si="23"/>
        <v>1469189</v>
      </c>
      <c r="F23" s="148">
        <f>KZN_1!F$41</f>
        <v>131943410</v>
      </c>
      <c r="G23" s="173"/>
      <c r="H23" s="149">
        <f>KZN_1!H$41</f>
        <v>29867840</v>
      </c>
      <c r="I23" s="149">
        <f>KZN_1!I$41</f>
        <v>31694710</v>
      </c>
      <c r="J23" s="147">
        <f>KZN_1!J$41</f>
        <v>34011283</v>
      </c>
      <c r="K23" s="224">
        <f>KZN_1!K$41</f>
        <v>34479071</v>
      </c>
      <c r="L23" s="174"/>
      <c r="M23" s="147">
        <f t="shared" si="24"/>
        <v>130052904</v>
      </c>
      <c r="N23" s="172">
        <f t="shared" si="35"/>
        <v>0.98567184219355863</v>
      </c>
      <c r="O23" s="163"/>
      <c r="P23" s="118"/>
      <c r="S23" s="159"/>
      <c r="T23" s="170" t="str">
        <f t="shared" si="25"/>
        <v>KwaZulu-Natal</v>
      </c>
      <c r="U23" s="146">
        <v>130474221</v>
      </c>
      <c r="V23" s="150">
        <v>0</v>
      </c>
      <c r="W23" s="148">
        <v>130474221</v>
      </c>
      <c r="X23" s="173"/>
      <c r="Y23" s="149">
        <v>29866683</v>
      </c>
      <c r="Z23" s="224">
        <v>31694200</v>
      </c>
      <c r="AA23" s="224">
        <v>0</v>
      </c>
      <c r="AB23" s="224" t="s">
        <v>52</v>
      </c>
      <c r="AC23" s="174"/>
      <c r="AD23" s="147">
        <v>61560883</v>
      </c>
      <c r="AE23" s="172">
        <v>0.47182410845740935</v>
      </c>
      <c r="AF23" s="163"/>
      <c r="AG23" s="118"/>
      <c r="AJ23" s="293"/>
      <c r="AK23" s="305" t="str">
        <f t="shared" si="36"/>
        <v>KwaZulu-Natal</v>
      </c>
      <c r="AL23" s="279">
        <f t="shared" si="26"/>
        <v>0</v>
      </c>
      <c r="AM23" s="280">
        <f t="shared" si="27"/>
        <v>-1469189</v>
      </c>
      <c r="AN23" s="281">
        <f t="shared" si="28"/>
        <v>-1469189</v>
      </c>
      <c r="AO23" s="307"/>
      <c r="AP23" s="282">
        <f t="shared" si="29"/>
        <v>-1157</v>
      </c>
      <c r="AQ23" s="283">
        <f t="shared" si="30"/>
        <v>-510</v>
      </c>
      <c r="AR23" s="283">
        <f t="shared" si="31"/>
        <v>-34011283</v>
      </c>
      <c r="AS23" s="283">
        <f t="shared" si="32"/>
        <v>0</v>
      </c>
      <c r="AT23" s="308"/>
      <c r="AU23" s="283">
        <f t="shared" si="33"/>
        <v>-68492021</v>
      </c>
      <c r="AV23" s="290"/>
      <c r="AW23" s="297"/>
      <c r="AX23" s="118"/>
    </row>
    <row r="24" spans="1:79" ht="15.75" customHeight="1" x14ac:dyDescent="0.3">
      <c r="A24" s="446">
        <f t="shared" si="34"/>
        <v>1</v>
      </c>
      <c r="B24" s="159"/>
      <c r="C24" s="170" t="s">
        <v>134</v>
      </c>
      <c r="D24" s="146">
        <f>LIM_1!D$41</f>
        <v>69500910</v>
      </c>
      <c r="E24" s="150">
        <f t="shared" si="23"/>
        <v>816642</v>
      </c>
      <c r="F24" s="148">
        <f>LIM_1!F$41</f>
        <v>70317552</v>
      </c>
      <c r="G24" s="152"/>
      <c r="H24" s="149">
        <f>LIM_1!H$41</f>
        <v>16781444</v>
      </c>
      <c r="I24" s="149">
        <f>LIM_1!I$41</f>
        <v>16675992</v>
      </c>
      <c r="J24" s="147">
        <f>LIM_1!J$41</f>
        <v>18373407</v>
      </c>
      <c r="K24" s="224">
        <f>LIM_1!K$41</f>
        <v>17255690</v>
      </c>
      <c r="L24" s="156"/>
      <c r="M24" s="147">
        <f t="shared" si="24"/>
        <v>69086533</v>
      </c>
      <c r="N24" s="172">
        <f t="shared" si="35"/>
        <v>0.98249343208079831</v>
      </c>
      <c r="O24" s="163"/>
      <c r="P24" s="118"/>
      <c r="S24" s="159"/>
      <c r="T24" s="170" t="str">
        <f t="shared" si="25"/>
        <v>Limpopo</v>
      </c>
      <c r="U24" s="146">
        <v>69500910.140000001</v>
      </c>
      <c r="V24" s="150">
        <v>0</v>
      </c>
      <c r="W24" s="148">
        <v>69500910.140000001</v>
      </c>
      <c r="X24" s="152"/>
      <c r="Y24" s="149">
        <v>16780589</v>
      </c>
      <c r="Z24" s="224">
        <v>16627341</v>
      </c>
      <c r="AA24" s="224">
        <v>0</v>
      </c>
      <c r="AB24" s="224" t="s">
        <v>52</v>
      </c>
      <c r="AC24" s="156"/>
      <c r="AD24" s="147">
        <v>33407930</v>
      </c>
      <c r="AE24" s="172">
        <v>0.48068334547999919</v>
      </c>
      <c r="AF24" s="163"/>
      <c r="AG24" s="118"/>
      <c r="AJ24" s="293"/>
      <c r="AK24" s="305" t="str">
        <f t="shared" si="36"/>
        <v>Limpopo</v>
      </c>
      <c r="AL24" s="279">
        <f t="shared" si="26"/>
        <v>0.14000000059604645</v>
      </c>
      <c r="AM24" s="280">
        <f t="shared" si="27"/>
        <v>-816642</v>
      </c>
      <c r="AN24" s="281">
        <f t="shared" si="28"/>
        <v>-816641.8599999994</v>
      </c>
      <c r="AO24" s="285"/>
      <c r="AP24" s="282">
        <f t="shared" si="29"/>
        <v>-855</v>
      </c>
      <c r="AQ24" s="283">
        <f t="shared" si="30"/>
        <v>-48651</v>
      </c>
      <c r="AR24" s="283">
        <f t="shared" si="31"/>
        <v>-18373407</v>
      </c>
      <c r="AS24" s="283">
        <f t="shared" si="32"/>
        <v>0</v>
      </c>
      <c r="AT24" s="289"/>
      <c r="AU24" s="283">
        <f t="shared" si="33"/>
        <v>-35678603</v>
      </c>
      <c r="AV24" s="290"/>
      <c r="AW24" s="297"/>
      <c r="AX24" s="118"/>
    </row>
    <row r="25" spans="1:79" ht="15.75" customHeight="1" x14ac:dyDescent="0.3">
      <c r="A25" s="446">
        <f t="shared" si="34"/>
        <v>1</v>
      </c>
      <c r="B25" s="159"/>
      <c r="C25" s="170" t="s">
        <v>138</v>
      </c>
      <c r="D25" s="146">
        <f>MPU_1!D$41</f>
        <v>50981105</v>
      </c>
      <c r="E25" s="150">
        <f t="shared" si="23"/>
        <v>689913</v>
      </c>
      <c r="F25" s="148">
        <f>MPU_1!F$41</f>
        <v>51671018</v>
      </c>
      <c r="G25" s="152"/>
      <c r="H25" s="149">
        <f>MPU_1!H$41</f>
        <v>12218032</v>
      </c>
      <c r="I25" s="149">
        <f>MPU_1!I$41</f>
        <v>12621762</v>
      </c>
      <c r="J25" s="147">
        <f>MPU_1!J$41</f>
        <v>13652866</v>
      </c>
      <c r="K25" s="224">
        <f>MPU_1!K$41</f>
        <v>13005749</v>
      </c>
      <c r="L25" s="156"/>
      <c r="M25" s="147">
        <f t="shared" si="24"/>
        <v>51498409</v>
      </c>
      <c r="N25" s="172">
        <f t="shared" si="35"/>
        <v>0.99665946198311783</v>
      </c>
      <c r="O25" s="163"/>
      <c r="P25" s="118"/>
      <c r="S25" s="159"/>
      <c r="T25" s="170" t="str">
        <f t="shared" si="25"/>
        <v>Mpumalanga</v>
      </c>
      <c r="U25" s="146">
        <v>50981105</v>
      </c>
      <c r="V25" s="150">
        <v>0</v>
      </c>
      <c r="W25" s="148">
        <v>50981105</v>
      </c>
      <c r="X25" s="152"/>
      <c r="Y25" s="149">
        <v>12218034</v>
      </c>
      <c r="Z25" s="224">
        <v>12621778</v>
      </c>
      <c r="AA25" s="224">
        <v>0</v>
      </c>
      <c r="AB25" s="224" t="s">
        <v>52</v>
      </c>
      <c r="AC25" s="156"/>
      <c r="AD25" s="147">
        <v>24839812</v>
      </c>
      <c r="AE25" s="172">
        <v>0.48723565328762491</v>
      </c>
      <c r="AF25" s="163"/>
      <c r="AG25" s="118"/>
      <c r="AJ25" s="293"/>
      <c r="AK25" s="305" t="str">
        <f t="shared" si="36"/>
        <v>Mpumalanga</v>
      </c>
      <c r="AL25" s="279">
        <f t="shared" si="26"/>
        <v>0</v>
      </c>
      <c r="AM25" s="280">
        <f t="shared" si="27"/>
        <v>-689913</v>
      </c>
      <c r="AN25" s="281">
        <f t="shared" si="28"/>
        <v>-689913</v>
      </c>
      <c r="AO25" s="285"/>
      <c r="AP25" s="282">
        <f t="shared" si="29"/>
        <v>2</v>
      </c>
      <c r="AQ25" s="283">
        <f t="shared" si="30"/>
        <v>16</v>
      </c>
      <c r="AR25" s="283">
        <f t="shared" si="31"/>
        <v>-13652866</v>
      </c>
      <c r="AS25" s="283">
        <f t="shared" si="32"/>
        <v>0</v>
      </c>
      <c r="AT25" s="289"/>
      <c r="AU25" s="283">
        <f t="shared" si="33"/>
        <v>-26658597</v>
      </c>
      <c r="AV25" s="290"/>
      <c r="AW25" s="297"/>
      <c r="AX25" s="118"/>
    </row>
    <row r="26" spans="1:79" ht="15.75" customHeight="1" x14ac:dyDescent="0.3">
      <c r="A26" s="446">
        <f t="shared" si="34"/>
        <v>1</v>
      </c>
      <c r="B26" s="175"/>
      <c r="C26" s="170" t="s">
        <v>143</v>
      </c>
      <c r="D26" s="146">
        <f>NC_1!D$41</f>
        <v>18255416</v>
      </c>
      <c r="E26" s="150">
        <f t="shared" si="23"/>
        <v>160557</v>
      </c>
      <c r="F26" s="148">
        <f>NC_1!F$41</f>
        <v>18415973</v>
      </c>
      <c r="G26" s="176"/>
      <c r="H26" s="149">
        <f>NC_1!H$41</f>
        <v>4569435</v>
      </c>
      <c r="I26" s="149">
        <f>NC_1!I$41</f>
        <v>4451307.2850000001</v>
      </c>
      <c r="J26" s="147">
        <f>NC_1!J$41</f>
        <v>5207757.09</v>
      </c>
      <c r="K26" s="224">
        <f>NC_1!K$41</f>
        <v>4057518</v>
      </c>
      <c r="L26" s="174"/>
      <c r="M26" s="147">
        <f t="shared" si="24"/>
        <v>18286017.375</v>
      </c>
      <c r="N26" s="172">
        <f t="shared" si="35"/>
        <v>0.9929433201818878</v>
      </c>
      <c r="O26" s="177"/>
      <c r="P26" s="118"/>
      <c r="S26" s="175"/>
      <c r="T26" s="170" t="str">
        <f t="shared" si="25"/>
        <v>Northern Cape</v>
      </c>
      <c r="U26" s="146">
        <v>18255416.41</v>
      </c>
      <c r="V26" s="150">
        <v>0</v>
      </c>
      <c r="W26" s="148">
        <v>18255416.41</v>
      </c>
      <c r="X26" s="176"/>
      <c r="Y26" s="149">
        <v>4569432</v>
      </c>
      <c r="Z26" s="224">
        <v>4451310.2850000001</v>
      </c>
      <c r="AA26" s="224">
        <v>0</v>
      </c>
      <c r="AB26" s="224" t="s">
        <v>52</v>
      </c>
      <c r="AC26" s="174"/>
      <c r="AD26" s="147">
        <v>9020742.2850000001</v>
      </c>
      <c r="AE26" s="172">
        <v>0.49414059270971183</v>
      </c>
      <c r="AF26" s="177"/>
      <c r="AG26" s="118"/>
      <c r="AJ26" s="309"/>
      <c r="AK26" s="305" t="str">
        <f t="shared" si="36"/>
        <v>Northern Cape</v>
      </c>
      <c r="AL26" s="279">
        <f t="shared" si="26"/>
        <v>0.41000000014901161</v>
      </c>
      <c r="AM26" s="280">
        <f t="shared" si="27"/>
        <v>-160557</v>
      </c>
      <c r="AN26" s="281">
        <f t="shared" si="28"/>
        <v>-160556.58999999985</v>
      </c>
      <c r="AO26" s="310"/>
      <c r="AP26" s="282">
        <f t="shared" si="29"/>
        <v>-3</v>
      </c>
      <c r="AQ26" s="283">
        <f t="shared" si="30"/>
        <v>3</v>
      </c>
      <c r="AR26" s="283">
        <f t="shared" si="31"/>
        <v>-5207757.09</v>
      </c>
      <c r="AS26" s="283">
        <f t="shared" si="32"/>
        <v>0</v>
      </c>
      <c r="AT26" s="308"/>
      <c r="AU26" s="283">
        <f t="shared" si="33"/>
        <v>-9265275.0899999999</v>
      </c>
      <c r="AV26" s="290"/>
      <c r="AW26" s="311"/>
      <c r="AX26" s="118"/>
    </row>
    <row r="27" spans="1:79" s="22" customFormat="1" ht="15.75" customHeight="1" x14ac:dyDescent="0.3">
      <c r="A27" s="446">
        <f t="shared" si="34"/>
        <v>1</v>
      </c>
      <c r="B27" s="159"/>
      <c r="C27" s="170" t="s">
        <v>148</v>
      </c>
      <c r="D27" s="146">
        <f>NW_1!D$41</f>
        <v>44028547.063999996</v>
      </c>
      <c r="E27" s="150">
        <f t="shared" si="23"/>
        <v>442089</v>
      </c>
      <c r="F27" s="148">
        <f>NW_1!F$41</f>
        <v>44470636.063999996</v>
      </c>
      <c r="G27" s="152"/>
      <c r="H27" s="149">
        <f>NW_1!H$41</f>
        <v>9780952</v>
      </c>
      <c r="I27" s="149">
        <f>NW_1!I$41</f>
        <v>10653882.4</v>
      </c>
      <c r="J27" s="147">
        <f>NW_1!J$41</f>
        <v>11000166</v>
      </c>
      <c r="K27" s="224">
        <f>NW_1!K$41</f>
        <v>11601708.6</v>
      </c>
      <c r="L27" s="156"/>
      <c r="M27" s="147">
        <f t="shared" si="24"/>
        <v>43036709</v>
      </c>
      <c r="N27" s="172">
        <f t="shared" si="35"/>
        <v>0.96775564302843886</v>
      </c>
      <c r="O27" s="163"/>
      <c r="P27" s="118"/>
      <c r="Q27"/>
      <c r="R27"/>
      <c r="S27" s="159"/>
      <c r="T27" s="170" t="str">
        <f t="shared" si="25"/>
        <v>North West</v>
      </c>
      <c r="U27" s="146">
        <v>44028547.200000003</v>
      </c>
      <c r="V27" s="150">
        <v>0</v>
      </c>
      <c r="W27" s="148">
        <v>44028547.200000003</v>
      </c>
      <c r="X27" s="152"/>
      <c r="Y27" s="149">
        <v>9780722</v>
      </c>
      <c r="Z27" s="224">
        <v>10657495.4</v>
      </c>
      <c r="AA27" s="224">
        <v>0</v>
      </c>
      <c r="AB27" s="224" t="s">
        <v>52</v>
      </c>
      <c r="AC27" s="156"/>
      <c r="AD27" s="147">
        <v>20438217.399999999</v>
      </c>
      <c r="AE27" s="172">
        <v>0.46420376550603054</v>
      </c>
      <c r="AF27" s="163"/>
      <c r="AG27" s="118"/>
      <c r="AH27" s="61"/>
      <c r="AI27"/>
      <c r="AJ27" s="293"/>
      <c r="AK27" s="305" t="str">
        <f t="shared" si="36"/>
        <v>North West</v>
      </c>
      <c r="AL27" s="279">
        <f t="shared" si="26"/>
        <v>0.13600000739097595</v>
      </c>
      <c r="AM27" s="280">
        <f t="shared" si="27"/>
        <v>-442089</v>
      </c>
      <c r="AN27" s="281">
        <f t="shared" si="28"/>
        <v>-442088.86399999261</v>
      </c>
      <c r="AO27" s="285"/>
      <c r="AP27" s="282">
        <f t="shared" si="29"/>
        <v>-230</v>
      </c>
      <c r="AQ27" s="283">
        <f t="shared" si="30"/>
        <v>3613</v>
      </c>
      <c r="AR27" s="283">
        <f t="shared" si="31"/>
        <v>-11000166</v>
      </c>
      <c r="AS27" s="283">
        <f t="shared" si="32"/>
        <v>0</v>
      </c>
      <c r="AT27" s="289"/>
      <c r="AU27" s="283">
        <f t="shared" si="33"/>
        <v>-22598491.600000001</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34"/>
        <v>1</v>
      </c>
      <c r="B28" s="159"/>
      <c r="C28" s="170" t="s">
        <v>152</v>
      </c>
      <c r="D28" s="146">
        <f>WC_1!D$41</f>
        <v>67191484</v>
      </c>
      <c r="E28" s="150">
        <f t="shared" si="23"/>
        <v>817080</v>
      </c>
      <c r="F28" s="148">
        <f>WC_1!F$41</f>
        <v>68008564</v>
      </c>
      <c r="G28" s="152"/>
      <c r="H28" s="149">
        <f>WC_1!H$41</f>
        <v>15409793</v>
      </c>
      <c r="I28" s="149">
        <f>WC_1!I$41</f>
        <v>16775652</v>
      </c>
      <c r="J28" s="147">
        <f>WC_1!J$41</f>
        <v>17785909</v>
      </c>
      <c r="K28" s="224">
        <f>WC_1!K$41</f>
        <v>17518390</v>
      </c>
      <c r="L28" s="156"/>
      <c r="M28" s="147">
        <f t="shared" si="24"/>
        <v>67489744</v>
      </c>
      <c r="N28" s="172">
        <f t="shared" si="35"/>
        <v>0.99237125489078115</v>
      </c>
      <c r="O28" s="163"/>
      <c r="P28" s="118"/>
      <c r="Q28"/>
      <c r="R28"/>
      <c r="S28" s="159"/>
      <c r="T28" s="170" t="str">
        <f t="shared" si="25"/>
        <v>Western Cape</v>
      </c>
      <c r="U28" s="146">
        <v>67191484</v>
      </c>
      <c r="V28" s="150">
        <v>0</v>
      </c>
      <c r="W28" s="148">
        <v>67191484</v>
      </c>
      <c r="X28" s="152"/>
      <c r="Y28" s="149">
        <v>15409780</v>
      </c>
      <c r="Z28" s="224">
        <v>16775647</v>
      </c>
      <c r="AA28" s="224">
        <v>0</v>
      </c>
      <c r="AB28" s="224" t="s">
        <v>52</v>
      </c>
      <c r="AC28" s="156"/>
      <c r="AD28" s="147">
        <v>32185427</v>
      </c>
      <c r="AE28" s="172">
        <v>0.47901050972471454</v>
      </c>
      <c r="AF28" s="163"/>
      <c r="AG28" s="118"/>
      <c r="AH28" s="61"/>
      <c r="AI28"/>
      <c r="AJ28" s="293"/>
      <c r="AK28" s="305" t="str">
        <f t="shared" si="36"/>
        <v>Western Cape</v>
      </c>
      <c r="AL28" s="279">
        <f t="shared" si="26"/>
        <v>0</v>
      </c>
      <c r="AM28" s="280">
        <f t="shared" si="27"/>
        <v>-817080</v>
      </c>
      <c r="AN28" s="281">
        <f t="shared" si="28"/>
        <v>-817080</v>
      </c>
      <c r="AO28" s="285"/>
      <c r="AP28" s="282">
        <f t="shared" si="29"/>
        <v>-13</v>
      </c>
      <c r="AQ28" s="283">
        <f t="shared" si="30"/>
        <v>-5</v>
      </c>
      <c r="AR28" s="283">
        <f t="shared" si="31"/>
        <v>-17785909</v>
      </c>
      <c r="AS28" s="283">
        <f t="shared" si="32"/>
        <v>0</v>
      </c>
      <c r="AT28" s="289"/>
      <c r="AU28" s="283">
        <f t="shared" si="33"/>
        <v>-35304317</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34"/>
        <v>0</v>
      </c>
      <c r="B29" s="159"/>
      <c r="C29" s="170"/>
      <c r="D29" s="146"/>
      <c r="E29" s="150">
        <f t="shared" si="23"/>
        <v>0</v>
      </c>
      <c r="F29" s="148"/>
      <c r="G29" s="152"/>
      <c r="H29" s="149"/>
      <c r="I29" s="224"/>
      <c r="J29" s="224"/>
      <c r="K29" s="224"/>
      <c r="L29" s="156"/>
      <c r="M29" s="147">
        <f t="shared" si="24"/>
        <v>0</v>
      </c>
      <c r="N29" s="172">
        <f t="shared" si="35"/>
        <v>0</v>
      </c>
      <c r="O29" s="163"/>
      <c r="P29" s="118"/>
      <c r="Q29"/>
      <c r="R29"/>
      <c r="S29" s="159"/>
      <c r="T29" s="170">
        <f t="shared" si="25"/>
        <v>0</v>
      </c>
      <c r="U29" s="146"/>
      <c r="V29" s="150">
        <v>0</v>
      </c>
      <c r="W29" s="148"/>
      <c r="X29" s="152"/>
      <c r="Y29" s="149"/>
      <c r="Z29" s="224"/>
      <c r="AA29" s="224"/>
      <c r="AB29" s="224"/>
      <c r="AC29" s="156"/>
      <c r="AD29" s="147">
        <v>0</v>
      </c>
      <c r="AE29" s="172">
        <v>0</v>
      </c>
      <c r="AF29" s="163"/>
      <c r="AG29" s="118"/>
      <c r="AH29" s="61"/>
      <c r="AI29"/>
      <c r="AJ29" s="293"/>
      <c r="AK29" s="305">
        <f t="shared" si="36"/>
        <v>0</v>
      </c>
      <c r="AL29" s="279">
        <f t="shared" si="26"/>
        <v>0</v>
      </c>
      <c r="AM29" s="280">
        <f t="shared" si="27"/>
        <v>0</v>
      </c>
      <c r="AN29" s="281">
        <f t="shared" si="28"/>
        <v>0</v>
      </c>
      <c r="AO29" s="285"/>
      <c r="AP29" s="282">
        <f t="shared" si="29"/>
        <v>0</v>
      </c>
      <c r="AQ29" s="283">
        <f t="shared" si="30"/>
        <v>0</v>
      </c>
      <c r="AR29" s="283">
        <f t="shared" si="31"/>
        <v>0</v>
      </c>
      <c r="AS29" s="283">
        <f t="shared" si="32"/>
        <v>0</v>
      </c>
      <c r="AT29" s="289"/>
      <c r="AU29" s="283">
        <f t="shared" si="33"/>
        <v>0</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34"/>
        <v>0</v>
      </c>
      <c r="B30" s="175"/>
      <c r="C30" s="170"/>
      <c r="D30" s="146"/>
      <c r="E30" s="150">
        <f t="shared" si="23"/>
        <v>0</v>
      </c>
      <c r="F30" s="148"/>
      <c r="G30" s="171"/>
      <c r="H30" s="149"/>
      <c r="I30" s="224"/>
      <c r="J30" s="224"/>
      <c r="K30" s="224"/>
      <c r="L30" s="156"/>
      <c r="M30" s="147">
        <f t="shared" si="24"/>
        <v>0</v>
      </c>
      <c r="N30" s="172">
        <f t="shared" si="35"/>
        <v>0</v>
      </c>
      <c r="O30" s="177"/>
      <c r="P30" s="118"/>
      <c r="Q30"/>
      <c r="R30"/>
      <c r="S30" s="175"/>
      <c r="T30" s="170">
        <f t="shared" si="25"/>
        <v>0</v>
      </c>
      <c r="U30" s="146"/>
      <c r="V30" s="150">
        <v>0</v>
      </c>
      <c r="W30" s="148"/>
      <c r="X30" s="171"/>
      <c r="Y30" s="149"/>
      <c r="Z30" s="224"/>
      <c r="AA30" s="224"/>
      <c r="AB30" s="224"/>
      <c r="AC30" s="156"/>
      <c r="AD30" s="147">
        <v>0</v>
      </c>
      <c r="AE30" s="172">
        <v>0</v>
      </c>
      <c r="AF30" s="177"/>
      <c r="AG30" s="118"/>
      <c r="AH30"/>
      <c r="AI30"/>
      <c r="AJ30" s="309"/>
      <c r="AK30" s="305">
        <f t="shared" si="36"/>
        <v>0</v>
      </c>
      <c r="AL30" s="279">
        <f t="shared" si="26"/>
        <v>0</v>
      </c>
      <c r="AM30" s="280">
        <f t="shared" si="27"/>
        <v>0</v>
      </c>
      <c r="AN30" s="281">
        <f t="shared" si="28"/>
        <v>0</v>
      </c>
      <c r="AO30" s="306"/>
      <c r="AP30" s="282">
        <f t="shared" si="29"/>
        <v>0</v>
      </c>
      <c r="AQ30" s="283">
        <f t="shared" si="30"/>
        <v>0</v>
      </c>
      <c r="AR30" s="283">
        <f t="shared" si="31"/>
        <v>0</v>
      </c>
      <c r="AS30" s="283">
        <f t="shared" si="32"/>
        <v>0</v>
      </c>
      <c r="AT30" s="289"/>
      <c r="AU30" s="283">
        <f t="shared" si="33"/>
        <v>0</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34"/>
        <v>0</v>
      </c>
      <c r="B31" s="159"/>
      <c r="C31" s="170"/>
      <c r="D31" s="146"/>
      <c r="E31" s="150">
        <f t="shared" si="23"/>
        <v>0</v>
      </c>
      <c r="F31" s="148"/>
      <c r="G31" s="152"/>
      <c r="H31" s="149"/>
      <c r="I31" s="224"/>
      <c r="J31" s="224"/>
      <c r="K31" s="224"/>
      <c r="L31" s="156"/>
      <c r="M31" s="147">
        <f t="shared" si="24"/>
        <v>0</v>
      </c>
      <c r="N31" s="172">
        <f t="shared" si="35"/>
        <v>0</v>
      </c>
      <c r="O31" s="163"/>
      <c r="P31" s="118"/>
      <c r="Q31"/>
      <c r="R31"/>
      <c r="S31" s="159"/>
      <c r="T31" s="170">
        <f t="shared" si="25"/>
        <v>0</v>
      </c>
      <c r="U31" s="146"/>
      <c r="V31" s="150">
        <v>0</v>
      </c>
      <c r="W31" s="148"/>
      <c r="X31" s="152"/>
      <c r="Y31" s="149"/>
      <c r="Z31" s="224"/>
      <c r="AA31" s="224"/>
      <c r="AB31" s="224"/>
      <c r="AC31" s="156"/>
      <c r="AD31" s="147">
        <v>0</v>
      </c>
      <c r="AE31" s="172">
        <v>0</v>
      </c>
      <c r="AF31" s="163"/>
      <c r="AG31" s="118"/>
      <c r="AH31"/>
      <c r="AI31"/>
      <c r="AJ31" s="293"/>
      <c r="AK31" s="305">
        <f t="shared" si="36"/>
        <v>0</v>
      </c>
      <c r="AL31" s="279">
        <f t="shared" si="26"/>
        <v>0</v>
      </c>
      <c r="AM31" s="280">
        <f t="shared" si="27"/>
        <v>0</v>
      </c>
      <c r="AN31" s="281">
        <f t="shared" si="28"/>
        <v>0</v>
      </c>
      <c r="AO31" s="285"/>
      <c r="AP31" s="282">
        <f t="shared" si="29"/>
        <v>0</v>
      </c>
      <c r="AQ31" s="283">
        <f t="shared" si="30"/>
        <v>0</v>
      </c>
      <c r="AR31" s="283">
        <f t="shared" si="31"/>
        <v>0</v>
      </c>
      <c r="AS31" s="283">
        <f t="shared" si="32"/>
        <v>0</v>
      </c>
      <c r="AT31" s="289"/>
      <c r="AU31" s="283">
        <f t="shared" si="33"/>
        <v>0</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34"/>
        <v>0</v>
      </c>
      <c r="B32" s="159"/>
      <c r="C32" s="170"/>
      <c r="D32" s="146"/>
      <c r="E32" s="150">
        <f t="shared" si="23"/>
        <v>0</v>
      </c>
      <c r="F32" s="148"/>
      <c r="G32" s="152"/>
      <c r="H32" s="149"/>
      <c r="I32" s="224"/>
      <c r="J32" s="224"/>
      <c r="K32" s="224"/>
      <c r="L32" s="156"/>
      <c r="M32" s="147">
        <f t="shared" si="24"/>
        <v>0</v>
      </c>
      <c r="N32" s="172">
        <f t="shared" si="35"/>
        <v>0</v>
      </c>
      <c r="O32" s="163"/>
      <c r="P32" s="118"/>
      <c r="S32" s="159"/>
      <c r="T32" s="170">
        <f t="shared" si="25"/>
        <v>0</v>
      </c>
      <c r="U32" s="146"/>
      <c r="V32" s="150">
        <v>0</v>
      </c>
      <c r="W32" s="148"/>
      <c r="X32" s="152"/>
      <c r="Y32" s="149"/>
      <c r="Z32" s="224"/>
      <c r="AA32" s="224"/>
      <c r="AB32" s="224"/>
      <c r="AC32" s="156"/>
      <c r="AD32" s="147">
        <v>0</v>
      </c>
      <c r="AE32" s="172">
        <v>0</v>
      </c>
      <c r="AF32" s="163"/>
      <c r="AG32" s="118"/>
      <c r="AJ32" s="293"/>
      <c r="AK32" s="305">
        <f t="shared" si="36"/>
        <v>0</v>
      </c>
      <c r="AL32" s="279">
        <f t="shared" si="26"/>
        <v>0</v>
      </c>
      <c r="AM32" s="280">
        <f t="shared" si="27"/>
        <v>0</v>
      </c>
      <c r="AN32" s="281">
        <f t="shared" si="28"/>
        <v>0</v>
      </c>
      <c r="AO32" s="285"/>
      <c r="AP32" s="282">
        <f t="shared" si="29"/>
        <v>0</v>
      </c>
      <c r="AQ32" s="283">
        <f t="shared" si="30"/>
        <v>0</v>
      </c>
      <c r="AR32" s="283">
        <f t="shared" si="31"/>
        <v>0</v>
      </c>
      <c r="AS32" s="283">
        <f t="shared" si="32"/>
        <v>0</v>
      </c>
      <c r="AT32" s="289"/>
      <c r="AU32" s="283">
        <f t="shared" si="33"/>
        <v>0</v>
      </c>
      <c r="AV32" s="290"/>
      <c r="AW32" s="297"/>
      <c r="AX32" s="118"/>
    </row>
    <row r="33" spans="1:79" s="35" customFormat="1" ht="15.75" customHeight="1" x14ac:dyDescent="0.3">
      <c r="A33" s="446">
        <f t="shared" si="34"/>
        <v>0</v>
      </c>
      <c r="B33" s="159"/>
      <c r="C33" s="170"/>
      <c r="D33" s="146"/>
      <c r="E33" s="150">
        <f t="shared" si="23"/>
        <v>0</v>
      </c>
      <c r="F33" s="148"/>
      <c r="G33" s="152"/>
      <c r="H33" s="149"/>
      <c r="I33" s="224"/>
      <c r="J33" s="224"/>
      <c r="K33" s="224"/>
      <c r="L33" s="156"/>
      <c r="M33" s="147">
        <f t="shared" si="24"/>
        <v>0</v>
      </c>
      <c r="N33" s="172">
        <f t="shared" si="35"/>
        <v>0</v>
      </c>
      <c r="O33" s="163"/>
      <c r="P33" s="118"/>
      <c r="Q33"/>
      <c r="R33"/>
      <c r="S33" s="159"/>
      <c r="T33" s="170">
        <f t="shared" si="25"/>
        <v>0</v>
      </c>
      <c r="U33" s="146"/>
      <c r="V33" s="150">
        <v>0</v>
      </c>
      <c r="W33" s="148"/>
      <c r="X33" s="152"/>
      <c r="Y33" s="149"/>
      <c r="Z33" s="224"/>
      <c r="AA33" s="224"/>
      <c r="AB33" s="224"/>
      <c r="AC33" s="156"/>
      <c r="AD33" s="147">
        <v>0</v>
      </c>
      <c r="AE33" s="172">
        <v>0</v>
      </c>
      <c r="AF33" s="163"/>
      <c r="AG33" s="118"/>
      <c r="AH33"/>
      <c r="AI33"/>
      <c r="AJ33" s="293"/>
      <c r="AK33" s="305">
        <f t="shared" si="36"/>
        <v>0</v>
      </c>
      <c r="AL33" s="279">
        <f t="shared" si="26"/>
        <v>0</v>
      </c>
      <c r="AM33" s="280">
        <f t="shared" si="27"/>
        <v>0</v>
      </c>
      <c r="AN33" s="281">
        <f t="shared" si="28"/>
        <v>0</v>
      </c>
      <c r="AO33" s="285"/>
      <c r="AP33" s="282">
        <f t="shared" si="29"/>
        <v>0</v>
      </c>
      <c r="AQ33" s="283">
        <f t="shared" si="30"/>
        <v>0</v>
      </c>
      <c r="AR33" s="283">
        <f t="shared" si="31"/>
        <v>0</v>
      </c>
      <c r="AS33" s="283">
        <f t="shared" si="32"/>
        <v>0</v>
      </c>
      <c r="AT33" s="289"/>
      <c r="AU33" s="283">
        <f t="shared" si="3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customHeight="1" x14ac:dyDescent="0.35">
      <c r="A34" s="446">
        <f t="shared" si="34"/>
        <v>0</v>
      </c>
      <c r="B34" s="159"/>
      <c r="C34" s="170"/>
      <c r="D34" s="146"/>
      <c r="E34" s="150"/>
      <c r="F34" s="148"/>
      <c r="G34" s="152"/>
      <c r="H34" s="149"/>
      <c r="I34" s="224"/>
      <c r="J34" s="224"/>
      <c r="K34" s="224"/>
      <c r="L34" s="156"/>
      <c r="M34" s="147">
        <f t="shared" si="24"/>
        <v>0</v>
      </c>
      <c r="N34" s="172">
        <f t="shared" si="35"/>
        <v>0</v>
      </c>
      <c r="O34" s="163"/>
      <c r="P34" s="118"/>
      <c r="Q34"/>
      <c r="R34"/>
      <c r="S34" s="159"/>
      <c r="T34" s="170">
        <f t="shared" si="25"/>
        <v>0</v>
      </c>
      <c r="U34" s="146"/>
      <c r="V34" s="150"/>
      <c r="W34" s="148"/>
      <c r="X34" s="152"/>
      <c r="Y34" s="149"/>
      <c r="Z34" s="224"/>
      <c r="AA34" s="224"/>
      <c r="AB34" s="224"/>
      <c r="AC34" s="156"/>
      <c r="AD34" s="147">
        <v>0</v>
      </c>
      <c r="AE34" s="172">
        <v>0</v>
      </c>
      <c r="AF34" s="163"/>
      <c r="AG34" s="118"/>
      <c r="AH34" s="71"/>
      <c r="AI34"/>
      <c r="AJ34" s="293"/>
      <c r="AK34" s="305">
        <f t="shared" si="36"/>
        <v>0</v>
      </c>
      <c r="AL34" s="279">
        <f t="shared" ref="AL34:AP39" si="37">U34-D34</f>
        <v>0</v>
      </c>
      <c r="AM34" s="280">
        <f t="shared" ref="AM34:AM39" si="38">AN34-AL34</f>
        <v>0</v>
      </c>
      <c r="AN34" s="281">
        <f t="shared" si="37"/>
        <v>0</v>
      </c>
      <c r="AO34" s="285"/>
      <c r="AP34" s="282">
        <f t="shared" si="37"/>
        <v>0</v>
      </c>
      <c r="AQ34" s="283">
        <f t="shared" ref="AQ34:AQ39" si="39">Z34-I34</f>
        <v>0</v>
      </c>
      <c r="AR34" s="283">
        <f t="shared" ref="AR34:AR39" si="40">AA34-J34</f>
        <v>0</v>
      </c>
      <c r="AS34" s="283">
        <f t="shared" ref="AS34:AS39" si="41">AB34-K34</f>
        <v>0</v>
      </c>
      <c r="AT34" s="289"/>
      <c r="AU34" s="283">
        <f t="shared" ref="AU34:AU39" si="42">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customHeight="1" x14ac:dyDescent="0.3">
      <c r="A35" s="446">
        <f t="shared" si="34"/>
        <v>0</v>
      </c>
      <c r="B35" s="159"/>
      <c r="C35" s="170"/>
      <c r="D35" s="146"/>
      <c r="E35" s="150"/>
      <c r="F35" s="148"/>
      <c r="G35" s="152"/>
      <c r="H35" s="149"/>
      <c r="I35" s="224"/>
      <c r="J35" s="224"/>
      <c r="K35" s="224"/>
      <c r="L35" s="156"/>
      <c r="M35" s="147">
        <f t="shared" si="24"/>
        <v>0</v>
      </c>
      <c r="N35" s="172">
        <f t="shared" si="35"/>
        <v>0</v>
      </c>
      <c r="O35" s="163"/>
      <c r="P35" s="118"/>
      <c r="Q35"/>
      <c r="R35"/>
      <c r="S35" s="159"/>
      <c r="T35" s="170">
        <f t="shared" si="25"/>
        <v>0</v>
      </c>
      <c r="U35" s="146"/>
      <c r="V35" s="150"/>
      <c r="W35" s="148"/>
      <c r="X35" s="152"/>
      <c r="Y35" s="149"/>
      <c r="Z35" s="224"/>
      <c r="AA35" s="224"/>
      <c r="AB35" s="224"/>
      <c r="AC35" s="156"/>
      <c r="AD35" s="147">
        <v>0</v>
      </c>
      <c r="AE35" s="172">
        <v>0</v>
      </c>
      <c r="AF35" s="163"/>
      <c r="AG35" s="118"/>
      <c r="AH35"/>
      <c r="AI35"/>
      <c r="AJ35" s="293"/>
      <c r="AK35" s="305">
        <f t="shared" si="36"/>
        <v>0</v>
      </c>
      <c r="AL35" s="279">
        <f t="shared" si="37"/>
        <v>0</v>
      </c>
      <c r="AM35" s="280">
        <f t="shared" si="38"/>
        <v>0</v>
      </c>
      <c r="AN35" s="281">
        <f t="shared" si="37"/>
        <v>0</v>
      </c>
      <c r="AO35" s="285"/>
      <c r="AP35" s="282">
        <f t="shared" si="37"/>
        <v>0</v>
      </c>
      <c r="AQ35" s="283">
        <f t="shared" si="39"/>
        <v>0</v>
      </c>
      <c r="AR35" s="283">
        <f t="shared" si="40"/>
        <v>0</v>
      </c>
      <c r="AS35" s="283">
        <f t="shared" si="41"/>
        <v>0</v>
      </c>
      <c r="AT35" s="289"/>
      <c r="AU35" s="283">
        <f t="shared" si="42"/>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customHeight="1" x14ac:dyDescent="0.3">
      <c r="A36" s="446">
        <f t="shared" si="34"/>
        <v>0</v>
      </c>
      <c r="B36" s="159"/>
      <c r="C36" s="170"/>
      <c r="D36" s="146"/>
      <c r="E36" s="150"/>
      <c r="F36" s="148"/>
      <c r="G36" s="152"/>
      <c r="H36" s="149"/>
      <c r="I36" s="224"/>
      <c r="J36" s="224"/>
      <c r="K36" s="224"/>
      <c r="L36" s="156"/>
      <c r="M36" s="147">
        <f t="shared" si="24"/>
        <v>0</v>
      </c>
      <c r="N36" s="172">
        <f t="shared" si="35"/>
        <v>0</v>
      </c>
      <c r="O36" s="163"/>
      <c r="P36" s="118"/>
      <c r="Q36"/>
      <c r="R36"/>
      <c r="S36" s="159"/>
      <c r="T36" s="170">
        <f t="shared" si="25"/>
        <v>0</v>
      </c>
      <c r="U36" s="146"/>
      <c r="V36" s="150"/>
      <c r="W36" s="148"/>
      <c r="X36" s="152"/>
      <c r="Y36" s="149"/>
      <c r="Z36" s="224"/>
      <c r="AA36" s="224"/>
      <c r="AB36" s="224"/>
      <c r="AC36" s="156"/>
      <c r="AD36" s="147">
        <v>0</v>
      </c>
      <c r="AE36" s="172">
        <v>0</v>
      </c>
      <c r="AF36" s="163"/>
      <c r="AG36" s="118"/>
      <c r="AH36" s="61"/>
      <c r="AI36"/>
      <c r="AJ36" s="293"/>
      <c r="AK36" s="305">
        <f t="shared" si="36"/>
        <v>0</v>
      </c>
      <c r="AL36" s="279">
        <f t="shared" si="37"/>
        <v>0</v>
      </c>
      <c r="AM36" s="280">
        <f t="shared" si="38"/>
        <v>0</v>
      </c>
      <c r="AN36" s="281">
        <f t="shared" si="37"/>
        <v>0</v>
      </c>
      <c r="AO36" s="285"/>
      <c r="AP36" s="282">
        <f t="shared" si="37"/>
        <v>0</v>
      </c>
      <c r="AQ36" s="283">
        <f t="shared" si="39"/>
        <v>0</v>
      </c>
      <c r="AR36" s="283">
        <f t="shared" si="40"/>
        <v>0</v>
      </c>
      <c r="AS36" s="283">
        <f t="shared" si="41"/>
        <v>0</v>
      </c>
      <c r="AT36" s="289"/>
      <c r="AU36" s="283">
        <f t="shared" si="42"/>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customHeight="1" x14ac:dyDescent="0.3">
      <c r="A37" s="446">
        <f t="shared" si="34"/>
        <v>0</v>
      </c>
      <c r="B37" s="159"/>
      <c r="C37" s="170"/>
      <c r="D37" s="146"/>
      <c r="E37" s="150"/>
      <c r="F37" s="148"/>
      <c r="G37" s="152"/>
      <c r="H37" s="149"/>
      <c r="I37" s="224"/>
      <c r="J37" s="224"/>
      <c r="K37" s="224"/>
      <c r="L37" s="156"/>
      <c r="M37" s="147">
        <f t="shared" si="24"/>
        <v>0</v>
      </c>
      <c r="N37" s="172">
        <f t="shared" si="35"/>
        <v>0</v>
      </c>
      <c r="O37" s="163"/>
      <c r="P37" s="118"/>
      <c r="Q37"/>
      <c r="R37"/>
      <c r="S37" s="159"/>
      <c r="T37" s="170">
        <f t="shared" si="25"/>
        <v>0</v>
      </c>
      <c r="U37" s="146"/>
      <c r="V37" s="150"/>
      <c r="W37" s="148"/>
      <c r="X37" s="152"/>
      <c r="Y37" s="149"/>
      <c r="Z37" s="224"/>
      <c r="AA37" s="224"/>
      <c r="AB37" s="224"/>
      <c r="AC37" s="156"/>
      <c r="AD37" s="147">
        <v>0</v>
      </c>
      <c r="AE37" s="172">
        <v>0</v>
      </c>
      <c r="AF37" s="163"/>
      <c r="AG37" s="118"/>
      <c r="AH37"/>
      <c r="AI37"/>
      <c r="AJ37" s="293"/>
      <c r="AK37" s="305">
        <f t="shared" si="36"/>
        <v>0</v>
      </c>
      <c r="AL37" s="279">
        <f t="shared" si="37"/>
        <v>0</v>
      </c>
      <c r="AM37" s="280">
        <f t="shared" si="38"/>
        <v>0</v>
      </c>
      <c r="AN37" s="281">
        <f t="shared" si="37"/>
        <v>0</v>
      </c>
      <c r="AO37" s="285"/>
      <c r="AP37" s="282">
        <f t="shared" si="37"/>
        <v>0</v>
      </c>
      <c r="AQ37" s="283">
        <f t="shared" si="39"/>
        <v>0</v>
      </c>
      <c r="AR37" s="283">
        <f t="shared" si="40"/>
        <v>0</v>
      </c>
      <c r="AS37" s="283">
        <f t="shared" si="41"/>
        <v>0</v>
      </c>
      <c r="AT37" s="289"/>
      <c r="AU37" s="283">
        <f t="shared" si="42"/>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customHeight="1" x14ac:dyDescent="0.3">
      <c r="A38" s="446">
        <f t="shared" si="34"/>
        <v>0</v>
      </c>
      <c r="B38" s="159"/>
      <c r="C38" s="170"/>
      <c r="D38" s="146"/>
      <c r="E38" s="150"/>
      <c r="F38" s="148"/>
      <c r="G38" s="152"/>
      <c r="H38" s="149"/>
      <c r="I38" s="224"/>
      <c r="J38" s="224"/>
      <c r="K38" s="224"/>
      <c r="L38" s="156"/>
      <c r="M38" s="147">
        <f t="shared" si="24"/>
        <v>0</v>
      </c>
      <c r="N38" s="172">
        <f t="shared" si="35"/>
        <v>0</v>
      </c>
      <c r="O38" s="163"/>
      <c r="P38" s="118"/>
      <c r="Q38"/>
      <c r="R38"/>
      <c r="S38" s="159"/>
      <c r="T38" s="170">
        <f t="shared" si="25"/>
        <v>0</v>
      </c>
      <c r="U38" s="146"/>
      <c r="V38" s="150"/>
      <c r="W38" s="148"/>
      <c r="X38" s="152"/>
      <c r="Y38" s="149"/>
      <c r="Z38" s="224"/>
      <c r="AA38" s="224"/>
      <c r="AB38" s="224"/>
      <c r="AC38" s="156"/>
      <c r="AD38" s="147">
        <v>0</v>
      </c>
      <c r="AE38" s="172">
        <v>0</v>
      </c>
      <c r="AF38" s="163"/>
      <c r="AG38" s="118"/>
      <c r="AH38" s="73"/>
      <c r="AI38"/>
      <c r="AJ38" s="293"/>
      <c r="AK38" s="305">
        <f t="shared" si="36"/>
        <v>0</v>
      </c>
      <c r="AL38" s="279">
        <f t="shared" si="37"/>
        <v>0</v>
      </c>
      <c r="AM38" s="280">
        <f t="shared" si="38"/>
        <v>0</v>
      </c>
      <c r="AN38" s="281">
        <f t="shared" si="37"/>
        <v>0</v>
      </c>
      <c r="AO38" s="285"/>
      <c r="AP38" s="282">
        <f t="shared" si="37"/>
        <v>0</v>
      </c>
      <c r="AQ38" s="283">
        <f t="shared" si="39"/>
        <v>0</v>
      </c>
      <c r="AR38" s="283">
        <f t="shared" si="40"/>
        <v>0</v>
      </c>
      <c r="AS38" s="283">
        <f t="shared" si="41"/>
        <v>0</v>
      </c>
      <c r="AT38" s="289"/>
      <c r="AU38" s="283">
        <f t="shared" si="42"/>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customHeight="1" x14ac:dyDescent="0.3">
      <c r="A39" s="446">
        <f t="shared" si="34"/>
        <v>0</v>
      </c>
      <c r="B39" s="159"/>
      <c r="C39" s="170"/>
      <c r="D39" s="146"/>
      <c r="E39" s="150"/>
      <c r="F39" s="148"/>
      <c r="G39" s="152"/>
      <c r="H39" s="149"/>
      <c r="I39" s="224"/>
      <c r="J39" s="224"/>
      <c r="K39" s="224"/>
      <c r="L39" s="156"/>
      <c r="M39" s="147">
        <f t="shared" si="24"/>
        <v>0</v>
      </c>
      <c r="N39" s="172">
        <f t="shared" si="35"/>
        <v>0</v>
      </c>
      <c r="O39" s="163"/>
      <c r="P39" s="118"/>
      <c r="Q39"/>
      <c r="R39"/>
      <c r="S39" s="159"/>
      <c r="T39" s="170">
        <f t="shared" si="25"/>
        <v>0</v>
      </c>
      <c r="U39" s="146"/>
      <c r="V39" s="150"/>
      <c r="W39" s="148"/>
      <c r="X39" s="152"/>
      <c r="Y39" s="149"/>
      <c r="Z39" s="224"/>
      <c r="AA39" s="224"/>
      <c r="AB39" s="224"/>
      <c r="AC39" s="156"/>
      <c r="AD39" s="147">
        <v>0</v>
      </c>
      <c r="AE39" s="172">
        <v>0</v>
      </c>
      <c r="AF39" s="163"/>
      <c r="AG39" s="118"/>
      <c r="AH39" s="61"/>
      <c r="AI39"/>
      <c r="AJ39" s="293"/>
      <c r="AK39" s="305">
        <f t="shared" si="36"/>
        <v>0</v>
      </c>
      <c r="AL39" s="279">
        <f t="shared" si="37"/>
        <v>0</v>
      </c>
      <c r="AM39" s="280">
        <f t="shared" si="38"/>
        <v>0</v>
      </c>
      <c r="AN39" s="281">
        <f t="shared" si="37"/>
        <v>0</v>
      </c>
      <c r="AO39" s="285"/>
      <c r="AP39" s="282">
        <f t="shared" si="37"/>
        <v>0</v>
      </c>
      <c r="AQ39" s="283">
        <f t="shared" si="39"/>
        <v>0</v>
      </c>
      <c r="AR39" s="283">
        <f t="shared" si="40"/>
        <v>0</v>
      </c>
      <c r="AS39" s="283">
        <f t="shared" si="41"/>
        <v>0</v>
      </c>
      <c r="AT39" s="289"/>
      <c r="AU39" s="283">
        <f t="shared" si="42"/>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35" customFormat="1" ht="15.75" customHeight="1" x14ac:dyDescent="0.3">
      <c r="A41" s="446">
        <v>1</v>
      </c>
      <c r="B41" s="119"/>
      <c r="C41" s="164" t="s">
        <v>12</v>
      </c>
      <c r="D41" s="165">
        <f>SUM(D20:D39)</f>
        <v>632346447.21609008</v>
      </c>
      <c r="E41" s="179">
        <f t="shared" ref="E41:F41" si="43">SUM(E20:E39)</f>
        <v>6235067.6899999827</v>
      </c>
      <c r="F41" s="166">
        <f t="shared" si="43"/>
        <v>638581514.90609002</v>
      </c>
      <c r="G41" s="165"/>
      <c r="H41" s="436">
        <f t="shared" ref="H41" si="44">SUM(H20:H39)</f>
        <v>150133244.63957</v>
      </c>
      <c r="I41" s="437">
        <f>IF(General!$BE$1&gt;1,SUM(I20:I39),"")</f>
        <v>153145006.65371001</v>
      </c>
      <c r="J41" s="437">
        <f>IF(General!$BE$1&gt;2,SUM(J20:J39),"")</f>
        <v>163866218.898</v>
      </c>
      <c r="K41" s="437">
        <f>IF(General!$BE$1&gt;2,SUM(K20:K39),"")</f>
        <v>161612732.10299999</v>
      </c>
      <c r="L41" s="156"/>
      <c r="M41" s="168">
        <f>SUM(M20:M39)</f>
        <v>628757202.29428005</v>
      </c>
      <c r="N41" s="180">
        <f>IFERROR(M41/F41,0)</f>
        <v>0.98461541340849068</v>
      </c>
      <c r="O41" s="163"/>
      <c r="P41" s="118"/>
      <c r="Q41"/>
      <c r="R41"/>
      <c r="S41" s="119"/>
      <c r="T41" s="164" t="s">
        <v>12</v>
      </c>
      <c r="U41" s="165">
        <v>632346448.0200001</v>
      </c>
      <c r="V41" s="179">
        <v>0</v>
      </c>
      <c r="W41" s="166">
        <v>632346448.0200001</v>
      </c>
      <c r="X41" s="165"/>
      <c r="Y41" s="436">
        <v>150127223.63957</v>
      </c>
      <c r="Z41" s="437">
        <v>153103651.25171</v>
      </c>
      <c r="AA41" s="437" t="s">
        <v>52</v>
      </c>
      <c r="AB41" s="438" t="s">
        <v>52</v>
      </c>
      <c r="AC41" s="156"/>
      <c r="AD41" s="168">
        <v>303230874.89128</v>
      </c>
      <c r="AE41" s="180">
        <v>0.47953281913855123</v>
      </c>
      <c r="AF41" s="163"/>
      <c r="AG41" s="118"/>
      <c r="AH41"/>
      <c r="AI41"/>
      <c r="AJ41" s="248"/>
      <c r="AK41" s="298" t="s">
        <v>12</v>
      </c>
      <c r="AL41" s="299">
        <f>SUM(AL20:AL39)</f>
        <v>0.80390999093651772</v>
      </c>
      <c r="AM41" s="313">
        <f t="shared" ref="AM41" si="45">SUM(AM20:AM39)</f>
        <v>-6235067.6899999827</v>
      </c>
      <c r="AN41" s="300">
        <f>SUM(AN20:AN39)</f>
        <v>-6235066.8860899918</v>
      </c>
      <c r="AO41" s="299"/>
      <c r="AP41" s="301">
        <f>SUM(AP20:AP39)</f>
        <v>-6021</v>
      </c>
      <c r="AQ41" s="302">
        <f t="shared" ref="AQ41:AS41" si="46">SUM(AQ20:AQ39)</f>
        <v>-41355.402000002563</v>
      </c>
      <c r="AR41" s="302">
        <f t="shared" si="46"/>
        <v>-163866218.898</v>
      </c>
      <c r="AS41" s="302">
        <f t="shared" si="46"/>
        <v>0</v>
      </c>
      <c r="AT41" s="289"/>
      <c r="AU41" s="302">
        <f>SUM(AU20:AU39)</f>
        <v>-325526327.403</v>
      </c>
      <c r="AV41" s="303"/>
      <c r="AW41" s="297"/>
      <c r="AX41" s="118"/>
      <c r="AY41"/>
      <c r="AZ41"/>
      <c r="BA41"/>
      <c r="BB41"/>
      <c r="BC41"/>
      <c r="BD41"/>
      <c r="BE41"/>
      <c r="BF41"/>
      <c r="BG41"/>
      <c r="BH41"/>
      <c r="BI41"/>
      <c r="BJ41"/>
      <c r="BK41"/>
      <c r="BL41"/>
      <c r="BM41"/>
      <c r="BN41"/>
      <c r="BO41"/>
      <c r="BP41"/>
      <c r="BQ41"/>
      <c r="BR41"/>
      <c r="BS41"/>
      <c r="BT41"/>
      <c r="BU41"/>
      <c r="BV41"/>
      <c r="BW41"/>
      <c r="BX41"/>
      <c r="BY41"/>
      <c r="BZ41"/>
      <c r="CA41"/>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35" customFormat="1" ht="15.75" customHeight="1" x14ac:dyDescent="0.3">
      <c r="A44" s="446">
        <v>1</v>
      </c>
      <c r="B44" s="159"/>
      <c r="C44" s="182" t="s">
        <v>0</v>
      </c>
      <c r="D44" s="152">
        <f>SUM(D45:D47)</f>
        <v>517262235.41897559</v>
      </c>
      <c r="E44" s="156">
        <f t="shared" ref="E44:M44" si="47">SUM(E45:E47)</f>
        <v>2788241.480000034</v>
      </c>
      <c r="F44" s="153">
        <f t="shared" si="47"/>
        <v>520050476.89897561</v>
      </c>
      <c r="G44" s="152">
        <f t="shared" si="47"/>
        <v>0</v>
      </c>
      <c r="H44" s="154">
        <f t="shared" si="47"/>
        <v>123190191.38921002</v>
      </c>
      <c r="I44" s="155">
        <f t="shared" si="47"/>
        <v>127770435.16937999</v>
      </c>
      <c r="J44" s="155">
        <f t="shared" ref="J44" si="48">SUM(J45:J47)</f>
        <v>131671516.626</v>
      </c>
      <c r="K44" s="155">
        <f t="shared" ref="K44" si="49">SUM(K45:K47)</f>
        <v>131192028.573</v>
      </c>
      <c r="L44" s="156"/>
      <c r="M44" s="155">
        <f t="shared" si="47"/>
        <v>513824171.75759006</v>
      </c>
      <c r="N44" s="172">
        <f t="shared" ref="N44:N64" si="50">IFERROR(M44/F44,0)</f>
        <v>0.98802749844878024</v>
      </c>
      <c r="O44" s="163"/>
      <c r="P44" s="181"/>
      <c r="Q44"/>
      <c r="R44"/>
      <c r="S44" s="159"/>
      <c r="T44" s="182" t="str">
        <f t="shared" ref="T44:T64" si="51">C44</f>
        <v>Current payments</v>
      </c>
      <c r="U44" s="152">
        <v>517162385.48000008</v>
      </c>
      <c r="V44" s="156">
        <v>0</v>
      </c>
      <c r="W44" s="153">
        <v>517162385.48000008</v>
      </c>
      <c r="X44" s="152">
        <v>0</v>
      </c>
      <c r="Y44" s="154">
        <v>123189152.38921002</v>
      </c>
      <c r="Z44" s="155">
        <v>127770205.76738</v>
      </c>
      <c r="AA44" s="155">
        <v>0</v>
      </c>
      <c r="AB44" s="155">
        <v>0</v>
      </c>
      <c r="AC44" s="156"/>
      <c r="AD44" s="155">
        <v>250959358.15659001</v>
      </c>
      <c r="AE44" s="172">
        <v>0.48526220236157375</v>
      </c>
      <c r="AF44" s="163"/>
      <c r="AG44" s="181"/>
      <c r="AH44"/>
      <c r="AI44"/>
      <c r="AJ44" s="293"/>
      <c r="AK44" s="314" t="s">
        <v>0</v>
      </c>
      <c r="AL44" s="285">
        <f>SUM(AL45:AL47)</f>
        <v>-99849.938975542784</v>
      </c>
      <c r="AM44" s="289">
        <f t="shared" ref="AM44:AO44" si="52">SUM(AM45:AM47)</f>
        <v>-2788241.480000034</v>
      </c>
      <c r="AN44" s="286">
        <f>SUM(AN45:AN47)</f>
        <v>-2888091.4189755768</v>
      </c>
      <c r="AO44" s="285">
        <f t="shared" si="52"/>
        <v>0</v>
      </c>
      <c r="AP44" s="287">
        <f>SUM(AP45:AP47)</f>
        <v>-1039</v>
      </c>
      <c r="AQ44" s="288">
        <f t="shared" ref="AQ44:AS44" si="53">SUM(AQ45:AQ47)</f>
        <v>-229.402000002563</v>
      </c>
      <c r="AR44" s="288">
        <f t="shared" si="53"/>
        <v>-131671516.626</v>
      </c>
      <c r="AS44" s="288">
        <f t="shared" si="53"/>
        <v>-131192028.573</v>
      </c>
      <c r="AT44" s="289"/>
      <c r="AU44" s="288">
        <f t="shared" ref="AU44" si="54">SUM(AU45:AU47)</f>
        <v>-262864813.60100004</v>
      </c>
      <c r="AV44" s="315"/>
      <c r="AW44" s="297"/>
      <c r="AX44" s="181"/>
      <c r="AY44"/>
      <c r="AZ44"/>
      <c r="BA44"/>
      <c r="BB44"/>
      <c r="BC44"/>
      <c r="BD44"/>
      <c r="BE44"/>
      <c r="BF44"/>
      <c r="BG44"/>
      <c r="BH44"/>
      <c r="BI44"/>
      <c r="BJ44"/>
      <c r="BK44"/>
      <c r="BL44"/>
      <c r="BM44"/>
      <c r="BN44"/>
      <c r="BO44"/>
      <c r="BP44"/>
      <c r="BQ44"/>
      <c r="BR44"/>
      <c r="BS44"/>
      <c r="BT44"/>
      <c r="BU44"/>
      <c r="BV44"/>
      <c r="BW44"/>
      <c r="BX44"/>
      <c r="BY44"/>
      <c r="BZ44"/>
      <c r="CA44"/>
    </row>
    <row r="45" spans="1:79" s="35" customFormat="1" ht="15.75" customHeight="1" x14ac:dyDescent="0.3">
      <c r="A45" s="446">
        <v>1</v>
      </c>
      <c r="B45" s="159"/>
      <c r="C45" s="157" t="s">
        <v>54</v>
      </c>
      <c r="D45" s="146">
        <f>EC_1!D45+FS_1!D45+GT_1!D45+KZN_1!D45+LIM_1!D45+MPU_1!D45+NC_1!D45+NW_1!D45+WC_1!D45</f>
        <v>389622358.31264228</v>
      </c>
      <c r="E45" s="150">
        <f t="shared" ref="E45:E47" si="55">F45-D45</f>
        <v>-3132938.4599999785</v>
      </c>
      <c r="F45" s="148">
        <f>EC_1!F45+FS_1!F45+GT_1!F45+KZN_1!F45+LIM_1!F45+MPU_1!F45+NC_1!F45+NW_1!F45+WC_1!F45</f>
        <v>386489419.8526423</v>
      </c>
      <c r="G45" s="146"/>
      <c r="H45" s="149">
        <f>EC_1!H45+FS_1!H45+GT_1!H45+KZN_1!H45+LIM_1!H45+MPU_1!H45+NC_1!H45+NW_1!H45+WC_1!H45</f>
        <v>94253193.330500007</v>
      </c>
      <c r="I45" s="224">
        <f>EC_1!I45+FS_1!I45+GT_1!I45+KZN_1!I45+LIM_1!I45+MPU_1!I45+NC_1!I45+NW_1!I45+WC_1!I45</f>
        <v>95952893.598189995</v>
      </c>
      <c r="J45" s="224">
        <f>EC_1!J45+FS_1!J45+GT_1!J45+KZN_1!J45+LIM_1!J45+MPU_1!J45+NC_1!J45+NW_1!J45+WC_1!J45</f>
        <v>98605546.910000011</v>
      </c>
      <c r="K45" s="224">
        <f>EC_1!K45+FS_1!K45+GT_1!K45+KZN_1!K45+LIM_1!K45+MPU_1!K45+NC_1!K45+NW_1!K45+WC_1!K45</f>
        <v>95656181.650999993</v>
      </c>
      <c r="L45" s="156"/>
      <c r="M45" s="147">
        <f t="shared" ref="M45:M47" si="56">SUM(H45:K45)</f>
        <v>384467815.48969007</v>
      </c>
      <c r="N45" s="172">
        <f t="shared" si="50"/>
        <v>0.99476931512453037</v>
      </c>
      <c r="O45" s="163"/>
      <c r="P45" s="181"/>
      <c r="Q45"/>
      <c r="R45"/>
      <c r="S45" s="159"/>
      <c r="T45" s="157" t="str">
        <f t="shared" si="51"/>
        <v>Compensation of employees</v>
      </c>
      <c r="U45" s="146">
        <v>389601795.49000007</v>
      </c>
      <c r="V45" s="150">
        <v>0</v>
      </c>
      <c r="W45" s="148">
        <v>389601795.49000007</v>
      </c>
      <c r="X45" s="146"/>
      <c r="Y45" s="149">
        <v>94256640.330500007</v>
      </c>
      <c r="Z45" s="224">
        <v>95952953.598189995</v>
      </c>
      <c r="AA45" s="224">
        <v>0</v>
      </c>
      <c r="AB45" s="224">
        <v>0</v>
      </c>
      <c r="AC45" s="156"/>
      <c r="AD45" s="147">
        <v>190209593.92869002</v>
      </c>
      <c r="AE45" s="172">
        <v>0.48821539359043364</v>
      </c>
      <c r="AF45" s="163"/>
      <c r="AG45" s="181"/>
      <c r="AH45"/>
      <c r="AI45"/>
      <c r="AJ45" s="293"/>
      <c r="AK45" s="291" t="s">
        <v>54</v>
      </c>
      <c r="AL45" s="279">
        <f t="shared" ref="AL45:AL47" si="57">IFERROR(U45-D45,0)</f>
        <v>-20562.822642207146</v>
      </c>
      <c r="AM45" s="280">
        <f t="shared" ref="AM45:AM47" si="58">IFERROR(V45-E45,0)</f>
        <v>3132938.4599999785</v>
      </c>
      <c r="AN45" s="281">
        <f t="shared" ref="AN45:AN47" si="59">IFERROR(W45-F45,0)</f>
        <v>3112375.6373577714</v>
      </c>
      <c r="AO45" s="279"/>
      <c r="AP45" s="282">
        <f t="shared" ref="AP45:AP47" si="60">IFERROR(Y45-H45,0)</f>
        <v>3447</v>
      </c>
      <c r="AQ45" s="283">
        <f t="shared" ref="AQ45:AQ47" si="61">IFERROR(Z45-I45,0)</f>
        <v>60</v>
      </c>
      <c r="AR45" s="283">
        <f t="shared" ref="AR45:AR47" si="62">IFERROR(AA45-J45,0)</f>
        <v>-98605546.910000011</v>
      </c>
      <c r="AS45" s="283">
        <f t="shared" ref="AS45:AS47" si="63">IFERROR(AB45-K45,0)</f>
        <v>-95656181.650999993</v>
      </c>
      <c r="AT45" s="289"/>
      <c r="AU45" s="283">
        <f t="shared" ref="AU45:AU47" si="64">IFERROR(AD45-M45,0)</f>
        <v>-194258221.56100005</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146">
        <f>EC_1!D46+FS_1!D46+GT_1!D46+KZN_1!D46+LIM_1!D46+MPU_1!D46+NC_1!D46+NW_1!D46+WC_1!D46</f>
        <v>127632033.10633333</v>
      </c>
      <c r="E46" s="150">
        <f t="shared" si="55"/>
        <v>5918398.9400000125</v>
      </c>
      <c r="F46" s="148">
        <f>EC_1!F46+FS_1!F46+GT_1!F46+KZN_1!F46+LIM_1!F46+MPU_1!F46+NC_1!F46+NW_1!F46+WC_1!F46</f>
        <v>133550432.04633334</v>
      </c>
      <c r="G46" s="146"/>
      <c r="H46" s="149">
        <f>EC_1!H46+FS_1!H46+GT_1!H46+KZN_1!H46+LIM_1!H46+MPU_1!H46+NC_1!H46+NW_1!H46+WC_1!H46</f>
        <v>28921635.058710001</v>
      </c>
      <c r="I46" s="224">
        <f>EC_1!I46+FS_1!I46+GT_1!I46+KZN_1!I46+LIM_1!I46+MPU_1!I46+NC_1!I46+NW_1!I46+WC_1!I46</f>
        <v>31801321.182190001</v>
      </c>
      <c r="J46" s="224">
        <f>EC_1!J46+FS_1!J46+GT_1!J46+KZN_1!J46+LIM_1!J46+MPU_1!J46+NC_1!J46+NW_1!J46+WC_1!J46</f>
        <v>33058959.855999999</v>
      </c>
      <c r="K46" s="224">
        <f>EC_1!K46+FS_1!K46+GT_1!K46+KZN_1!K46+LIM_1!K46+MPU_1!K46+NC_1!K46+NW_1!K46+WC_1!K46</f>
        <v>35526970.522</v>
      </c>
      <c r="L46" s="156"/>
      <c r="M46" s="147">
        <f t="shared" si="56"/>
        <v>129308886.6189</v>
      </c>
      <c r="N46" s="172">
        <f t="shared" si="50"/>
        <v>0.96824012200902654</v>
      </c>
      <c r="O46" s="163"/>
      <c r="P46" s="181"/>
      <c r="Q46"/>
      <c r="R46"/>
      <c r="S46" s="159"/>
      <c r="T46" s="157" t="str">
        <f t="shared" si="51"/>
        <v>Goods and services</v>
      </c>
      <c r="U46" s="146">
        <v>127552745.98999999</v>
      </c>
      <c r="V46" s="150">
        <v>0</v>
      </c>
      <c r="W46" s="148">
        <v>127552745.98999999</v>
      </c>
      <c r="X46" s="146"/>
      <c r="Y46" s="149">
        <v>28917149.058710001</v>
      </c>
      <c r="Z46" s="224">
        <v>31801029.780189998</v>
      </c>
      <c r="AA46" s="224">
        <v>0</v>
      </c>
      <c r="AB46" s="224">
        <v>0</v>
      </c>
      <c r="AC46" s="156"/>
      <c r="AD46" s="147">
        <v>60718178.8389</v>
      </c>
      <c r="AE46" s="172">
        <v>0.47602408217585723</v>
      </c>
      <c r="AF46" s="163"/>
      <c r="AG46" s="181"/>
      <c r="AH46"/>
      <c r="AI46"/>
      <c r="AJ46" s="293"/>
      <c r="AK46" s="291" t="s">
        <v>55</v>
      </c>
      <c r="AL46" s="279">
        <f t="shared" si="57"/>
        <v>-79287.116333335638</v>
      </c>
      <c r="AM46" s="280">
        <f t="shared" si="58"/>
        <v>-5918398.9400000125</v>
      </c>
      <c r="AN46" s="281">
        <f t="shared" si="59"/>
        <v>-5997686.0563333482</v>
      </c>
      <c r="AO46" s="279"/>
      <c r="AP46" s="282">
        <f t="shared" si="60"/>
        <v>-4486</v>
      </c>
      <c r="AQ46" s="283">
        <f t="shared" si="61"/>
        <v>-291.402000002563</v>
      </c>
      <c r="AR46" s="283">
        <f t="shared" si="62"/>
        <v>-33058959.855999999</v>
      </c>
      <c r="AS46" s="283">
        <f t="shared" si="63"/>
        <v>-35526970.522</v>
      </c>
      <c r="AT46" s="289"/>
      <c r="AU46" s="283">
        <f t="shared" si="64"/>
        <v>-68590707.780000001</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146">
        <f>EC_1!D47+FS_1!D47+GT_1!D47+KZN_1!D47+LIM_1!D47+MPU_1!D47+NC_1!D47+NW_1!D47+WC_1!D47</f>
        <v>7844</v>
      </c>
      <c r="E47" s="150">
        <f t="shared" si="55"/>
        <v>2781</v>
      </c>
      <c r="F47" s="148">
        <f>EC_1!F47+FS_1!F47+GT_1!F47+KZN_1!F47+LIM_1!F47+MPU_1!F47+NC_1!F47+NW_1!F47+WC_1!F47</f>
        <v>10625</v>
      </c>
      <c r="G47" s="146"/>
      <c r="H47" s="149">
        <f>EC_1!H47+FS_1!H47+GT_1!H47+KZN_1!H47+LIM_1!H47+MPU_1!H47+NC_1!H47+NW_1!H47+WC_1!H47</f>
        <v>15363</v>
      </c>
      <c r="I47" s="224">
        <f>EC_1!I47+FS_1!I47+GT_1!I47+KZN_1!I47+LIM_1!I47+MPU_1!I47+NC_1!I47+NW_1!I47+WC_1!I47</f>
        <v>16220.389000000001</v>
      </c>
      <c r="J47" s="224">
        <f>EC_1!J47+FS_1!J47+GT_1!J47+KZN_1!J47+LIM_1!J47+MPU_1!J47+NC_1!J47+NW_1!J47+WC_1!J47</f>
        <v>7009.86</v>
      </c>
      <c r="K47" s="224">
        <f>EC_1!K47+FS_1!K47+GT_1!K47+KZN_1!K47+LIM_1!K47+MPU_1!K47+NC_1!K47+NW_1!K47+WC_1!K47</f>
        <v>8876.4</v>
      </c>
      <c r="L47" s="156"/>
      <c r="M47" s="147">
        <f t="shared" si="56"/>
        <v>47469.649000000005</v>
      </c>
      <c r="N47" s="172">
        <f t="shared" si="50"/>
        <v>4.4677316705882362</v>
      </c>
      <c r="O47" s="163"/>
      <c r="P47" s="181"/>
      <c r="Q47"/>
      <c r="R47"/>
      <c r="S47" s="159"/>
      <c r="T47" s="157" t="str">
        <f t="shared" si="51"/>
        <v>Interest and rent on land</v>
      </c>
      <c r="U47" s="146">
        <v>7844</v>
      </c>
      <c r="V47" s="150">
        <v>0</v>
      </c>
      <c r="W47" s="148">
        <v>7844</v>
      </c>
      <c r="X47" s="146"/>
      <c r="Y47" s="149">
        <v>15363</v>
      </c>
      <c r="Z47" s="224">
        <v>16222.389000000001</v>
      </c>
      <c r="AA47" s="224">
        <v>0</v>
      </c>
      <c r="AB47" s="224">
        <v>0</v>
      </c>
      <c r="AC47" s="156"/>
      <c r="AD47" s="147">
        <v>31585.389000000003</v>
      </c>
      <c r="AE47" s="172">
        <v>4.0266941611422746</v>
      </c>
      <c r="AF47" s="163"/>
      <c r="AG47" s="181"/>
      <c r="AH47"/>
      <c r="AI47"/>
      <c r="AJ47" s="293"/>
      <c r="AK47" s="291" t="s">
        <v>56</v>
      </c>
      <c r="AL47" s="279">
        <f t="shared" si="57"/>
        <v>0</v>
      </c>
      <c r="AM47" s="280">
        <f t="shared" si="58"/>
        <v>-2781</v>
      </c>
      <c r="AN47" s="281">
        <f t="shared" si="59"/>
        <v>-2781</v>
      </c>
      <c r="AO47" s="279"/>
      <c r="AP47" s="282">
        <f t="shared" si="60"/>
        <v>0</v>
      </c>
      <c r="AQ47" s="283">
        <f t="shared" si="61"/>
        <v>2</v>
      </c>
      <c r="AR47" s="283">
        <f t="shared" si="62"/>
        <v>-7009.86</v>
      </c>
      <c r="AS47" s="283">
        <f t="shared" si="63"/>
        <v>-8876.4</v>
      </c>
      <c r="AT47" s="289"/>
      <c r="AU47" s="283">
        <f t="shared" si="64"/>
        <v>-15884.260000000002</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35" customFormat="1" ht="15.75" customHeight="1" x14ac:dyDescent="0.3">
      <c r="A48" s="446">
        <v>1</v>
      </c>
      <c r="B48" s="159"/>
      <c r="C48" s="182" t="s">
        <v>1</v>
      </c>
      <c r="D48" s="152">
        <f>SUM(D49:D55)</f>
        <v>79194086.900000006</v>
      </c>
      <c r="E48" s="156">
        <f t="shared" ref="E48:M48" si="65">SUM(E49:E55)</f>
        <v>3578727.629999999</v>
      </c>
      <c r="F48" s="153">
        <f>SUM(F49:F55)</f>
        <v>82772814.530000001</v>
      </c>
      <c r="G48" s="152">
        <f t="shared" si="65"/>
        <v>0</v>
      </c>
      <c r="H48" s="154">
        <f>SUM(H49:H55)</f>
        <v>21121872.385839999</v>
      </c>
      <c r="I48" s="155">
        <f t="shared" ref="I48:J48" si="66">SUM(I49:I55)</f>
        <v>18242749.061860003</v>
      </c>
      <c r="J48" s="155">
        <f t="shared" si="66"/>
        <v>23605525.598999999</v>
      </c>
      <c r="K48" s="155">
        <f t="shared" ref="K48" si="67">SUM(K49:K55)</f>
        <v>19756767.329999998</v>
      </c>
      <c r="L48" s="156"/>
      <c r="M48" s="155">
        <f t="shared" si="65"/>
        <v>82726914.376699999</v>
      </c>
      <c r="N48" s="183">
        <f t="shared" si="50"/>
        <v>0.99944546825475689</v>
      </c>
      <c r="O48" s="163"/>
      <c r="P48" s="181"/>
      <c r="Q48"/>
      <c r="R48"/>
      <c r="S48" s="159"/>
      <c r="T48" s="182" t="str">
        <f t="shared" si="51"/>
        <v>Transfers and subsidies</v>
      </c>
      <c r="U48" s="152">
        <v>79200277.849999994</v>
      </c>
      <c r="V48" s="156">
        <v>0</v>
      </c>
      <c r="W48" s="153">
        <v>79200277.849999994</v>
      </c>
      <c r="X48" s="152">
        <v>0</v>
      </c>
      <c r="Y48" s="154">
        <v>21122423.385839999</v>
      </c>
      <c r="Z48" s="155">
        <v>18201285.061860003</v>
      </c>
      <c r="AA48" s="155">
        <v>0</v>
      </c>
      <c r="AB48" s="155">
        <v>0</v>
      </c>
      <c r="AC48" s="156"/>
      <c r="AD48" s="155">
        <v>39323708.447699994</v>
      </c>
      <c r="AE48" s="183">
        <v>0.49650972844030239</v>
      </c>
      <c r="AF48" s="163"/>
      <c r="AG48" s="181"/>
      <c r="AH48"/>
      <c r="AI48"/>
      <c r="AJ48" s="293"/>
      <c r="AK48" s="314" t="s">
        <v>1</v>
      </c>
      <c r="AL48" s="285">
        <f>SUM(AL49:AL55)</f>
        <v>6190.9500000029802</v>
      </c>
      <c r="AM48" s="289">
        <f t="shared" ref="AM48:AO48" si="68">SUM(AM49:AM55)</f>
        <v>-3578727.629999999</v>
      </c>
      <c r="AN48" s="286">
        <f>SUM(AN49:AN55)</f>
        <v>-3572536.679999996</v>
      </c>
      <c r="AO48" s="285">
        <f t="shared" si="68"/>
        <v>0</v>
      </c>
      <c r="AP48" s="287">
        <f>SUM(AP49:AP55)</f>
        <v>551</v>
      </c>
      <c r="AQ48" s="288">
        <f t="shared" ref="AQ48:AS48" si="69">SUM(AQ49:AQ55)</f>
        <v>-41464</v>
      </c>
      <c r="AR48" s="288">
        <f t="shared" si="69"/>
        <v>-23605525.598999999</v>
      </c>
      <c r="AS48" s="288">
        <f t="shared" si="69"/>
        <v>-19756767.329999998</v>
      </c>
      <c r="AT48" s="289"/>
      <c r="AU48" s="288">
        <f t="shared" ref="AU48" si="70">SUM(AU49:AU55)</f>
        <v>-43403205.929000005</v>
      </c>
      <c r="AV48" s="315"/>
      <c r="AW48" s="297"/>
      <c r="AX48" s="181"/>
      <c r="AY48"/>
      <c r="AZ48"/>
      <c r="BA48"/>
      <c r="BB48"/>
      <c r="BC48"/>
      <c r="BD48"/>
      <c r="BE48"/>
      <c r="BF48"/>
      <c r="BG48"/>
      <c r="BH48"/>
      <c r="BI48"/>
      <c r="BJ48"/>
      <c r="BK48"/>
      <c r="BL48"/>
      <c r="BM48"/>
      <c r="BN48"/>
      <c r="BO48"/>
      <c r="BP48"/>
      <c r="BQ48"/>
      <c r="BR48"/>
      <c r="BS48"/>
      <c r="BT48"/>
      <c r="BU48"/>
      <c r="BV48"/>
      <c r="BW48"/>
      <c r="BX48"/>
      <c r="BY48"/>
      <c r="BZ48"/>
      <c r="CA48"/>
    </row>
    <row r="49" spans="1:79" s="35" customFormat="1" ht="15.75" customHeight="1" x14ac:dyDescent="0.3">
      <c r="A49" s="446">
        <v>1</v>
      </c>
      <c r="B49" s="159"/>
      <c r="C49" s="157" t="s">
        <v>57</v>
      </c>
      <c r="D49" s="146">
        <f>EC_1!D49+FS_1!D49+GT_1!D49+KZN_1!D49+LIM_1!D49+MPU_1!D49+NC_1!D49+NW_1!D49+WC_1!D49</f>
        <v>7090627</v>
      </c>
      <c r="E49" s="150">
        <f t="shared" ref="E49:E55" si="71">F49-D49</f>
        <v>1237674</v>
      </c>
      <c r="F49" s="148">
        <f>EC_1!F49+FS_1!F49+GT_1!F49+KZN_1!F49+LIM_1!F49+MPU_1!F49+NC_1!F49+NW_1!F49+WC_1!F49</f>
        <v>8328301</v>
      </c>
      <c r="G49" s="146"/>
      <c r="H49" s="149">
        <f>EC_1!H49+FS_1!H49+GT_1!H49+KZN_1!H49+LIM_1!H49+MPU_1!H49+NC_1!H49+NW_1!H49+WC_1!H49</f>
        <v>1008244.0934</v>
      </c>
      <c r="I49" s="224">
        <f>EC_1!I49+FS_1!I49+GT_1!I49+KZN_1!I49+LIM_1!I49+MPU_1!I49+NC_1!I49+NW_1!I49+WC_1!I49</f>
        <v>2243012</v>
      </c>
      <c r="J49" s="224">
        <f>EC_1!J49+FS_1!J49+GT_1!J49+KZN_1!J49+LIM_1!J49+MPU_1!J49+NC_1!J49+NW_1!J49+WC_1!J49</f>
        <v>2660295.2659999998</v>
      </c>
      <c r="K49" s="224">
        <f>EC_1!K49+FS_1!K49+GT_1!K49+KZN_1!K49+LIM_1!K49+MPU_1!K49+NC_1!K49+NW_1!K49+WC_1!K49</f>
        <v>2601405</v>
      </c>
      <c r="L49" s="156"/>
      <c r="M49" s="147">
        <f t="shared" ref="M49:M55" si="72">SUM(H49:K49)</f>
        <v>8512956.3594000004</v>
      </c>
      <c r="N49" s="172">
        <f t="shared" si="50"/>
        <v>1.0221720323749106</v>
      </c>
      <c r="O49" s="163"/>
      <c r="P49" s="181"/>
      <c r="Q49"/>
      <c r="R49"/>
      <c r="S49" s="159"/>
      <c r="T49" s="157" t="str">
        <f t="shared" si="51"/>
        <v>Provinces and municipalities</v>
      </c>
      <c r="U49" s="146">
        <v>7089391</v>
      </c>
      <c r="V49" s="150">
        <v>0</v>
      </c>
      <c r="W49" s="148">
        <v>7089391</v>
      </c>
      <c r="X49" s="146"/>
      <c r="Y49" s="149">
        <v>1008266.0934</v>
      </c>
      <c r="Z49" s="224">
        <v>2243015</v>
      </c>
      <c r="AA49" s="224">
        <v>0</v>
      </c>
      <c r="AB49" s="224">
        <v>0</v>
      </c>
      <c r="AC49" s="156"/>
      <c r="AD49" s="147">
        <v>3251281.0934000001</v>
      </c>
      <c r="AE49" s="172">
        <v>0.45861218451627228</v>
      </c>
      <c r="AF49" s="163"/>
      <c r="AG49" s="181"/>
      <c r="AH49"/>
      <c r="AI49"/>
      <c r="AJ49" s="293"/>
      <c r="AK49" s="291" t="s">
        <v>57</v>
      </c>
      <c r="AL49" s="279">
        <f t="shared" ref="AL49:AL55" si="73">IFERROR(U49-D49,0)</f>
        <v>-1236</v>
      </c>
      <c r="AM49" s="280">
        <f t="shared" ref="AM49:AM55" si="74">IFERROR(V49-E49,0)</f>
        <v>-1237674</v>
      </c>
      <c r="AN49" s="281">
        <f t="shared" ref="AN49:AN55" si="75">IFERROR(W49-F49,0)</f>
        <v>-1238910</v>
      </c>
      <c r="AO49" s="279"/>
      <c r="AP49" s="282">
        <f t="shared" ref="AP49:AP55" si="76">IFERROR(Y49-H49,0)</f>
        <v>22</v>
      </c>
      <c r="AQ49" s="283">
        <f t="shared" ref="AQ49:AQ55" si="77">IFERROR(Z49-I49,0)</f>
        <v>3</v>
      </c>
      <c r="AR49" s="283">
        <f t="shared" ref="AR49:AR55" si="78">IFERROR(AA49-J49,0)</f>
        <v>-2660295.2659999998</v>
      </c>
      <c r="AS49" s="283">
        <f t="shared" ref="AS49:AS55" si="79">IFERROR(AB49-K49,0)</f>
        <v>-2601405</v>
      </c>
      <c r="AT49" s="289"/>
      <c r="AU49" s="283">
        <f t="shared" ref="AU49:AU55" si="80">IFERROR(AD49-M49,0)</f>
        <v>-5261675.2660000008</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146">
        <f>EC_1!D50+FS_1!D50+GT_1!D50+KZN_1!D50+LIM_1!D50+MPU_1!D50+NC_1!D50+NW_1!D50+WC_1!D50</f>
        <v>11273417.5</v>
      </c>
      <c r="E50" s="150">
        <f t="shared" si="71"/>
        <v>941507</v>
      </c>
      <c r="F50" s="148">
        <f>EC_1!F50+FS_1!F50+GT_1!F50+KZN_1!F50+LIM_1!F50+MPU_1!F50+NC_1!F50+NW_1!F50+WC_1!F50</f>
        <v>12214924.5</v>
      </c>
      <c r="G50" s="146"/>
      <c r="H50" s="149">
        <f>EC_1!H50+FS_1!H50+GT_1!H50+KZN_1!H50+LIM_1!H50+MPU_1!H50+NC_1!H50+NW_1!H50+WC_1!H50</f>
        <v>3019889.60042</v>
      </c>
      <c r="I50" s="224">
        <f>EC_1!I50+FS_1!I50+GT_1!I50+KZN_1!I50+LIM_1!I50+MPU_1!I50+NC_1!I50+NW_1!I50+WC_1!I50</f>
        <v>2695212.9057999998</v>
      </c>
      <c r="J50" s="224">
        <f>EC_1!J50+FS_1!J50+GT_1!J50+KZN_1!J50+LIM_1!J50+MPU_1!J50+NC_1!J50+NW_1!J50+WC_1!J50</f>
        <v>3355996.3</v>
      </c>
      <c r="K50" s="224">
        <f>EC_1!K50+FS_1!K50+GT_1!K50+KZN_1!K50+LIM_1!K50+MPU_1!K50+NC_1!K50+NW_1!K50+WC_1!K50</f>
        <v>3010622.39</v>
      </c>
      <c r="L50" s="156"/>
      <c r="M50" s="147">
        <f t="shared" si="72"/>
        <v>12081721.196219999</v>
      </c>
      <c r="N50" s="172">
        <f t="shared" si="50"/>
        <v>0.98909503666764365</v>
      </c>
      <c r="O50" s="163"/>
      <c r="P50" s="181"/>
      <c r="Q50"/>
      <c r="R50"/>
      <c r="S50" s="159"/>
      <c r="T50" s="157" t="str">
        <f t="shared" si="51"/>
        <v>Departmental agencies and accounts</v>
      </c>
      <c r="U50" s="146">
        <v>11273418</v>
      </c>
      <c r="V50" s="150">
        <v>0</v>
      </c>
      <c r="W50" s="148">
        <v>11273418</v>
      </c>
      <c r="X50" s="146"/>
      <c r="Y50" s="149">
        <v>3019889.60042</v>
      </c>
      <c r="Z50" s="224">
        <v>2691786.9057999998</v>
      </c>
      <c r="AA50" s="224">
        <v>0</v>
      </c>
      <c r="AB50" s="224">
        <v>0</v>
      </c>
      <c r="AC50" s="156"/>
      <c r="AD50" s="147">
        <v>5711676.5062199999</v>
      </c>
      <c r="AE50" s="172">
        <v>0.50664993582425488</v>
      </c>
      <c r="AF50" s="163"/>
      <c r="AG50" s="181"/>
      <c r="AH50"/>
      <c r="AI50"/>
      <c r="AJ50" s="293"/>
      <c r="AK50" s="291" t="s">
        <v>58</v>
      </c>
      <c r="AL50" s="279">
        <f t="shared" si="73"/>
        <v>0.5</v>
      </c>
      <c r="AM50" s="280">
        <f t="shared" si="74"/>
        <v>-941507</v>
      </c>
      <c r="AN50" s="281">
        <f t="shared" si="75"/>
        <v>-941506.5</v>
      </c>
      <c r="AO50" s="279"/>
      <c r="AP50" s="282">
        <f t="shared" si="76"/>
        <v>0</v>
      </c>
      <c r="AQ50" s="283">
        <f t="shared" si="77"/>
        <v>-3426</v>
      </c>
      <c r="AR50" s="283">
        <f t="shared" si="78"/>
        <v>-3355996.3</v>
      </c>
      <c r="AS50" s="283">
        <f t="shared" si="79"/>
        <v>-3010622.39</v>
      </c>
      <c r="AT50" s="289"/>
      <c r="AU50" s="283">
        <f t="shared" si="80"/>
        <v>-6370044.6899999995</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146">
        <f>EC_1!D51+FS_1!D51+GT_1!D51+KZN_1!D51+LIM_1!D51+MPU_1!D51+NC_1!D51+NW_1!D51+WC_1!D51</f>
        <v>142537</v>
      </c>
      <c r="E51" s="150">
        <f t="shared" si="71"/>
        <v>-3534</v>
      </c>
      <c r="F51" s="148">
        <f>EC_1!F51+FS_1!F51+GT_1!F51+KZN_1!F51+LIM_1!F51+MPU_1!F51+NC_1!F51+NW_1!F51+WC_1!F51</f>
        <v>139003</v>
      </c>
      <c r="G51" s="146"/>
      <c r="H51" s="149">
        <f>EC_1!H51+FS_1!H51+GT_1!H51+KZN_1!H51+LIM_1!H51+MPU_1!H51+NC_1!H51+NW_1!H51+WC_1!H51</f>
        <v>29537</v>
      </c>
      <c r="I51" s="224">
        <f>EC_1!I51+FS_1!I51+GT_1!I51+KZN_1!I51+LIM_1!I51+MPU_1!I51+NC_1!I51+NW_1!I51+WC_1!I51</f>
        <v>19561</v>
      </c>
      <c r="J51" s="224">
        <f>EC_1!J51+FS_1!J51+GT_1!J51+KZN_1!J51+LIM_1!J51+MPU_1!J51+NC_1!J51+NW_1!J51+WC_1!J51</f>
        <v>30679</v>
      </c>
      <c r="K51" s="224">
        <f>EC_1!K51+FS_1!K51+GT_1!K51+KZN_1!K51+LIM_1!K51+MPU_1!K51+NC_1!K51+NW_1!K51+WC_1!K51</f>
        <v>44762</v>
      </c>
      <c r="L51" s="156"/>
      <c r="M51" s="147">
        <f t="shared" si="72"/>
        <v>124539</v>
      </c>
      <c r="N51" s="172">
        <f t="shared" si="50"/>
        <v>0.8959446918411833</v>
      </c>
      <c r="O51" s="163"/>
      <c r="P51" s="181"/>
      <c r="Q51"/>
      <c r="R51"/>
      <c r="S51" s="159"/>
      <c r="T51" s="157" t="str">
        <f t="shared" si="51"/>
        <v>Higher education and institutions</v>
      </c>
      <c r="U51" s="146">
        <v>142537</v>
      </c>
      <c r="V51" s="150">
        <v>0</v>
      </c>
      <c r="W51" s="148">
        <v>142537</v>
      </c>
      <c r="X51" s="146"/>
      <c r="Y51" s="149">
        <v>29547</v>
      </c>
      <c r="Z51" s="224">
        <v>19561</v>
      </c>
      <c r="AA51" s="224">
        <v>0</v>
      </c>
      <c r="AB51" s="224">
        <v>0</v>
      </c>
      <c r="AC51" s="156"/>
      <c r="AD51" s="147">
        <v>49108</v>
      </c>
      <c r="AE51" s="172">
        <v>0.34452808744396191</v>
      </c>
      <c r="AF51" s="163"/>
      <c r="AG51" s="181"/>
      <c r="AH51"/>
      <c r="AI51"/>
      <c r="AJ51" s="293"/>
      <c r="AK51" s="291" t="s">
        <v>59</v>
      </c>
      <c r="AL51" s="279">
        <f t="shared" si="73"/>
        <v>0</v>
      </c>
      <c r="AM51" s="280">
        <f t="shared" si="74"/>
        <v>3534</v>
      </c>
      <c r="AN51" s="281">
        <f t="shared" si="75"/>
        <v>3534</v>
      </c>
      <c r="AO51" s="279"/>
      <c r="AP51" s="282">
        <f t="shared" si="76"/>
        <v>10</v>
      </c>
      <c r="AQ51" s="283">
        <f t="shared" si="77"/>
        <v>0</v>
      </c>
      <c r="AR51" s="283">
        <f t="shared" si="78"/>
        <v>-30679</v>
      </c>
      <c r="AS51" s="283">
        <f t="shared" si="79"/>
        <v>-44762</v>
      </c>
      <c r="AT51" s="289"/>
      <c r="AU51" s="283">
        <f t="shared" si="80"/>
        <v>-75431</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146">
        <f>EC_1!D52+FS_1!D52+GT_1!D52+KZN_1!D52+LIM_1!D52+MPU_1!D52+NC_1!D52+NW_1!D52+WC_1!D52</f>
        <v>554</v>
      </c>
      <c r="E52" s="150">
        <f t="shared" si="71"/>
        <v>0</v>
      </c>
      <c r="F52" s="148">
        <f>EC_1!F52+FS_1!F52+GT_1!F52+KZN_1!F52+LIM_1!F52+MPU_1!F52+NC_1!F52+NW_1!F52+WC_1!F52</f>
        <v>554</v>
      </c>
      <c r="G52" s="146"/>
      <c r="H52" s="149">
        <f>EC_1!H52+FS_1!H52+GT_1!H52+KZN_1!H52+LIM_1!H52+MPU_1!H52+NC_1!H52+NW_1!H52+WC_1!H52</f>
        <v>0</v>
      </c>
      <c r="I52" s="224">
        <f>EC_1!I52+FS_1!I52+GT_1!I52+KZN_1!I52+LIM_1!I52+MPU_1!I52+NC_1!I52+NW_1!I52+WC_1!I52</f>
        <v>0</v>
      </c>
      <c r="J52" s="224">
        <f>EC_1!J52+FS_1!J52+GT_1!J52+KZN_1!J52+LIM_1!J52+MPU_1!J52+NC_1!J52+NW_1!J52+WC_1!J52</f>
        <v>140</v>
      </c>
      <c r="K52" s="224">
        <f>EC_1!K52+FS_1!K52+GT_1!K52+KZN_1!K52+LIM_1!K52+MPU_1!K52+NC_1!K52+NW_1!K52+WC_1!K52</f>
        <v>149</v>
      </c>
      <c r="L52" s="156"/>
      <c r="M52" s="147">
        <f t="shared" si="72"/>
        <v>289</v>
      </c>
      <c r="N52" s="172">
        <f t="shared" si="50"/>
        <v>0.52166064981949456</v>
      </c>
      <c r="O52" s="163"/>
      <c r="P52" s="181"/>
      <c r="Q52"/>
      <c r="R52"/>
      <c r="S52" s="159"/>
      <c r="T52" s="157" t="str">
        <f t="shared" si="51"/>
        <v>Foreign governments and international organisations</v>
      </c>
      <c r="U52" s="146">
        <v>554</v>
      </c>
      <c r="V52" s="150">
        <v>0</v>
      </c>
      <c r="W52" s="148">
        <v>554</v>
      </c>
      <c r="X52" s="146"/>
      <c r="Y52" s="149">
        <v>0</v>
      </c>
      <c r="Z52" s="224">
        <v>0</v>
      </c>
      <c r="AA52" s="224">
        <v>0</v>
      </c>
      <c r="AB52" s="224">
        <v>0</v>
      </c>
      <c r="AC52" s="156"/>
      <c r="AD52" s="147">
        <v>0</v>
      </c>
      <c r="AE52" s="172">
        <v>0</v>
      </c>
      <c r="AF52" s="163"/>
      <c r="AG52" s="181"/>
      <c r="AH52" s="61"/>
      <c r="AI52"/>
      <c r="AJ52" s="293"/>
      <c r="AK52" s="291" t="s">
        <v>60</v>
      </c>
      <c r="AL52" s="279">
        <f t="shared" si="73"/>
        <v>0</v>
      </c>
      <c r="AM52" s="280">
        <f t="shared" si="74"/>
        <v>0</v>
      </c>
      <c r="AN52" s="281">
        <f t="shared" si="75"/>
        <v>0</v>
      </c>
      <c r="AO52" s="279"/>
      <c r="AP52" s="282">
        <f t="shared" si="76"/>
        <v>0</v>
      </c>
      <c r="AQ52" s="283">
        <f t="shared" si="77"/>
        <v>0</v>
      </c>
      <c r="AR52" s="283">
        <f t="shared" si="78"/>
        <v>-140</v>
      </c>
      <c r="AS52" s="283">
        <f t="shared" si="79"/>
        <v>-149</v>
      </c>
      <c r="AT52" s="289"/>
      <c r="AU52" s="283">
        <f t="shared" si="80"/>
        <v>-289</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146">
        <f>EC_1!D53+FS_1!D53+GT_1!D53+KZN_1!D53+LIM_1!D53+MPU_1!D53+NC_1!D53+NW_1!D53+WC_1!D53</f>
        <v>8827389</v>
      </c>
      <c r="E53" s="150">
        <f t="shared" si="71"/>
        <v>356731</v>
      </c>
      <c r="F53" s="148">
        <f>EC_1!F53+FS_1!F53+GT_1!F53+KZN_1!F53+LIM_1!F53+MPU_1!F53+NC_1!F53+NW_1!F53+WC_1!F53</f>
        <v>9184120</v>
      </c>
      <c r="G53" s="146"/>
      <c r="H53" s="149">
        <f>EC_1!H53+FS_1!H53+GT_1!H53+KZN_1!H53+LIM_1!H53+MPU_1!H53+NC_1!H53+NW_1!H53+WC_1!H53</f>
        <v>1563659.52125</v>
      </c>
      <c r="I53" s="224">
        <f>EC_1!I53+FS_1!I53+GT_1!I53+KZN_1!I53+LIM_1!I53+MPU_1!I53+NC_1!I53+NW_1!I53+WC_1!I53</f>
        <v>2153896.5536700003</v>
      </c>
      <c r="J53" s="224">
        <f>EC_1!J53+FS_1!J53+GT_1!J53+KZN_1!J53+LIM_1!J53+MPU_1!J53+NC_1!J53+NW_1!J53+WC_1!J53</f>
        <v>2298320</v>
      </c>
      <c r="K53" s="224">
        <f>EC_1!K53+FS_1!K53+GT_1!K53+KZN_1!K53+LIM_1!K53+MPU_1!K53+NC_1!K53+NW_1!K53+WC_1!K53</f>
        <v>2789116.45</v>
      </c>
      <c r="L53" s="156"/>
      <c r="M53" s="147">
        <f t="shared" si="72"/>
        <v>8804992.5249200016</v>
      </c>
      <c r="N53" s="172">
        <f t="shared" si="50"/>
        <v>0.95871923765368938</v>
      </c>
      <c r="O53" s="163"/>
      <c r="P53" s="181"/>
      <c r="Q53"/>
      <c r="R53"/>
      <c r="S53" s="159"/>
      <c r="T53" s="157" t="str">
        <f t="shared" si="51"/>
        <v>Public corporations and private enterprises</v>
      </c>
      <c r="U53" s="146">
        <v>8827389</v>
      </c>
      <c r="V53" s="150">
        <v>0</v>
      </c>
      <c r="W53" s="148">
        <v>8827389</v>
      </c>
      <c r="X53" s="146"/>
      <c r="Y53" s="149">
        <v>1563658.52125</v>
      </c>
      <c r="Z53" s="224">
        <v>2158397.5536700003</v>
      </c>
      <c r="AA53" s="224">
        <v>0</v>
      </c>
      <c r="AB53" s="224">
        <v>0</v>
      </c>
      <c r="AC53" s="156"/>
      <c r="AD53" s="147">
        <v>3722056.0749200005</v>
      </c>
      <c r="AE53" s="172">
        <v>0.42164858430052199</v>
      </c>
      <c r="AF53" s="163"/>
      <c r="AG53" s="181"/>
      <c r="AH53" s="61"/>
      <c r="AI53"/>
      <c r="AJ53" s="293"/>
      <c r="AK53" s="291" t="s">
        <v>61</v>
      </c>
      <c r="AL53" s="279">
        <f t="shared" si="73"/>
        <v>0</v>
      </c>
      <c r="AM53" s="280">
        <f t="shared" si="74"/>
        <v>-356731</v>
      </c>
      <c r="AN53" s="281">
        <f t="shared" si="75"/>
        <v>-356731</v>
      </c>
      <c r="AO53" s="279"/>
      <c r="AP53" s="282">
        <f t="shared" si="76"/>
        <v>-1</v>
      </c>
      <c r="AQ53" s="283">
        <f t="shared" si="77"/>
        <v>4501</v>
      </c>
      <c r="AR53" s="283">
        <f t="shared" si="78"/>
        <v>-2298320</v>
      </c>
      <c r="AS53" s="283">
        <f t="shared" si="79"/>
        <v>-2789116.45</v>
      </c>
      <c r="AT53" s="289"/>
      <c r="AU53" s="283">
        <f t="shared" si="80"/>
        <v>-5082936.4500000011</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146">
        <f>EC_1!D54+FS_1!D54+GT_1!D54+KZN_1!D54+LIM_1!D54+MPU_1!D54+NC_1!D54+NW_1!D54+WC_1!D54</f>
        <v>28127940</v>
      </c>
      <c r="E54" s="150">
        <f t="shared" si="71"/>
        <v>116258.82999999821</v>
      </c>
      <c r="F54" s="148">
        <f>EC_1!F54+FS_1!F54+GT_1!F54+KZN_1!F54+LIM_1!F54+MPU_1!F54+NC_1!F54+NW_1!F54+WC_1!F54</f>
        <v>28244198.829999998</v>
      </c>
      <c r="G54" s="146"/>
      <c r="H54" s="149">
        <f>EC_1!H54+FS_1!H54+GT_1!H54+KZN_1!H54+LIM_1!H54+MPU_1!H54+NC_1!H54+NW_1!H54+WC_1!H54</f>
        <v>9761325</v>
      </c>
      <c r="I54" s="224">
        <f>EC_1!I54+FS_1!I54+GT_1!I54+KZN_1!I54+LIM_1!I54+MPU_1!I54+NC_1!I54+NW_1!I54+WC_1!I54</f>
        <v>5295435</v>
      </c>
      <c r="J54" s="224">
        <f>EC_1!J54+FS_1!J54+GT_1!J54+KZN_1!J54+LIM_1!J54+MPU_1!J54+NC_1!J54+NW_1!J54+WC_1!J54</f>
        <v>8732954</v>
      </c>
      <c r="K54" s="224">
        <f>EC_1!K54+FS_1!K54+GT_1!K54+KZN_1!K54+LIM_1!K54+MPU_1!K54+NC_1!K54+NW_1!K54+WC_1!K54</f>
        <v>4306353</v>
      </c>
      <c r="L54" s="156"/>
      <c r="M54" s="147">
        <f t="shared" si="72"/>
        <v>28096067</v>
      </c>
      <c r="N54" s="172">
        <f t="shared" si="50"/>
        <v>0.99475531839682929</v>
      </c>
      <c r="O54" s="163"/>
      <c r="P54" s="181"/>
      <c r="Q54"/>
      <c r="R54"/>
      <c r="S54" s="159"/>
      <c r="T54" s="157" t="str">
        <f t="shared" si="51"/>
        <v>Non profit institutions</v>
      </c>
      <c r="U54" s="146">
        <v>28125855.75</v>
      </c>
      <c r="V54" s="150">
        <v>0</v>
      </c>
      <c r="W54" s="148">
        <v>28125855.75</v>
      </c>
      <c r="X54" s="146"/>
      <c r="Y54" s="149">
        <v>9761444</v>
      </c>
      <c r="Z54" s="224">
        <v>5252023</v>
      </c>
      <c r="AA54" s="224">
        <v>0</v>
      </c>
      <c r="AB54" s="224">
        <v>0</v>
      </c>
      <c r="AC54" s="156"/>
      <c r="AD54" s="147">
        <v>15013467</v>
      </c>
      <c r="AE54" s="172">
        <v>0.53379591836952378</v>
      </c>
      <c r="AF54" s="163"/>
      <c r="AG54" s="181"/>
      <c r="AH54" s="61"/>
      <c r="AI54"/>
      <c r="AJ54" s="293"/>
      <c r="AK54" s="291" t="s">
        <v>62</v>
      </c>
      <c r="AL54" s="279">
        <f t="shared" si="73"/>
        <v>-2084.25</v>
      </c>
      <c r="AM54" s="280">
        <f t="shared" si="74"/>
        <v>-116258.82999999821</v>
      </c>
      <c r="AN54" s="281">
        <f t="shared" si="75"/>
        <v>-118343.07999999821</v>
      </c>
      <c r="AO54" s="279"/>
      <c r="AP54" s="282">
        <f t="shared" si="76"/>
        <v>119</v>
      </c>
      <c r="AQ54" s="283">
        <f t="shared" si="77"/>
        <v>-43412</v>
      </c>
      <c r="AR54" s="283">
        <f t="shared" si="78"/>
        <v>-8732954</v>
      </c>
      <c r="AS54" s="283">
        <f t="shared" si="79"/>
        <v>-4306353</v>
      </c>
      <c r="AT54" s="289"/>
      <c r="AU54" s="283">
        <f t="shared" si="80"/>
        <v>-13082600</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146">
        <f>EC_1!D55+FS_1!D55+GT_1!D55+KZN_1!D55+LIM_1!D55+MPU_1!D55+NC_1!D55+NW_1!D55+WC_1!D55</f>
        <v>23731622.399999999</v>
      </c>
      <c r="E55" s="150">
        <f t="shared" si="71"/>
        <v>930090.80000000075</v>
      </c>
      <c r="F55" s="148">
        <f>EC_1!F55+FS_1!F55+GT_1!F55+KZN_1!F55+LIM_1!F55+MPU_1!F55+NC_1!F55+NW_1!F55+WC_1!F55</f>
        <v>24661713.199999999</v>
      </c>
      <c r="G55" s="146"/>
      <c r="H55" s="149">
        <f>EC_1!H55+FS_1!H55+GT_1!H55+KZN_1!H55+LIM_1!H55+MPU_1!H55+NC_1!H55+NW_1!H55+WC_1!H55</f>
        <v>5739217.1707699997</v>
      </c>
      <c r="I55" s="224">
        <f>EC_1!I55+FS_1!I55+GT_1!I55+KZN_1!I55+LIM_1!I55+MPU_1!I55+NC_1!I55+NW_1!I55+WC_1!I55</f>
        <v>5835631.6023900006</v>
      </c>
      <c r="J55" s="224">
        <f>EC_1!J55+FS_1!J55+GT_1!J55+KZN_1!J55+LIM_1!J55+MPU_1!J55+NC_1!J55+NW_1!J55+WC_1!J55</f>
        <v>6527141.0329999998</v>
      </c>
      <c r="K55" s="224">
        <f>EC_1!K55+FS_1!K55+GT_1!K55+KZN_1!K55+LIM_1!K55+MPU_1!K55+NC_1!K55+NW_1!K55+WC_1!K55</f>
        <v>7004359.4900000002</v>
      </c>
      <c r="L55" s="156"/>
      <c r="M55" s="147">
        <f t="shared" si="72"/>
        <v>25106349.296159998</v>
      </c>
      <c r="N55" s="172">
        <f t="shared" si="50"/>
        <v>1.0180294082797134</v>
      </c>
      <c r="O55" s="163"/>
      <c r="P55" s="181"/>
      <c r="Q55"/>
      <c r="R55"/>
      <c r="S55" s="159"/>
      <c r="T55" s="157" t="str">
        <f t="shared" si="51"/>
        <v>Households</v>
      </c>
      <c r="U55" s="146">
        <v>23741133.100000001</v>
      </c>
      <c r="V55" s="150">
        <v>0</v>
      </c>
      <c r="W55" s="148">
        <v>23741133.100000001</v>
      </c>
      <c r="X55" s="146"/>
      <c r="Y55" s="149">
        <v>5739618.1707699997</v>
      </c>
      <c r="Z55" s="224">
        <v>5836501.6023900006</v>
      </c>
      <c r="AA55" s="224">
        <v>0</v>
      </c>
      <c r="AB55" s="224">
        <v>0</v>
      </c>
      <c r="AC55" s="156"/>
      <c r="AD55" s="147">
        <v>11576119.773159999</v>
      </c>
      <c r="AE55" s="172">
        <v>0.48759761062794421</v>
      </c>
      <c r="AF55" s="163"/>
      <c r="AG55" s="181"/>
      <c r="AH55"/>
      <c r="AI55"/>
      <c r="AJ55" s="293"/>
      <c r="AK55" s="291" t="s">
        <v>63</v>
      </c>
      <c r="AL55" s="279">
        <f t="shared" si="73"/>
        <v>9510.7000000029802</v>
      </c>
      <c r="AM55" s="280">
        <f t="shared" si="74"/>
        <v>-930090.80000000075</v>
      </c>
      <c r="AN55" s="281">
        <f t="shared" si="75"/>
        <v>-920580.09999999776</v>
      </c>
      <c r="AO55" s="279"/>
      <c r="AP55" s="282">
        <f t="shared" si="76"/>
        <v>401</v>
      </c>
      <c r="AQ55" s="283">
        <f t="shared" si="77"/>
        <v>870</v>
      </c>
      <c r="AR55" s="283">
        <f t="shared" si="78"/>
        <v>-6527141.0329999998</v>
      </c>
      <c r="AS55" s="283">
        <f t="shared" si="79"/>
        <v>-7004359.4900000002</v>
      </c>
      <c r="AT55" s="289"/>
      <c r="AU55" s="283">
        <f t="shared" si="80"/>
        <v>-13530229.522999998</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6">
        <v>1</v>
      </c>
      <c r="B56" s="159"/>
      <c r="C56" s="182" t="s">
        <v>2</v>
      </c>
      <c r="D56" s="152">
        <f>SUM(D57:D63)</f>
        <v>35883469.100000001</v>
      </c>
      <c r="E56" s="156">
        <f t="shared" ref="E56:M56" si="81">SUM(E57:E63)</f>
        <v>-142094.20000000071</v>
      </c>
      <c r="F56" s="153">
        <f>SUM(F57:F63)</f>
        <v>35741374.899999991</v>
      </c>
      <c r="G56" s="152">
        <f t="shared" si="81"/>
        <v>0</v>
      </c>
      <c r="H56" s="154">
        <f>SUM(H57:H63)</f>
        <v>5815749.9845199995</v>
      </c>
      <c r="I56" s="155">
        <f t="shared" ref="I56:J56" si="82">SUM(I57:I63)</f>
        <v>7121615.7254699999</v>
      </c>
      <c r="J56" s="155">
        <f t="shared" si="82"/>
        <v>8579386.5690000001</v>
      </c>
      <c r="K56" s="155">
        <f t="shared" ref="K56" si="83">SUM(K57:K63)</f>
        <v>10630870.510000002</v>
      </c>
      <c r="L56" s="156"/>
      <c r="M56" s="155">
        <f t="shared" si="81"/>
        <v>32147622.788989998</v>
      </c>
      <c r="N56" s="183">
        <f t="shared" si="50"/>
        <v>0.89945120686977287</v>
      </c>
      <c r="O56" s="163"/>
      <c r="P56" s="181"/>
      <c r="Q56"/>
      <c r="R56"/>
      <c r="S56" s="159"/>
      <c r="T56" s="182" t="str">
        <f t="shared" si="51"/>
        <v>Payments for capital assets</v>
      </c>
      <c r="U56" s="152">
        <v>35977129.760000005</v>
      </c>
      <c r="V56" s="156">
        <v>0</v>
      </c>
      <c r="W56" s="153">
        <v>35977129.760000005</v>
      </c>
      <c r="X56" s="152">
        <v>0</v>
      </c>
      <c r="Y56" s="154">
        <v>5810214.9845199995</v>
      </c>
      <c r="Z56" s="155">
        <v>7121714.1254700003</v>
      </c>
      <c r="AA56" s="155">
        <v>0</v>
      </c>
      <c r="AB56" s="155">
        <v>0</v>
      </c>
      <c r="AC56" s="156"/>
      <c r="AD56" s="155">
        <v>12931929.109989999</v>
      </c>
      <c r="AE56" s="183">
        <v>0.35944860516271482</v>
      </c>
      <c r="AF56" s="163"/>
      <c r="AG56" s="181"/>
      <c r="AH56"/>
      <c r="AI56"/>
      <c r="AJ56" s="293"/>
      <c r="AK56" s="314" t="s">
        <v>2</v>
      </c>
      <c r="AL56" s="285">
        <f>SUM(AL57:AL63)</f>
        <v>93660.660000001721</v>
      </c>
      <c r="AM56" s="289">
        <f t="shared" ref="AM56:AO56" si="84">SUM(AM57:AM63)</f>
        <v>142094.20000000071</v>
      </c>
      <c r="AN56" s="286">
        <f>SUM(AN57:AN63)</f>
        <v>235754.86000000243</v>
      </c>
      <c r="AO56" s="285">
        <f t="shared" si="84"/>
        <v>0</v>
      </c>
      <c r="AP56" s="287">
        <f>SUM(AP57:AP63)</f>
        <v>-5535</v>
      </c>
      <c r="AQ56" s="288">
        <f t="shared" ref="AQ56:AS56" si="85">SUM(AQ57:AQ63)</f>
        <v>98.399999999906868</v>
      </c>
      <c r="AR56" s="288">
        <f t="shared" si="85"/>
        <v>-8579386.5690000001</v>
      </c>
      <c r="AS56" s="288">
        <f t="shared" si="85"/>
        <v>-10630870.510000002</v>
      </c>
      <c r="AT56" s="289"/>
      <c r="AU56" s="288">
        <f t="shared" ref="AU56" si="86">SUM(AU57:AU63)</f>
        <v>-19215693.678999998</v>
      </c>
      <c r="AV56" s="315"/>
      <c r="AW56" s="297"/>
      <c r="AX56" s="181"/>
      <c r="AY56"/>
      <c r="AZ56"/>
      <c r="BA56"/>
      <c r="BB56"/>
      <c r="BC56"/>
      <c r="BD56"/>
      <c r="BE56"/>
      <c r="BF56"/>
      <c r="BG56"/>
      <c r="BH56"/>
      <c r="BI56"/>
      <c r="BJ56"/>
      <c r="BK56"/>
      <c r="BL56"/>
      <c r="BM56"/>
      <c r="BN56"/>
      <c r="BO56"/>
      <c r="BP56"/>
      <c r="BQ56"/>
      <c r="BR56"/>
      <c r="BS56"/>
      <c r="BT56"/>
      <c r="BU56"/>
      <c r="BV56"/>
      <c r="BW56"/>
      <c r="BX56"/>
      <c r="BY56"/>
      <c r="BZ56"/>
      <c r="CA56"/>
    </row>
    <row r="57" spans="1:79" s="35" customFormat="1" ht="15.75" customHeight="1" x14ac:dyDescent="0.3">
      <c r="A57" s="446">
        <v>1</v>
      </c>
      <c r="B57" s="159"/>
      <c r="C57" s="157" t="s">
        <v>64</v>
      </c>
      <c r="D57" s="146">
        <f>EC_1!D57+FS_1!D57+GT_1!D57+KZN_1!D57+LIM_1!D57+MPU_1!D57+NC_1!D57+NW_1!D57+WC_1!D57</f>
        <v>28332566.399999999</v>
      </c>
      <c r="E57" s="150">
        <f t="shared" ref="E57:E64" si="87">F57-D57</f>
        <v>-1005396</v>
      </c>
      <c r="F57" s="148">
        <f>EC_1!F57+FS_1!F57+GT_1!F57+KZN_1!F57+LIM_1!F57+MPU_1!F57+NC_1!F57+NW_1!F57+WC_1!F57</f>
        <v>27327170.399999999</v>
      </c>
      <c r="G57" s="146"/>
      <c r="H57" s="149">
        <f>EC_1!H57+FS_1!H57+GT_1!H57+KZN_1!H57+LIM_1!H57+MPU_1!H57+NC_1!H57+NW_1!H57+WC_1!H57</f>
        <v>4739161.9635399999</v>
      </c>
      <c r="I57" s="224">
        <f>EC_1!I57+FS_1!I57+GT_1!I57+KZN_1!I57+LIM_1!I57+MPU_1!I57+NC_1!I57+NW_1!I57+WC_1!I57</f>
        <v>5651093.7954099998</v>
      </c>
      <c r="J57" s="224">
        <f>EC_1!J57+FS_1!J57+GT_1!J57+KZN_1!J57+LIM_1!J57+MPU_1!J57+NC_1!J57+NW_1!J57+WC_1!J57</f>
        <v>6783767.9749999996</v>
      </c>
      <c r="K57" s="224">
        <f>EC_1!K57+FS_1!K57+GT_1!K57+KZN_1!K57+LIM_1!K57+MPU_1!K57+NC_1!K57+NW_1!K57+WC_1!K57</f>
        <v>7413391.5600000005</v>
      </c>
      <c r="L57" s="156"/>
      <c r="M57" s="147">
        <f t="shared" ref="M57:M64" si="88">SUM(H57:K57)</f>
        <v>24587415.293949999</v>
      </c>
      <c r="N57" s="172">
        <f t="shared" si="50"/>
        <v>0.89974245170842859</v>
      </c>
      <c r="O57" s="163"/>
      <c r="P57" s="181"/>
      <c r="Q57"/>
      <c r="R57"/>
      <c r="S57" s="159"/>
      <c r="T57" s="157" t="str">
        <f t="shared" si="51"/>
        <v>Buildings and other fixed structures</v>
      </c>
      <c r="U57" s="146">
        <v>28372649</v>
      </c>
      <c r="V57" s="150">
        <v>0</v>
      </c>
      <c r="W57" s="148">
        <v>28372649</v>
      </c>
      <c r="X57" s="146"/>
      <c r="Y57" s="149">
        <v>4734647.9635399999</v>
      </c>
      <c r="Z57" s="224">
        <v>5655269.7954099998</v>
      </c>
      <c r="AA57" s="224">
        <v>0</v>
      </c>
      <c r="AB57" s="224">
        <v>0</v>
      </c>
      <c r="AC57" s="156"/>
      <c r="AD57" s="147">
        <v>10389917.758949999</v>
      </c>
      <c r="AE57" s="172">
        <v>0.36619484345469466</v>
      </c>
      <c r="AF57" s="163"/>
      <c r="AG57" s="181"/>
      <c r="AH57"/>
      <c r="AI57"/>
      <c r="AJ57" s="293"/>
      <c r="AK57" s="291" t="s">
        <v>64</v>
      </c>
      <c r="AL57" s="279">
        <f t="shared" ref="AL57:AL64" si="89">IFERROR(U57-D57,0)</f>
        <v>40082.60000000149</v>
      </c>
      <c r="AM57" s="280">
        <f t="shared" ref="AM57:AM64" si="90">IFERROR(V57-E57,0)</f>
        <v>1005396</v>
      </c>
      <c r="AN57" s="281">
        <f t="shared" ref="AN57:AN64" si="91">IFERROR(W57-F57,0)</f>
        <v>1045478.6000000015</v>
      </c>
      <c r="AO57" s="279"/>
      <c r="AP57" s="282">
        <f t="shared" ref="AP57:AP64" si="92">IFERROR(Y57-H57,0)</f>
        <v>-4514</v>
      </c>
      <c r="AQ57" s="283">
        <f t="shared" ref="AQ57:AQ64" si="93">IFERROR(Z57-I57,0)</f>
        <v>4176</v>
      </c>
      <c r="AR57" s="283">
        <f t="shared" ref="AR57:AR64" si="94">IFERROR(AA57-J57,0)</f>
        <v>-6783767.9749999996</v>
      </c>
      <c r="AS57" s="283">
        <f t="shared" ref="AS57:AS64" si="95">IFERROR(AB57-K57,0)</f>
        <v>-7413391.5600000005</v>
      </c>
      <c r="AT57" s="289"/>
      <c r="AU57" s="283">
        <f t="shared" ref="AU57:AU64" si="96">IFERROR(AD57-M57,0)</f>
        <v>-14197497.535</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146">
        <f>EC_1!D58+FS_1!D58+GT_1!D58+KZN_1!D58+LIM_1!D58+MPU_1!D58+NC_1!D58+NW_1!D58+WC_1!D58</f>
        <v>7416270</v>
      </c>
      <c r="E58" s="150">
        <f t="shared" si="87"/>
        <v>675205.19999999925</v>
      </c>
      <c r="F58" s="148">
        <f>EC_1!F58+FS_1!F58+GT_1!F58+KZN_1!F58+LIM_1!F58+MPU_1!F58+NC_1!F58+NW_1!F58+WC_1!F58</f>
        <v>8091475.1999999993</v>
      </c>
      <c r="G58" s="146"/>
      <c r="H58" s="149">
        <f>EC_1!H58+FS_1!H58+GT_1!H58+KZN_1!H58+LIM_1!H58+MPU_1!H58+NC_1!H58+NW_1!H58+WC_1!H58</f>
        <v>988854.02098000003</v>
      </c>
      <c r="I58" s="224">
        <f>EC_1!I58+FS_1!I58+GT_1!I58+KZN_1!I58+LIM_1!I58+MPU_1!I58+NC_1!I58+NW_1!I58+WC_1!I58</f>
        <v>1393750.5358200003</v>
      </c>
      <c r="J58" s="224">
        <f>EC_1!J58+FS_1!J58+GT_1!J58+KZN_1!J58+LIM_1!J58+MPU_1!J58+NC_1!J58+NW_1!J58+WC_1!J58</f>
        <v>1745911.594</v>
      </c>
      <c r="K58" s="224">
        <f>EC_1!K58+FS_1!K58+GT_1!K58+KZN_1!K58+LIM_1!K58+MPU_1!K58+NC_1!K58+NW_1!K58+WC_1!K58</f>
        <v>3081164.95</v>
      </c>
      <c r="L58" s="156"/>
      <c r="M58" s="147">
        <f t="shared" si="88"/>
        <v>7209681.1008000001</v>
      </c>
      <c r="N58" s="172">
        <f t="shared" si="50"/>
        <v>0.8910218375012755</v>
      </c>
      <c r="O58" s="163"/>
      <c r="P58" s="181"/>
      <c r="Q58"/>
      <c r="R58"/>
      <c r="S58" s="159"/>
      <c r="T58" s="157" t="str">
        <f t="shared" si="51"/>
        <v>Machinery and equipment</v>
      </c>
      <c r="U58" s="146">
        <v>7470287.7400000002</v>
      </c>
      <c r="V58" s="150">
        <v>0</v>
      </c>
      <c r="W58" s="148">
        <v>7470287.7400000002</v>
      </c>
      <c r="X58" s="146"/>
      <c r="Y58" s="149">
        <v>987833.02098000003</v>
      </c>
      <c r="Z58" s="224">
        <v>1389910.9358200002</v>
      </c>
      <c r="AA58" s="224">
        <v>0</v>
      </c>
      <c r="AB58" s="224">
        <v>0</v>
      </c>
      <c r="AC58" s="156"/>
      <c r="AD58" s="147">
        <v>2377743.9568000003</v>
      </c>
      <c r="AE58" s="172">
        <v>0.31829349009787944</v>
      </c>
      <c r="AF58" s="163"/>
      <c r="AG58" s="181"/>
      <c r="AH58"/>
      <c r="AI58"/>
      <c r="AJ58" s="293"/>
      <c r="AK58" s="291" t="s">
        <v>65</v>
      </c>
      <c r="AL58" s="279">
        <f t="shared" si="89"/>
        <v>54017.740000000224</v>
      </c>
      <c r="AM58" s="280">
        <f t="shared" si="90"/>
        <v>-675205.19999999925</v>
      </c>
      <c r="AN58" s="281">
        <f t="shared" si="91"/>
        <v>-621187.45999999903</v>
      </c>
      <c r="AO58" s="279"/>
      <c r="AP58" s="282">
        <f t="shared" si="92"/>
        <v>-1021</v>
      </c>
      <c r="AQ58" s="283">
        <f t="shared" si="93"/>
        <v>-3839.6000000000931</v>
      </c>
      <c r="AR58" s="283">
        <f t="shared" si="94"/>
        <v>-1745911.594</v>
      </c>
      <c r="AS58" s="283">
        <f t="shared" si="95"/>
        <v>-3081164.95</v>
      </c>
      <c r="AT58" s="289"/>
      <c r="AU58" s="283">
        <f t="shared" si="96"/>
        <v>-4831937.1439999994</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146">
        <f>EC_1!D59+FS_1!D59+GT_1!D59+KZN_1!D59+LIM_1!D59+MPU_1!D59+NC_1!D59+NW_1!D59+WC_1!D59</f>
        <v>15447</v>
      </c>
      <c r="E59" s="150">
        <f t="shared" si="87"/>
        <v>-4199</v>
      </c>
      <c r="F59" s="148">
        <f>EC_1!F59+FS_1!F59+GT_1!F59+KZN_1!F59+LIM_1!F59+MPU_1!F59+NC_1!F59+NW_1!F59+WC_1!F59</f>
        <v>11248</v>
      </c>
      <c r="G59" s="146"/>
      <c r="H59" s="149">
        <f>EC_1!H59+FS_1!H59+GT_1!H59+KZN_1!H59+LIM_1!H59+MPU_1!H59+NC_1!H59+NW_1!H59+WC_1!H59</f>
        <v>560</v>
      </c>
      <c r="I59" s="224">
        <f>EC_1!I59+FS_1!I59+GT_1!I59+KZN_1!I59+LIM_1!I59+MPU_1!I59+NC_1!I59+NW_1!I59+WC_1!I59</f>
        <v>0</v>
      </c>
      <c r="J59" s="224">
        <f>EC_1!J59+FS_1!J59+GT_1!J59+KZN_1!J59+LIM_1!J59+MPU_1!J59+NC_1!J59+NW_1!J59+WC_1!J59</f>
        <v>1915</v>
      </c>
      <c r="K59" s="224">
        <f>EC_1!K59+FS_1!K59+GT_1!K59+KZN_1!K59+LIM_1!K59+MPU_1!K59+NC_1!K59+NW_1!K59+WC_1!K59</f>
        <v>349</v>
      </c>
      <c r="L59" s="156"/>
      <c r="M59" s="147">
        <f t="shared" si="88"/>
        <v>2824</v>
      </c>
      <c r="N59" s="172">
        <f t="shared" si="50"/>
        <v>0.25106685633001424</v>
      </c>
      <c r="O59" s="163"/>
      <c r="P59" s="181"/>
      <c r="Q59"/>
      <c r="R59"/>
      <c r="S59" s="159"/>
      <c r="T59" s="157" t="str">
        <f t="shared" si="51"/>
        <v>Heritage assets</v>
      </c>
      <c r="U59" s="146">
        <v>15447</v>
      </c>
      <c r="V59" s="150">
        <v>0</v>
      </c>
      <c r="W59" s="148">
        <v>15447</v>
      </c>
      <c r="X59" s="146"/>
      <c r="Y59" s="149">
        <v>560</v>
      </c>
      <c r="Z59" s="224">
        <v>0</v>
      </c>
      <c r="AA59" s="224">
        <v>0</v>
      </c>
      <c r="AB59" s="224">
        <v>0</v>
      </c>
      <c r="AC59" s="156"/>
      <c r="AD59" s="147">
        <v>560</v>
      </c>
      <c r="AE59" s="172">
        <v>3.6252994108888457E-2</v>
      </c>
      <c r="AF59" s="163"/>
      <c r="AG59" s="181"/>
      <c r="AH59"/>
      <c r="AI59"/>
      <c r="AJ59" s="293"/>
      <c r="AK59" s="291" t="s">
        <v>66</v>
      </c>
      <c r="AL59" s="279">
        <f t="shared" si="89"/>
        <v>0</v>
      </c>
      <c r="AM59" s="280">
        <f t="shared" si="90"/>
        <v>4199</v>
      </c>
      <c r="AN59" s="281">
        <f t="shared" si="91"/>
        <v>4199</v>
      </c>
      <c r="AO59" s="279"/>
      <c r="AP59" s="282">
        <f t="shared" si="92"/>
        <v>0</v>
      </c>
      <c r="AQ59" s="283">
        <f t="shared" si="93"/>
        <v>0</v>
      </c>
      <c r="AR59" s="283">
        <f t="shared" si="94"/>
        <v>-1915</v>
      </c>
      <c r="AS59" s="283">
        <f t="shared" si="95"/>
        <v>-349</v>
      </c>
      <c r="AT59" s="289"/>
      <c r="AU59" s="283">
        <f t="shared" si="96"/>
        <v>-2264</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146">
        <f>EC_1!D60+FS_1!D60+GT_1!D60+KZN_1!D60+LIM_1!D60+MPU_1!D60+NC_1!D60+NW_1!D60+WC_1!D60</f>
        <v>35</v>
      </c>
      <c r="E60" s="150">
        <f t="shared" si="87"/>
        <v>-35</v>
      </c>
      <c r="F60" s="148">
        <f>EC_1!F60+FS_1!F60+GT_1!F60+KZN_1!F60+LIM_1!F60+MPU_1!F60+NC_1!F60+NW_1!F60+WC_1!F60</f>
        <v>0</v>
      </c>
      <c r="G60" s="146"/>
      <c r="H60" s="149">
        <f>EC_1!H60+FS_1!H60+GT_1!H60+KZN_1!H60+LIM_1!H60+MPU_1!H60+NC_1!H60+NW_1!H60+WC_1!H60</f>
        <v>0</v>
      </c>
      <c r="I60" s="224">
        <f>EC_1!I60+FS_1!I60+GT_1!I60+KZN_1!I60+LIM_1!I60+MPU_1!I60+NC_1!I60+NW_1!I60+WC_1!I60</f>
        <v>0</v>
      </c>
      <c r="J60" s="224">
        <f>EC_1!J60+FS_1!J60+GT_1!J60+KZN_1!J60+LIM_1!J60+MPU_1!J60+NC_1!J60+NW_1!J60+WC_1!J60</f>
        <v>0</v>
      </c>
      <c r="K60" s="224">
        <f>EC_1!K60+FS_1!K60+GT_1!K60+KZN_1!K60+LIM_1!K60+MPU_1!K60+NC_1!K60+NW_1!K60+WC_1!K60</f>
        <v>0</v>
      </c>
      <c r="L60" s="156"/>
      <c r="M60" s="147">
        <f t="shared" si="88"/>
        <v>0</v>
      </c>
      <c r="N60" s="172">
        <f t="shared" si="50"/>
        <v>0</v>
      </c>
      <c r="O60" s="163"/>
      <c r="P60" s="181"/>
      <c r="Q60"/>
      <c r="R60"/>
      <c r="S60" s="159"/>
      <c r="T60" s="157" t="str">
        <f t="shared" si="51"/>
        <v>Specialised military assets</v>
      </c>
      <c r="U60" s="146">
        <v>35</v>
      </c>
      <c r="V60" s="150">
        <v>0</v>
      </c>
      <c r="W60" s="148">
        <v>35</v>
      </c>
      <c r="X60" s="146"/>
      <c r="Y60" s="149">
        <v>0</v>
      </c>
      <c r="Z60" s="224">
        <v>0</v>
      </c>
      <c r="AA60" s="224">
        <v>0</v>
      </c>
      <c r="AB60" s="224">
        <v>0</v>
      </c>
      <c r="AC60" s="156"/>
      <c r="AD60" s="147">
        <v>0</v>
      </c>
      <c r="AE60" s="172">
        <v>0</v>
      </c>
      <c r="AF60" s="163"/>
      <c r="AG60" s="181"/>
      <c r="AH60"/>
      <c r="AI60"/>
      <c r="AJ60" s="293"/>
      <c r="AK60" s="291" t="s">
        <v>67</v>
      </c>
      <c r="AL60" s="279">
        <f t="shared" si="89"/>
        <v>0</v>
      </c>
      <c r="AM60" s="280">
        <f t="shared" si="90"/>
        <v>35</v>
      </c>
      <c r="AN60" s="281">
        <f t="shared" si="91"/>
        <v>35</v>
      </c>
      <c r="AO60" s="279"/>
      <c r="AP60" s="282">
        <f t="shared" si="92"/>
        <v>0</v>
      </c>
      <c r="AQ60" s="283">
        <f t="shared" si="93"/>
        <v>0</v>
      </c>
      <c r="AR60" s="283">
        <f t="shared" si="94"/>
        <v>0</v>
      </c>
      <c r="AS60" s="283">
        <f t="shared" si="95"/>
        <v>0</v>
      </c>
      <c r="AT60" s="289"/>
      <c r="AU60" s="283">
        <f t="shared" si="96"/>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146">
        <f>EC_1!D61+FS_1!D61+GT_1!D61+KZN_1!D61+LIM_1!D61+MPU_1!D61+NC_1!D61+NW_1!D61+WC_1!D61</f>
        <v>22585</v>
      </c>
      <c r="E61" s="150">
        <f t="shared" si="87"/>
        <v>-7334</v>
      </c>
      <c r="F61" s="148">
        <f>EC_1!F61+FS_1!F61+GT_1!F61+KZN_1!F61+LIM_1!F61+MPU_1!F61+NC_1!F61+NW_1!F61+WC_1!F61</f>
        <v>15251</v>
      </c>
      <c r="G61" s="146"/>
      <c r="H61" s="149">
        <f>EC_1!H61+FS_1!H61+GT_1!H61+KZN_1!H61+LIM_1!H61+MPU_1!H61+NC_1!H61+NW_1!H61+WC_1!H61</f>
        <v>0</v>
      </c>
      <c r="I61" s="224">
        <f>EC_1!I61+FS_1!I61+GT_1!I61+KZN_1!I61+LIM_1!I61+MPU_1!I61+NC_1!I61+NW_1!I61+WC_1!I61</f>
        <v>3372</v>
      </c>
      <c r="J61" s="224">
        <f>EC_1!J61+FS_1!J61+GT_1!J61+KZN_1!J61+LIM_1!J61+MPU_1!J61+NC_1!J61+NW_1!J61+WC_1!J61</f>
        <v>744</v>
      </c>
      <c r="K61" s="224">
        <f>EC_1!K61+FS_1!K61+GT_1!K61+KZN_1!K61+LIM_1!K61+MPU_1!K61+NC_1!K61+NW_1!K61+WC_1!K61</f>
        <v>14201</v>
      </c>
      <c r="L61" s="156"/>
      <c r="M61" s="147">
        <f t="shared" si="88"/>
        <v>18317</v>
      </c>
      <c r="N61" s="172">
        <f t="shared" si="50"/>
        <v>1.2010359976394991</v>
      </c>
      <c r="O61" s="163"/>
      <c r="P61" s="181"/>
      <c r="Q61"/>
      <c r="R61"/>
      <c r="S61" s="159"/>
      <c r="T61" s="157" t="str">
        <f t="shared" si="51"/>
        <v>Biological assets</v>
      </c>
      <c r="U61" s="146">
        <v>22585</v>
      </c>
      <c r="V61" s="150">
        <v>0</v>
      </c>
      <c r="W61" s="148">
        <v>22585</v>
      </c>
      <c r="X61" s="146"/>
      <c r="Y61" s="149">
        <v>0</v>
      </c>
      <c r="Z61" s="224">
        <v>3372</v>
      </c>
      <c r="AA61" s="224">
        <v>0</v>
      </c>
      <c r="AB61" s="224">
        <v>0</v>
      </c>
      <c r="AC61" s="156"/>
      <c r="AD61" s="147">
        <v>3372</v>
      </c>
      <c r="AE61" s="172">
        <v>0.14930263449191941</v>
      </c>
      <c r="AF61" s="163"/>
      <c r="AG61" s="181"/>
      <c r="AH61"/>
      <c r="AI61"/>
      <c r="AJ61" s="293"/>
      <c r="AK61" s="291" t="s">
        <v>68</v>
      </c>
      <c r="AL61" s="279">
        <f t="shared" si="89"/>
        <v>0</v>
      </c>
      <c r="AM61" s="280">
        <f t="shared" si="90"/>
        <v>7334</v>
      </c>
      <c r="AN61" s="281">
        <f t="shared" si="91"/>
        <v>7334</v>
      </c>
      <c r="AO61" s="279"/>
      <c r="AP61" s="282">
        <f t="shared" si="92"/>
        <v>0</v>
      </c>
      <c r="AQ61" s="283">
        <f t="shared" si="93"/>
        <v>0</v>
      </c>
      <c r="AR61" s="283">
        <f t="shared" si="94"/>
        <v>-744</v>
      </c>
      <c r="AS61" s="283">
        <f t="shared" si="95"/>
        <v>-14201</v>
      </c>
      <c r="AT61" s="289"/>
      <c r="AU61" s="283">
        <f t="shared" si="96"/>
        <v>-14945</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146">
        <f>EC_1!D62+FS_1!D62+GT_1!D62+KZN_1!D62+LIM_1!D62+MPU_1!D62+NC_1!D62+NW_1!D62+WC_1!D62</f>
        <v>14568</v>
      </c>
      <c r="E62" s="150">
        <f t="shared" si="87"/>
        <v>52259</v>
      </c>
      <c r="F62" s="148">
        <f>EC_1!F62+FS_1!F62+GT_1!F62+KZN_1!F62+LIM_1!F62+MPU_1!F62+NC_1!F62+NW_1!F62+WC_1!F62</f>
        <v>66827</v>
      </c>
      <c r="G62" s="146"/>
      <c r="H62" s="149">
        <f>EC_1!H62+FS_1!H62+GT_1!H62+KZN_1!H62+LIM_1!H62+MPU_1!H62+NC_1!H62+NW_1!H62+WC_1!H62</f>
        <v>3404</v>
      </c>
      <c r="I62" s="224">
        <f>EC_1!I62+FS_1!I62+GT_1!I62+KZN_1!I62+LIM_1!I62+MPU_1!I62+NC_1!I62+NW_1!I62+WC_1!I62</f>
        <v>6906</v>
      </c>
      <c r="J62" s="224">
        <f>EC_1!J62+FS_1!J62+GT_1!J62+KZN_1!J62+LIM_1!J62+MPU_1!J62+NC_1!J62+NW_1!J62+WC_1!J62</f>
        <v>28518</v>
      </c>
      <c r="K62" s="224">
        <f>EC_1!K62+FS_1!K62+GT_1!K62+KZN_1!K62+LIM_1!K62+MPU_1!K62+NC_1!K62+NW_1!K62+WC_1!K62</f>
        <v>36397</v>
      </c>
      <c r="L62" s="156"/>
      <c r="M62" s="147">
        <f t="shared" si="88"/>
        <v>75225</v>
      </c>
      <c r="N62" s="172">
        <f t="shared" si="50"/>
        <v>1.1256677690155177</v>
      </c>
      <c r="O62" s="163"/>
      <c r="P62" s="181"/>
      <c r="S62" s="159"/>
      <c r="T62" s="157" t="str">
        <f t="shared" si="51"/>
        <v>Land and sub-soil assets</v>
      </c>
      <c r="U62" s="146">
        <v>14568</v>
      </c>
      <c r="V62" s="150">
        <v>0</v>
      </c>
      <c r="W62" s="148">
        <v>14568</v>
      </c>
      <c r="X62" s="146"/>
      <c r="Y62" s="149">
        <v>3404</v>
      </c>
      <c r="Z62" s="224">
        <v>6906</v>
      </c>
      <c r="AA62" s="224">
        <v>0</v>
      </c>
      <c r="AB62" s="224">
        <v>0</v>
      </c>
      <c r="AC62" s="156"/>
      <c r="AD62" s="147">
        <v>10310</v>
      </c>
      <c r="AE62" s="172">
        <v>0.70771554091158706</v>
      </c>
      <c r="AF62" s="163"/>
      <c r="AG62" s="181"/>
      <c r="AJ62" s="293"/>
      <c r="AK62" s="291" t="s">
        <v>69</v>
      </c>
      <c r="AL62" s="279">
        <f t="shared" si="89"/>
        <v>0</v>
      </c>
      <c r="AM62" s="280">
        <f t="shared" si="90"/>
        <v>-52259</v>
      </c>
      <c r="AN62" s="281">
        <f t="shared" si="91"/>
        <v>-52259</v>
      </c>
      <c r="AO62" s="279"/>
      <c r="AP62" s="282">
        <f t="shared" si="92"/>
        <v>0</v>
      </c>
      <c r="AQ62" s="283">
        <f t="shared" si="93"/>
        <v>0</v>
      </c>
      <c r="AR62" s="283">
        <f t="shared" si="94"/>
        <v>-28518</v>
      </c>
      <c r="AS62" s="283">
        <f t="shared" si="95"/>
        <v>-36397</v>
      </c>
      <c r="AT62" s="289"/>
      <c r="AU62" s="283">
        <f t="shared" si="96"/>
        <v>-64915</v>
      </c>
      <c r="AV62" s="290"/>
      <c r="AW62" s="297"/>
      <c r="AX62" s="181"/>
    </row>
    <row r="63" spans="1:79" s="66" customFormat="1" ht="15.75" customHeight="1" x14ac:dyDescent="0.3">
      <c r="A63" s="446">
        <v>1</v>
      </c>
      <c r="B63" s="159"/>
      <c r="C63" s="157" t="s">
        <v>70</v>
      </c>
      <c r="D63" s="146">
        <f>EC_1!D63+FS_1!D63+GT_1!D63+KZN_1!D63+LIM_1!D63+MPU_1!D63+NC_1!D63+NW_1!D63+WC_1!D63</f>
        <v>81997.7</v>
      </c>
      <c r="E63" s="150">
        <f t="shared" si="87"/>
        <v>147405.60000000003</v>
      </c>
      <c r="F63" s="148">
        <f>EC_1!F63+FS_1!F63+GT_1!F63+KZN_1!F63+LIM_1!F63+MPU_1!F63+NC_1!F63+NW_1!F63+WC_1!F63</f>
        <v>229403.30000000002</v>
      </c>
      <c r="G63" s="146"/>
      <c r="H63" s="149">
        <f>EC_1!H63+FS_1!H63+GT_1!H63+KZN_1!H63+LIM_1!H63+MPU_1!H63+NC_1!H63+NW_1!H63+WC_1!H63</f>
        <v>83770</v>
      </c>
      <c r="I63" s="224">
        <f>EC_1!I63+FS_1!I63+GT_1!I63+KZN_1!I63+LIM_1!I63+MPU_1!I63+NC_1!I63+NW_1!I63+WC_1!I63</f>
        <v>66493.394239999994</v>
      </c>
      <c r="J63" s="224">
        <f>EC_1!J63+FS_1!J63+GT_1!J63+KZN_1!J63+LIM_1!J63+MPU_1!J63+NC_1!J63+NW_1!J63+WC_1!J63</f>
        <v>18530</v>
      </c>
      <c r="K63" s="224">
        <f>EC_1!K63+FS_1!K63+GT_1!K63+KZN_1!K63+LIM_1!K63+MPU_1!K63+NC_1!K63+NW_1!K63+WC_1!K63</f>
        <v>85367</v>
      </c>
      <c r="L63" s="156"/>
      <c r="M63" s="147">
        <f t="shared" si="88"/>
        <v>254160.39423999999</v>
      </c>
      <c r="N63" s="172">
        <f t="shared" si="50"/>
        <v>1.107919520948478</v>
      </c>
      <c r="O63" s="163"/>
      <c r="P63" s="181"/>
      <c r="Q63"/>
      <c r="R63"/>
      <c r="S63" s="159"/>
      <c r="T63" s="157" t="str">
        <f t="shared" si="51"/>
        <v>Software and other intangible assets</v>
      </c>
      <c r="U63" s="146">
        <v>81558.02</v>
      </c>
      <c r="V63" s="150">
        <v>0</v>
      </c>
      <c r="W63" s="148">
        <v>81558.02</v>
      </c>
      <c r="X63" s="146"/>
      <c r="Y63" s="149">
        <v>83770</v>
      </c>
      <c r="Z63" s="224">
        <v>66255.394239999994</v>
      </c>
      <c r="AA63" s="224">
        <v>0</v>
      </c>
      <c r="AB63" s="224">
        <v>0</v>
      </c>
      <c r="AC63" s="156"/>
      <c r="AD63" s="147">
        <v>150025.39423999999</v>
      </c>
      <c r="AE63" s="172">
        <v>1.8394928449709789</v>
      </c>
      <c r="AF63" s="163"/>
      <c r="AG63" s="181"/>
      <c r="AH63"/>
      <c r="AI63"/>
      <c r="AJ63" s="293"/>
      <c r="AK63" s="291" t="s">
        <v>70</v>
      </c>
      <c r="AL63" s="279">
        <f t="shared" si="89"/>
        <v>-439.67999999999302</v>
      </c>
      <c r="AM63" s="280">
        <f t="shared" si="90"/>
        <v>-147405.60000000003</v>
      </c>
      <c r="AN63" s="281">
        <f t="shared" si="91"/>
        <v>-147845.28000000003</v>
      </c>
      <c r="AO63" s="279"/>
      <c r="AP63" s="282">
        <f t="shared" si="92"/>
        <v>0</v>
      </c>
      <c r="AQ63" s="283">
        <f t="shared" si="93"/>
        <v>-238</v>
      </c>
      <c r="AR63" s="283">
        <f t="shared" si="94"/>
        <v>-18530</v>
      </c>
      <c r="AS63" s="283">
        <f t="shared" si="95"/>
        <v>-85367</v>
      </c>
      <c r="AT63" s="289"/>
      <c r="AU63" s="283">
        <f t="shared" si="96"/>
        <v>-104135</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35" customFormat="1" ht="15.75" customHeight="1" x14ac:dyDescent="0.3">
      <c r="A64" s="446">
        <v>1</v>
      </c>
      <c r="B64" s="159"/>
      <c r="C64" s="182" t="s">
        <v>3</v>
      </c>
      <c r="D64" s="152">
        <f>EC_1!D64+FS_1!D64+GT_1!D64+KZN_1!D64+LIM_1!D64+MPU_1!D64+NC_1!D64+NW_1!D64+WC_1!D64</f>
        <v>6655</v>
      </c>
      <c r="E64" s="156">
        <f t="shared" si="87"/>
        <v>10192</v>
      </c>
      <c r="F64" s="153">
        <f>EC_1!F64+FS_1!F64+GT_1!F64+KZN_1!F64+LIM_1!F64+MPU_1!F64+NC_1!F64+NW_1!F64+WC_1!F64</f>
        <v>16847</v>
      </c>
      <c r="G64" s="152"/>
      <c r="H64" s="154">
        <f>EC_1!H64+FS_1!H64+GT_1!H64+KZN_1!H64+LIM_1!H64+MPU_1!H64+NC_1!H64+NW_1!H64+WC_1!H64</f>
        <v>5431</v>
      </c>
      <c r="I64" s="224">
        <f>EC_1!I64+FS_1!I64+GT_1!I64+KZN_1!I64+LIM_1!I64+MPU_1!I64+NC_1!I64+NW_1!I64+WC_1!I64</f>
        <v>10206</v>
      </c>
      <c r="J64" s="224">
        <f>EC_1!J64+FS_1!J64+GT_1!J64+KZN_1!J64+LIM_1!J64+MPU_1!J64+NC_1!J64+NW_1!J64+WC_1!J64</f>
        <v>9790</v>
      </c>
      <c r="K64" s="224">
        <f>EC_1!K64+FS_1!K64+GT_1!K64+KZN_1!K64+LIM_1!K64+MPU_1!K64+NC_1!K64+NW_1!K64+WC_1!K64</f>
        <v>33065.599999999999</v>
      </c>
      <c r="L64" s="156"/>
      <c r="M64" s="155">
        <f t="shared" si="88"/>
        <v>58492.6</v>
      </c>
      <c r="N64" s="172">
        <f t="shared" si="50"/>
        <v>3.4719890781741554</v>
      </c>
      <c r="O64" s="163"/>
      <c r="P64" s="181"/>
      <c r="Q64"/>
      <c r="R64"/>
      <c r="S64" s="159"/>
      <c r="T64" s="182" t="str">
        <f t="shared" si="51"/>
        <v>Payments for financial assets</v>
      </c>
      <c r="U64" s="152">
        <v>6655</v>
      </c>
      <c r="V64" s="156">
        <v>0</v>
      </c>
      <c r="W64" s="153">
        <v>6655</v>
      </c>
      <c r="X64" s="152"/>
      <c r="Y64" s="154">
        <v>5433</v>
      </c>
      <c r="Z64" s="224">
        <v>10446</v>
      </c>
      <c r="AA64" s="224">
        <v>0</v>
      </c>
      <c r="AB64" s="224">
        <v>0</v>
      </c>
      <c r="AC64" s="156"/>
      <c r="AD64" s="155">
        <v>15879</v>
      </c>
      <c r="AE64" s="172">
        <v>2.3860255447032306</v>
      </c>
      <c r="AF64" s="163"/>
      <c r="AG64" s="181"/>
      <c r="AH64"/>
      <c r="AI64"/>
      <c r="AJ64" s="293"/>
      <c r="AK64" s="314" t="s">
        <v>3</v>
      </c>
      <c r="AL64" s="285">
        <f t="shared" si="89"/>
        <v>0</v>
      </c>
      <c r="AM64" s="289">
        <f t="shared" si="90"/>
        <v>-10192</v>
      </c>
      <c r="AN64" s="286">
        <f t="shared" si="91"/>
        <v>-10192</v>
      </c>
      <c r="AO64" s="285"/>
      <c r="AP64" s="287">
        <f t="shared" si="92"/>
        <v>2</v>
      </c>
      <c r="AQ64" s="288">
        <f t="shared" si="93"/>
        <v>240</v>
      </c>
      <c r="AR64" s="288">
        <f t="shared" si="94"/>
        <v>-9790</v>
      </c>
      <c r="AS64" s="288">
        <f t="shared" si="95"/>
        <v>-33065.599999999999</v>
      </c>
      <c r="AT64" s="289"/>
      <c r="AU64" s="288">
        <f t="shared" si="96"/>
        <v>-42613.599999999999</v>
      </c>
      <c r="AV64" s="315"/>
      <c r="AW64" s="297"/>
      <c r="AX64" s="181"/>
      <c r="AY64"/>
      <c r="AZ64"/>
      <c r="BA64"/>
      <c r="BB64"/>
      <c r="BC64"/>
      <c r="BD64"/>
      <c r="BE64"/>
      <c r="BF64"/>
      <c r="BG64"/>
      <c r="BH64"/>
      <c r="BI64"/>
      <c r="BJ64"/>
      <c r="BK64"/>
      <c r="BL64"/>
      <c r="BM64"/>
      <c r="BN64"/>
      <c r="BO64"/>
      <c r="BP64"/>
      <c r="BQ64"/>
      <c r="BR64"/>
      <c r="BS64"/>
      <c r="BT64"/>
      <c r="BU64"/>
      <c r="BV64"/>
      <c r="BW64"/>
      <c r="BX64"/>
      <c r="BY64"/>
      <c r="BZ64"/>
      <c r="CA64"/>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ht="15.75" customHeight="1" x14ac:dyDescent="0.3">
      <c r="A66" s="446">
        <v>1</v>
      </c>
      <c r="B66" s="119"/>
      <c r="C66" s="164" t="s">
        <v>12</v>
      </c>
      <c r="D66" s="165">
        <f>D44+D48+D56+D64</f>
        <v>632346446.41897559</v>
      </c>
      <c r="E66" s="179">
        <f t="shared" ref="E66:F66" si="97">E44+E48+E56+E64</f>
        <v>6235066.9100000318</v>
      </c>
      <c r="F66" s="166">
        <f t="shared" si="97"/>
        <v>638581513.32897556</v>
      </c>
      <c r="G66" s="165"/>
      <c r="H66" s="167">
        <f t="shared" ref="H66" si="98">H44+H48+H56+H64</f>
        <v>150133244.75957</v>
      </c>
      <c r="I66" s="437">
        <f>IF(General!$BE$1&gt;1,I44+I48+I56+I64,"")</f>
        <v>153145005.95671001</v>
      </c>
      <c r="J66" s="437">
        <f>IF(General!$BE$1&gt;2,J44+J48+J56+J64,"")</f>
        <v>163866218.794</v>
      </c>
      <c r="K66" s="437">
        <f>IF(General!$BE$1=4,K44+K48+K56+K64,"")</f>
        <v>161612732.01299998</v>
      </c>
      <c r="L66" s="156"/>
      <c r="M66" s="168">
        <f>M44+M48+M56+M64</f>
        <v>628757201.52328014</v>
      </c>
      <c r="N66" s="180">
        <f>IFERROR(M66/F66,0)</f>
        <v>0.98461541463284696</v>
      </c>
      <c r="O66" s="163"/>
      <c r="P66" s="118"/>
      <c r="S66" s="119"/>
      <c r="T66" s="164" t="s">
        <v>12</v>
      </c>
      <c r="U66" s="165">
        <v>632346448.09000003</v>
      </c>
      <c r="V66" s="179">
        <v>0</v>
      </c>
      <c r="W66" s="166">
        <v>632346448.09000003</v>
      </c>
      <c r="X66" s="165"/>
      <c r="Y66" s="167">
        <v>150127223.75957</v>
      </c>
      <c r="Z66" s="437">
        <v>153103650.95471001</v>
      </c>
      <c r="AA66" s="437" t="s">
        <v>52</v>
      </c>
      <c r="AB66" s="437" t="s">
        <v>52</v>
      </c>
      <c r="AC66" s="156"/>
      <c r="AD66" s="168">
        <v>303230874.71428001</v>
      </c>
      <c r="AE66" s="180">
        <v>0.47953281880555776</v>
      </c>
      <c r="AF66" s="163"/>
      <c r="AG66" s="118"/>
      <c r="AJ66" s="248"/>
      <c r="AK66" s="298" t="s">
        <v>12</v>
      </c>
      <c r="AL66" s="299">
        <f>AL44+AL48+AL56+AL64</f>
        <v>1.6710244619171135</v>
      </c>
      <c r="AM66" s="313">
        <f t="shared" ref="AM66" si="99">AM44+AM48+AM56+AM64</f>
        <v>-6235066.9100000318</v>
      </c>
      <c r="AN66" s="300">
        <f>AN44+AN48+AN56+AN64</f>
        <v>-6235065.2389755705</v>
      </c>
      <c r="AO66" s="299"/>
      <c r="AP66" s="301">
        <f>AP44+AP48+AP56+AP64</f>
        <v>-6021</v>
      </c>
      <c r="AQ66" s="302">
        <f t="shared" ref="AQ66:AS66" si="100">AQ44+AQ48+AQ56+AQ64</f>
        <v>-41355.002000002656</v>
      </c>
      <c r="AR66" s="302">
        <f t="shared" si="100"/>
        <v>-163866218.794</v>
      </c>
      <c r="AS66" s="302">
        <f t="shared" si="100"/>
        <v>-161612732.01299998</v>
      </c>
      <c r="AT66" s="289"/>
      <c r="AU66" s="302">
        <f>AU44+AU48+AU56+AU64</f>
        <v>-325526326.80900007</v>
      </c>
      <c r="AV66" s="303"/>
      <c r="AW66" s="297"/>
      <c r="AX66" s="118"/>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
        <v>182</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86" t="str">
        <f>IF(General!$BE$1&gt;2,"2.","")</f>
        <v>2.</v>
      </c>
      <c r="C71" s="626" t="str">
        <f>IF(General!$BE$1&gt;2,"Adjusted Budget figures are based on the " &amp; Settings!FinYear &amp; " Adjusted Estimates of Provincial Revenue and Expenditure tabled in the Provincial Legislature during November " &amp; LEFT(Settings!FinYear,4) &amp; ".","")</f>
        <v>Adjusted Budget figures are based on the 2019/20 Adjusted Estimates of Provincial Revenue and Expenditure tabled in the Provincial Legislature during November 2019.</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A72" s="446">
        <v>1</v>
      </c>
      <c r="B72" s="14" t="s">
        <v>174</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56" customFormat="1" ht="15.75" customHeight="1" x14ac:dyDescent="0.3">
      <c r="A73" s="446">
        <v>1</v>
      </c>
      <c r="B73" s="17"/>
      <c r="C73" s="17"/>
      <c r="D73" s="17"/>
      <c r="E73" s="17"/>
      <c r="F73" s="17"/>
      <c r="G73" s="17"/>
      <c r="H73" s="17"/>
      <c r="I73" s="17"/>
      <c r="J73" s="17"/>
      <c r="K73" s="17"/>
      <c r="L73" s="17"/>
      <c r="M73" s="17"/>
      <c r="N73" s="17"/>
      <c r="O73" s="17"/>
      <c r="P73"/>
      <c r="Q73"/>
      <c r="R73"/>
      <c r="S73" s="17"/>
      <c r="T73" s="17"/>
      <c r="U73" s="17"/>
      <c r="V73" s="17"/>
      <c r="W73" s="17"/>
      <c r="X73" s="17"/>
      <c r="Y73" s="17"/>
      <c r="Z73" s="17"/>
      <c r="AA73" s="17"/>
      <c r="AB73" s="17"/>
      <c r="AC73" s="17"/>
      <c r="AD73" s="17"/>
      <c r="AE73" s="17"/>
      <c r="AF73" s="17"/>
      <c r="AG73"/>
      <c r="AH73" s="61"/>
      <c r="AI73"/>
      <c r="AJ73" s="330"/>
      <c r="AK73" s="330"/>
      <c r="AL73" s="330"/>
      <c r="AM73" s="330"/>
      <c r="AN73" s="330"/>
      <c r="AO73" s="330"/>
      <c r="AP73" s="330"/>
      <c r="AQ73" s="330"/>
      <c r="AR73" s="330"/>
      <c r="AS73" s="330"/>
      <c r="AT73" s="330"/>
      <c r="AU73" s="330"/>
      <c r="AV73" s="330"/>
      <c r="AW73" s="330"/>
      <c r="AX73"/>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row>
    <row r="74" spans="1:79" s="64" customFormat="1" ht="15.75" customHeight="1" x14ac:dyDescent="0.3">
      <c r="A74" s="446">
        <v>1</v>
      </c>
      <c r="B74" s="2"/>
      <c r="C74" s="1"/>
      <c r="D74" s="2"/>
      <c r="E74" s="2"/>
      <c r="F74" s="2"/>
      <c r="G74" s="2"/>
      <c r="H74" s="2"/>
      <c r="I74" s="2"/>
      <c r="J74" s="2"/>
      <c r="K74" s="2"/>
      <c r="L74" s="2"/>
      <c r="M74" s="2"/>
      <c r="N74" s="2"/>
      <c r="O74" s="2"/>
      <c r="P74"/>
      <c r="Q74"/>
      <c r="R74"/>
      <c r="S74" s="2"/>
      <c r="T74" s="1"/>
      <c r="U74" s="2"/>
      <c r="V74" s="2"/>
      <c r="W74" s="2"/>
      <c r="X74" s="2"/>
      <c r="Y74" s="2"/>
      <c r="Z74" s="2"/>
      <c r="AA74" s="2"/>
      <c r="AB74" s="2"/>
      <c r="AC74" s="2"/>
      <c r="AD74" s="2"/>
      <c r="AE74" s="2"/>
      <c r="AF74" s="2"/>
      <c r="AG74"/>
      <c r="AH74" s="61"/>
      <c r="AI74"/>
      <c r="AJ74" s="331"/>
      <c r="AK74" s="332"/>
      <c r="AL74" s="331"/>
      <c r="AM74" s="331"/>
      <c r="AN74" s="331"/>
      <c r="AO74" s="331"/>
      <c r="AP74" s="331"/>
      <c r="AQ74" s="331"/>
      <c r="AR74" s="331"/>
      <c r="AS74" s="331"/>
      <c r="AT74" s="331"/>
      <c r="AU74" s="331"/>
      <c r="AV74" s="331"/>
      <c r="AW74" s="331"/>
      <c r="AX74"/>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row>
    <row r="75" spans="1:79" s="22" customFormat="1" ht="15.75" customHeight="1" x14ac:dyDescent="0.3">
      <c r="A75" s="446">
        <v>1</v>
      </c>
      <c r="B75" s="1"/>
      <c r="C75" s="16"/>
      <c r="D75" s="2"/>
      <c r="E75" s="1"/>
      <c r="F75" s="2"/>
      <c r="G75" s="2"/>
      <c r="H75" s="1"/>
      <c r="I75" s="1"/>
      <c r="J75" s="1"/>
      <c r="K75" s="1"/>
      <c r="L75" s="2"/>
      <c r="M75" s="1"/>
      <c r="N75" s="1"/>
      <c r="O75" s="1"/>
      <c r="P75"/>
      <c r="Q75"/>
      <c r="R75"/>
      <c r="S75" s="1"/>
      <c r="T75" s="16"/>
      <c r="U75" s="2"/>
      <c r="V75" s="1"/>
      <c r="W75" s="2"/>
      <c r="X75" s="2"/>
      <c r="Y75" s="1"/>
      <c r="Z75" s="1"/>
      <c r="AA75" s="1"/>
      <c r="AB75" s="1"/>
      <c r="AC75" s="2"/>
      <c r="AD75" s="1"/>
      <c r="AE75" s="1"/>
      <c r="AF75" s="1"/>
      <c r="AG75"/>
      <c r="AH75" s="61"/>
      <c r="AI75"/>
      <c r="AJ75" s="332"/>
      <c r="AK75" s="333"/>
      <c r="AL75" s="331"/>
      <c r="AM75" s="332"/>
      <c r="AN75" s="331"/>
      <c r="AO75" s="331"/>
      <c r="AP75" s="332"/>
      <c r="AQ75" s="332"/>
      <c r="AR75" s="332"/>
      <c r="AS75" s="332"/>
      <c r="AT75" s="331"/>
      <c r="AU75" s="332"/>
      <c r="AV75" s="332"/>
      <c r="AW75" s="332"/>
      <c r="AX75"/>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row>
    <row r="76" spans="1:79" s="35" customFormat="1" ht="15.75" customHeight="1" x14ac:dyDescent="0.3">
      <c r="A76" s="446">
        <v>1</v>
      </c>
      <c r="B76" s="1"/>
      <c r="C76" s="18"/>
      <c r="D76" s="2"/>
      <c r="E76" s="1"/>
      <c r="F76" s="2"/>
      <c r="G76" s="2"/>
      <c r="H76" s="1"/>
      <c r="I76" s="1"/>
      <c r="J76" s="1"/>
      <c r="K76" s="1"/>
      <c r="L76" s="2"/>
      <c r="M76" s="1"/>
      <c r="N76" s="1"/>
      <c r="O76" s="1"/>
      <c r="P76"/>
      <c r="Q76"/>
      <c r="R76"/>
      <c r="S76" s="1"/>
      <c r="T76" s="18"/>
      <c r="U76" s="2"/>
      <c r="V76" s="1"/>
      <c r="W76" s="2"/>
      <c r="X76" s="2"/>
      <c r="Y76" s="1"/>
      <c r="Z76" s="1"/>
      <c r="AA76" s="1"/>
      <c r="AB76" s="1"/>
      <c r="AC76" s="2"/>
      <c r="AD76" s="1"/>
      <c r="AE76" s="1"/>
      <c r="AF76" s="1"/>
      <c r="AG76"/>
      <c r="AH76"/>
      <c r="AI76"/>
      <c r="AJ76" s="332"/>
      <c r="AK76" s="334"/>
      <c r="AL76" s="331"/>
      <c r="AM76" s="332"/>
      <c r="AN76" s="331"/>
      <c r="AO76" s="331"/>
      <c r="AP76" s="332"/>
      <c r="AQ76" s="332"/>
      <c r="AR76" s="332"/>
      <c r="AS76" s="332"/>
      <c r="AT76" s="331"/>
      <c r="AU76" s="332"/>
      <c r="AV76" s="332"/>
      <c r="AW76" s="332"/>
      <c r="AX76"/>
      <c r="AY76"/>
      <c r="AZ76"/>
      <c r="BA76"/>
      <c r="BB76"/>
      <c r="BC76"/>
      <c r="BD76"/>
      <c r="BE76"/>
      <c r="BF76"/>
      <c r="BG76"/>
      <c r="BH76"/>
      <c r="BI76"/>
      <c r="BJ76"/>
      <c r="BK76"/>
      <c r="BL76"/>
      <c r="BM76"/>
      <c r="BN76"/>
      <c r="BO76"/>
      <c r="BP76"/>
      <c r="BQ76"/>
      <c r="BR76"/>
      <c r="BS76"/>
      <c r="BT76"/>
      <c r="BU76"/>
      <c r="BV76"/>
      <c r="BW76"/>
      <c r="BX76"/>
      <c r="BY76"/>
      <c r="BZ76"/>
      <c r="CA76"/>
    </row>
    <row r="77" spans="1:79" s="35" customFormat="1" ht="15.75" customHeight="1" x14ac:dyDescent="0.3">
      <c r="A77" s="446">
        <v>1</v>
      </c>
      <c r="B77" s="1"/>
      <c r="C77" s="18"/>
      <c r="D77" s="2"/>
      <c r="E77" s="1"/>
      <c r="F77" s="2"/>
      <c r="G77" s="2"/>
      <c r="H77" s="1"/>
      <c r="I77" s="1"/>
      <c r="J77" s="1"/>
      <c r="K77" s="1"/>
      <c r="L77" s="2"/>
      <c r="M77" s="1"/>
      <c r="N77" s="1"/>
      <c r="O77" s="1"/>
      <c r="P77"/>
      <c r="Q77"/>
      <c r="R77"/>
      <c r="S77" s="1"/>
      <c r="T77" s="18"/>
      <c r="U77" s="2"/>
      <c r="V77" s="1"/>
      <c r="W77" s="2"/>
      <c r="X77" s="2"/>
      <c r="Y77" s="1"/>
      <c r="Z77" s="1"/>
      <c r="AA77" s="1"/>
      <c r="AB77" s="1"/>
      <c r="AC77" s="2"/>
      <c r="AD77" s="1"/>
      <c r="AE77" s="1"/>
      <c r="AF77" s="1"/>
      <c r="AG77"/>
      <c r="AH77"/>
      <c r="AI77"/>
      <c r="AJ77" s="332"/>
      <c r="AK77" s="334"/>
      <c r="AL77" s="331"/>
      <c r="AM77" s="332"/>
      <c r="AN77" s="331"/>
      <c r="AO77" s="331"/>
      <c r="AP77" s="332"/>
      <c r="AQ77" s="332"/>
      <c r="AR77" s="332"/>
      <c r="AS77" s="332"/>
      <c r="AT77" s="331"/>
      <c r="AU77" s="332"/>
      <c r="AV77" s="332"/>
      <c r="AW77" s="332"/>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customHeight="1" x14ac:dyDescent="0.3">
      <c r="A78" s="446"/>
      <c r="B78" s="1"/>
      <c r="C78" s="19"/>
      <c r="D78" s="2"/>
      <c r="E78" s="1"/>
      <c r="F78" s="2"/>
      <c r="G78" s="2"/>
      <c r="H78" s="1"/>
      <c r="I78" s="1"/>
      <c r="J78" s="1"/>
      <c r="K78" s="1"/>
      <c r="L78" s="2"/>
      <c r="M78" s="1"/>
      <c r="N78" s="1"/>
      <c r="O78" s="1"/>
      <c r="P78"/>
      <c r="Q78"/>
      <c r="R78"/>
      <c r="S78" s="1"/>
      <c r="T78" s="19"/>
      <c r="U78" s="2"/>
      <c r="V78" s="1"/>
      <c r="W78" s="2"/>
      <c r="X78" s="2"/>
      <c r="Y78" s="1"/>
      <c r="Z78" s="1"/>
      <c r="AA78" s="1"/>
      <c r="AB78" s="1"/>
      <c r="AC78" s="2"/>
      <c r="AD78" s="1"/>
      <c r="AE78" s="1"/>
      <c r="AF78" s="1"/>
      <c r="AG78"/>
      <c r="AH78"/>
      <c r="AI78"/>
      <c r="AJ78" s="332"/>
      <c r="AK78" s="335"/>
      <c r="AL78" s="331"/>
      <c r="AM78" s="332"/>
      <c r="AN78" s="331"/>
      <c r="AO78" s="331"/>
      <c r="AP78" s="332"/>
      <c r="AQ78" s="332"/>
      <c r="AR78" s="332"/>
      <c r="AS78" s="332"/>
      <c r="AT78" s="331"/>
      <c r="AU78" s="332"/>
      <c r="AV78" s="332"/>
      <c r="AW78" s="332"/>
      <c r="AX78"/>
      <c r="AY78"/>
      <c r="AZ78"/>
      <c r="BA78"/>
      <c r="BB78"/>
      <c r="BC78"/>
      <c r="BD78"/>
      <c r="BE78"/>
      <c r="BF78"/>
      <c r="BG78"/>
      <c r="BH78"/>
      <c r="BI78"/>
      <c r="BJ78"/>
      <c r="BK78"/>
      <c r="BL78"/>
      <c r="BM78"/>
      <c r="BN78"/>
      <c r="BO78"/>
      <c r="BP78"/>
      <c r="BQ78"/>
      <c r="BR78"/>
      <c r="BS78"/>
      <c r="BT78"/>
      <c r="BU78"/>
      <c r="BV78"/>
      <c r="BW78"/>
      <c r="BX78"/>
      <c r="BY78"/>
      <c r="BZ78"/>
      <c r="CA78"/>
    </row>
    <row r="79" spans="1:79" s="35" customFormat="1" ht="15.75" customHeight="1" x14ac:dyDescent="0.3">
      <c r="A79" s="446"/>
      <c r="B79"/>
      <c r="C79"/>
      <c r="D79" s="12"/>
      <c r="E79"/>
      <c r="F79" s="12"/>
      <c r="G79"/>
      <c r="H79"/>
      <c r="I79"/>
      <c r="J79"/>
      <c r="K79"/>
      <c r="L79"/>
      <c r="M79"/>
      <c r="N79"/>
      <c r="O79"/>
      <c r="P79"/>
      <c r="Q79"/>
      <c r="R79"/>
      <c r="S79"/>
      <c r="T79"/>
      <c r="U79" s="12"/>
      <c r="V79"/>
      <c r="W79" s="12"/>
      <c r="X79"/>
      <c r="Y79"/>
      <c r="Z79"/>
      <c r="AA79"/>
      <c r="AB79"/>
      <c r="AC79"/>
      <c r="AD79"/>
      <c r="AE79"/>
      <c r="AF79"/>
      <c r="AG79"/>
      <c r="AH79"/>
      <c r="AI79"/>
      <c r="AJ79" s="336"/>
      <c r="AK79" s="336"/>
      <c r="AL79" s="337"/>
      <c r="AM79" s="336"/>
      <c r="AN79" s="337"/>
      <c r="AO79" s="336"/>
      <c r="AP79" s="336"/>
      <c r="AQ79" s="336"/>
      <c r="AR79" s="336"/>
      <c r="AS79" s="336"/>
      <c r="AT79" s="336"/>
      <c r="AU79" s="336"/>
      <c r="AV79" s="336"/>
      <c r="AW79" s="336"/>
      <c r="AX79"/>
      <c r="AY79"/>
      <c r="AZ79"/>
      <c r="BA79"/>
      <c r="BB79"/>
      <c r="BC79"/>
      <c r="BD79"/>
      <c r="BE79"/>
      <c r="BF79"/>
      <c r="BG79"/>
      <c r="BH79"/>
      <c r="BI79"/>
      <c r="BJ79"/>
      <c r="BK79"/>
      <c r="BL79"/>
      <c r="BM79"/>
      <c r="BN79"/>
      <c r="BO79"/>
      <c r="BP79"/>
      <c r="BQ79"/>
      <c r="BR79"/>
      <c r="BS79"/>
      <c r="BT79"/>
      <c r="BU79"/>
      <c r="BV79"/>
      <c r="BW79"/>
      <c r="BX79"/>
      <c r="BY79"/>
      <c r="BZ79"/>
      <c r="CA79"/>
    </row>
    <row r="80" spans="1:79" s="52" customFormat="1" ht="15.75"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ht="15.75" customHeight="1" x14ac:dyDescent="0.3">
      <c r="B81"/>
      <c r="C81"/>
      <c r="D81" s="12"/>
      <c r="E81"/>
      <c r="F81" s="12"/>
      <c r="G81"/>
      <c r="H81"/>
      <c r="I81"/>
      <c r="J81"/>
      <c r="K81"/>
      <c r="L81"/>
      <c r="M81"/>
      <c r="N81"/>
      <c r="O81"/>
      <c r="P81"/>
      <c r="S81"/>
      <c r="T81"/>
      <c r="U81" s="12"/>
      <c r="V81"/>
      <c r="W81" s="12"/>
      <c r="X81"/>
      <c r="Y81"/>
      <c r="Z81"/>
      <c r="AA81"/>
      <c r="AB81"/>
      <c r="AC81"/>
      <c r="AD81"/>
      <c r="AE81"/>
      <c r="AF81"/>
      <c r="AG81"/>
      <c r="AJ81" s="336"/>
      <c r="AK81" s="336"/>
      <c r="AL81" s="337"/>
      <c r="AM81" s="336"/>
      <c r="AN81" s="337"/>
      <c r="AO81" s="336"/>
      <c r="AP81" s="336"/>
      <c r="AQ81" s="336"/>
      <c r="AR81" s="336"/>
      <c r="AS81" s="336"/>
      <c r="AT81" s="336"/>
      <c r="AU81" s="336"/>
      <c r="AV81" s="336"/>
      <c r="AW81" s="336"/>
      <c r="AX81"/>
    </row>
    <row r="82" spans="1:79" ht="15.75" customHeight="1" x14ac:dyDescent="0.3">
      <c r="B82"/>
      <c r="C82"/>
      <c r="D82" s="12"/>
      <c r="E82"/>
      <c r="F82" s="12"/>
      <c r="G82"/>
      <c r="H82"/>
      <c r="I82"/>
      <c r="J82"/>
      <c r="K82"/>
      <c r="L82"/>
      <c r="M82"/>
      <c r="N82"/>
      <c r="O82"/>
      <c r="P82"/>
      <c r="S82"/>
      <c r="T82"/>
      <c r="U82" s="12"/>
      <c r="V82"/>
      <c r="W82" s="12"/>
      <c r="X82"/>
      <c r="Y82"/>
      <c r="Z82"/>
      <c r="AA82"/>
      <c r="AB82"/>
      <c r="AC82"/>
      <c r="AD82"/>
      <c r="AE82"/>
      <c r="AF82"/>
      <c r="AG82"/>
      <c r="AJ82" s="336"/>
      <c r="AK82" s="336"/>
      <c r="AL82" s="337"/>
      <c r="AM82" s="336"/>
      <c r="AN82" s="337"/>
      <c r="AO82" s="336"/>
      <c r="AP82" s="336"/>
      <c r="AQ82" s="336"/>
      <c r="AR82" s="336"/>
      <c r="AS82" s="336"/>
      <c r="AT82" s="336"/>
      <c r="AU82" s="336"/>
      <c r="AV82" s="336"/>
      <c r="AW82" s="336"/>
      <c r="AX82"/>
    </row>
    <row r="83" spans="1:79" s="35" customFormat="1" ht="15.75"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s="35" customFormat="1" ht="15.75" customHeight="1" x14ac:dyDescent="0.3">
      <c r="A86" s="446"/>
      <c r="B86"/>
      <c r="C86"/>
      <c r="D86" s="12"/>
      <c r="E86"/>
      <c r="F86" s="12"/>
      <c r="G86"/>
      <c r="H86"/>
      <c r="I86"/>
      <c r="J86"/>
      <c r="K86"/>
      <c r="L86"/>
      <c r="M86"/>
      <c r="N86"/>
      <c r="O86"/>
      <c r="P86"/>
      <c r="Q86"/>
      <c r="R86"/>
      <c r="S86"/>
      <c r="T86"/>
      <c r="U86" s="12"/>
      <c r="V86"/>
      <c r="W86" s="12"/>
      <c r="X86"/>
      <c r="Y86"/>
      <c r="Z86"/>
      <c r="AA86"/>
      <c r="AB86"/>
      <c r="AC86"/>
      <c r="AD86"/>
      <c r="AE86"/>
      <c r="AF86"/>
      <c r="AG86"/>
      <c r="AH86"/>
      <c r="AI86"/>
      <c r="AJ86" s="336"/>
      <c r="AK86" s="336"/>
      <c r="AL86" s="337"/>
      <c r="AM86" s="336"/>
      <c r="AN86" s="337"/>
      <c r="AO86" s="336"/>
      <c r="AP86" s="336"/>
      <c r="AQ86" s="336"/>
      <c r="AR86" s="336"/>
      <c r="AS86" s="336"/>
      <c r="AT86" s="336"/>
      <c r="AU86" s="336"/>
      <c r="AV86" s="336"/>
      <c r="AW86" s="336"/>
      <c r="AX86"/>
      <c r="AY86"/>
      <c r="AZ86"/>
      <c r="BA86"/>
      <c r="BB86"/>
      <c r="BC86"/>
      <c r="BD86"/>
      <c r="BE86"/>
      <c r="BF86"/>
      <c r="BG86"/>
      <c r="BH86"/>
      <c r="BI86"/>
      <c r="BJ86"/>
      <c r="BK86"/>
      <c r="BL86"/>
      <c r="BM86"/>
      <c r="BN86"/>
      <c r="BO86"/>
      <c r="BP86"/>
      <c r="BQ86"/>
      <c r="BR86"/>
      <c r="BS86"/>
      <c r="BT86"/>
      <c r="BU86"/>
      <c r="BV86"/>
      <c r="BW86"/>
      <c r="BX86"/>
      <c r="BY86"/>
      <c r="BZ86"/>
      <c r="CA86"/>
    </row>
    <row r="87" spans="1:79" s="35" customFormat="1" ht="15.75"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35" customFormat="1" ht="15.75"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66" customFormat="1" ht="15.75"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s="35" customFormat="1" ht="15.75" customHeight="1" x14ac:dyDescent="0.3">
      <c r="A92" s="446"/>
      <c r="B92"/>
      <c r="C92"/>
      <c r="D92" s="12"/>
      <c r="E92"/>
      <c r="F92" s="12"/>
      <c r="G92"/>
      <c r="H92"/>
      <c r="I92"/>
      <c r="J92"/>
      <c r="K92"/>
      <c r="L92"/>
      <c r="M92"/>
      <c r="N92"/>
      <c r="O92"/>
      <c r="P92"/>
      <c r="Q92"/>
      <c r="R92"/>
      <c r="S92"/>
      <c r="T92"/>
      <c r="U92" s="12"/>
      <c r="V92"/>
      <c r="W92" s="12"/>
      <c r="X92"/>
      <c r="Y92"/>
      <c r="Z92"/>
      <c r="AA92"/>
      <c r="AB92"/>
      <c r="AC92"/>
      <c r="AD92"/>
      <c r="AE92"/>
      <c r="AF92"/>
      <c r="AG92"/>
      <c r="AH92"/>
      <c r="AI92"/>
      <c r="AJ92" s="336"/>
      <c r="AK92" s="336"/>
      <c r="AL92" s="337"/>
      <c r="AM92" s="336"/>
      <c r="AN92" s="337"/>
      <c r="AO92" s="336"/>
      <c r="AP92" s="336"/>
      <c r="AQ92" s="336"/>
      <c r="AR92" s="336"/>
      <c r="AS92" s="336"/>
      <c r="AT92" s="336"/>
      <c r="AU92" s="336"/>
      <c r="AV92" s="336"/>
      <c r="AW92" s="336"/>
      <c r="AX92"/>
      <c r="AY92"/>
      <c r="AZ92"/>
      <c r="BA92"/>
      <c r="BB92"/>
      <c r="BC92"/>
      <c r="BD92"/>
      <c r="BE92"/>
      <c r="BF92"/>
      <c r="BG92"/>
      <c r="BH92"/>
      <c r="BI92"/>
      <c r="BJ92"/>
      <c r="BK92"/>
      <c r="BL92"/>
      <c r="BM92"/>
      <c r="BN92"/>
      <c r="BO92"/>
      <c r="BP92"/>
      <c r="BQ92"/>
      <c r="BR92"/>
      <c r="BS92"/>
      <c r="BT92"/>
      <c r="BU92"/>
      <c r="BV92"/>
      <c r="BW92"/>
      <c r="BX92"/>
      <c r="BY92"/>
      <c r="BZ92"/>
      <c r="CA92"/>
    </row>
    <row r="93" spans="1:79" s="35" customFormat="1" ht="15.75" customHeight="1" x14ac:dyDescent="0.3">
      <c r="A93" s="446"/>
      <c r="B93"/>
      <c r="C93"/>
      <c r="D93" s="12"/>
      <c r="E93"/>
      <c r="F93" s="12"/>
      <c r="G93"/>
      <c r="H93"/>
      <c r="I93"/>
      <c r="J93"/>
      <c r="K93"/>
      <c r="L93"/>
      <c r="M93"/>
      <c r="N93"/>
      <c r="O93"/>
      <c r="P93"/>
      <c r="Q93"/>
      <c r="R93"/>
      <c r="S93"/>
      <c r="T93"/>
      <c r="U93" s="12"/>
      <c r="V93"/>
      <c r="W93" s="12"/>
      <c r="X93"/>
      <c r="Y93"/>
      <c r="Z93"/>
      <c r="AA93"/>
      <c r="AB93"/>
      <c r="AC93"/>
      <c r="AD93"/>
      <c r="AE93"/>
      <c r="AF93"/>
      <c r="AG93"/>
      <c r="AH93"/>
      <c r="AI93"/>
      <c r="AJ93" s="336"/>
      <c r="AK93" s="336"/>
      <c r="AL93" s="337"/>
      <c r="AM93" s="336"/>
      <c r="AN93" s="337"/>
      <c r="AO93" s="336"/>
      <c r="AP93" s="336"/>
      <c r="AQ93" s="336"/>
      <c r="AR93" s="336"/>
      <c r="AS93" s="336"/>
      <c r="AT93" s="336"/>
      <c r="AU93" s="336"/>
      <c r="AV93" s="336"/>
      <c r="AW93" s="336"/>
      <c r="AX93"/>
      <c r="AY93"/>
      <c r="AZ93"/>
      <c r="BA93"/>
      <c r="BB93"/>
      <c r="BC93"/>
      <c r="BD93"/>
      <c r="BE93"/>
      <c r="BF93"/>
      <c r="BG93"/>
      <c r="BH93"/>
      <c r="BI93"/>
      <c r="BJ93"/>
      <c r="BK93"/>
      <c r="BL93"/>
      <c r="BM93"/>
      <c r="BN93"/>
      <c r="BO93"/>
      <c r="BP93"/>
      <c r="BQ93"/>
      <c r="BR93"/>
      <c r="BS93"/>
      <c r="BT93"/>
      <c r="BU93"/>
      <c r="BV93"/>
      <c r="BW93"/>
      <c r="BX93"/>
      <c r="BY93"/>
      <c r="BZ93"/>
      <c r="CA93"/>
    </row>
    <row r="94" spans="1:79" s="35" customFormat="1" ht="15.75" customHeight="1" x14ac:dyDescent="0.3">
      <c r="A94" s="446"/>
      <c r="B94"/>
      <c r="C94"/>
      <c r="D94" s="12"/>
      <c r="E94"/>
      <c r="F94" s="12"/>
      <c r="G94"/>
      <c r="H94"/>
      <c r="I94"/>
      <c r="J94"/>
      <c r="K94"/>
      <c r="L94"/>
      <c r="M94"/>
      <c r="N94"/>
      <c r="O94"/>
      <c r="P94"/>
      <c r="Q94"/>
      <c r="R94"/>
      <c r="S94"/>
      <c r="T94"/>
      <c r="U94" s="12"/>
      <c r="V94"/>
      <c r="W94" s="12"/>
      <c r="X94"/>
      <c r="Y94"/>
      <c r="Z94"/>
      <c r="AA94"/>
      <c r="AB94"/>
      <c r="AC94"/>
      <c r="AD94"/>
      <c r="AE94"/>
      <c r="AF94"/>
      <c r="AG94"/>
      <c r="AH94"/>
      <c r="AI94"/>
      <c r="AJ94" s="336"/>
      <c r="AK94" s="336"/>
      <c r="AL94" s="337"/>
      <c r="AM94" s="336"/>
      <c r="AN94" s="337"/>
      <c r="AO94" s="336"/>
      <c r="AP94" s="336"/>
      <c r="AQ94" s="336"/>
      <c r="AR94" s="336"/>
      <c r="AS94" s="336"/>
      <c r="AT94" s="336"/>
      <c r="AU94" s="336"/>
      <c r="AV94" s="336"/>
      <c r="AW94" s="336"/>
      <c r="AX94"/>
      <c r="AY94"/>
      <c r="AZ94"/>
      <c r="BA94"/>
      <c r="BB94"/>
      <c r="BC94"/>
      <c r="BD94"/>
      <c r="BE94"/>
      <c r="BF94"/>
      <c r="BG94"/>
      <c r="BH94"/>
      <c r="BI94"/>
      <c r="BJ94"/>
      <c r="BK94"/>
      <c r="BL94"/>
      <c r="BM94"/>
      <c r="BN94"/>
      <c r="BO94"/>
      <c r="BP94"/>
      <c r="BQ94"/>
      <c r="BR94"/>
      <c r="BS94"/>
      <c r="BT94"/>
      <c r="BU94"/>
      <c r="BV94"/>
      <c r="BW94"/>
      <c r="BX94"/>
      <c r="BY94"/>
      <c r="BZ94"/>
      <c r="CA94"/>
    </row>
    <row r="95" spans="1:79" s="66" customFormat="1" ht="15.75" customHeight="1" x14ac:dyDescent="0.3">
      <c r="A95" s="446"/>
      <c r="B95"/>
      <c r="C95"/>
      <c r="D95" s="12"/>
      <c r="E95"/>
      <c r="F95" s="12"/>
      <c r="G95"/>
      <c r="H95"/>
      <c r="I95"/>
      <c r="J95"/>
      <c r="K95"/>
      <c r="L95"/>
      <c r="M95"/>
      <c r="N95"/>
      <c r="O95"/>
      <c r="P95"/>
      <c r="Q95"/>
      <c r="R95"/>
      <c r="S95"/>
      <c r="T95"/>
      <c r="U95" s="12"/>
      <c r="V95"/>
      <c r="W95" s="12"/>
      <c r="X95"/>
      <c r="Y95"/>
      <c r="Z95"/>
      <c r="AA95"/>
      <c r="AB95"/>
      <c r="AC95"/>
      <c r="AD95"/>
      <c r="AE95"/>
      <c r="AF95"/>
      <c r="AG95"/>
      <c r="AH95"/>
      <c r="AI95"/>
      <c r="AJ95" s="336"/>
      <c r="AK95" s="336"/>
      <c r="AL95" s="337"/>
      <c r="AM95" s="336"/>
      <c r="AN95" s="337"/>
      <c r="AO95" s="336"/>
      <c r="AP95" s="336"/>
      <c r="AQ95" s="336"/>
      <c r="AR95" s="336"/>
      <c r="AS95" s="336"/>
      <c r="AT95" s="336"/>
      <c r="AU95" s="336"/>
      <c r="AV95" s="336"/>
      <c r="AW95" s="336"/>
      <c r="AX95"/>
      <c r="AY95"/>
      <c r="AZ95"/>
      <c r="BA95"/>
      <c r="BB95"/>
      <c r="BC95"/>
      <c r="BD95"/>
      <c r="BE95"/>
      <c r="BF95"/>
      <c r="BG95"/>
      <c r="BH95"/>
      <c r="BI95"/>
      <c r="BJ95"/>
      <c r="BK95"/>
      <c r="BL95"/>
      <c r="BM95"/>
      <c r="BN95"/>
      <c r="BO95"/>
      <c r="BP95"/>
      <c r="BQ95"/>
      <c r="BR95"/>
      <c r="BS95"/>
      <c r="BT95"/>
      <c r="BU95"/>
      <c r="BV95"/>
      <c r="BW95"/>
      <c r="BX95"/>
      <c r="BY95"/>
      <c r="BZ95"/>
      <c r="CA95"/>
    </row>
    <row r="96" spans="1:79" s="35" customFormat="1" ht="15.75" customHeight="1" x14ac:dyDescent="0.3">
      <c r="A96" s="446"/>
      <c r="B96"/>
      <c r="C96"/>
      <c r="D96" s="12"/>
      <c r="E96"/>
      <c r="F96" s="12"/>
      <c r="G96"/>
      <c r="H96"/>
      <c r="I96"/>
      <c r="J96"/>
      <c r="K96"/>
      <c r="L96"/>
      <c r="M96"/>
      <c r="N96"/>
      <c r="O96"/>
      <c r="P96"/>
      <c r="Q96"/>
      <c r="R96"/>
      <c r="S96"/>
      <c r="T96"/>
      <c r="U96" s="12"/>
      <c r="V96"/>
      <c r="W96" s="12"/>
      <c r="X96"/>
      <c r="Y96"/>
      <c r="Z96"/>
      <c r="AA96"/>
      <c r="AB96"/>
      <c r="AC96"/>
      <c r="AD96"/>
      <c r="AE96"/>
      <c r="AF96"/>
      <c r="AG96"/>
      <c r="AH96"/>
      <c r="AI96"/>
      <c r="AJ96" s="336"/>
      <c r="AK96" s="336"/>
      <c r="AL96" s="337"/>
      <c r="AM96" s="336"/>
      <c r="AN96" s="337"/>
      <c r="AO96" s="336"/>
      <c r="AP96" s="336"/>
      <c r="AQ96" s="336"/>
      <c r="AR96" s="336"/>
      <c r="AS96" s="336"/>
      <c r="AT96" s="336"/>
      <c r="AU96" s="336"/>
      <c r="AV96" s="336"/>
      <c r="AW96" s="336"/>
      <c r="AX96"/>
      <c r="AY96"/>
      <c r="AZ96"/>
      <c r="BA96"/>
      <c r="BB96"/>
      <c r="BC96"/>
      <c r="BD96"/>
      <c r="BE96"/>
      <c r="BF96"/>
      <c r="BG96"/>
      <c r="BH96"/>
      <c r="BI96"/>
      <c r="BJ96"/>
      <c r="BK96"/>
      <c r="BL96"/>
      <c r="BM96"/>
      <c r="BN96"/>
      <c r="BO96"/>
      <c r="BP96"/>
      <c r="BQ96"/>
      <c r="BR96"/>
      <c r="BS96"/>
      <c r="BT96"/>
      <c r="BU96"/>
      <c r="BV96"/>
      <c r="BW96"/>
      <c r="BX96"/>
      <c r="BY96"/>
      <c r="BZ96"/>
      <c r="CA96"/>
    </row>
    <row r="97" spans="1:79" ht="15.75"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79" s="66" customFormat="1" ht="15.75" customHeight="1" x14ac:dyDescent="0.3">
      <c r="A98" s="446"/>
      <c r="B98"/>
      <c r="C98"/>
      <c r="D98" s="12"/>
      <c r="E98"/>
      <c r="F98" s="12"/>
      <c r="G98"/>
      <c r="H98"/>
      <c r="I98"/>
      <c r="J98"/>
      <c r="K98"/>
      <c r="L98"/>
      <c r="M98"/>
      <c r="N98"/>
      <c r="O98"/>
      <c r="P98"/>
      <c r="Q98"/>
      <c r="R98"/>
      <c r="S98"/>
      <c r="T98"/>
      <c r="U98" s="12"/>
      <c r="V98"/>
      <c r="W98" s="12"/>
      <c r="X98"/>
      <c r="Y98"/>
      <c r="Z98"/>
      <c r="AA98"/>
      <c r="AB98"/>
      <c r="AC98"/>
      <c r="AD98"/>
      <c r="AE98"/>
      <c r="AF98"/>
      <c r="AG98"/>
      <c r="AH98"/>
      <c r="AI98"/>
      <c r="AJ98" s="336"/>
      <c r="AK98" s="336"/>
      <c r="AL98" s="337"/>
      <c r="AM98" s="336"/>
      <c r="AN98" s="337"/>
      <c r="AO98" s="336"/>
      <c r="AP98" s="336"/>
      <c r="AQ98" s="336"/>
      <c r="AR98" s="336"/>
      <c r="AS98" s="336"/>
      <c r="AT98" s="336"/>
      <c r="AU98" s="336"/>
      <c r="AV98" s="336"/>
      <c r="AW98" s="336"/>
      <c r="AX98"/>
      <c r="AY98"/>
      <c r="AZ98"/>
      <c r="BA98"/>
      <c r="BB98"/>
      <c r="BC98"/>
      <c r="BD98"/>
      <c r="BE98"/>
      <c r="BF98"/>
      <c r="BG98"/>
      <c r="BH98"/>
      <c r="BI98"/>
      <c r="BJ98"/>
      <c r="BK98"/>
      <c r="BL98"/>
      <c r="BM98"/>
      <c r="BN98"/>
      <c r="BO98"/>
      <c r="BP98"/>
      <c r="BQ98"/>
      <c r="BR98"/>
      <c r="BS98"/>
      <c r="BT98"/>
      <c r="BU98"/>
      <c r="BV98"/>
      <c r="BW98"/>
      <c r="BX98"/>
      <c r="BY98"/>
      <c r="BZ98"/>
      <c r="CA98"/>
    </row>
    <row r="99" spans="1:79" s="66" customFormat="1" ht="15.75" customHeight="1" x14ac:dyDescent="0.3">
      <c r="A99" s="446"/>
      <c r="B99"/>
      <c r="C99"/>
      <c r="D99" s="12"/>
      <c r="E99"/>
      <c r="F99" s="12"/>
      <c r="G99"/>
      <c r="H99"/>
      <c r="I99"/>
      <c r="J99"/>
      <c r="K99"/>
      <c r="L99"/>
      <c r="M99"/>
      <c r="N99"/>
      <c r="O99"/>
      <c r="P99"/>
      <c r="Q99"/>
      <c r="R99"/>
      <c r="S99"/>
      <c r="T99"/>
      <c r="U99" s="12"/>
      <c r="V99"/>
      <c r="W99" s="12"/>
      <c r="X99"/>
      <c r="Y99"/>
      <c r="Z99"/>
      <c r="AA99"/>
      <c r="AB99"/>
      <c r="AC99"/>
      <c r="AD99"/>
      <c r="AE99"/>
      <c r="AF99"/>
      <c r="AG99"/>
      <c r="AH99"/>
      <c r="AI99"/>
      <c r="AJ99" s="336"/>
      <c r="AK99" s="336"/>
      <c r="AL99" s="337"/>
      <c r="AM99" s="336"/>
      <c r="AN99" s="337"/>
      <c r="AO99" s="336"/>
      <c r="AP99" s="336"/>
      <c r="AQ99" s="336"/>
      <c r="AR99" s="336"/>
      <c r="AS99" s="336"/>
      <c r="AT99" s="336"/>
      <c r="AU99" s="336"/>
      <c r="AV99" s="336"/>
      <c r="AW99" s="336"/>
      <c r="AX99"/>
      <c r="AY99"/>
      <c r="AZ99"/>
      <c r="BA99"/>
      <c r="BB99"/>
      <c r="BC99"/>
      <c r="BD99"/>
      <c r="BE99"/>
      <c r="BF99"/>
      <c r="BG99"/>
      <c r="BH99"/>
      <c r="BI99"/>
      <c r="BJ99"/>
      <c r="BK99"/>
      <c r="BL99"/>
      <c r="BM99"/>
      <c r="BN99"/>
      <c r="BO99"/>
      <c r="BP99"/>
      <c r="BQ99"/>
      <c r="BR99"/>
      <c r="BS99"/>
      <c r="BT99"/>
      <c r="BU99"/>
      <c r="BV99"/>
      <c r="BW99"/>
      <c r="BX99"/>
      <c r="BY99"/>
      <c r="BZ99"/>
      <c r="CA99"/>
    </row>
    <row r="100" spans="1:79" s="66" customFormat="1" ht="15.75" customHeight="1" x14ac:dyDescent="0.3">
      <c r="A100" s="446"/>
      <c r="B100"/>
      <c r="C100"/>
      <c r="D100" s="12"/>
      <c r="E100"/>
      <c r="F100" s="12"/>
      <c r="G100"/>
      <c r="H100"/>
      <c r="I100"/>
      <c r="J100"/>
      <c r="K100"/>
      <c r="L100"/>
      <c r="M100"/>
      <c r="N100"/>
      <c r="O100"/>
      <c r="P100"/>
      <c r="Q100"/>
      <c r="R100"/>
      <c r="S100"/>
      <c r="T100"/>
      <c r="U100" s="12"/>
      <c r="V100"/>
      <c r="W100" s="12"/>
      <c r="X100"/>
      <c r="Y100"/>
      <c r="Z100"/>
      <c r="AA100"/>
      <c r="AB100"/>
      <c r="AC100"/>
      <c r="AD100"/>
      <c r="AE100"/>
      <c r="AF100"/>
      <c r="AG100"/>
      <c r="AH100"/>
      <c r="AI100"/>
      <c r="AJ100" s="336"/>
      <c r="AK100" s="336"/>
      <c r="AL100" s="337"/>
      <c r="AM100" s="336"/>
      <c r="AN100" s="337"/>
      <c r="AO100" s="336"/>
      <c r="AP100" s="336"/>
      <c r="AQ100" s="336"/>
      <c r="AR100" s="336"/>
      <c r="AS100" s="336"/>
      <c r="AT100" s="336"/>
      <c r="AU100" s="336"/>
      <c r="AV100" s="336"/>
      <c r="AW100" s="336"/>
      <c r="AX100"/>
      <c r="AY100"/>
      <c r="AZ100"/>
      <c r="BA100"/>
      <c r="BB100"/>
      <c r="BC100"/>
      <c r="BD100"/>
      <c r="BE100"/>
      <c r="BF100"/>
      <c r="BG100"/>
      <c r="BH100"/>
      <c r="BI100"/>
      <c r="BJ100"/>
      <c r="BK100"/>
      <c r="BL100"/>
      <c r="BM100"/>
      <c r="BN100"/>
      <c r="BO100"/>
      <c r="BP100"/>
      <c r="BQ100"/>
      <c r="BR100"/>
      <c r="BS100"/>
      <c r="BT100"/>
      <c r="BU100"/>
      <c r="BV100"/>
      <c r="BW100"/>
      <c r="BX100"/>
      <c r="BY100"/>
      <c r="BZ100"/>
      <c r="CA100"/>
    </row>
    <row r="101" spans="1:79" ht="15.75" customHeight="1" x14ac:dyDescent="0.3">
      <c r="B101"/>
      <c r="C101"/>
      <c r="D101" s="12"/>
      <c r="E101"/>
      <c r="F101" s="12"/>
      <c r="G101"/>
      <c r="H101"/>
      <c r="I101"/>
      <c r="J101"/>
      <c r="K101"/>
      <c r="L101"/>
      <c r="M101"/>
      <c r="N101"/>
      <c r="O101"/>
      <c r="P101"/>
      <c r="S101"/>
      <c r="T101"/>
      <c r="U101" s="12"/>
      <c r="V101"/>
      <c r="W101" s="12"/>
      <c r="X101"/>
      <c r="Y101"/>
      <c r="Z101"/>
      <c r="AA101"/>
      <c r="AB101"/>
      <c r="AC101"/>
      <c r="AD101"/>
      <c r="AE101"/>
      <c r="AF101"/>
      <c r="AG101"/>
      <c r="AJ101" s="336"/>
      <c r="AK101" s="336"/>
      <c r="AL101" s="337"/>
      <c r="AM101" s="336"/>
      <c r="AN101" s="337"/>
      <c r="AO101" s="336"/>
      <c r="AP101" s="336"/>
      <c r="AQ101" s="336"/>
      <c r="AR101" s="336"/>
      <c r="AS101" s="336"/>
      <c r="AT101" s="336"/>
      <c r="AU101" s="336"/>
      <c r="AV101" s="336"/>
      <c r="AW101" s="336"/>
      <c r="AX101"/>
    </row>
    <row r="102" spans="1:79" s="90" customFormat="1" ht="15.75" customHeight="1" x14ac:dyDescent="0.3">
      <c r="A102" s="446"/>
      <c r="B102"/>
      <c r="C102"/>
      <c r="D102" s="12"/>
      <c r="E102"/>
      <c r="F102" s="12"/>
      <c r="G102"/>
      <c r="H102"/>
      <c r="I102"/>
      <c r="J102"/>
      <c r="K102"/>
      <c r="L102"/>
      <c r="M102"/>
      <c r="N102"/>
      <c r="O102"/>
      <c r="P102"/>
      <c r="Q102"/>
      <c r="R102"/>
      <c r="S102"/>
      <c r="T102"/>
      <c r="U102" s="12"/>
      <c r="V102"/>
      <c r="W102" s="12"/>
      <c r="X102"/>
      <c r="Y102"/>
      <c r="Z102"/>
      <c r="AA102"/>
      <c r="AB102"/>
      <c r="AC102"/>
      <c r="AD102"/>
      <c r="AE102"/>
      <c r="AF102"/>
      <c r="AG102"/>
      <c r="AH102"/>
      <c r="AI102"/>
      <c r="AJ102" s="336"/>
      <c r="AK102" s="336"/>
      <c r="AL102" s="337"/>
      <c r="AM102" s="336"/>
      <c r="AN102" s="337"/>
      <c r="AO102" s="336"/>
      <c r="AP102" s="336"/>
      <c r="AQ102" s="336"/>
      <c r="AR102" s="336"/>
      <c r="AS102" s="336"/>
      <c r="AT102" s="336"/>
      <c r="AU102" s="336"/>
      <c r="AV102" s="336"/>
      <c r="AW102" s="336"/>
      <c r="AX102"/>
      <c r="AY102"/>
      <c r="AZ102"/>
      <c r="BA102"/>
      <c r="BB102"/>
      <c r="BC102"/>
      <c r="BD102"/>
      <c r="BE102"/>
      <c r="BF102"/>
      <c r="BG102"/>
      <c r="BH102"/>
      <c r="BI102"/>
      <c r="BJ102"/>
      <c r="BK102"/>
      <c r="BL102"/>
      <c r="BM102"/>
      <c r="BN102"/>
      <c r="BO102"/>
      <c r="BP102"/>
      <c r="BQ102"/>
      <c r="BR102"/>
      <c r="BS102"/>
      <c r="BT102"/>
      <c r="BU102"/>
      <c r="BV102"/>
      <c r="BW102"/>
      <c r="BX102"/>
      <c r="BY102"/>
      <c r="BZ102"/>
      <c r="CA102"/>
    </row>
    <row r="103" spans="1:79" ht="15.75" customHeight="1" x14ac:dyDescent="0.3">
      <c r="B103"/>
      <c r="C103"/>
      <c r="D103" s="12"/>
      <c r="E103"/>
      <c r="F103" s="12"/>
      <c r="G103"/>
      <c r="H103"/>
      <c r="I103"/>
      <c r="J103"/>
      <c r="K103"/>
      <c r="L103"/>
      <c r="M103"/>
      <c r="N103"/>
      <c r="O103"/>
      <c r="P103"/>
      <c r="S103"/>
      <c r="T103"/>
      <c r="U103" s="12"/>
      <c r="V103"/>
      <c r="W103" s="12"/>
      <c r="X103"/>
      <c r="Y103"/>
      <c r="Z103"/>
      <c r="AA103"/>
      <c r="AB103"/>
      <c r="AC103"/>
      <c r="AD103"/>
      <c r="AE103"/>
      <c r="AF103"/>
      <c r="AG103"/>
      <c r="AJ103" s="336"/>
      <c r="AK103" s="336"/>
      <c r="AL103" s="337"/>
      <c r="AM103" s="336"/>
      <c r="AN103" s="337"/>
      <c r="AO103" s="336"/>
      <c r="AP103" s="336"/>
      <c r="AQ103" s="336"/>
      <c r="AR103" s="336"/>
      <c r="AS103" s="336"/>
      <c r="AT103" s="336"/>
      <c r="AU103" s="336"/>
      <c r="AV103" s="336"/>
      <c r="AW103" s="336"/>
      <c r="AX103"/>
    </row>
    <row r="104" spans="1:79" ht="15.75" customHeight="1" x14ac:dyDescent="0.3">
      <c r="B104"/>
      <c r="C104"/>
      <c r="D104" s="12"/>
      <c r="E104"/>
      <c r="F104" s="12"/>
      <c r="G104"/>
      <c r="H104"/>
      <c r="I104"/>
      <c r="J104"/>
      <c r="K104"/>
      <c r="L104"/>
      <c r="M104"/>
      <c r="N104"/>
      <c r="O104"/>
      <c r="P104"/>
      <c r="S104"/>
      <c r="T104"/>
      <c r="U104" s="12"/>
      <c r="V104"/>
      <c r="W104" s="12"/>
      <c r="X104"/>
      <c r="Y104"/>
      <c r="Z104"/>
      <c r="AA104"/>
      <c r="AB104"/>
      <c r="AC104"/>
      <c r="AD104"/>
      <c r="AE104"/>
      <c r="AF104"/>
      <c r="AG104"/>
      <c r="AJ104" s="336"/>
      <c r="AK104" s="336"/>
      <c r="AL104" s="337"/>
      <c r="AM104" s="336"/>
      <c r="AN104" s="337"/>
      <c r="AO104" s="336"/>
      <c r="AP104" s="336"/>
      <c r="AQ104" s="336"/>
      <c r="AR104" s="336"/>
      <c r="AS104" s="336"/>
      <c r="AT104" s="336"/>
      <c r="AU104" s="336"/>
      <c r="AV104" s="336"/>
      <c r="AW104" s="336"/>
      <c r="AX104"/>
    </row>
    <row r="105" spans="1:79" ht="15.75" customHeight="1" x14ac:dyDescent="0.3">
      <c r="B105"/>
      <c r="C105"/>
      <c r="D105" s="12"/>
      <c r="E105"/>
      <c r="F105" s="12"/>
      <c r="G105"/>
      <c r="H105"/>
      <c r="I105"/>
      <c r="J105"/>
      <c r="K105"/>
      <c r="L105"/>
      <c r="M105"/>
      <c r="N105"/>
      <c r="O105"/>
      <c r="P105"/>
      <c r="S105"/>
      <c r="T105"/>
      <c r="U105" s="12"/>
      <c r="V105"/>
      <c r="W105" s="12"/>
      <c r="X105"/>
      <c r="Y105"/>
      <c r="Z105"/>
      <c r="AA105"/>
      <c r="AB105"/>
      <c r="AC105"/>
      <c r="AD105"/>
      <c r="AE105"/>
      <c r="AF105"/>
      <c r="AG105"/>
      <c r="AJ105" s="336"/>
      <c r="AK105" s="336"/>
      <c r="AL105" s="337"/>
      <c r="AM105" s="336"/>
      <c r="AN105" s="337"/>
      <c r="AO105" s="336"/>
      <c r="AP105" s="336"/>
      <c r="AQ105" s="336"/>
      <c r="AR105" s="336"/>
      <c r="AS105" s="336"/>
      <c r="AT105" s="336"/>
      <c r="AU105" s="336"/>
      <c r="AV105" s="336"/>
      <c r="AW105" s="336"/>
      <c r="AX105"/>
    </row>
    <row r="106" spans="1:79" ht="15.75" customHeight="1" x14ac:dyDescent="0.3">
      <c r="B106"/>
      <c r="C106"/>
      <c r="D106" s="12"/>
      <c r="E106"/>
      <c r="F106" s="12"/>
      <c r="G106"/>
      <c r="H106"/>
      <c r="I106"/>
      <c r="J106"/>
      <c r="K106"/>
      <c r="L106"/>
      <c r="M106"/>
      <c r="N106"/>
      <c r="O106"/>
      <c r="P106"/>
      <c r="S106"/>
      <c r="T106"/>
      <c r="U106" s="12"/>
      <c r="V106"/>
      <c r="W106" s="12"/>
      <c r="X106"/>
      <c r="Y106"/>
      <c r="Z106"/>
      <c r="AA106"/>
      <c r="AB106"/>
      <c r="AC106"/>
      <c r="AD106"/>
      <c r="AE106"/>
      <c r="AF106"/>
      <c r="AG106"/>
      <c r="AJ106" s="336"/>
      <c r="AK106" s="336"/>
      <c r="AL106" s="337"/>
      <c r="AM106" s="336"/>
      <c r="AN106" s="337"/>
      <c r="AO106" s="336"/>
      <c r="AP106" s="336"/>
      <c r="AQ106" s="336"/>
      <c r="AR106" s="336"/>
      <c r="AS106" s="336"/>
      <c r="AT106" s="336"/>
      <c r="AU106" s="336"/>
      <c r="AV106" s="336"/>
      <c r="AW106" s="336"/>
      <c r="AX106"/>
    </row>
    <row r="107" spans="1:79" ht="15.75" customHeight="1" x14ac:dyDescent="0.3">
      <c r="B107"/>
      <c r="C107"/>
      <c r="D107" s="12"/>
      <c r="E107"/>
      <c r="F107" s="12"/>
      <c r="G107"/>
      <c r="H107"/>
      <c r="I107"/>
      <c r="J107"/>
      <c r="K107"/>
      <c r="L107"/>
      <c r="M107"/>
      <c r="N107"/>
      <c r="O107"/>
      <c r="P107"/>
      <c r="S107"/>
      <c r="T107"/>
      <c r="U107" s="12"/>
      <c r="V107"/>
      <c r="W107" s="12"/>
      <c r="X107"/>
      <c r="Y107"/>
      <c r="Z107"/>
      <c r="AA107"/>
      <c r="AB107"/>
      <c r="AC107"/>
      <c r="AD107"/>
      <c r="AE107"/>
      <c r="AF107"/>
      <c r="AG107"/>
      <c r="AJ107" s="336"/>
      <c r="AK107" s="336"/>
      <c r="AL107" s="337"/>
      <c r="AM107" s="336"/>
      <c r="AN107" s="337"/>
      <c r="AO107" s="336"/>
      <c r="AP107" s="336"/>
      <c r="AQ107" s="336"/>
      <c r="AR107" s="336"/>
      <c r="AS107" s="336"/>
      <c r="AT107" s="336"/>
      <c r="AU107" s="336"/>
      <c r="AV107" s="336"/>
      <c r="AW107" s="336"/>
      <c r="AX107"/>
    </row>
    <row r="108" spans="1:79" ht="15.75" customHeight="1" x14ac:dyDescent="0.3">
      <c r="B108"/>
      <c r="C108"/>
      <c r="D108" s="12"/>
      <c r="E108"/>
      <c r="F108" s="12"/>
      <c r="G108"/>
      <c r="H108"/>
      <c r="I108"/>
      <c r="J108"/>
      <c r="K108"/>
      <c r="L108"/>
      <c r="M108"/>
      <c r="N108"/>
      <c r="O108"/>
      <c r="P108"/>
      <c r="S108"/>
      <c r="T108"/>
      <c r="U108" s="12"/>
      <c r="V108"/>
      <c r="W108" s="12"/>
      <c r="X108"/>
      <c r="Y108"/>
      <c r="Z108"/>
      <c r="AA108"/>
      <c r="AB108"/>
      <c r="AC108"/>
      <c r="AD108"/>
      <c r="AE108"/>
      <c r="AF108"/>
      <c r="AG108"/>
      <c r="AJ108" s="336"/>
      <c r="AK108" s="336"/>
      <c r="AL108" s="337"/>
      <c r="AM108" s="336"/>
      <c r="AN108" s="337"/>
      <c r="AO108" s="336"/>
      <c r="AP108" s="336"/>
      <c r="AQ108" s="336"/>
      <c r="AR108" s="336"/>
      <c r="AS108" s="336"/>
      <c r="AT108" s="336"/>
      <c r="AU108" s="336"/>
      <c r="AV108" s="336"/>
      <c r="AW108" s="336"/>
      <c r="AX108"/>
    </row>
    <row r="109" spans="1:79" ht="15.75" customHeight="1" x14ac:dyDescent="0.3">
      <c r="B109"/>
      <c r="C109"/>
      <c r="D109" s="12"/>
      <c r="E109"/>
      <c r="F109" s="12"/>
      <c r="G109"/>
      <c r="H109"/>
      <c r="I109"/>
      <c r="J109"/>
      <c r="K109"/>
      <c r="L109"/>
      <c r="M109"/>
      <c r="N109"/>
      <c r="O109"/>
      <c r="P109"/>
      <c r="S109"/>
      <c r="T109"/>
      <c r="U109" s="12"/>
      <c r="V109"/>
      <c r="W109" s="12"/>
      <c r="X109"/>
      <c r="Y109"/>
      <c r="Z109"/>
      <c r="AA109"/>
      <c r="AB109"/>
      <c r="AC109"/>
      <c r="AD109"/>
      <c r="AE109"/>
      <c r="AF109"/>
      <c r="AG109"/>
      <c r="AJ109" s="336"/>
      <c r="AK109" s="336"/>
      <c r="AL109" s="337"/>
      <c r="AM109" s="336"/>
      <c r="AN109" s="337"/>
      <c r="AO109" s="336"/>
      <c r="AP109" s="336"/>
      <c r="AQ109" s="336"/>
      <c r="AR109" s="336"/>
      <c r="AS109" s="336"/>
      <c r="AT109" s="336"/>
      <c r="AU109" s="336"/>
      <c r="AV109" s="336"/>
      <c r="AW109" s="336"/>
      <c r="AX109"/>
    </row>
    <row r="110" spans="1:79" ht="15.75"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79" ht="15.75"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79" customFormat="1" ht="15.75" customHeight="1" x14ac:dyDescent="0.25">
      <c r="A112" s="446"/>
      <c r="D112" s="12"/>
      <c r="F112" s="12"/>
      <c r="U112" s="12"/>
      <c r="W112" s="12"/>
      <c r="AJ112" s="336"/>
      <c r="AK112" s="336"/>
      <c r="AL112" s="337"/>
      <c r="AM112" s="336"/>
      <c r="AN112" s="337"/>
      <c r="AO112" s="336"/>
      <c r="AP112" s="336"/>
      <c r="AQ112" s="336"/>
      <c r="AR112" s="336"/>
      <c r="AS112" s="336"/>
      <c r="AT112" s="336"/>
      <c r="AU112" s="336"/>
      <c r="AV112" s="336"/>
      <c r="AW112" s="336"/>
    </row>
    <row r="113" spans="1:50" customFormat="1" ht="15.75" customHeight="1" x14ac:dyDescent="0.25">
      <c r="A113" s="446"/>
      <c r="D113" s="12"/>
      <c r="F113" s="12"/>
      <c r="U113" s="12"/>
      <c r="W113" s="12"/>
      <c r="AJ113" s="336"/>
      <c r="AK113" s="336"/>
      <c r="AL113" s="337"/>
      <c r="AM113" s="336"/>
      <c r="AN113" s="337"/>
      <c r="AO113" s="336"/>
      <c r="AP113" s="336"/>
      <c r="AQ113" s="336"/>
      <c r="AR113" s="336"/>
      <c r="AS113" s="336"/>
      <c r="AT113" s="336"/>
      <c r="AU113" s="336"/>
      <c r="AV113" s="336"/>
      <c r="AW113" s="336"/>
    </row>
    <row r="114" spans="1:50" customFormat="1" ht="15.75" customHeight="1" x14ac:dyDescent="0.25">
      <c r="A114" s="446"/>
      <c r="D114" s="12"/>
      <c r="F114" s="12"/>
      <c r="U114" s="12"/>
      <c r="W114" s="12"/>
      <c r="AJ114" s="336"/>
      <c r="AK114" s="336"/>
      <c r="AL114" s="337"/>
      <c r="AM114" s="336"/>
      <c r="AN114" s="337"/>
      <c r="AO114" s="336"/>
      <c r="AP114" s="336"/>
      <c r="AQ114" s="336"/>
      <c r="AR114" s="336"/>
      <c r="AS114" s="336"/>
      <c r="AT114" s="336"/>
      <c r="AU114" s="336"/>
      <c r="AV114" s="336"/>
      <c r="AW114" s="336"/>
    </row>
    <row r="115" spans="1:50" customFormat="1" ht="15.75" customHeight="1" x14ac:dyDescent="0.25">
      <c r="A115" s="446"/>
      <c r="D115" s="12"/>
      <c r="F115" s="12"/>
      <c r="U115" s="12"/>
      <c r="W115" s="12"/>
      <c r="AJ115" s="336"/>
      <c r="AK115" s="336"/>
      <c r="AL115" s="337"/>
      <c r="AM115" s="336"/>
      <c r="AN115" s="337"/>
      <c r="AO115" s="336"/>
      <c r="AP115" s="336"/>
      <c r="AQ115" s="336"/>
      <c r="AR115" s="336"/>
      <c r="AS115" s="336"/>
      <c r="AT115" s="336"/>
      <c r="AU115" s="336"/>
      <c r="AV115" s="336"/>
      <c r="AW115" s="336"/>
    </row>
    <row r="116" spans="1:50" customFormat="1" ht="15.75" customHeight="1" x14ac:dyDescent="0.25">
      <c r="A116" s="446"/>
      <c r="D116" s="12"/>
      <c r="F116" s="12"/>
      <c r="U116" s="12"/>
      <c r="W116" s="12"/>
      <c r="AJ116" s="336"/>
      <c r="AK116" s="336"/>
      <c r="AL116" s="337"/>
      <c r="AM116" s="336"/>
      <c r="AN116" s="337"/>
      <c r="AO116" s="336"/>
      <c r="AP116" s="336"/>
      <c r="AQ116" s="336"/>
      <c r="AR116" s="336"/>
      <c r="AS116" s="336"/>
      <c r="AT116" s="336"/>
      <c r="AU116" s="336"/>
      <c r="AV116" s="336"/>
      <c r="AW116" s="336"/>
    </row>
    <row r="117" spans="1:50" customFormat="1" ht="15.75" customHeight="1" x14ac:dyDescent="0.25">
      <c r="A117" s="446"/>
      <c r="D117" s="12"/>
      <c r="F117" s="12"/>
      <c r="U117" s="12"/>
      <c r="W117" s="12"/>
      <c r="AJ117" s="336"/>
      <c r="AK117" s="336"/>
      <c r="AL117" s="337"/>
      <c r="AM117" s="336"/>
      <c r="AN117" s="337"/>
      <c r="AO117" s="336"/>
      <c r="AP117" s="336"/>
      <c r="AQ117" s="336"/>
      <c r="AR117" s="336"/>
      <c r="AS117" s="336"/>
      <c r="AT117" s="336"/>
      <c r="AU117" s="336"/>
      <c r="AV117" s="336"/>
      <c r="AW117" s="336"/>
    </row>
    <row r="118" spans="1:50" customFormat="1" ht="15.75" customHeight="1" x14ac:dyDescent="0.25">
      <c r="A118" s="446"/>
      <c r="D118" s="12"/>
      <c r="F118" s="12"/>
      <c r="U118" s="12"/>
      <c r="W118" s="12"/>
      <c r="AJ118" s="336"/>
      <c r="AK118" s="336"/>
      <c r="AL118" s="337"/>
      <c r="AM118" s="336"/>
      <c r="AN118" s="337"/>
      <c r="AO118" s="336"/>
      <c r="AP118" s="336"/>
      <c r="AQ118" s="336"/>
      <c r="AR118" s="336"/>
      <c r="AS118" s="336"/>
      <c r="AT118" s="336"/>
      <c r="AU118" s="336"/>
      <c r="AV118" s="336"/>
      <c r="AW118" s="336"/>
    </row>
    <row r="119" spans="1:50" customFormat="1" ht="15.75" customHeight="1" x14ac:dyDescent="0.25">
      <c r="A119" s="446"/>
      <c r="D119" s="12"/>
      <c r="F119" s="12"/>
      <c r="U119" s="12"/>
      <c r="W119" s="12"/>
      <c r="AJ119" s="336"/>
      <c r="AK119" s="336"/>
      <c r="AL119" s="337"/>
      <c r="AM119" s="336"/>
      <c r="AN119" s="337"/>
      <c r="AO119" s="336"/>
      <c r="AP119" s="336"/>
      <c r="AQ119" s="336"/>
      <c r="AR119" s="336"/>
      <c r="AS119" s="336"/>
      <c r="AT119" s="336"/>
      <c r="AU119" s="336"/>
      <c r="AV119" s="336"/>
      <c r="AW119" s="336"/>
    </row>
    <row r="120" spans="1:50" customFormat="1" ht="15.75" customHeight="1" x14ac:dyDescent="0.25">
      <c r="A120" s="446"/>
      <c r="D120" s="12"/>
      <c r="F120" s="12"/>
      <c r="U120" s="12"/>
      <c r="W120" s="12"/>
      <c r="AJ120" s="336"/>
      <c r="AK120" s="336"/>
      <c r="AL120" s="337"/>
      <c r="AM120" s="336"/>
      <c r="AN120" s="337"/>
      <c r="AO120" s="336"/>
      <c r="AP120" s="336"/>
      <c r="AQ120" s="336"/>
      <c r="AR120" s="336"/>
      <c r="AS120" s="336"/>
      <c r="AT120" s="336"/>
      <c r="AU120" s="336"/>
      <c r="AV120" s="336"/>
      <c r="AW120" s="336"/>
    </row>
    <row r="121" spans="1:50" ht="15.75"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1:50" ht="15.75"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1:50" ht="15.75"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1:50" ht="15.75"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1:50" ht="15.75"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1:50" ht="15.75"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1:50" ht="15.75"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1:50" ht="15.75"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customHeight="1" x14ac:dyDescent="0.3">
      <c r="B214"/>
      <c r="C214"/>
      <c r="D214" s="12"/>
      <c r="E214"/>
      <c r="F214" s="12"/>
      <c r="G214"/>
      <c r="H214"/>
      <c r="I214"/>
      <c r="J214"/>
      <c r="K214"/>
      <c r="L214"/>
      <c r="M214"/>
      <c r="N214"/>
      <c r="O214"/>
      <c r="P214"/>
      <c r="S214"/>
      <c r="T214"/>
      <c r="U214" s="12"/>
      <c r="V214"/>
      <c r="W214" s="12"/>
      <c r="X214"/>
      <c r="Y214"/>
      <c r="Z214"/>
      <c r="AA214"/>
      <c r="AB214"/>
      <c r="AC214"/>
      <c r="AD214"/>
      <c r="AE214"/>
      <c r="AF214"/>
      <c r="AG214"/>
      <c r="AJ214" s="336"/>
      <c r="AK214" s="336"/>
      <c r="AL214" s="337"/>
      <c r="AM214" s="336"/>
      <c r="AN214" s="337"/>
      <c r="AO214" s="336"/>
      <c r="AP214" s="336"/>
      <c r="AQ214" s="336"/>
      <c r="AR214" s="336"/>
      <c r="AS214" s="336"/>
      <c r="AT214" s="336"/>
      <c r="AU214" s="336"/>
      <c r="AV214" s="336"/>
      <c r="AW214" s="336"/>
      <c r="AX214"/>
    </row>
    <row r="215" spans="2:50" ht="15.75" customHeight="1" x14ac:dyDescent="0.3">
      <c r="B215"/>
      <c r="C215"/>
      <c r="D215" s="12"/>
      <c r="E215"/>
      <c r="F215" s="12"/>
      <c r="G215"/>
      <c r="H215"/>
      <c r="I215"/>
      <c r="J215"/>
      <c r="K215"/>
      <c r="L215"/>
      <c r="M215"/>
      <c r="N215"/>
      <c r="O215"/>
      <c r="P215"/>
      <c r="S215"/>
      <c r="T215"/>
      <c r="U215" s="12"/>
      <c r="V215"/>
      <c r="W215" s="12"/>
      <c r="X215"/>
      <c r="Y215"/>
      <c r="Z215"/>
      <c r="AA215"/>
      <c r="AB215"/>
      <c r="AC215"/>
      <c r="AD215"/>
      <c r="AE215"/>
      <c r="AF215"/>
      <c r="AG215"/>
      <c r="AJ215" s="336"/>
      <c r="AK215" s="336"/>
      <c r="AL215" s="337"/>
      <c r="AM215" s="336"/>
      <c r="AN215" s="337"/>
      <c r="AO215" s="336"/>
      <c r="AP215" s="336"/>
      <c r="AQ215" s="336"/>
      <c r="AR215" s="336"/>
      <c r="AS215" s="336"/>
      <c r="AT215" s="336"/>
      <c r="AU215" s="336"/>
      <c r="AV215" s="336"/>
      <c r="AW215" s="336"/>
      <c r="AX215"/>
    </row>
    <row r="216" spans="2:50" ht="15.75" customHeight="1" x14ac:dyDescent="0.3">
      <c r="B216"/>
      <c r="C216"/>
      <c r="D216" s="12"/>
      <c r="E216"/>
      <c r="F216" s="12"/>
      <c r="G216"/>
      <c r="H216"/>
      <c r="I216"/>
      <c r="J216"/>
      <c r="K216"/>
      <c r="L216"/>
      <c r="M216"/>
      <c r="N216"/>
      <c r="O216"/>
      <c r="P216"/>
      <c r="S216"/>
      <c r="T216"/>
      <c r="U216" s="12"/>
      <c r="V216"/>
      <c r="W216" s="12"/>
      <c r="X216"/>
      <c r="Y216"/>
      <c r="Z216"/>
      <c r="AA216"/>
      <c r="AB216"/>
      <c r="AC216"/>
      <c r="AD216"/>
      <c r="AE216"/>
      <c r="AF216"/>
      <c r="AG216"/>
      <c r="AJ216" s="336"/>
      <c r="AK216" s="336"/>
      <c r="AL216" s="337"/>
      <c r="AM216" s="336"/>
      <c r="AN216" s="337"/>
      <c r="AO216" s="336"/>
      <c r="AP216" s="336"/>
      <c r="AQ216" s="336"/>
      <c r="AR216" s="336"/>
      <c r="AS216" s="336"/>
      <c r="AT216" s="336"/>
      <c r="AU216" s="336"/>
      <c r="AV216" s="336"/>
      <c r="AW216" s="336"/>
      <c r="AX216"/>
    </row>
    <row r="217" spans="2:50" ht="15.75" customHeight="1" x14ac:dyDescent="0.3">
      <c r="B217"/>
      <c r="C217"/>
      <c r="D217" s="12"/>
      <c r="E217"/>
      <c r="F217" s="12"/>
      <c r="G217"/>
      <c r="H217"/>
      <c r="I217"/>
      <c r="J217"/>
      <c r="K217"/>
      <c r="L217"/>
      <c r="M217"/>
      <c r="N217"/>
      <c r="O217"/>
      <c r="P217"/>
      <c r="S217"/>
      <c r="T217"/>
      <c r="U217" s="12"/>
      <c r="V217"/>
      <c r="W217" s="12"/>
      <c r="X217"/>
      <c r="Y217"/>
      <c r="Z217"/>
      <c r="AA217"/>
      <c r="AB217"/>
      <c r="AC217"/>
      <c r="AD217"/>
      <c r="AE217"/>
      <c r="AF217"/>
      <c r="AG217"/>
      <c r="AJ217" s="336"/>
      <c r="AK217" s="336"/>
      <c r="AL217" s="337"/>
      <c r="AM217" s="336"/>
      <c r="AN217" s="337"/>
      <c r="AO217" s="336"/>
      <c r="AP217" s="336"/>
      <c r="AQ217" s="336"/>
      <c r="AR217" s="336"/>
      <c r="AS217" s="336"/>
      <c r="AT217" s="336"/>
      <c r="AU217" s="336"/>
      <c r="AV217" s="336"/>
      <c r="AW217" s="336"/>
      <c r="AX217"/>
    </row>
    <row r="218" spans="2:50" ht="15.75" customHeight="1" x14ac:dyDescent="0.3">
      <c r="B218"/>
      <c r="C218"/>
      <c r="D218" s="12"/>
      <c r="E218"/>
      <c r="F218" s="12"/>
      <c r="G218"/>
      <c r="H218"/>
      <c r="I218"/>
      <c r="J218"/>
      <c r="K218"/>
      <c r="L218"/>
      <c r="M218"/>
      <c r="N218"/>
      <c r="O218"/>
      <c r="P218"/>
      <c r="S218"/>
      <c r="T218"/>
      <c r="U218" s="12"/>
      <c r="V218"/>
      <c r="W218" s="12"/>
      <c r="X218"/>
      <c r="Y218"/>
      <c r="Z218"/>
      <c r="AA218"/>
      <c r="AB218"/>
      <c r="AC218"/>
      <c r="AD218"/>
      <c r="AE218"/>
      <c r="AF218"/>
      <c r="AG218"/>
      <c r="AJ218" s="336"/>
      <c r="AK218" s="336"/>
      <c r="AL218" s="337"/>
      <c r="AM218" s="336"/>
      <c r="AN218" s="337"/>
      <c r="AO218" s="336"/>
      <c r="AP218" s="336"/>
      <c r="AQ218" s="336"/>
      <c r="AR218" s="336"/>
      <c r="AS218" s="336"/>
      <c r="AT218" s="336"/>
      <c r="AU218" s="336"/>
      <c r="AV218" s="336"/>
      <c r="AW218" s="336"/>
      <c r="AX218"/>
    </row>
    <row r="219" spans="2:50" ht="15.75" customHeight="1" x14ac:dyDescent="0.3">
      <c r="B219"/>
      <c r="C219"/>
      <c r="D219" s="12"/>
      <c r="E219"/>
      <c r="F219" s="12"/>
      <c r="G219"/>
      <c r="H219"/>
      <c r="I219"/>
      <c r="J219"/>
      <c r="K219"/>
      <c r="L219"/>
      <c r="M219"/>
      <c r="N219"/>
      <c r="O219"/>
      <c r="P219"/>
      <c r="S219"/>
      <c r="T219"/>
      <c r="U219" s="12"/>
      <c r="V219"/>
      <c r="W219" s="12"/>
      <c r="X219"/>
      <c r="Y219"/>
      <c r="Z219"/>
      <c r="AA219"/>
      <c r="AB219"/>
      <c r="AC219"/>
      <c r="AD219"/>
      <c r="AE219"/>
      <c r="AF219"/>
      <c r="AG219"/>
      <c r="AJ219" s="336"/>
      <c r="AK219" s="336"/>
      <c r="AL219" s="337"/>
      <c r="AM219" s="336"/>
      <c r="AN219" s="337"/>
      <c r="AO219" s="336"/>
      <c r="AP219" s="336"/>
      <c r="AQ219" s="336"/>
      <c r="AR219" s="336"/>
      <c r="AS219" s="336"/>
      <c r="AT219" s="336"/>
      <c r="AU219" s="336"/>
      <c r="AV219" s="336"/>
      <c r="AW219" s="336"/>
      <c r="AX219"/>
    </row>
    <row r="220" spans="2:50" ht="15.75" customHeight="1" x14ac:dyDescent="0.3">
      <c r="B220"/>
      <c r="C220"/>
      <c r="D220" s="12"/>
      <c r="E220"/>
      <c r="F220" s="12"/>
      <c r="G220"/>
      <c r="H220"/>
      <c r="I220"/>
      <c r="J220"/>
      <c r="K220"/>
      <c r="L220"/>
      <c r="M220"/>
      <c r="N220"/>
      <c r="O220"/>
      <c r="P220"/>
      <c r="S220"/>
      <c r="T220"/>
      <c r="U220" s="12"/>
      <c r="V220"/>
      <c r="W220" s="12"/>
      <c r="X220"/>
      <c r="Y220"/>
      <c r="Z220"/>
      <c r="AA220"/>
      <c r="AB220"/>
      <c r="AC220"/>
      <c r="AD220"/>
      <c r="AE220"/>
      <c r="AF220"/>
      <c r="AG220"/>
      <c r="AJ220" s="336"/>
      <c r="AK220" s="336"/>
      <c r="AL220" s="337"/>
      <c r="AM220" s="336"/>
      <c r="AN220" s="337"/>
      <c r="AO220" s="336"/>
      <c r="AP220" s="336"/>
      <c r="AQ220" s="336"/>
      <c r="AR220" s="336"/>
      <c r="AS220" s="336"/>
      <c r="AT220" s="336"/>
      <c r="AU220" s="336"/>
      <c r="AV220" s="336"/>
      <c r="AW220" s="336"/>
      <c r="AX220"/>
    </row>
    <row r="221" spans="2:50" ht="15.75" customHeight="1" x14ac:dyDescent="0.3">
      <c r="B221"/>
      <c r="C221"/>
      <c r="D221" s="12"/>
      <c r="E221"/>
      <c r="F221" s="12"/>
      <c r="G221"/>
      <c r="H221"/>
      <c r="I221"/>
      <c r="J221"/>
      <c r="K221"/>
      <c r="L221"/>
      <c r="M221"/>
      <c r="N221"/>
      <c r="O221"/>
      <c r="P221"/>
      <c r="S221"/>
      <c r="T221"/>
      <c r="U221" s="12"/>
      <c r="V221"/>
      <c r="W221" s="12"/>
      <c r="X221"/>
      <c r="Y221"/>
      <c r="Z221"/>
      <c r="AA221"/>
      <c r="AB221"/>
      <c r="AC221"/>
      <c r="AD221"/>
      <c r="AE221"/>
      <c r="AF221"/>
      <c r="AG221"/>
      <c r="AJ221" s="336"/>
      <c r="AK221" s="336"/>
      <c r="AL221" s="337"/>
      <c r="AM221" s="336"/>
      <c r="AN221" s="337"/>
      <c r="AO221" s="336"/>
      <c r="AP221" s="336"/>
      <c r="AQ221" s="336"/>
      <c r="AR221" s="336"/>
      <c r="AS221" s="336"/>
      <c r="AT221" s="336"/>
      <c r="AU221" s="336"/>
      <c r="AV221" s="336"/>
      <c r="AW221" s="336"/>
      <c r="AX221"/>
    </row>
    <row r="222" spans="2:50" ht="15.75" customHeight="1" x14ac:dyDescent="0.3">
      <c r="B222"/>
      <c r="C222"/>
      <c r="D222" s="12"/>
      <c r="E222"/>
      <c r="F222" s="12"/>
      <c r="G222"/>
      <c r="H222"/>
      <c r="I222"/>
      <c r="J222"/>
      <c r="K222"/>
      <c r="L222"/>
      <c r="M222"/>
      <c r="N222"/>
      <c r="O222"/>
      <c r="P222"/>
      <c r="S222"/>
      <c r="T222"/>
      <c r="U222" s="12"/>
      <c r="V222"/>
      <c r="W222" s="12"/>
      <c r="X222"/>
      <c r="Y222"/>
      <c r="Z222"/>
      <c r="AA222"/>
      <c r="AB222"/>
      <c r="AC222"/>
      <c r="AD222"/>
      <c r="AE222"/>
      <c r="AF222"/>
      <c r="AG222"/>
      <c r="AJ222" s="336"/>
      <c r="AK222" s="336"/>
      <c r="AL222" s="337"/>
      <c r="AM222" s="336"/>
      <c r="AN222" s="337"/>
      <c r="AO222" s="336"/>
      <c r="AP222" s="336"/>
      <c r="AQ222" s="336"/>
      <c r="AR222" s="336"/>
      <c r="AS222" s="336"/>
      <c r="AT222" s="336"/>
      <c r="AU222" s="336"/>
      <c r="AV222" s="336"/>
      <c r="AW222" s="336"/>
      <c r="AX222"/>
    </row>
    <row r="223" spans="2:50" ht="15.75" customHeight="1" x14ac:dyDescent="0.3">
      <c r="B223"/>
      <c r="C223"/>
      <c r="D223" s="12"/>
      <c r="E223"/>
      <c r="F223" s="12"/>
      <c r="G223"/>
      <c r="H223"/>
      <c r="I223"/>
      <c r="J223"/>
      <c r="K223"/>
      <c r="L223"/>
      <c r="M223"/>
      <c r="N223"/>
      <c r="O223"/>
      <c r="P223"/>
      <c r="S223"/>
      <c r="T223"/>
      <c r="U223" s="12"/>
      <c r="V223"/>
      <c r="W223" s="12"/>
      <c r="X223"/>
      <c r="Y223"/>
      <c r="Z223"/>
      <c r="AA223"/>
      <c r="AB223"/>
      <c r="AC223"/>
      <c r="AD223"/>
      <c r="AE223"/>
      <c r="AF223"/>
      <c r="AG223"/>
      <c r="AJ223" s="336"/>
      <c r="AK223" s="336"/>
      <c r="AL223" s="337"/>
      <c r="AM223" s="336"/>
      <c r="AN223" s="337"/>
      <c r="AO223" s="336"/>
      <c r="AP223" s="336"/>
      <c r="AQ223" s="336"/>
      <c r="AR223" s="336"/>
      <c r="AS223" s="336"/>
      <c r="AT223" s="336"/>
      <c r="AU223" s="336"/>
      <c r="AV223" s="336"/>
      <c r="AW223" s="336"/>
      <c r="AX223"/>
    </row>
    <row r="224" spans="2:50" ht="15.75" customHeight="1" x14ac:dyDescent="0.3">
      <c r="B224"/>
      <c r="C224"/>
      <c r="D224" s="12"/>
      <c r="E224"/>
      <c r="F224" s="12"/>
      <c r="G224"/>
      <c r="H224"/>
      <c r="I224"/>
      <c r="J224"/>
      <c r="K224"/>
      <c r="L224"/>
      <c r="M224"/>
      <c r="N224"/>
      <c r="O224"/>
      <c r="P224"/>
      <c r="S224"/>
      <c r="T224"/>
      <c r="U224" s="12"/>
      <c r="V224"/>
      <c r="W224" s="12"/>
      <c r="X224"/>
      <c r="Y224"/>
      <c r="Z224"/>
      <c r="AA224"/>
      <c r="AB224"/>
      <c r="AC224"/>
      <c r="AD224"/>
      <c r="AE224"/>
      <c r="AF224"/>
      <c r="AG224"/>
      <c r="AJ224" s="336"/>
      <c r="AK224" s="336"/>
      <c r="AL224" s="337"/>
      <c r="AM224" s="336"/>
      <c r="AN224" s="337"/>
      <c r="AO224" s="336"/>
      <c r="AP224" s="336"/>
      <c r="AQ224" s="336"/>
      <c r="AR224" s="336"/>
      <c r="AS224" s="336"/>
      <c r="AT224" s="336"/>
      <c r="AU224" s="336"/>
      <c r="AV224" s="336"/>
      <c r="AW224" s="336"/>
      <c r="AX224"/>
    </row>
    <row r="225" spans="2:50" ht="15.75"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row r="227" spans="2:50" ht="15.75" customHeight="1" x14ac:dyDescent="0.3">
      <c r="B227" s="1"/>
      <c r="C227" s="1"/>
      <c r="D227" s="2"/>
      <c r="E227" s="1"/>
      <c r="F227" s="2"/>
      <c r="G227" s="1"/>
      <c r="H227" s="1"/>
      <c r="I227" s="1"/>
      <c r="J227" s="1"/>
      <c r="K227" s="1"/>
      <c r="L227" s="1"/>
      <c r="M227" s="1"/>
      <c r="N227" s="1"/>
      <c r="O227" s="20"/>
      <c r="P227"/>
      <c r="S227" s="1"/>
      <c r="T227" s="1"/>
      <c r="U227" s="2"/>
      <c r="V227" s="1"/>
      <c r="W227" s="2"/>
      <c r="X227" s="1"/>
      <c r="Y227" s="1"/>
      <c r="Z227" s="1"/>
      <c r="AA227" s="1"/>
      <c r="AB227" s="1"/>
      <c r="AC227" s="1"/>
      <c r="AD227" s="1"/>
      <c r="AE227" s="1"/>
      <c r="AF227" s="20"/>
      <c r="AG227"/>
      <c r="AJ227" s="332"/>
      <c r="AK227" s="332"/>
      <c r="AL227" s="331"/>
      <c r="AM227" s="332"/>
      <c r="AN227" s="331"/>
      <c r="AO227" s="332"/>
      <c r="AP227" s="332"/>
      <c r="AQ227" s="332"/>
      <c r="AR227" s="332"/>
      <c r="AS227" s="332"/>
      <c r="AT227" s="332"/>
      <c r="AU227" s="332"/>
      <c r="AV227" s="332"/>
      <c r="AW227" s="338"/>
      <c r="AX227"/>
    </row>
    <row r="228" spans="2:50" ht="15.75" customHeight="1" x14ac:dyDescent="0.3">
      <c r="B228" s="1"/>
      <c r="C228" s="1"/>
      <c r="D228" s="2"/>
      <c r="E228" s="1"/>
      <c r="F228" s="2"/>
      <c r="G228" s="1"/>
      <c r="H228" s="1"/>
      <c r="I228" s="1"/>
      <c r="J228" s="1"/>
      <c r="K228" s="1"/>
      <c r="L228" s="1"/>
      <c r="M228" s="1"/>
      <c r="N228" s="1"/>
      <c r="O228" s="20"/>
      <c r="P228"/>
      <c r="S228" s="1"/>
      <c r="T228" s="1"/>
      <c r="U228" s="2"/>
      <c r="V228" s="1"/>
      <c r="W228" s="2"/>
      <c r="X228" s="1"/>
      <c r="Y228" s="1"/>
      <c r="Z228" s="1"/>
      <c r="AA228" s="1"/>
      <c r="AB228" s="1"/>
      <c r="AC228" s="1"/>
      <c r="AD228" s="1"/>
      <c r="AE228" s="1"/>
      <c r="AF228" s="20"/>
      <c r="AG228"/>
      <c r="AJ228" s="332"/>
      <c r="AK228" s="332"/>
      <c r="AL228" s="331"/>
      <c r="AM228" s="332"/>
      <c r="AN228" s="331"/>
      <c r="AO228" s="332"/>
      <c r="AP228" s="332"/>
      <c r="AQ228" s="332"/>
      <c r="AR228" s="332"/>
      <c r="AS228" s="332"/>
      <c r="AT228" s="332"/>
      <c r="AU228" s="332"/>
      <c r="AV228" s="332"/>
      <c r="AW228" s="338"/>
      <c r="AX228"/>
    </row>
    <row r="229" spans="2:50" ht="15.75" customHeight="1" x14ac:dyDescent="0.3">
      <c r="B229" s="1"/>
      <c r="C229" s="1"/>
      <c r="D229" s="2"/>
      <c r="E229" s="1"/>
      <c r="F229" s="2"/>
      <c r="G229" s="1"/>
      <c r="H229" s="1"/>
      <c r="I229" s="1"/>
      <c r="J229" s="1"/>
      <c r="K229" s="1"/>
      <c r="L229" s="1"/>
      <c r="M229" s="1"/>
      <c r="N229" s="1"/>
      <c r="O229" s="20"/>
      <c r="P229"/>
      <c r="S229" s="1"/>
      <c r="T229" s="1"/>
      <c r="U229" s="2"/>
      <c r="V229" s="1"/>
      <c r="W229" s="2"/>
      <c r="X229" s="1"/>
      <c r="Y229" s="1"/>
      <c r="Z229" s="1"/>
      <c r="AA229" s="1"/>
      <c r="AB229" s="1"/>
      <c r="AC229" s="1"/>
      <c r="AD229" s="1"/>
      <c r="AE229" s="1"/>
      <c r="AF229" s="20"/>
      <c r="AG229"/>
      <c r="AJ229" s="332"/>
      <c r="AK229" s="332"/>
      <c r="AL229" s="331"/>
      <c r="AM229" s="332"/>
      <c r="AN229" s="331"/>
      <c r="AO229" s="332"/>
      <c r="AP229" s="332"/>
      <c r="AQ229" s="332"/>
      <c r="AR229" s="332"/>
      <c r="AS229" s="332"/>
      <c r="AT229" s="332"/>
      <c r="AU229" s="332"/>
      <c r="AV229" s="332"/>
      <c r="AW229" s="338"/>
      <c r="AX229"/>
    </row>
    <row r="230" spans="2:50" ht="15.75" customHeight="1" x14ac:dyDescent="0.3">
      <c r="B230" s="1"/>
      <c r="C230" s="1"/>
      <c r="D230" s="2"/>
      <c r="E230" s="1"/>
      <c r="F230" s="2"/>
      <c r="G230" s="1"/>
      <c r="H230" s="1"/>
      <c r="I230" s="1"/>
      <c r="J230" s="1"/>
      <c r="K230" s="1"/>
      <c r="L230" s="1"/>
      <c r="M230" s="1"/>
      <c r="N230" s="1"/>
      <c r="O230" s="20"/>
      <c r="P230"/>
      <c r="S230" s="1"/>
      <c r="T230" s="1"/>
      <c r="U230" s="2"/>
      <c r="V230" s="1"/>
      <c r="W230" s="2"/>
      <c r="X230" s="1"/>
      <c r="Y230" s="1"/>
      <c r="Z230" s="1"/>
      <c r="AA230" s="1"/>
      <c r="AB230" s="1"/>
      <c r="AC230" s="1"/>
      <c r="AD230" s="1"/>
      <c r="AE230" s="1"/>
      <c r="AF230" s="20"/>
      <c r="AG230"/>
      <c r="AJ230" s="332"/>
      <c r="AK230" s="332"/>
      <c r="AL230" s="331"/>
      <c r="AM230" s="332"/>
      <c r="AN230" s="331"/>
      <c r="AO230" s="332"/>
      <c r="AP230" s="332"/>
      <c r="AQ230" s="332"/>
      <c r="AR230" s="332"/>
      <c r="AS230" s="332"/>
      <c r="AT230" s="332"/>
      <c r="AU230" s="332"/>
      <c r="AV230" s="332"/>
      <c r="AW230" s="338"/>
      <c r="AX230"/>
    </row>
    <row r="231" spans="2:50" ht="15.75" customHeight="1" x14ac:dyDescent="0.3">
      <c r="B231" s="1"/>
      <c r="C231" s="1"/>
      <c r="D231" s="2"/>
      <c r="E231" s="1"/>
      <c r="F231" s="2"/>
      <c r="G231" s="1"/>
      <c r="H231" s="1"/>
      <c r="I231" s="1"/>
      <c r="J231" s="1"/>
      <c r="K231" s="1"/>
      <c r="L231" s="1"/>
      <c r="M231" s="1"/>
      <c r="N231" s="1"/>
      <c r="O231" s="20"/>
      <c r="P231"/>
      <c r="S231" s="1"/>
      <c r="T231" s="1"/>
      <c r="U231" s="2"/>
      <c r="V231" s="1"/>
      <c r="W231" s="2"/>
      <c r="X231" s="1"/>
      <c r="Y231" s="1"/>
      <c r="Z231" s="1"/>
      <c r="AA231" s="1"/>
      <c r="AB231" s="1"/>
      <c r="AC231" s="1"/>
      <c r="AD231" s="1"/>
      <c r="AE231" s="1"/>
      <c r="AF231" s="20"/>
      <c r="AG231"/>
      <c r="AJ231" s="332"/>
      <c r="AK231" s="332"/>
      <c r="AL231" s="331"/>
      <c r="AM231" s="332"/>
      <c r="AN231" s="331"/>
      <c r="AO231" s="332"/>
      <c r="AP231" s="332"/>
      <c r="AQ231" s="332"/>
      <c r="AR231" s="332"/>
      <c r="AS231" s="332"/>
      <c r="AT231" s="332"/>
      <c r="AU231" s="332"/>
      <c r="AV231" s="332"/>
      <c r="AW231" s="338"/>
      <c r="AX231"/>
    </row>
    <row r="232" spans="2:50" ht="15.75" customHeight="1" x14ac:dyDescent="0.3">
      <c r="B232" s="1"/>
      <c r="C232" s="1"/>
      <c r="D232" s="2"/>
      <c r="E232" s="1"/>
      <c r="F232" s="2"/>
      <c r="G232" s="1"/>
      <c r="H232" s="1"/>
      <c r="I232" s="1"/>
      <c r="J232" s="1"/>
      <c r="K232" s="1"/>
      <c r="L232" s="1"/>
      <c r="M232" s="1"/>
      <c r="N232" s="1"/>
      <c r="O232" s="20"/>
      <c r="P232"/>
      <c r="S232" s="1"/>
      <c r="T232" s="1"/>
      <c r="U232" s="2"/>
      <c r="V232" s="1"/>
      <c r="W232" s="2"/>
      <c r="X232" s="1"/>
      <c r="Y232" s="1"/>
      <c r="Z232" s="1"/>
      <c r="AA232" s="1"/>
      <c r="AB232" s="1"/>
      <c r="AC232" s="1"/>
      <c r="AD232" s="1"/>
      <c r="AE232" s="1"/>
      <c r="AF232" s="20"/>
      <c r="AG232"/>
      <c r="AJ232" s="332"/>
      <c r="AK232" s="332"/>
      <c r="AL232" s="331"/>
      <c r="AM232" s="332"/>
      <c r="AN232" s="331"/>
      <c r="AO232" s="332"/>
      <c r="AP232" s="332"/>
      <c r="AQ232" s="332"/>
      <c r="AR232" s="332"/>
      <c r="AS232" s="332"/>
      <c r="AT232" s="332"/>
      <c r="AU232" s="332"/>
      <c r="AV232" s="332"/>
      <c r="AW232" s="338"/>
      <c r="AX232"/>
    </row>
    <row r="233" spans="2:50" ht="15.75" customHeight="1" x14ac:dyDescent="0.3">
      <c r="B233" s="1"/>
      <c r="C233" s="1"/>
      <c r="D233" s="2"/>
      <c r="E233" s="1"/>
      <c r="F233" s="2"/>
      <c r="G233" s="1"/>
      <c r="H233" s="1"/>
      <c r="I233" s="1"/>
      <c r="J233" s="1"/>
      <c r="K233" s="1"/>
      <c r="L233" s="1"/>
      <c r="M233" s="1"/>
      <c r="N233" s="1"/>
      <c r="O233" s="20"/>
      <c r="P233"/>
      <c r="S233" s="1"/>
      <c r="T233" s="1"/>
      <c r="U233" s="2"/>
      <c r="V233" s="1"/>
      <c r="W233" s="2"/>
      <c r="X233" s="1"/>
      <c r="Y233" s="1"/>
      <c r="Z233" s="1"/>
      <c r="AA233" s="1"/>
      <c r="AB233" s="1"/>
      <c r="AC233" s="1"/>
      <c r="AD233" s="1"/>
      <c r="AE233" s="1"/>
      <c r="AF233" s="20"/>
      <c r="AG233"/>
      <c r="AJ233" s="332"/>
      <c r="AK233" s="332"/>
      <c r="AL233" s="331"/>
      <c r="AM233" s="332"/>
      <c r="AN233" s="331"/>
      <c r="AO233" s="332"/>
      <c r="AP233" s="332"/>
      <c r="AQ233" s="332"/>
      <c r="AR233" s="332"/>
      <c r="AS233" s="332"/>
      <c r="AT233" s="332"/>
      <c r="AU233" s="332"/>
      <c r="AV233" s="332"/>
      <c r="AW233" s="338"/>
      <c r="AX233"/>
    </row>
    <row r="234" spans="2:50" ht="15.75" customHeight="1" x14ac:dyDescent="0.3">
      <c r="B234" s="1"/>
      <c r="C234" s="1"/>
      <c r="D234" s="2"/>
      <c r="E234" s="1"/>
      <c r="F234" s="2"/>
      <c r="G234" s="1"/>
      <c r="H234" s="1"/>
      <c r="I234" s="1"/>
      <c r="J234" s="1"/>
      <c r="K234" s="1"/>
      <c r="L234" s="1"/>
      <c r="M234" s="1"/>
      <c r="N234" s="1"/>
      <c r="O234" s="20"/>
      <c r="P234"/>
      <c r="S234" s="1"/>
      <c r="T234" s="1"/>
      <c r="U234" s="2"/>
      <c r="V234" s="1"/>
      <c r="W234" s="2"/>
      <c r="X234" s="1"/>
      <c r="Y234" s="1"/>
      <c r="Z234" s="1"/>
      <c r="AA234" s="1"/>
      <c r="AB234" s="1"/>
      <c r="AC234" s="1"/>
      <c r="AD234" s="1"/>
      <c r="AE234" s="1"/>
      <c r="AF234" s="20"/>
      <c r="AG234"/>
      <c r="AJ234" s="332"/>
      <c r="AK234" s="332"/>
      <c r="AL234" s="331"/>
      <c r="AM234" s="332"/>
      <c r="AN234" s="331"/>
      <c r="AO234" s="332"/>
      <c r="AP234" s="332"/>
      <c r="AQ234" s="332"/>
      <c r="AR234" s="332"/>
      <c r="AS234" s="332"/>
      <c r="AT234" s="332"/>
      <c r="AU234" s="332"/>
      <c r="AV234" s="332"/>
      <c r="AW234" s="338"/>
      <c r="AX234"/>
    </row>
    <row r="235" spans="2:50" ht="15.75" customHeight="1" x14ac:dyDescent="0.3">
      <c r="B235" s="1"/>
      <c r="C235" s="1"/>
      <c r="D235" s="2"/>
      <c r="E235" s="1"/>
      <c r="F235" s="2"/>
      <c r="G235" s="1"/>
      <c r="H235" s="1"/>
      <c r="I235" s="1"/>
      <c r="J235" s="1"/>
      <c r="K235" s="1"/>
      <c r="L235" s="1"/>
      <c r="M235" s="1"/>
      <c r="N235" s="1"/>
      <c r="O235" s="20"/>
      <c r="P235"/>
      <c r="S235" s="1"/>
      <c r="T235" s="1"/>
      <c r="U235" s="2"/>
      <c r="V235" s="1"/>
      <c r="W235" s="2"/>
      <c r="X235" s="1"/>
      <c r="Y235" s="1"/>
      <c r="Z235" s="1"/>
      <c r="AA235" s="1"/>
      <c r="AB235" s="1"/>
      <c r="AC235" s="1"/>
      <c r="AD235" s="1"/>
      <c r="AE235" s="1"/>
      <c r="AF235" s="20"/>
      <c r="AG235"/>
      <c r="AJ235" s="332"/>
      <c r="AK235" s="332"/>
      <c r="AL235" s="331"/>
      <c r="AM235" s="332"/>
      <c r="AN235" s="331"/>
      <c r="AO235" s="332"/>
      <c r="AP235" s="332"/>
      <c r="AQ235" s="332"/>
      <c r="AR235" s="332"/>
      <c r="AS235" s="332"/>
      <c r="AT235" s="332"/>
      <c r="AU235" s="332"/>
      <c r="AV235" s="332"/>
      <c r="AW235" s="338"/>
      <c r="AX235"/>
    </row>
    <row r="236" spans="2:50" ht="15.75" customHeight="1" x14ac:dyDescent="0.3">
      <c r="B236" s="1"/>
      <c r="C236" s="1"/>
      <c r="D236" s="2"/>
      <c r="E236" s="1"/>
      <c r="F236" s="2"/>
      <c r="G236" s="1"/>
      <c r="H236" s="1"/>
      <c r="I236" s="1"/>
      <c r="J236" s="1"/>
      <c r="K236" s="1"/>
      <c r="L236" s="1"/>
      <c r="M236" s="1"/>
      <c r="N236" s="1"/>
      <c r="O236" s="20"/>
      <c r="P236"/>
      <c r="S236" s="1"/>
      <c r="T236" s="1"/>
      <c r="U236" s="2"/>
      <c r="V236" s="1"/>
      <c r="W236" s="2"/>
      <c r="X236" s="1"/>
      <c r="Y236" s="1"/>
      <c r="Z236" s="1"/>
      <c r="AA236" s="1"/>
      <c r="AB236" s="1"/>
      <c r="AC236" s="1"/>
      <c r="AD236" s="1"/>
      <c r="AE236" s="1"/>
      <c r="AF236" s="20"/>
      <c r="AG236"/>
      <c r="AJ236" s="332"/>
      <c r="AK236" s="332"/>
      <c r="AL236" s="331"/>
      <c r="AM236" s="332"/>
      <c r="AN236" s="331"/>
      <c r="AO236" s="332"/>
      <c r="AP236" s="332"/>
      <c r="AQ236" s="332"/>
      <c r="AR236" s="332"/>
      <c r="AS236" s="332"/>
      <c r="AT236" s="332"/>
      <c r="AU236" s="332"/>
      <c r="AV236" s="332"/>
      <c r="AW236" s="338"/>
      <c r="AX236"/>
    </row>
    <row r="237" spans="2:50" ht="15.75" customHeight="1" x14ac:dyDescent="0.3">
      <c r="B237" s="1"/>
      <c r="C237" s="1"/>
      <c r="D237" s="2"/>
      <c r="E237" s="1"/>
      <c r="F237" s="2"/>
      <c r="G237" s="1"/>
      <c r="H237" s="1"/>
      <c r="I237" s="1"/>
      <c r="J237" s="1"/>
      <c r="K237" s="1"/>
      <c r="L237" s="1"/>
      <c r="M237" s="1"/>
      <c r="N237" s="1"/>
      <c r="O237" s="20"/>
      <c r="P237"/>
      <c r="S237" s="1"/>
      <c r="T237" s="1"/>
      <c r="U237" s="2"/>
      <c r="V237" s="1"/>
      <c r="W237" s="2"/>
      <c r="X237" s="1"/>
      <c r="Y237" s="1"/>
      <c r="Z237" s="1"/>
      <c r="AA237" s="1"/>
      <c r="AB237" s="1"/>
      <c r="AC237" s="1"/>
      <c r="AD237" s="1"/>
      <c r="AE237" s="1"/>
      <c r="AF237" s="20"/>
      <c r="AG237"/>
      <c r="AJ237" s="332"/>
      <c r="AK237" s="332"/>
      <c r="AL237" s="331"/>
      <c r="AM237" s="332"/>
      <c r="AN237" s="331"/>
      <c r="AO237" s="332"/>
      <c r="AP237" s="332"/>
      <c r="AQ237" s="332"/>
      <c r="AR237" s="332"/>
      <c r="AS237" s="332"/>
      <c r="AT237" s="332"/>
      <c r="AU237" s="332"/>
      <c r="AV237" s="332"/>
      <c r="AW237" s="338"/>
      <c r="AX237"/>
    </row>
  </sheetData>
  <sheetProtection algorithmName="SHA-512" hashValue="rh5NNe3fZfb73j43r/VFtwBF1bWsUghOD/FuODr3Pm19MXhhjARLNejdRG7oGYb2ZbvwlND3r/eFViflQ9ZObQ==" saltValue="WrdasNr+ZH5Pfwgz1O9R8g==" spinCount="100000" sheet="1" objects="1" scenarios="1"/>
  <mergeCells count="9">
    <mergeCell ref="AK70:AV70"/>
    <mergeCell ref="AK71:AV71"/>
    <mergeCell ref="AK72:AV72"/>
    <mergeCell ref="C70:N70"/>
    <mergeCell ref="C71:N71"/>
    <mergeCell ref="C72:N72"/>
    <mergeCell ref="T70:AE70"/>
    <mergeCell ref="T71:AE71"/>
    <mergeCell ref="T72:AE72"/>
  </mergeCells>
  <printOptions horizontalCentered="1"/>
  <pageMargins left="0" right="0" top="0.59055118110236227" bottom="0.39370078740157483" header="0.11811023622047245" footer="0.11811023622047245"/>
  <pageSetup paperSize="9" scale="45"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500B8609-41EF-4B0E-8112-94BE383E84CC}">
            <xm:f>General!$BE$1&gt;=2</xm:f>
            <x14:dxf>
              <fill>
                <patternFill patternType="none">
                  <bgColor auto="1"/>
                </patternFill>
              </fill>
            </x14:dxf>
          </x14:cfRule>
          <xm:sqref>I13:I15 I17 I29:I39 I41 I45:I47 I49:I55 I57:I64 I66</xm:sqref>
        </x14:conditionalFormatting>
        <x14:conditionalFormatting xmlns:xm="http://schemas.microsoft.com/office/excel/2006/main">
          <x14:cfRule type="expression" priority="7" id="{69FFFA3B-4B46-4675-8688-81EA873AAE51}">
            <xm:f>General!$BE$1&gt;=3</xm:f>
            <x14:dxf>
              <fill>
                <patternFill patternType="none">
                  <bgColor auto="1"/>
                </patternFill>
              </fill>
            </x14:dxf>
          </x14:cfRule>
          <xm:sqref>J29:J39 J66 J13:K15 J17:K17 J41:K41 J45:K47 J49:K55 J57:K64</xm:sqref>
        </x14:conditionalFormatting>
        <x14:conditionalFormatting xmlns:xm="http://schemas.microsoft.com/office/excel/2006/main">
          <x14:cfRule type="expression" priority="6" id="{EFD5C449-CA8B-4FA4-8C05-699996E721FD}">
            <xm:f>General!$BE$1=4</xm:f>
            <x14:dxf>
              <fill>
                <patternFill patternType="none">
                  <bgColor auto="1"/>
                </patternFill>
              </fill>
            </x14:dxf>
          </x14:cfRule>
          <xm:sqref>K29:K39 K66</xm:sqref>
        </x14:conditionalFormatting>
        <x14:conditionalFormatting xmlns:xm="http://schemas.microsoft.com/office/excel/2006/main">
          <x14:cfRule type="expression" priority="5" id="{D33E5E12-D700-48C9-BCD7-93D45A284A90}">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4" id="{802CAFE4-33B0-4676-838D-EBD302B594E2}">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3" id="{07700161-8C31-4D5E-8091-A6802E16106D}">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 id="{5BFD73EF-D747-437B-9348-404B060664B8}">
            <xm:f>General!$BE$1=4</xm:f>
            <x14:dxf>
              <fill>
                <patternFill patternType="none">
                  <bgColor auto="1"/>
                </patternFill>
              </fill>
            </x14:dxf>
          </x14:cfRule>
          <xm:sqref>J20:K28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0000FF"/>
    <pageSetUpPr autoPageBreaks="0" fitToPage="1"/>
  </sheetPr>
  <dimension ref="A1:CD135"/>
  <sheetViews>
    <sheetView showGridLines="0" topLeftCell="A4"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tr">
        <f>UPPER(Prov) &amp; " PROVINCE"</f>
        <v>ALL PROVINCES PROVINCE</v>
      </c>
      <c r="D4" s="37"/>
      <c r="E4" s="37"/>
      <c r="F4" s="37"/>
      <c r="G4" s="37"/>
      <c r="H4" s="37"/>
      <c r="I4" s="37"/>
      <c r="J4" s="38"/>
      <c r="K4" s="38"/>
      <c r="L4" s="38"/>
      <c r="M4" s="38"/>
      <c r="N4" s="38"/>
      <c r="O4" s="33"/>
      <c r="R4"/>
      <c r="S4" s="36"/>
      <c r="T4" s="34" t="str">
        <f>C4</f>
        <v>ALL PROVINCES PROVINCE</v>
      </c>
      <c r="U4" s="37"/>
      <c r="V4" s="37"/>
      <c r="W4" s="37"/>
      <c r="X4" s="37"/>
      <c r="Y4" s="37"/>
      <c r="Z4" s="37"/>
      <c r="AA4" s="38"/>
      <c r="AB4" s="38"/>
      <c r="AC4" s="38"/>
      <c r="AD4" s="38"/>
      <c r="AE4" s="38"/>
      <c r="AF4" s="33"/>
      <c r="AG4" s="441"/>
      <c r="AH4" s="441"/>
      <c r="AI4"/>
      <c r="AJ4" s="348"/>
      <c r="AK4" s="349" t="str">
        <f>C4</f>
        <v>ALL PROVINCES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Overview!D6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518" customFormat="1" ht="8.25" customHeight="1" x14ac:dyDescent="0.3">
      <c r="A10" s="508"/>
      <c r="B10" s="550"/>
      <c r="C10" s="563"/>
      <c r="D10" s="551">
        <f>EC_2!D10+FS_2!D10+GT_2!D10+KZN_2!D10+LIM_2!D10+MPU_2!D10+NC_2!D10+NW_2!D10+WC_2!D10</f>
        <v>0</v>
      </c>
      <c r="E10" s="552">
        <f>EC_2!E10+FS_2!E10+GT_2!E10+KZN_2!E10+LIM_2!E10+MPU_2!E10+NC_2!E10+NW_2!E10+WC_2!E10</f>
        <v>0</v>
      </c>
      <c r="F10" s="553">
        <f>EC_2!F10+FS_2!F10+GT_2!F10+KZN_2!F10+LIM_2!F10+MPU_2!F10+NC_2!F10+NW_2!F10+WC_2!F10</f>
        <v>0</v>
      </c>
      <c r="G10" s="553">
        <f>EC_2!G10+FS_2!G10+GT_2!G10+KZN_2!G10+LIM_2!G10+MPU_2!G10+NC_2!G10+NW_2!G10+WC_2!G10</f>
        <v>0</v>
      </c>
      <c r="H10" s="551">
        <f>EC_2!H10+FS_2!H10+GT_2!H10+KZN_2!H10+LIM_2!H10+MPU_2!H10+NC_2!H10+NW_2!H10+WC_2!H10</f>
        <v>0</v>
      </c>
      <c r="I10" s="554">
        <f>EC_2!I10+FS_2!I10+GT_2!I10+KZN_2!I10+LIM_2!I10+MPU_2!I10+NC_2!I10+NW_2!I10+WC_2!I10</f>
        <v>0</v>
      </c>
      <c r="J10" s="550">
        <f>EC_2!J10+FS_2!J10+GT_2!J10+KZN_2!J10+LIM_2!J10+MPU_2!J10+NC_2!J10+NW_2!J10+WC_2!J10</f>
        <v>0</v>
      </c>
      <c r="K10" s="553">
        <f>EC_2!K10+FS_2!K10+GT_2!K10+KZN_2!K10+LIM_2!K10+MPU_2!K10+NC_2!K10+NW_2!K10+WC_2!K10</f>
        <v>0</v>
      </c>
      <c r="L10" s="553">
        <f>EC_2!L10+FS_2!L10+GT_2!L10+KZN_2!L10+LIM_2!L10+MPU_2!L10+NC_2!L10+NW_2!L10+WC_2!L10</f>
        <v>0</v>
      </c>
      <c r="M10" s="555">
        <f>EC_2!M10+FS_2!M10+GT_2!M10+KZN_2!M10+LIM_2!M10+MPU_2!M10+NC_2!M10+NW_2!M10+WC_2!M10</f>
        <v>0</v>
      </c>
      <c r="N10" s="555"/>
      <c r="O10" s="517"/>
      <c r="R10" s="508"/>
      <c r="S10" s="550"/>
      <c r="T10" s="563"/>
      <c r="U10" s="551"/>
      <c r="V10" s="552"/>
      <c r="W10" s="553"/>
      <c r="X10" s="553"/>
      <c r="Y10" s="551"/>
      <c r="Z10" s="554"/>
      <c r="AA10" s="550"/>
      <c r="AB10" s="553"/>
      <c r="AC10" s="553"/>
      <c r="AD10" s="555"/>
      <c r="AE10" s="555"/>
      <c r="AF10" s="517"/>
      <c r="AG10" s="519"/>
      <c r="AH10" s="519"/>
      <c r="AI10" s="508"/>
      <c r="AJ10" s="556"/>
      <c r="AK10" s="564"/>
      <c r="AL10" s="558"/>
      <c r="AM10" s="559"/>
      <c r="AN10" s="560"/>
      <c r="AO10" s="560"/>
      <c r="AP10" s="558"/>
      <c r="AQ10" s="561"/>
      <c r="AR10" s="556"/>
      <c r="AS10" s="560"/>
      <c r="AT10" s="560"/>
      <c r="AU10" s="562"/>
      <c r="AV10" s="562"/>
      <c r="AW10" s="52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row>
    <row r="11" spans="1:82" s="35" customFormat="1" ht="15.75" customHeight="1" x14ac:dyDescent="0.35">
      <c r="A11"/>
      <c r="B11" s="46"/>
      <c r="C11" s="50" t="s">
        <v>15</v>
      </c>
      <c r="D11" s="94">
        <f>EC_2!D11+FS_2!D11+GT_2!D11+KZN_2!D11+LIM_2!D11+MPU_2!D11+NC_2!D11+NW_2!D11+WC_2!D11</f>
        <v>0</v>
      </c>
      <c r="E11" s="197">
        <f>EC_2!E11+FS_2!E11+GT_2!E11+KZN_2!E11+LIM_2!E11+MPU_2!E11+NC_2!E11+NW_2!E11+WC_2!E11</f>
        <v>0</v>
      </c>
      <c r="F11" s="48">
        <f>EC_2!F11+FS_2!F11+GT_2!F11+KZN_2!F11+LIM_2!F11+MPU_2!F11+NC_2!F11+NW_2!F11+WC_2!F11</f>
        <v>0</v>
      </c>
      <c r="G11" s="48">
        <f>EC_2!G11+FS_2!G11+GT_2!G11+KZN_2!G11+LIM_2!G11+MPU_2!G11+NC_2!G11+NW_2!G11+WC_2!G11</f>
        <v>0</v>
      </c>
      <c r="H11" s="94">
        <f>EC_2!H11+FS_2!H11+GT_2!H11+KZN_2!H11+LIM_2!H11+MPU_2!H11+NC_2!H11+NW_2!H11+WC_2!H11</f>
        <v>0</v>
      </c>
      <c r="I11" s="215">
        <f>EC_2!I11+FS_2!I11+GT_2!I11+KZN_2!I11+LIM_2!I11+MPU_2!I11+NC_2!I11+NW_2!I11+WC_2!I11</f>
        <v>0</v>
      </c>
      <c r="J11" s="46">
        <f>EC_2!J11+FS_2!J11+GT_2!J11+KZN_2!J11+LIM_2!J11+MPU_2!J11+NC_2!J11+NW_2!J11+WC_2!J11</f>
        <v>0</v>
      </c>
      <c r="K11" s="48">
        <f>EC_2!K11+FS_2!K11+GT_2!K11+KZN_2!K11+LIM_2!K11+MPU_2!K11+NC_2!K11+NW_2!K11+WC_2!K11</f>
        <v>0</v>
      </c>
      <c r="L11" s="48">
        <f>EC_2!L11+FS_2!L11+GT_2!L11+KZN_2!L11+LIM_2!L11+MPU_2!L11+NC_2!L11+NW_2!L11+WC_2!L11</f>
        <v>0</v>
      </c>
      <c r="M11" s="49">
        <f>EC_2!M11+FS_2!M11+GT_2!M11+KZN_2!M11+LIM_2!M11+MPU_2!M11+NC_2!M11+NW_2!M11+WC_2!M11</f>
        <v>0</v>
      </c>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f>EC_2!D12+FS_2!D12+GT_2!D12+KZN_2!D12+LIM_2!D12+MPU_2!D12+NC_2!D12+NW_2!D12+WC_2!D12</f>
        <v>0</v>
      </c>
      <c r="E12" s="197">
        <f>EC_2!E12+FS_2!E12+GT_2!E12+KZN_2!E12+LIM_2!E12+MPU_2!E12+NC_2!E12+NW_2!E12+WC_2!E12</f>
        <v>0</v>
      </c>
      <c r="F12" s="48">
        <f>EC_2!F12+FS_2!F12+GT_2!F12+KZN_2!F12+LIM_2!F12+MPU_2!F12+NC_2!F12+NW_2!F12+WC_2!F12</f>
        <v>0</v>
      </c>
      <c r="G12" s="48">
        <f>EC_2!G12+FS_2!G12+GT_2!G12+KZN_2!G12+LIM_2!G12+MPU_2!G12+NC_2!G12+NW_2!G12+WC_2!G12</f>
        <v>0</v>
      </c>
      <c r="H12" s="94">
        <f>EC_2!H12+FS_2!H12+GT_2!H12+KZN_2!H12+LIM_2!H12+MPU_2!H12+NC_2!H12+NW_2!H12+WC_2!H12</f>
        <v>0</v>
      </c>
      <c r="I12" s="215">
        <f>EC_2!I12+FS_2!I12+GT_2!I12+KZN_2!I12+LIM_2!I12+MPU_2!I12+NC_2!I12+NW_2!I12+WC_2!I12</f>
        <v>0</v>
      </c>
      <c r="J12" s="46">
        <f>EC_2!J12+FS_2!J12+GT_2!J12+KZN_2!J12+LIM_2!J12+MPU_2!J12+NC_2!J12+NW_2!J12+WC_2!J12</f>
        <v>0</v>
      </c>
      <c r="K12" s="48">
        <f>EC_2!K12+FS_2!K12+GT_2!K12+KZN_2!K12+LIM_2!K12+MPU_2!K12+NC_2!K12+NW_2!K12+WC_2!K12</f>
        <v>0</v>
      </c>
      <c r="L12" s="48">
        <f>EC_2!L12+FS_2!L12+GT_2!L12+KZN_2!L12+LIM_2!L12+MPU_2!L12+NC_2!L12+NW_2!L12+WC_2!L12</f>
        <v>0</v>
      </c>
      <c r="M12" s="49">
        <f>EC_2!M12+FS_2!M12+GT_2!M12+KZN_2!M12+LIM_2!M12+MPU_2!M12+NC_2!M12+NW_2!M12+WC_2!M12</f>
        <v>0</v>
      </c>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EC_2!D13+FS_2!D13+GT_2!D13+KZN_2!D13+LIM_2!D13+MPU_2!D13+NC_2!D13+NW_2!D13+WC_2!D13</f>
        <v>2203918</v>
      </c>
      <c r="E13" s="198">
        <f>EC_2!E13+FS_2!E13+GT_2!E13+KZN_2!E13+LIM_2!E13+MPU_2!E13+NC_2!E13+NW_2!E13+WC_2!E13</f>
        <v>-45268</v>
      </c>
      <c r="F13" s="54">
        <f>EC_2!F13+FS_2!F13+GT_2!F13+KZN_2!F13+LIM_2!F13+MPU_2!F13+NC_2!F13+NW_2!F13+WC_2!F13</f>
        <v>2158650</v>
      </c>
      <c r="G13" s="54">
        <f>EC_2!G13+FS_2!G13+GT_2!G13+KZN_2!G13+LIM_2!G13+MPU_2!G13+NC_2!G13+NW_2!G13+WC_2!G13</f>
        <v>204324</v>
      </c>
      <c r="H13" s="95">
        <f>EC_2!H13+FS_2!H13+GT_2!H13+KZN_2!H13+LIM_2!H13+MPU_2!H13+NC_2!H13+NW_2!H13+WC_2!H13</f>
        <v>2362974</v>
      </c>
      <c r="I13" s="216">
        <f>EC_2!I13+FS_2!I13+GT_2!I13+KZN_2!I13+LIM_2!I13+MPU_2!I13+NC_2!I13+NW_2!I13+WC_2!I13</f>
        <v>0</v>
      </c>
      <c r="J13" s="101">
        <f>EC_2!J13+FS_2!J13+GT_2!J13+KZN_2!J13+LIM_2!J13+MPU_2!J13+NC_2!J13+NW_2!J13+WC_2!J13</f>
        <v>2158650</v>
      </c>
      <c r="K13" s="54">
        <f>EC_2!K13+FS_2!K13+GT_2!K13+KZN_2!K13+LIM_2!K13+MPU_2!K13+NC_2!K13+NW_2!K13+WC_2!K13</f>
        <v>2157515.00018</v>
      </c>
      <c r="L13" s="54">
        <f>EC_2!L13+FS_2!L13+GT_2!L13+KZN_2!L13+LIM_2!L13+MPU_2!L13+NC_2!L13+NW_2!L13+WC_2!L13</f>
        <v>0</v>
      </c>
      <c r="M13" s="54">
        <f>EC_2!M13+FS_2!M13+GT_2!M13+KZN_2!M13+LIM_2!M13+MPU_2!M13+NC_2!M13+NW_2!M13+WC_2!M13</f>
        <v>2086825</v>
      </c>
      <c r="N13" s="183">
        <f>IFERROR(M13/H13,0)</f>
        <v>0.88313498159522708</v>
      </c>
      <c r="O13" s="55"/>
      <c r="R13"/>
      <c r="S13" s="53"/>
      <c r="T13" s="51" t="str">
        <f>C13</f>
        <v>Agriculture, Forestry and Fisheries (Vote 24)</v>
      </c>
      <c r="U13" s="95">
        <v>2203918</v>
      </c>
      <c r="V13" s="198">
        <v>0</v>
      </c>
      <c r="W13" s="54">
        <v>2203918</v>
      </c>
      <c r="X13" s="54">
        <v>0</v>
      </c>
      <c r="Y13" s="95">
        <v>2203918</v>
      </c>
      <c r="Z13" s="216"/>
      <c r="AA13" s="101">
        <v>1050981</v>
      </c>
      <c r="AB13" s="54">
        <v>1049141</v>
      </c>
      <c r="AC13" s="54"/>
      <c r="AD13" s="54">
        <v>729615</v>
      </c>
      <c r="AE13" s="183">
        <v>0.33105360544267076</v>
      </c>
      <c r="AF13" s="55"/>
      <c r="AG13" s="442"/>
      <c r="AH13" s="442"/>
      <c r="AI13"/>
      <c r="AJ13" s="387"/>
      <c r="AK13" s="386" t="str">
        <f t="shared" ref="AK13" si="2">C13</f>
        <v>Agriculture, Forestry and Fisheries (Vote 24)</v>
      </c>
      <c r="AL13" s="388">
        <f>SUM(AL14:AL16)</f>
        <v>0</v>
      </c>
      <c r="AM13" s="389">
        <f t="shared" ref="AM13" si="3">SUM(AM14:AM16)</f>
        <v>45268</v>
      </c>
      <c r="AN13" s="390">
        <f t="shared" ref="AN13" si="4">SUM(AN14:AN16)</f>
        <v>45268</v>
      </c>
      <c r="AO13" s="390">
        <f t="shared" ref="AO13" si="5">SUM(AO14:AO16)</f>
        <v>-204324</v>
      </c>
      <c r="AP13" s="388">
        <f t="shared" ref="AP13" si="6">SUM(AP14:AP16)</f>
        <v>-159056</v>
      </c>
      <c r="AQ13" s="391"/>
      <c r="AR13" s="392">
        <f t="shared" ref="AR13" si="7">SUM(AR14:AR16)</f>
        <v>-1107669</v>
      </c>
      <c r="AS13" s="390">
        <f t="shared" ref="AS13" si="8">SUM(AS14:AS16)</f>
        <v>-1108374.00018</v>
      </c>
      <c r="AT13" s="390"/>
      <c r="AU13" s="390">
        <f>SUM(AU14:AU16)</f>
        <v>-1357210</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96">
        <f>EC_2!D14+FS_2!D14+GT_2!D14+KZN_2!D14+LIM_2!D14+MPU_2!D14+NC_2!D14+NW_2!D14+WC_2!D14</f>
        <v>1538325</v>
      </c>
      <c r="E14" s="199">
        <f>EC_2!E14+FS_2!E14+GT_2!E14+KZN_2!E14+LIM_2!E14+MPU_2!E14+NC_2!E14+NW_2!E14+WC_2!E14</f>
        <v>0</v>
      </c>
      <c r="F14" s="59">
        <f>EC_2!F14+FS_2!F14+GT_2!F14+KZN_2!F14+LIM_2!F14+MPU_2!F14+NC_2!F14+NW_2!F14+WC_2!F14</f>
        <v>1538325</v>
      </c>
      <c r="G14" s="59">
        <f>EC_2!G14+FS_2!G14+GT_2!G14+KZN_2!G14+LIM_2!G14+MPU_2!G14+NC_2!G14+NW_2!G14+WC_2!G14</f>
        <v>154329</v>
      </c>
      <c r="H14" s="96">
        <f>EC_2!H14+FS_2!H14+GT_2!H14+KZN_2!H14+LIM_2!H14+MPU_2!H14+NC_2!H14+NW_2!H14+WC_2!H14</f>
        <v>1692654</v>
      </c>
      <c r="I14" s="217">
        <f>EC_2!I14+FS_2!I14+GT_2!I14+KZN_2!I14+LIM_2!I14+MPU_2!I14+NC_2!I14+NW_2!I14+WC_2!I14</f>
        <v>0</v>
      </c>
      <c r="J14" s="102">
        <f>EC_2!J14+FS_2!J14+GT_2!J14+KZN_2!J14+LIM_2!J14+MPU_2!J14+NC_2!J14+NW_2!J14+WC_2!J14</f>
        <v>1538325</v>
      </c>
      <c r="K14" s="59">
        <f>EC_2!K14+FS_2!K14+GT_2!K14+KZN_2!K14+LIM_2!K14+MPU_2!K14+NC_2!K14+NW_2!K14+WC_2!K14</f>
        <v>1538325.00018</v>
      </c>
      <c r="L14" s="59">
        <f>EC_2!L14+FS_2!L14+GT_2!L14+KZN_2!L14+LIM_2!L14+MPU_2!L14+NC_2!L14+NW_2!L14+WC_2!L14</f>
        <v>0</v>
      </c>
      <c r="M14" s="59">
        <f>EC_2!M14+FS_2!M14+GT_2!M14+KZN_2!M14+LIM_2!M14+MPU_2!M14+NC_2!M14+NW_2!M14+WC_2!M14</f>
        <v>1491023</v>
      </c>
      <c r="N14" s="172">
        <f t="shared" ref="N14:N16" si="9">IFERROR(M14/H14,0)</f>
        <v>0.88087878562305111</v>
      </c>
      <c r="O14" s="60"/>
      <c r="R14"/>
      <c r="S14" s="57"/>
      <c r="T14" s="58" t="str">
        <f t="shared" ref="T14" si="10">C14</f>
        <v>(a) Comprehensive Agricultural Support Programme Grant</v>
      </c>
      <c r="U14" s="96">
        <v>1538325</v>
      </c>
      <c r="V14" s="199">
        <v>0</v>
      </c>
      <c r="W14" s="59">
        <v>1538325</v>
      </c>
      <c r="X14" s="59">
        <v>0</v>
      </c>
      <c r="Y14" s="96">
        <v>1538325</v>
      </c>
      <c r="Z14" s="217"/>
      <c r="AA14" s="102">
        <v>733118</v>
      </c>
      <c r="AB14" s="59">
        <v>733117</v>
      </c>
      <c r="AC14" s="59"/>
      <c r="AD14" s="59">
        <v>472143</v>
      </c>
      <c r="AE14" s="172">
        <v>0.30692018916678854</v>
      </c>
      <c r="AF14" s="60"/>
      <c r="AG14" s="443"/>
      <c r="AH14" s="443"/>
      <c r="AI14" s="61"/>
      <c r="AJ14" s="394"/>
      <c r="AK14" s="395" t="str">
        <f>C14</f>
        <v>(a) Comprehensive Agricultural Support Programme Grant</v>
      </c>
      <c r="AL14" s="396">
        <f>IFERROR(U14-D14,0)</f>
        <v>0</v>
      </c>
      <c r="AM14" s="397">
        <f t="shared" ref="AM14:AP27" si="11">IFERROR(V14-E14,0)</f>
        <v>0</v>
      </c>
      <c r="AN14" s="398">
        <f t="shared" si="11"/>
        <v>0</v>
      </c>
      <c r="AO14" s="398">
        <f t="shared" si="11"/>
        <v>-154329</v>
      </c>
      <c r="AP14" s="396">
        <f t="shared" si="11"/>
        <v>-154329</v>
      </c>
      <c r="AQ14" s="399"/>
      <c r="AR14" s="400">
        <f t="shared" ref="AR14:AS27" si="12">IFERROR(AA14-J14,0)</f>
        <v>-805207</v>
      </c>
      <c r="AS14" s="398">
        <f t="shared" si="12"/>
        <v>-805208.00017999997</v>
      </c>
      <c r="AT14" s="398"/>
      <c r="AU14" s="398">
        <f>IFERROR(AD14-M14,0)</f>
        <v>-1018880</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96">
        <f>EC_2!D15+FS_2!D15+GT_2!D15+KZN_2!D15+LIM_2!D15+MPU_2!D15+NC_2!D15+NW_2!D15+WC_2!D15</f>
        <v>583359</v>
      </c>
      <c r="E15" s="199">
        <f>EC_2!E15+FS_2!E15+GT_2!E15+KZN_2!E15+LIM_2!E15+MPU_2!E15+NC_2!E15+NW_2!E15+WC_2!E15</f>
        <v>-45268</v>
      </c>
      <c r="F15" s="59">
        <f>EC_2!F15+FS_2!F15+GT_2!F15+KZN_2!F15+LIM_2!F15+MPU_2!F15+NC_2!F15+NW_2!F15+WC_2!F15</f>
        <v>538091</v>
      </c>
      <c r="G15" s="59">
        <f>EC_2!G15+FS_2!G15+GT_2!G15+KZN_2!G15+LIM_2!G15+MPU_2!G15+NC_2!G15+NW_2!G15+WC_2!G15</f>
        <v>37051</v>
      </c>
      <c r="H15" s="96">
        <f>EC_2!H15+FS_2!H15+GT_2!H15+KZN_2!H15+LIM_2!H15+MPU_2!H15+NC_2!H15+NW_2!H15+WC_2!H15</f>
        <v>575142</v>
      </c>
      <c r="I15" s="217">
        <f>EC_2!I15+FS_2!I15+GT_2!I15+KZN_2!I15+LIM_2!I15+MPU_2!I15+NC_2!I15+NW_2!I15+WC_2!I15</f>
        <v>0</v>
      </c>
      <c r="J15" s="102">
        <f>EC_2!J15+FS_2!J15+GT_2!J15+KZN_2!J15+LIM_2!J15+MPU_2!J15+NC_2!J15+NW_2!J15+WC_2!J15</f>
        <v>538091</v>
      </c>
      <c r="K15" s="59">
        <f>EC_2!K15+FS_2!K15+GT_2!K15+KZN_2!K15+LIM_2!K15+MPU_2!K15+NC_2!K15+NW_2!K15+WC_2!K15</f>
        <v>538091</v>
      </c>
      <c r="L15" s="59">
        <f>EC_2!L15+FS_2!L15+GT_2!L15+KZN_2!L15+LIM_2!L15+MPU_2!L15+NC_2!L15+NW_2!L15+WC_2!L15</f>
        <v>0</v>
      </c>
      <c r="M15" s="59">
        <f>EC_2!M15+FS_2!M15+GT_2!M15+KZN_2!M15+LIM_2!M15+MPU_2!M15+NC_2!M15+NW_2!M15+WC_2!M15</f>
        <v>503048</v>
      </c>
      <c r="N15" s="172">
        <f t="shared" si="9"/>
        <v>0.87465008641344222</v>
      </c>
      <c r="O15" s="60"/>
      <c r="P15" s="56"/>
      <c r="Q15" s="56"/>
      <c r="R15"/>
      <c r="S15" s="57"/>
      <c r="T15" s="58" t="str">
        <f t="shared" ref="T15:T18" si="13">C15</f>
        <v>(b) Ilima/Letsema Projects Grant</v>
      </c>
      <c r="U15" s="96">
        <v>583359</v>
      </c>
      <c r="V15" s="199">
        <v>0</v>
      </c>
      <c r="W15" s="59">
        <v>583359</v>
      </c>
      <c r="X15" s="59">
        <v>0</v>
      </c>
      <c r="Y15" s="96">
        <v>583359</v>
      </c>
      <c r="Z15" s="217"/>
      <c r="AA15" s="102">
        <v>280858</v>
      </c>
      <c r="AB15" s="59">
        <v>280858</v>
      </c>
      <c r="AC15" s="59"/>
      <c r="AD15" s="59">
        <v>214350</v>
      </c>
      <c r="AE15" s="172">
        <v>0.36744097545422288</v>
      </c>
      <c r="AF15" s="60"/>
      <c r="AG15" s="443"/>
      <c r="AH15" s="443"/>
      <c r="AI15"/>
      <c r="AJ15" s="394"/>
      <c r="AK15" s="479" t="str">
        <f t="shared" ref="AK15:AK18" si="14">C15</f>
        <v>(b) Ilima/Letsema Projects Grant</v>
      </c>
      <c r="AL15" s="396">
        <f t="shared" ref="AL15:AL18" si="15">IFERROR(U15-D15,0)</f>
        <v>0</v>
      </c>
      <c r="AM15" s="397">
        <f t="shared" ref="AM15:AM18" si="16">IFERROR(V15-E15,0)</f>
        <v>45268</v>
      </c>
      <c r="AN15" s="398">
        <f t="shared" ref="AN15:AN18" si="17">IFERROR(W15-F15,0)</f>
        <v>45268</v>
      </c>
      <c r="AO15" s="398">
        <f t="shared" ref="AO15:AO18" si="18">IFERROR(X15-G15,0)</f>
        <v>-37051</v>
      </c>
      <c r="AP15" s="396">
        <f t="shared" ref="AP15:AP18" si="19">IFERROR(Y15-H15,0)</f>
        <v>8217</v>
      </c>
      <c r="AQ15" s="399"/>
      <c r="AR15" s="400">
        <f t="shared" ref="AR15:AR18" si="20">IFERROR(AA15-J15,0)</f>
        <v>-257233</v>
      </c>
      <c r="AS15" s="398">
        <f t="shared" ref="AS15:AS18" si="21">IFERROR(AB15-K15,0)</f>
        <v>-257233</v>
      </c>
      <c r="AT15" s="398"/>
      <c r="AU15" s="398">
        <f t="shared" ref="AU15:AU18" si="22">IFERROR(AD15-M15,0)</f>
        <v>-288698</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96">
        <f>EC_2!D16+FS_2!D16+GT_2!D16+KZN_2!D16+LIM_2!D16+MPU_2!D16+NC_2!D16+NW_2!D16+WC_2!D16</f>
        <v>82234</v>
      </c>
      <c r="E16" s="199">
        <f>EC_2!E16+FS_2!E16+GT_2!E16+KZN_2!E16+LIM_2!E16+MPU_2!E16+NC_2!E16+NW_2!E16+WC_2!E16</f>
        <v>0</v>
      </c>
      <c r="F16" s="59">
        <f>EC_2!F16+FS_2!F16+GT_2!F16+KZN_2!F16+LIM_2!F16+MPU_2!F16+NC_2!F16+NW_2!F16+WC_2!F16</f>
        <v>82234</v>
      </c>
      <c r="G16" s="59">
        <f>EC_2!G16+FS_2!G16+GT_2!G16+KZN_2!G16+LIM_2!G16+MPU_2!G16+NC_2!G16+NW_2!G16+WC_2!G16</f>
        <v>12944</v>
      </c>
      <c r="H16" s="96">
        <f>EC_2!H16+FS_2!H16+GT_2!H16+KZN_2!H16+LIM_2!H16+MPU_2!H16+NC_2!H16+NW_2!H16+WC_2!H16</f>
        <v>95178</v>
      </c>
      <c r="I16" s="217">
        <f>EC_2!I16+FS_2!I16+GT_2!I16+KZN_2!I16+LIM_2!I16+MPU_2!I16+NC_2!I16+NW_2!I16+WC_2!I16</f>
        <v>0</v>
      </c>
      <c r="J16" s="102">
        <f>EC_2!J16+FS_2!J16+GT_2!J16+KZN_2!J16+LIM_2!J16+MPU_2!J16+NC_2!J16+NW_2!J16+WC_2!J16</f>
        <v>82234</v>
      </c>
      <c r="K16" s="59">
        <f>EC_2!K16+FS_2!K16+GT_2!K16+KZN_2!K16+LIM_2!K16+MPU_2!K16+NC_2!K16+NW_2!K16+WC_2!K16</f>
        <v>81099</v>
      </c>
      <c r="L16" s="59">
        <f>EC_2!L16+FS_2!L16+GT_2!L16+KZN_2!L16+LIM_2!L16+MPU_2!L16+NC_2!L16+NW_2!L16+WC_2!L16</f>
        <v>0</v>
      </c>
      <c r="M16" s="59">
        <f>EC_2!M16+FS_2!M16+GT_2!M16+KZN_2!M16+LIM_2!M16+MPU_2!M16+NC_2!M16+NW_2!M16+WC_2!M16</f>
        <v>92754</v>
      </c>
      <c r="N16" s="172">
        <f t="shared" si="9"/>
        <v>0.9745319296476076</v>
      </c>
      <c r="O16" s="60"/>
      <c r="P16" s="56"/>
      <c r="Q16" s="56"/>
      <c r="R16"/>
      <c r="S16" s="57"/>
      <c r="T16" s="58" t="str">
        <f t="shared" si="13"/>
        <v>(c) Land Care Programme Grant: Poverty Relief and Infrastructure Development</v>
      </c>
      <c r="U16" s="96">
        <v>82234</v>
      </c>
      <c r="V16" s="199">
        <v>0</v>
      </c>
      <c r="W16" s="59">
        <v>82234</v>
      </c>
      <c r="X16" s="59">
        <v>0</v>
      </c>
      <c r="Y16" s="96">
        <v>82234</v>
      </c>
      <c r="Z16" s="217"/>
      <c r="AA16" s="102">
        <v>37005</v>
      </c>
      <c r="AB16" s="59">
        <v>35166</v>
      </c>
      <c r="AC16" s="59"/>
      <c r="AD16" s="59">
        <v>43122</v>
      </c>
      <c r="AE16" s="172">
        <v>0.52438164262956932</v>
      </c>
      <c r="AF16" s="60"/>
      <c r="AG16" s="443"/>
      <c r="AH16" s="443"/>
      <c r="AI16"/>
      <c r="AJ16" s="394"/>
      <c r="AK16" s="479" t="str">
        <f t="shared" si="14"/>
        <v>(c) Land Care Programme Grant: Poverty Relief and Infrastructure Development</v>
      </c>
      <c r="AL16" s="396">
        <f t="shared" si="15"/>
        <v>0</v>
      </c>
      <c r="AM16" s="397">
        <f t="shared" si="16"/>
        <v>0</v>
      </c>
      <c r="AN16" s="398">
        <f t="shared" si="17"/>
        <v>0</v>
      </c>
      <c r="AO16" s="398">
        <f t="shared" si="18"/>
        <v>-12944</v>
      </c>
      <c r="AP16" s="396">
        <f t="shared" si="19"/>
        <v>-12944</v>
      </c>
      <c r="AQ16" s="399"/>
      <c r="AR16" s="400">
        <f t="shared" si="20"/>
        <v>-45229</v>
      </c>
      <c r="AS16" s="398">
        <f t="shared" si="21"/>
        <v>-45933</v>
      </c>
      <c r="AT16" s="398"/>
      <c r="AU16" s="398">
        <f t="shared" si="22"/>
        <v>-49632</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518" customFormat="1" ht="15.75" customHeight="1" x14ac:dyDescent="0.3">
      <c r="A17" s="508"/>
      <c r="B17" s="509"/>
      <c r="C17" s="510"/>
      <c r="D17" s="511">
        <f>EC_2!D17+FS_2!D17+GT_2!D17+KZN_2!D17+LIM_2!D17+MPU_2!D17+NC_2!D17+NW_2!D17+WC_2!D17</f>
        <v>0</v>
      </c>
      <c r="E17" s="512">
        <f>EC_2!E17+FS_2!E17+GT_2!E17+KZN_2!E17+LIM_2!E17+MPU_2!E17+NC_2!E17+NW_2!E17+WC_2!E17</f>
        <v>0</v>
      </c>
      <c r="F17" s="513">
        <f>EC_2!F17+FS_2!F17+GT_2!F17+KZN_2!F17+LIM_2!F17+MPU_2!F17+NC_2!F17+NW_2!F17+WC_2!F17</f>
        <v>0</v>
      </c>
      <c r="G17" s="513">
        <f>EC_2!G17+FS_2!G17+GT_2!G17+KZN_2!G17+LIM_2!G17+MPU_2!G17+NC_2!G17+NW_2!G17+WC_2!G17</f>
        <v>0</v>
      </c>
      <c r="H17" s="511">
        <f>EC_2!H17+FS_2!H17+GT_2!H17+KZN_2!H17+LIM_2!H17+MPU_2!H17+NC_2!H17+NW_2!H17+WC_2!H17</f>
        <v>0</v>
      </c>
      <c r="I17" s="514">
        <f>EC_2!I17+FS_2!I17+GT_2!I17+KZN_2!I17+LIM_2!I17+MPU_2!I17+NC_2!I17+NW_2!I17+WC_2!I17</f>
        <v>0</v>
      </c>
      <c r="J17" s="515">
        <f>EC_2!J17+FS_2!J17+GT_2!J17+KZN_2!J17+LIM_2!J17+MPU_2!J17+NC_2!J17+NW_2!J17+WC_2!J17</f>
        <v>0</v>
      </c>
      <c r="K17" s="513">
        <f>EC_2!K17+FS_2!K17+GT_2!K17+KZN_2!K17+LIM_2!K17+MPU_2!K17+NC_2!K17+NW_2!K17+WC_2!K17</f>
        <v>0</v>
      </c>
      <c r="L17" s="513">
        <f>EC_2!L17+FS_2!L17+GT_2!L17+KZN_2!L17+LIM_2!L17+MPU_2!L17+NC_2!L17+NW_2!L17+WC_2!L17</f>
        <v>0</v>
      </c>
      <c r="M17" s="513">
        <f>EC_2!M17+FS_2!M17+GT_2!M17+KZN_2!M17+LIM_2!M17+MPU_2!M17+NC_2!M17+NW_2!M17+WC_2!M17</f>
        <v>0</v>
      </c>
      <c r="N17" s="516">
        <f t="shared" ref="N17:N18" si="23">IFERROR(M17/F17,0)</f>
        <v>0</v>
      </c>
      <c r="O17" s="517"/>
      <c r="R17" s="508"/>
      <c r="S17" s="509"/>
      <c r="T17" s="510">
        <f t="shared" si="13"/>
        <v>0</v>
      </c>
      <c r="U17" s="511">
        <v>0</v>
      </c>
      <c r="V17" s="512">
        <v>0</v>
      </c>
      <c r="W17" s="513">
        <v>0</v>
      </c>
      <c r="X17" s="513">
        <v>0</v>
      </c>
      <c r="Y17" s="511">
        <v>0</v>
      </c>
      <c r="Z17" s="514"/>
      <c r="AA17" s="515">
        <v>0</v>
      </c>
      <c r="AB17" s="513">
        <v>0</v>
      </c>
      <c r="AC17" s="513"/>
      <c r="AD17" s="513">
        <v>0</v>
      </c>
      <c r="AE17" s="516">
        <v>0</v>
      </c>
      <c r="AF17" s="517"/>
      <c r="AG17" s="519"/>
      <c r="AH17" s="519"/>
      <c r="AI17" s="508"/>
      <c r="AJ17" s="520"/>
      <c r="AK17" s="521">
        <f t="shared" si="14"/>
        <v>0</v>
      </c>
      <c r="AL17" s="522">
        <f t="shared" si="15"/>
        <v>0</v>
      </c>
      <c r="AM17" s="523">
        <f t="shared" si="16"/>
        <v>0</v>
      </c>
      <c r="AN17" s="524">
        <f t="shared" si="17"/>
        <v>0</v>
      </c>
      <c r="AO17" s="524">
        <f t="shared" si="18"/>
        <v>0</v>
      </c>
      <c r="AP17" s="522">
        <f t="shared" si="19"/>
        <v>0</v>
      </c>
      <c r="AQ17" s="525"/>
      <c r="AR17" s="526">
        <f t="shared" si="20"/>
        <v>0</v>
      </c>
      <c r="AS17" s="524">
        <f t="shared" si="21"/>
        <v>0</v>
      </c>
      <c r="AT17" s="524"/>
      <c r="AU17" s="524">
        <f t="shared" si="22"/>
        <v>0</v>
      </c>
      <c r="AV17" s="527"/>
      <c r="AW17" s="52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row>
    <row r="18" spans="1:82" s="529" customFormat="1" ht="15.75" customHeight="1" x14ac:dyDescent="0.3">
      <c r="A18" s="508"/>
      <c r="B18" s="509"/>
      <c r="C18" s="510"/>
      <c r="D18" s="511">
        <f>EC_2!D18+FS_2!D18+GT_2!D18+KZN_2!D18+LIM_2!D18+MPU_2!D18+NC_2!D18+NW_2!D18+WC_2!D18</f>
        <v>0</v>
      </c>
      <c r="E18" s="512">
        <f>EC_2!E18+FS_2!E18+GT_2!E18+KZN_2!E18+LIM_2!E18+MPU_2!E18+NC_2!E18+NW_2!E18+WC_2!E18</f>
        <v>0</v>
      </c>
      <c r="F18" s="513">
        <f>EC_2!F18+FS_2!F18+GT_2!F18+KZN_2!F18+LIM_2!F18+MPU_2!F18+NC_2!F18+NW_2!F18+WC_2!F18</f>
        <v>0</v>
      </c>
      <c r="G18" s="513">
        <f>EC_2!G18+FS_2!G18+GT_2!G18+KZN_2!G18+LIM_2!G18+MPU_2!G18+NC_2!G18+NW_2!G18+WC_2!G18</f>
        <v>0</v>
      </c>
      <c r="H18" s="511">
        <f>EC_2!H18+FS_2!H18+GT_2!H18+KZN_2!H18+LIM_2!H18+MPU_2!H18+NC_2!H18+NW_2!H18+WC_2!H18</f>
        <v>0</v>
      </c>
      <c r="I18" s="514">
        <f>EC_2!I18+FS_2!I18+GT_2!I18+KZN_2!I18+LIM_2!I18+MPU_2!I18+NC_2!I18+NW_2!I18+WC_2!I18</f>
        <v>0</v>
      </c>
      <c r="J18" s="515">
        <f>EC_2!J18+FS_2!J18+GT_2!J18+KZN_2!J18+LIM_2!J18+MPU_2!J18+NC_2!J18+NW_2!J18+WC_2!J18</f>
        <v>0</v>
      </c>
      <c r="K18" s="513">
        <f>EC_2!K18+FS_2!K18+GT_2!K18+KZN_2!K18+LIM_2!K18+MPU_2!K18+NC_2!K18+NW_2!K18+WC_2!K18</f>
        <v>0</v>
      </c>
      <c r="L18" s="513">
        <f>EC_2!L18+FS_2!L18+GT_2!L18+KZN_2!L18+LIM_2!L18+MPU_2!L18+NC_2!L18+NW_2!L18+WC_2!L18</f>
        <v>0</v>
      </c>
      <c r="M18" s="513">
        <f>EC_2!M18+FS_2!M18+GT_2!M18+KZN_2!M18+LIM_2!M18+MPU_2!M18+NC_2!M18+NW_2!M18+WC_2!M18</f>
        <v>0</v>
      </c>
      <c r="N18" s="516">
        <f t="shared" si="23"/>
        <v>0</v>
      </c>
      <c r="O18" s="517"/>
      <c r="P18" s="518"/>
      <c r="Q18" s="518"/>
      <c r="R18" s="508"/>
      <c r="S18" s="509"/>
      <c r="T18" s="510">
        <f t="shared" si="13"/>
        <v>0</v>
      </c>
      <c r="U18" s="511">
        <v>0</v>
      </c>
      <c r="V18" s="512">
        <v>0</v>
      </c>
      <c r="W18" s="513">
        <v>0</v>
      </c>
      <c r="X18" s="513">
        <v>0</v>
      </c>
      <c r="Y18" s="511">
        <v>0</v>
      </c>
      <c r="Z18" s="514"/>
      <c r="AA18" s="515">
        <v>0</v>
      </c>
      <c r="AB18" s="513">
        <v>0</v>
      </c>
      <c r="AC18" s="513"/>
      <c r="AD18" s="513">
        <v>0</v>
      </c>
      <c r="AE18" s="516">
        <v>0</v>
      </c>
      <c r="AF18" s="517"/>
      <c r="AG18" s="519"/>
      <c r="AH18" s="519"/>
      <c r="AI18" s="508"/>
      <c r="AJ18" s="520"/>
      <c r="AK18" s="521">
        <f t="shared" si="14"/>
        <v>0</v>
      </c>
      <c r="AL18" s="522">
        <f t="shared" si="15"/>
        <v>0</v>
      </c>
      <c r="AM18" s="523">
        <f t="shared" si="16"/>
        <v>0</v>
      </c>
      <c r="AN18" s="524">
        <f t="shared" si="17"/>
        <v>0</v>
      </c>
      <c r="AO18" s="524">
        <f t="shared" si="18"/>
        <v>0</v>
      </c>
      <c r="AP18" s="522">
        <f t="shared" si="19"/>
        <v>0</v>
      </c>
      <c r="AQ18" s="525"/>
      <c r="AR18" s="526">
        <f t="shared" si="20"/>
        <v>0</v>
      </c>
      <c r="AS18" s="524">
        <f t="shared" si="21"/>
        <v>0</v>
      </c>
      <c r="AT18" s="524"/>
      <c r="AU18" s="524">
        <f t="shared" si="22"/>
        <v>0</v>
      </c>
      <c r="AV18" s="527"/>
      <c r="AW18" s="52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508"/>
      <c r="BY18" s="508"/>
      <c r="BZ18" s="508"/>
      <c r="CA18" s="508"/>
      <c r="CB18" s="508"/>
      <c r="CC18" s="508"/>
      <c r="CD18" s="508"/>
    </row>
    <row r="19" spans="1:82" s="518" customFormat="1" ht="8.25" customHeight="1" x14ac:dyDescent="0.3">
      <c r="A19" s="508"/>
      <c r="B19" s="509"/>
      <c r="C19" s="510"/>
      <c r="D19" s="511">
        <f>EC_2!D19+FS_2!D19+GT_2!D19+KZN_2!D19+LIM_2!D19+MPU_2!D19+NC_2!D19+NW_2!D19+WC_2!D19</f>
        <v>0</v>
      </c>
      <c r="E19" s="512">
        <f>EC_2!E19+FS_2!E19+GT_2!E19+KZN_2!E19+LIM_2!E19+MPU_2!E19+NC_2!E19+NW_2!E19+WC_2!E19</f>
        <v>0</v>
      </c>
      <c r="F19" s="513">
        <f>EC_2!F19+FS_2!F19+GT_2!F19+KZN_2!F19+LIM_2!F19+MPU_2!F19+NC_2!F19+NW_2!F19+WC_2!F19</f>
        <v>0</v>
      </c>
      <c r="G19" s="513">
        <f>EC_2!G19+FS_2!G19+GT_2!G19+KZN_2!G19+LIM_2!G19+MPU_2!G19+NC_2!G19+NW_2!G19+WC_2!G19</f>
        <v>0</v>
      </c>
      <c r="H19" s="511">
        <f>EC_2!H19+FS_2!H19+GT_2!H19+KZN_2!H19+LIM_2!H19+MPU_2!H19+NC_2!H19+NW_2!H19+WC_2!H19</f>
        <v>0</v>
      </c>
      <c r="I19" s="514">
        <f>EC_2!I19+FS_2!I19+GT_2!I19+KZN_2!I19+LIM_2!I19+MPU_2!I19+NC_2!I19+NW_2!I19+WC_2!I19</f>
        <v>0</v>
      </c>
      <c r="J19" s="515">
        <f>EC_2!J19+FS_2!J19+GT_2!J19+KZN_2!J19+LIM_2!J19+MPU_2!J19+NC_2!J19+NW_2!J19+WC_2!J19</f>
        <v>0</v>
      </c>
      <c r="K19" s="513">
        <f>EC_2!K19+FS_2!K19+GT_2!K19+KZN_2!K19+LIM_2!K19+MPU_2!K19+NC_2!K19+NW_2!K19+WC_2!K19</f>
        <v>0</v>
      </c>
      <c r="L19" s="513">
        <f>EC_2!L19+FS_2!L19+GT_2!L19+KZN_2!L19+LIM_2!L19+MPU_2!L19+NC_2!L19+NW_2!L19+WC_2!L19</f>
        <v>0</v>
      </c>
      <c r="M19" s="513">
        <f>EC_2!M19+FS_2!M19+GT_2!M19+KZN_2!M19+LIM_2!M19+MPU_2!M19+NC_2!M19+NW_2!M19+WC_2!M19</f>
        <v>0</v>
      </c>
      <c r="N19" s="516"/>
      <c r="O19" s="517"/>
      <c r="R19" s="508"/>
      <c r="S19" s="509"/>
      <c r="T19" s="510"/>
      <c r="U19" s="511"/>
      <c r="V19" s="512"/>
      <c r="W19" s="513"/>
      <c r="X19" s="513"/>
      <c r="Y19" s="511"/>
      <c r="Z19" s="514"/>
      <c r="AA19" s="515"/>
      <c r="AB19" s="513"/>
      <c r="AC19" s="513"/>
      <c r="AD19" s="513"/>
      <c r="AE19" s="516"/>
      <c r="AF19" s="517"/>
      <c r="AG19" s="519"/>
      <c r="AH19" s="519"/>
      <c r="AI19" s="508"/>
      <c r="AJ19" s="520"/>
      <c r="AK19" s="521">
        <f t="shared" ref="AK19:AK78" si="24">C19</f>
        <v>0</v>
      </c>
      <c r="AL19" s="522">
        <f t="shared" ref="AL19:AL27" si="25">IFERROR(U19-D19,0)</f>
        <v>0</v>
      </c>
      <c r="AM19" s="523">
        <f t="shared" si="11"/>
        <v>0</v>
      </c>
      <c r="AN19" s="524">
        <f t="shared" si="11"/>
        <v>0</v>
      </c>
      <c r="AO19" s="524">
        <f t="shared" si="11"/>
        <v>0</v>
      </c>
      <c r="AP19" s="522">
        <f t="shared" si="11"/>
        <v>0</v>
      </c>
      <c r="AQ19" s="525"/>
      <c r="AR19" s="526">
        <f t="shared" si="12"/>
        <v>0</v>
      </c>
      <c r="AS19" s="524">
        <f t="shared" si="12"/>
        <v>0</v>
      </c>
      <c r="AT19" s="524"/>
      <c r="AU19" s="524">
        <f t="shared" ref="AU19:AU78" si="26">IFERROR(AD19-M19,0)</f>
        <v>0</v>
      </c>
      <c r="AV19" s="527"/>
      <c r="AW19" s="52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8"/>
    </row>
    <row r="20" spans="1:82" s="35" customFormat="1" ht="15.75" customHeight="1" x14ac:dyDescent="0.3">
      <c r="A20"/>
      <c r="B20" s="62"/>
      <c r="C20" s="51" t="s">
        <v>20</v>
      </c>
      <c r="D20" s="95">
        <f>EC_2!D20+FS_2!D20+GT_2!D20+KZN_2!D20+LIM_2!D20+MPU_2!D20+NC_2!D20+NW_2!D20+WC_2!D20</f>
        <v>1501199</v>
      </c>
      <c r="E20" s="198">
        <f>EC_2!E20+FS_2!E20+GT_2!E20+KZN_2!E20+LIM_2!E20+MPU_2!E20+NC_2!E20+NW_2!E20+WC_2!E20</f>
        <v>0</v>
      </c>
      <c r="F20" s="54">
        <f>EC_2!F20+FS_2!F20+GT_2!F20+KZN_2!F20+LIM_2!F20+MPU_2!F20+NC_2!F20+NW_2!F20+WC_2!F20</f>
        <v>1501199</v>
      </c>
      <c r="G20" s="54">
        <f>EC_2!G20+FS_2!G20+GT_2!G20+KZN_2!G20+LIM_2!G20+MPU_2!G20+NC_2!G20+NW_2!G20+WC_2!G20</f>
        <v>35438</v>
      </c>
      <c r="H20" s="95">
        <f>EC_2!H20+FS_2!H20+GT_2!H20+KZN_2!H20+LIM_2!H20+MPU_2!H20+NC_2!H20+NW_2!H20+WC_2!H20</f>
        <v>1536637</v>
      </c>
      <c r="I20" s="216">
        <f>EC_2!I20+FS_2!I20+GT_2!I20+KZN_2!I20+LIM_2!I20+MPU_2!I20+NC_2!I20+NW_2!I20+WC_2!I20</f>
        <v>0</v>
      </c>
      <c r="J20" s="101">
        <f>EC_2!J20+FS_2!J20+GT_2!J20+KZN_2!J20+LIM_2!J20+MPU_2!J20+NC_2!J20+NW_2!J20+WC_2!J20</f>
        <v>1501199</v>
      </c>
      <c r="K20" s="54">
        <f>EC_2!K20+FS_2!K20+GT_2!K20+KZN_2!K20+LIM_2!K20+MPU_2!K20+NC_2!K20+NW_2!K20+WC_2!K20</f>
        <v>1501199</v>
      </c>
      <c r="L20" s="54">
        <f>EC_2!L20+FS_2!L20+GT_2!L20+KZN_2!L20+LIM_2!L20+MPU_2!L20+NC_2!L20+NW_2!L20+WC_2!L20</f>
        <v>0</v>
      </c>
      <c r="M20" s="54">
        <f>EC_2!M20+FS_2!M20+GT_2!M20+KZN_2!M20+LIM_2!M20+MPU_2!M20+NC_2!M20+NW_2!M20+WC_2!M20</f>
        <v>1359360</v>
      </c>
      <c r="N20" s="183">
        <f t="shared" ref="N20:N21" si="27">IFERROR(M20/H20,0)</f>
        <v>0.88463313066130778</v>
      </c>
      <c r="O20" s="63"/>
      <c r="P20" s="64"/>
      <c r="Q20" s="64"/>
      <c r="R20"/>
      <c r="S20" s="62"/>
      <c r="T20" s="51" t="str">
        <f>C20</f>
        <v>Arts and Culture (Vote 37)</v>
      </c>
      <c r="U20" s="95">
        <v>1501199</v>
      </c>
      <c r="V20" s="198">
        <v>0</v>
      </c>
      <c r="W20" s="54">
        <v>1501199</v>
      </c>
      <c r="X20" s="54">
        <v>0</v>
      </c>
      <c r="Y20" s="95">
        <v>1501199</v>
      </c>
      <c r="Z20" s="216"/>
      <c r="AA20" s="101">
        <v>802143</v>
      </c>
      <c r="AB20" s="54">
        <v>802143</v>
      </c>
      <c r="AC20" s="54"/>
      <c r="AD20" s="54">
        <v>651084</v>
      </c>
      <c r="AE20" s="172">
        <v>0.43370932168220205</v>
      </c>
      <c r="AF20" s="63"/>
      <c r="AG20" s="444"/>
      <c r="AH20" s="444"/>
      <c r="AI20"/>
      <c r="AJ20" s="402"/>
      <c r="AK20" s="480" t="str">
        <f t="shared" si="24"/>
        <v>Arts and Culture (Vote 37)</v>
      </c>
      <c r="AL20" s="388">
        <f t="shared" si="25"/>
        <v>0</v>
      </c>
      <c r="AM20" s="389">
        <f t="shared" si="11"/>
        <v>0</v>
      </c>
      <c r="AN20" s="390">
        <f t="shared" si="11"/>
        <v>0</v>
      </c>
      <c r="AO20" s="390">
        <f t="shared" si="11"/>
        <v>-35438</v>
      </c>
      <c r="AP20" s="388">
        <f t="shared" si="11"/>
        <v>-35438</v>
      </c>
      <c r="AQ20" s="391"/>
      <c r="AR20" s="392">
        <f t="shared" si="12"/>
        <v>-699056</v>
      </c>
      <c r="AS20" s="390">
        <f t="shared" si="12"/>
        <v>-699056</v>
      </c>
      <c r="AT20" s="390"/>
      <c r="AU20" s="390">
        <f t="shared" si="26"/>
        <v>-708276</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66" customFormat="1" ht="15.75" customHeight="1" x14ac:dyDescent="0.3">
      <c r="A21"/>
      <c r="B21" s="57"/>
      <c r="C21" s="58" t="s">
        <v>21</v>
      </c>
      <c r="D21" s="96">
        <f>EC_2!D21+FS_2!D21+GT_2!D21+KZN_2!D21+LIM_2!D21+MPU_2!D21+NC_2!D21+NW_2!D21+WC_2!D21</f>
        <v>1501199</v>
      </c>
      <c r="E21" s="199">
        <f>EC_2!E21+FS_2!E21+GT_2!E21+KZN_2!E21+LIM_2!E21+MPU_2!E21+NC_2!E21+NW_2!E21+WC_2!E21</f>
        <v>0</v>
      </c>
      <c r="F21" s="59">
        <f>EC_2!F21+FS_2!F21+GT_2!F21+KZN_2!F21+LIM_2!F21+MPU_2!F21+NC_2!F21+NW_2!F21+WC_2!F21</f>
        <v>1501199</v>
      </c>
      <c r="G21" s="59">
        <f>EC_2!G21+FS_2!G21+GT_2!G21+KZN_2!G21+LIM_2!G21+MPU_2!G21+NC_2!G21+NW_2!G21+WC_2!G21</f>
        <v>35438</v>
      </c>
      <c r="H21" s="96">
        <f>EC_2!H21+FS_2!H21+GT_2!H21+KZN_2!H21+LIM_2!H21+MPU_2!H21+NC_2!H21+NW_2!H21+WC_2!H21</f>
        <v>1536637</v>
      </c>
      <c r="I21" s="217">
        <f>EC_2!I21+FS_2!I21+GT_2!I21+KZN_2!I21+LIM_2!I21+MPU_2!I21+NC_2!I21+NW_2!I21+WC_2!I21</f>
        <v>0</v>
      </c>
      <c r="J21" s="102">
        <f>EC_2!J21+FS_2!J21+GT_2!J21+KZN_2!J21+LIM_2!J21+MPU_2!J21+NC_2!J21+NW_2!J21+WC_2!J21</f>
        <v>1501199</v>
      </c>
      <c r="K21" s="59">
        <f>EC_2!K21+FS_2!K21+GT_2!K21+KZN_2!K21+LIM_2!K21+MPU_2!K21+NC_2!K21+NW_2!K21+WC_2!K21</f>
        <v>1501199</v>
      </c>
      <c r="L21" s="59">
        <f>EC_2!L21+FS_2!L21+GT_2!L21+KZN_2!L21+LIM_2!L21+MPU_2!L21+NC_2!L21+NW_2!L21+WC_2!L21</f>
        <v>0</v>
      </c>
      <c r="M21" s="59">
        <f>EC_2!M21+FS_2!M21+GT_2!M21+KZN_2!M21+LIM_2!M21+MPU_2!M21+NC_2!M21+NW_2!M21+WC_2!M21</f>
        <v>1359360</v>
      </c>
      <c r="N21" s="172">
        <f t="shared" si="27"/>
        <v>0.88463313066130778</v>
      </c>
      <c r="O21" s="60"/>
      <c r="P21" s="56"/>
      <c r="Q21" s="56"/>
      <c r="R21"/>
      <c r="S21" s="57"/>
      <c r="T21" s="58" t="str">
        <f t="shared" ref="T21:T25" si="28">C21</f>
        <v>Community Library Services Grant</v>
      </c>
      <c r="U21" s="96">
        <v>1501199</v>
      </c>
      <c r="V21" s="199">
        <v>0</v>
      </c>
      <c r="W21" s="59">
        <v>1501199</v>
      </c>
      <c r="X21" s="59">
        <v>0</v>
      </c>
      <c r="Y21" s="96">
        <v>1501199</v>
      </c>
      <c r="Z21" s="217"/>
      <c r="AA21" s="102">
        <v>802143</v>
      </c>
      <c r="AB21" s="59">
        <v>802143</v>
      </c>
      <c r="AC21" s="59"/>
      <c r="AD21" s="59">
        <v>651084</v>
      </c>
      <c r="AE21" s="172">
        <v>0.43370932168220205</v>
      </c>
      <c r="AF21" s="60"/>
      <c r="AG21" s="443"/>
      <c r="AH21" s="443"/>
      <c r="AI21"/>
      <c r="AJ21" s="394"/>
      <c r="AK21" s="479" t="str">
        <f>C21</f>
        <v>Community Library Services Grant</v>
      </c>
      <c r="AL21" s="396">
        <f>IFERROR(U21-D21,0)</f>
        <v>0</v>
      </c>
      <c r="AM21" s="397">
        <f t="shared" ref="AM21:AM25" si="29">IFERROR(V21-E21,0)</f>
        <v>0</v>
      </c>
      <c r="AN21" s="398">
        <f t="shared" ref="AN21:AN25" si="30">IFERROR(W21-F21,0)</f>
        <v>0</v>
      </c>
      <c r="AO21" s="398">
        <f t="shared" ref="AO21:AO25" si="31">IFERROR(X21-G21,0)</f>
        <v>-35438</v>
      </c>
      <c r="AP21" s="396">
        <f t="shared" ref="AP21:AP25" si="32">IFERROR(Y21-H21,0)</f>
        <v>-35438</v>
      </c>
      <c r="AQ21" s="399"/>
      <c r="AR21" s="400">
        <f t="shared" ref="AR21:AR25" si="33">IFERROR(AA21-J21,0)</f>
        <v>-699056</v>
      </c>
      <c r="AS21" s="398">
        <f t="shared" ref="AS21:AS25" si="34">IFERROR(AB21-K21,0)</f>
        <v>-699056</v>
      </c>
      <c r="AT21" s="398"/>
      <c r="AU21" s="398">
        <f>IFERROR(AD21-M21,0)</f>
        <v>-708276</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530" customFormat="1" ht="15.75" customHeight="1" x14ac:dyDescent="0.3">
      <c r="A22" s="508"/>
      <c r="B22" s="509"/>
      <c r="C22" s="510"/>
      <c r="D22" s="511">
        <f>EC_2!D22+FS_2!D22+GT_2!D22+KZN_2!D22+LIM_2!D22+MPU_2!D22+NC_2!D22+NW_2!D22+WC_2!D22</f>
        <v>0</v>
      </c>
      <c r="E22" s="512">
        <f>EC_2!E22+FS_2!E22+GT_2!E22+KZN_2!E22+LIM_2!E22+MPU_2!E22+NC_2!E22+NW_2!E22+WC_2!E22</f>
        <v>0</v>
      </c>
      <c r="F22" s="513">
        <f>EC_2!F22+FS_2!F22+GT_2!F22+KZN_2!F22+LIM_2!F22+MPU_2!F22+NC_2!F22+NW_2!F22+WC_2!F22</f>
        <v>0</v>
      </c>
      <c r="G22" s="513">
        <f>EC_2!G22+FS_2!G22+GT_2!G22+KZN_2!G22+LIM_2!G22+MPU_2!G22+NC_2!G22+NW_2!G22+WC_2!G22</f>
        <v>0</v>
      </c>
      <c r="H22" s="511">
        <f>EC_2!H22+FS_2!H22+GT_2!H22+KZN_2!H22+LIM_2!H22+MPU_2!H22+NC_2!H22+NW_2!H22+WC_2!H22</f>
        <v>0</v>
      </c>
      <c r="I22" s="514">
        <f>EC_2!I22+FS_2!I22+GT_2!I22+KZN_2!I22+LIM_2!I22+MPU_2!I22+NC_2!I22+NW_2!I22+WC_2!I22</f>
        <v>0</v>
      </c>
      <c r="J22" s="515">
        <f>EC_2!J22+FS_2!J22+GT_2!J22+KZN_2!J22+LIM_2!J22+MPU_2!J22+NC_2!J22+NW_2!J22+WC_2!J22</f>
        <v>0</v>
      </c>
      <c r="K22" s="513">
        <f>EC_2!K22+FS_2!K22+GT_2!K22+KZN_2!K22+LIM_2!K22+MPU_2!K22+NC_2!K22+NW_2!K22+WC_2!K22</f>
        <v>0</v>
      </c>
      <c r="L22" s="513">
        <f>EC_2!L22+FS_2!L22+GT_2!L22+KZN_2!L22+LIM_2!L22+MPU_2!L22+NC_2!L22+NW_2!L22+WC_2!L22</f>
        <v>0</v>
      </c>
      <c r="M22" s="513">
        <f>EC_2!M22+FS_2!M22+GT_2!M22+KZN_2!M22+LIM_2!M22+MPU_2!M22+NC_2!M22+NW_2!M22+WC_2!M22</f>
        <v>0</v>
      </c>
      <c r="N22" s="516">
        <f t="shared" ref="N22:N25" si="35">IFERROR(M22/F22,0)</f>
        <v>0</v>
      </c>
      <c r="O22" s="517"/>
      <c r="P22" s="518"/>
      <c r="Q22" s="518"/>
      <c r="R22" s="508"/>
      <c r="S22" s="509"/>
      <c r="T22" s="510">
        <f t="shared" si="28"/>
        <v>0</v>
      </c>
      <c r="U22" s="511">
        <v>0</v>
      </c>
      <c r="V22" s="512">
        <v>0</v>
      </c>
      <c r="W22" s="513">
        <v>0</v>
      </c>
      <c r="X22" s="513">
        <v>0</v>
      </c>
      <c r="Y22" s="511">
        <v>0</v>
      </c>
      <c r="Z22" s="514"/>
      <c r="AA22" s="515">
        <v>0</v>
      </c>
      <c r="AB22" s="513">
        <v>0</v>
      </c>
      <c r="AC22" s="513"/>
      <c r="AD22" s="513">
        <v>0</v>
      </c>
      <c r="AE22" s="516">
        <v>0</v>
      </c>
      <c r="AF22" s="517"/>
      <c r="AG22" s="519"/>
      <c r="AH22" s="519"/>
      <c r="AI22" s="508"/>
      <c r="AJ22" s="520"/>
      <c r="AK22" s="521">
        <f t="shared" ref="AK22:AK25" si="36">C22</f>
        <v>0</v>
      </c>
      <c r="AL22" s="522">
        <f t="shared" ref="AL22:AL25" si="37">IFERROR(U22-D22,0)</f>
        <v>0</v>
      </c>
      <c r="AM22" s="523">
        <f t="shared" si="29"/>
        <v>0</v>
      </c>
      <c r="AN22" s="524">
        <f t="shared" si="30"/>
        <v>0</v>
      </c>
      <c r="AO22" s="524">
        <f t="shared" si="31"/>
        <v>0</v>
      </c>
      <c r="AP22" s="522">
        <f t="shared" si="32"/>
        <v>0</v>
      </c>
      <c r="AQ22" s="525"/>
      <c r="AR22" s="526">
        <f t="shared" si="33"/>
        <v>0</v>
      </c>
      <c r="AS22" s="524">
        <f t="shared" si="34"/>
        <v>0</v>
      </c>
      <c r="AT22" s="524"/>
      <c r="AU22" s="524">
        <f t="shared" ref="AU22:AU25" si="38">IFERROR(AD22-M22,0)</f>
        <v>0</v>
      </c>
      <c r="AV22" s="527"/>
      <c r="AW22" s="52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row>
    <row r="23" spans="1:82" s="530" customFormat="1" ht="15.75" customHeight="1" x14ac:dyDescent="0.3">
      <c r="A23" s="508"/>
      <c r="B23" s="509"/>
      <c r="C23" s="510"/>
      <c r="D23" s="511">
        <f>EC_2!D23+FS_2!D23+GT_2!D23+KZN_2!D23+LIM_2!D23+MPU_2!D23+NC_2!D23+NW_2!D23+WC_2!D23</f>
        <v>0</v>
      </c>
      <c r="E23" s="512">
        <f>EC_2!E23+FS_2!E23+GT_2!E23+KZN_2!E23+LIM_2!E23+MPU_2!E23+NC_2!E23+NW_2!E23+WC_2!E23</f>
        <v>0</v>
      </c>
      <c r="F23" s="513">
        <f>EC_2!F23+FS_2!F23+GT_2!F23+KZN_2!F23+LIM_2!F23+MPU_2!F23+NC_2!F23+NW_2!F23+WC_2!F23</f>
        <v>0</v>
      </c>
      <c r="G23" s="513">
        <f>EC_2!G23+FS_2!G23+GT_2!G23+KZN_2!G23+LIM_2!G23+MPU_2!G23+NC_2!G23+NW_2!G23+WC_2!G23</f>
        <v>0</v>
      </c>
      <c r="H23" s="511">
        <f>EC_2!H23+FS_2!H23+GT_2!H23+KZN_2!H23+LIM_2!H23+MPU_2!H23+NC_2!H23+NW_2!H23+WC_2!H23</f>
        <v>0</v>
      </c>
      <c r="I23" s="514">
        <f>EC_2!I23+FS_2!I23+GT_2!I23+KZN_2!I23+LIM_2!I23+MPU_2!I23+NC_2!I23+NW_2!I23+WC_2!I23</f>
        <v>0</v>
      </c>
      <c r="J23" s="515">
        <f>EC_2!J23+FS_2!J23+GT_2!J23+KZN_2!J23+LIM_2!J23+MPU_2!J23+NC_2!J23+NW_2!J23+WC_2!J23</f>
        <v>0</v>
      </c>
      <c r="K23" s="513">
        <f>EC_2!K23+FS_2!K23+GT_2!K23+KZN_2!K23+LIM_2!K23+MPU_2!K23+NC_2!K23+NW_2!K23+WC_2!K23</f>
        <v>0</v>
      </c>
      <c r="L23" s="513">
        <f>EC_2!L23+FS_2!L23+GT_2!L23+KZN_2!L23+LIM_2!L23+MPU_2!L23+NC_2!L23+NW_2!L23+WC_2!L23</f>
        <v>0</v>
      </c>
      <c r="M23" s="513">
        <f>EC_2!M23+FS_2!M23+GT_2!M23+KZN_2!M23+LIM_2!M23+MPU_2!M23+NC_2!M23+NW_2!M23+WC_2!M23</f>
        <v>0</v>
      </c>
      <c r="N23" s="516">
        <f t="shared" si="35"/>
        <v>0</v>
      </c>
      <c r="O23" s="517"/>
      <c r="P23" s="518"/>
      <c r="Q23" s="518"/>
      <c r="R23" s="508"/>
      <c r="S23" s="509"/>
      <c r="T23" s="510">
        <f t="shared" si="28"/>
        <v>0</v>
      </c>
      <c r="U23" s="511">
        <v>0</v>
      </c>
      <c r="V23" s="512">
        <v>0</v>
      </c>
      <c r="W23" s="513">
        <v>0</v>
      </c>
      <c r="X23" s="513">
        <v>0</v>
      </c>
      <c r="Y23" s="511">
        <v>0</v>
      </c>
      <c r="Z23" s="514"/>
      <c r="AA23" s="515">
        <v>0</v>
      </c>
      <c r="AB23" s="513">
        <v>0</v>
      </c>
      <c r="AC23" s="513"/>
      <c r="AD23" s="513">
        <v>0</v>
      </c>
      <c r="AE23" s="516">
        <v>0</v>
      </c>
      <c r="AF23" s="517"/>
      <c r="AG23" s="519"/>
      <c r="AH23" s="519"/>
      <c r="AI23" s="508"/>
      <c r="AJ23" s="520"/>
      <c r="AK23" s="521">
        <f t="shared" si="36"/>
        <v>0</v>
      </c>
      <c r="AL23" s="522">
        <f t="shared" si="37"/>
        <v>0</v>
      </c>
      <c r="AM23" s="523">
        <f t="shared" si="29"/>
        <v>0</v>
      </c>
      <c r="AN23" s="524">
        <f t="shared" si="30"/>
        <v>0</v>
      </c>
      <c r="AO23" s="524">
        <f t="shared" si="31"/>
        <v>0</v>
      </c>
      <c r="AP23" s="522">
        <f t="shared" si="32"/>
        <v>0</v>
      </c>
      <c r="AQ23" s="525"/>
      <c r="AR23" s="526">
        <f t="shared" si="33"/>
        <v>0</v>
      </c>
      <c r="AS23" s="524">
        <f t="shared" si="34"/>
        <v>0</v>
      </c>
      <c r="AT23" s="524"/>
      <c r="AU23" s="524">
        <f t="shared" si="38"/>
        <v>0</v>
      </c>
      <c r="AV23" s="527"/>
      <c r="AW23" s="52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row>
    <row r="24" spans="1:82" s="530" customFormat="1" ht="15.75" customHeight="1" x14ac:dyDescent="0.3">
      <c r="A24" s="508"/>
      <c r="B24" s="509"/>
      <c r="C24" s="510"/>
      <c r="D24" s="511">
        <f>EC_2!D24+FS_2!D24+GT_2!D24+KZN_2!D24+LIM_2!D24+MPU_2!D24+NC_2!D24+NW_2!D24+WC_2!D24</f>
        <v>0</v>
      </c>
      <c r="E24" s="512">
        <f>EC_2!E24+FS_2!E24+GT_2!E24+KZN_2!E24+LIM_2!E24+MPU_2!E24+NC_2!E24+NW_2!E24+WC_2!E24</f>
        <v>0</v>
      </c>
      <c r="F24" s="513">
        <f>EC_2!F24+FS_2!F24+GT_2!F24+KZN_2!F24+LIM_2!F24+MPU_2!F24+NC_2!F24+NW_2!F24+WC_2!F24</f>
        <v>0</v>
      </c>
      <c r="G24" s="513">
        <f>EC_2!G24+FS_2!G24+GT_2!G24+KZN_2!G24+LIM_2!G24+MPU_2!G24+NC_2!G24+NW_2!G24+WC_2!G24</f>
        <v>0</v>
      </c>
      <c r="H24" s="511">
        <f>EC_2!H24+FS_2!H24+GT_2!H24+KZN_2!H24+LIM_2!H24+MPU_2!H24+NC_2!H24+NW_2!H24+WC_2!H24</f>
        <v>0</v>
      </c>
      <c r="I24" s="514">
        <f>EC_2!I24+FS_2!I24+GT_2!I24+KZN_2!I24+LIM_2!I24+MPU_2!I24+NC_2!I24+NW_2!I24+WC_2!I24</f>
        <v>0</v>
      </c>
      <c r="J24" s="515">
        <f>EC_2!J24+FS_2!J24+GT_2!J24+KZN_2!J24+LIM_2!J24+MPU_2!J24+NC_2!J24+NW_2!J24+WC_2!J24</f>
        <v>0</v>
      </c>
      <c r="K24" s="513">
        <f>EC_2!K24+FS_2!K24+GT_2!K24+KZN_2!K24+LIM_2!K24+MPU_2!K24+NC_2!K24+NW_2!K24+WC_2!K24</f>
        <v>0</v>
      </c>
      <c r="L24" s="513">
        <f>EC_2!L24+FS_2!L24+GT_2!L24+KZN_2!L24+LIM_2!L24+MPU_2!L24+NC_2!L24+NW_2!L24+WC_2!L24</f>
        <v>0</v>
      </c>
      <c r="M24" s="513">
        <f>EC_2!M24+FS_2!M24+GT_2!M24+KZN_2!M24+LIM_2!M24+MPU_2!M24+NC_2!M24+NW_2!M24+WC_2!M24</f>
        <v>0</v>
      </c>
      <c r="N24" s="516">
        <f t="shared" si="35"/>
        <v>0</v>
      </c>
      <c r="O24" s="517"/>
      <c r="P24" s="518"/>
      <c r="Q24" s="518"/>
      <c r="R24" s="508"/>
      <c r="S24" s="509"/>
      <c r="T24" s="510">
        <f t="shared" si="28"/>
        <v>0</v>
      </c>
      <c r="U24" s="511">
        <v>0</v>
      </c>
      <c r="V24" s="512">
        <v>0</v>
      </c>
      <c r="W24" s="513">
        <v>0</v>
      </c>
      <c r="X24" s="513">
        <v>0</v>
      </c>
      <c r="Y24" s="511">
        <v>0</v>
      </c>
      <c r="Z24" s="514"/>
      <c r="AA24" s="515">
        <v>0</v>
      </c>
      <c r="AB24" s="513">
        <v>0</v>
      </c>
      <c r="AC24" s="513"/>
      <c r="AD24" s="513">
        <v>0</v>
      </c>
      <c r="AE24" s="516">
        <v>0</v>
      </c>
      <c r="AF24" s="517"/>
      <c r="AG24" s="519"/>
      <c r="AH24" s="519"/>
      <c r="AI24" s="508"/>
      <c r="AJ24" s="520"/>
      <c r="AK24" s="521">
        <f t="shared" si="36"/>
        <v>0</v>
      </c>
      <c r="AL24" s="522">
        <f t="shared" si="37"/>
        <v>0</v>
      </c>
      <c r="AM24" s="523">
        <f t="shared" si="29"/>
        <v>0</v>
      </c>
      <c r="AN24" s="524">
        <f t="shared" si="30"/>
        <v>0</v>
      </c>
      <c r="AO24" s="524">
        <f t="shared" si="31"/>
        <v>0</v>
      </c>
      <c r="AP24" s="522">
        <f t="shared" si="32"/>
        <v>0</v>
      </c>
      <c r="AQ24" s="525"/>
      <c r="AR24" s="526">
        <f t="shared" si="33"/>
        <v>0</v>
      </c>
      <c r="AS24" s="524">
        <f t="shared" si="34"/>
        <v>0</v>
      </c>
      <c r="AT24" s="524"/>
      <c r="AU24" s="524">
        <f t="shared" si="38"/>
        <v>0</v>
      </c>
      <c r="AV24" s="527"/>
      <c r="AW24" s="52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row>
    <row r="25" spans="1:82" s="530" customFormat="1" ht="15.75" customHeight="1" x14ac:dyDescent="0.3">
      <c r="A25" s="508"/>
      <c r="B25" s="509"/>
      <c r="C25" s="510"/>
      <c r="D25" s="511">
        <f>EC_2!D25+FS_2!D25+GT_2!D25+KZN_2!D25+LIM_2!D25+MPU_2!D25+NC_2!D25+NW_2!D25+WC_2!D25</f>
        <v>0</v>
      </c>
      <c r="E25" s="512">
        <f>EC_2!E25+FS_2!E25+GT_2!E25+KZN_2!E25+LIM_2!E25+MPU_2!E25+NC_2!E25+NW_2!E25+WC_2!E25</f>
        <v>0</v>
      </c>
      <c r="F25" s="513">
        <f>EC_2!F25+FS_2!F25+GT_2!F25+KZN_2!F25+LIM_2!F25+MPU_2!F25+NC_2!F25+NW_2!F25+WC_2!F25</f>
        <v>0</v>
      </c>
      <c r="G25" s="513">
        <f>EC_2!G25+FS_2!G25+GT_2!G25+KZN_2!G25+LIM_2!G25+MPU_2!G25+NC_2!G25+NW_2!G25+WC_2!G25</f>
        <v>0</v>
      </c>
      <c r="H25" s="511">
        <f>EC_2!H25+FS_2!H25+GT_2!H25+KZN_2!H25+LIM_2!H25+MPU_2!H25+NC_2!H25+NW_2!H25+WC_2!H25</f>
        <v>0</v>
      </c>
      <c r="I25" s="514">
        <f>EC_2!I25+FS_2!I25+GT_2!I25+KZN_2!I25+LIM_2!I25+MPU_2!I25+NC_2!I25+NW_2!I25+WC_2!I25</f>
        <v>0</v>
      </c>
      <c r="J25" s="515">
        <f>EC_2!J25+FS_2!J25+GT_2!J25+KZN_2!J25+LIM_2!J25+MPU_2!J25+NC_2!J25+NW_2!J25+WC_2!J25</f>
        <v>0</v>
      </c>
      <c r="K25" s="513">
        <f>EC_2!K25+FS_2!K25+GT_2!K25+KZN_2!K25+LIM_2!K25+MPU_2!K25+NC_2!K25+NW_2!K25+WC_2!K25</f>
        <v>0</v>
      </c>
      <c r="L25" s="513">
        <f>EC_2!L25+FS_2!L25+GT_2!L25+KZN_2!L25+LIM_2!L25+MPU_2!L25+NC_2!L25+NW_2!L25+WC_2!L25</f>
        <v>0</v>
      </c>
      <c r="M25" s="513">
        <f>EC_2!M25+FS_2!M25+GT_2!M25+KZN_2!M25+LIM_2!M25+MPU_2!M25+NC_2!M25+NW_2!M25+WC_2!M25</f>
        <v>0</v>
      </c>
      <c r="N25" s="516">
        <f t="shared" si="35"/>
        <v>0</v>
      </c>
      <c r="O25" s="517"/>
      <c r="P25" s="518"/>
      <c r="Q25" s="518"/>
      <c r="R25" s="508"/>
      <c r="S25" s="509"/>
      <c r="T25" s="510">
        <f t="shared" si="28"/>
        <v>0</v>
      </c>
      <c r="U25" s="511">
        <v>0</v>
      </c>
      <c r="V25" s="512">
        <v>0</v>
      </c>
      <c r="W25" s="513">
        <v>0</v>
      </c>
      <c r="X25" s="513">
        <v>0</v>
      </c>
      <c r="Y25" s="511">
        <v>0</v>
      </c>
      <c r="Z25" s="514"/>
      <c r="AA25" s="515">
        <v>0</v>
      </c>
      <c r="AB25" s="513">
        <v>0</v>
      </c>
      <c r="AC25" s="513"/>
      <c r="AD25" s="513">
        <v>0</v>
      </c>
      <c r="AE25" s="516">
        <v>0</v>
      </c>
      <c r="AF25" s="517"/>
      <c r="AG25" s="519"/>
      <c r="AH25" s="519"/>
      <c r="AI25" s="508"/>
      <c r="AJ25" s="520"/>
      <c r="AK25" s="521">
        <f t="shared" si="36"/>
        <v>0</v>
      </c>
      <c r="AL25" s="522">
        <f t="shared" si="37"/>
        <v>0</v>
      </c>
      <c r="AM25" s="523">
        <f t="shared" si="29"/>
        <v>0</v>
      </c>
      <c r="AN25" s="524">
        <f t="shared" si="30"/>
        <v>0</v>
      </c>
      <c r="AO25" s="524">
        <f t="shared" si="31"/>
        <v>0</v>
      </c>
      <c r="AP25" s="522">
        <f t="shared" si="32"/>
        <v>0</v>
      </c>
      <c r="AQ25" s="525"/>
      <c r="AR25" s="526">
        <f t="shared" si="33"/>
        <v>0</v>
      </c>
      <c r="AS25" s="524">
        <f t="shared" si="34"/>
        <v>0</v>
      </c>
      <c r="AT25" s="524"/>
      <c r="AU25" s="524">
        <f t="shared" si="38"/>
        <v>0</v>
      </c>
      <c r="AV25" s="527"/>
      <c r="AW25" s="52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row>
    <row r="26" spans="1:82" s="530" customFormat="1" ht="8.25" customHeight="1" x14ac:dyDescent="0.3">
      <c r="A26" s="508"/>
      <c r="B26" s="509"/>
      <c r="C26" s="510"/>
      <c r="D26" s="511">
        <f>EC_2!D26+FS_2!D26+GT_2!D26+KZN_2!D26+LIM_2!D26+MPU_2!D26+NC_2!D26+NW_2!D26+WC_2!D26</f>
        <v>0</v>
      </c>
      <c r="E26" s="512">
        <f>EC_2!E26+FS_2!E26+GT_2!E26+KZN_2!E26+LIM_2!E26+MPU_2!E26+NC_2!E26+NW_2!E26+WC_2!E26</f>
        <v>0</v>
      </c>
      <c r="F26" s="513">
        <f>EC_2!F26+FS_2!F26+GT_2!F26+KZN_2!F26+LIM_2!F26+MPU_2!F26+NC_2!F26+NW_2!F26+WC_2!F26</f>
        <v>0</v>
      </c>
      <c r="G26" s="513">
        <f>EC_2!G26+FS_2!G26+GT_2!G26+KZN_2!G26+LIM_2!G26+MPU_2!G26+NC_2!G26+NW_2!G26+WC_2!G26</f>
        <v>0</v>
      </c>
      <c r="H26" s="511">
        <f>EC_2!H26+FS_2!H26+GT_2!H26+KZN_2!H26+LIM_2!H26+MPU_2!H26+NC_2!H26+NW_2!H26+WC_2!H26</f>
        <v>0</v>
      </c>
      <c r="I26" s="514">
        <f>EC_2!I26+FS_2!I26+GT_2!I26+KZN_2!I26+LIM_2!I26+MPU_2!I26+NC_2!I26+NW_2!I26+WC_2!I26</f>
        <v>0</v>
      </c>
      <c r="J26" s="515">
        <f>EC_2!J26+FS_2!J26+GT_2!J26+KZN_2!J26+LIM_2!J26+MPU_2!J26+NC_2!J26+NW_2!J26+WC_2!J26</f>
        <v>0</v>
      </c>
      <c r="K26" s="513">
        <f>EC_2!K26+FS_2!K26+GT_2!K26+KZN_2!K26+LIM_2!K26+MPU_2!K26+NC_2!K26+NW_2!K26+WC_2!K26</f>
        <v>0</v>
      </c>
      <c r="L26" s="513">
        <f>EC_2!L26+FS_2!L26+GT_2!L26+KZN_2!L26+LIM_2!L26+MPU_2!L26+NC_2!L26+NW_2!L26+WC_2!L26</f>
        <v>0</v>
      </c>
      <c r="M26" s="513">
        <f>EC_2!M26+FS_2!M26+GT_2!M26+KZN_2!M26+LIM_2!M26+MPU_2!M26+NC_2!M26+NW_2!M26+WC_2!M26</f>
        <v>0</v>
      </c>
      <c r="N26" s="516"/>
      <c r="O26" s="517"/>
      <c r="P26" s="518"/>
      <c r="Q26" s="518"/>
      <c r="R26" s="508"/>
      <c r="S26" s="509"/>
      <c r="T26" s="510"/>
      <c r="U26" s="511"/>
      <c r="V26" s="512"/>
      <c r="W26" s="513"/>
      <c r="X26" s="513"/>
      <c r="Y26" s="511"/>
      <c r="Z26" s="514"/>
      <c r="AA26" s="515"/>
      <c r="AB26" s="513"/>
      <c r="AC26" s="513"/>
      <c r="AD26" s="513"/>
      <c r="AE26" s="516"/>
      <c r="AF26" s="517"/>
      <c r="AG26" s="519"/>
      <c r="AH26" s="519"/>
      <c r="AI26" s="508"/>
      <c r="AJ26" s="520"/>
      <c r="AK26" s="521">
        <f t="shared" si="24"/>
        <v>0</v>
      </c>
      <c r="AL26" s="522">
        <f t="shared" si="25"/>
        <v>0</v>
      </c>
      <c r="AM26" s="523">
        <f t="shared" si="11"/>
        <v>0</v>
      </c>
      <c r="AN26" s="524">
        <f t="shared" si="11"/>
        <v>0</v>
      </c>
      <c r="AO26" s="524">
        <f t="shared" si="11"/>
        <v>0</v>
      </c>
      <c r="AP26" s="522">
        <f t="shared" si="11"/>
        <v>0</v>
      </c>
      <c r="AQ26" s="525"/>
      <c r="AR26" s="526">
        <f t="shared" si="12"/>
        <v>0</v>
      </c>
      <c r="AS26" s="524">
        <f t="shared" si="12"/>
        <v>0</v>
      </c>
      <c r="AT26" s="524"/>
      <c r="AU26" s="524">
        <f t="shared" si="26"/>
        <v>0</v>
      </c>
      <c r="AV26" s="527"/>
      <c r="AW26" s="52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8"/>
    </row>
    <row r="27" spans="1:82" s="22" customFormat="1" ht="15.75" customHeight="1" x14ac:dyDescent="0.3">
      <c r="A27"/>
      <c r="B27" s="62"/>
      <c r="C27" s="51" t="s">
        <v>22</v>
      </c>
      <c r="D27" s="95">
        <f>EC_2!D27+FS_2!D27+GT_2!D27+KZN_2!D27+LIM_2!D27+MPU_2!D27+NC_2!D27+NW_2!D27+WC_2!D27</f>
        <v>8054753.1899999995</v>
      </c>
      <c r="E27" s="198">
        <f>EC_2!E27+FS_2!E27+GT_2!E27+KZN_2!E27+LIM_2!E27+MPU_2!E27+NC_2!E27+NW_2!E27+WC_2!E27</f>
        <v>0</v>
      </c>
      <c r="F27" s="54">
        <f>EC_2!F27+FS_2!F27+GT_2!F27+KZN_2!F27+LIM_2!F27+MPU_2!F27+NC_2!F27+NW_2!F27+WC_2!F27</f>
        <v>8054753.1899999995</v>
      </c>
      <c r="G27" s="54">
        <f>EC_2!G27+FS_2!G27+GT_2!G27+KZN_2!G27+LIM_2!G27+MPU_2!G27+NC_2!G27+NW_2!G27+WC_2!G27</f>
        <v>90722</v>
      </c>
      <c r="H27" s="95">
        <f>EC_2!H27+FS_2!H27+GT_2!H27+KZN_2!H27+LIM_2!H27+MPU_2!H27+NC_2!H27+NW_2!H27+WC_2!H27</f>
        <v>8145475.1899999995</v>
      </c>
      <c r="I27" s="216">
        <f>EC_2!I27+FS_2!I27+GT_2!I27+KZN_2!I27+LIM_2!I27+MPU_2!I27+NC_2!I27+NW_2!I27+WC_2!I27</f>
        <v>0</v>
      </c>
      <c r="J27" s="101">
        <f>EC_2!J27+FS_2!J27+GT_2!J27+KZN_2!J27+LIM_2!J27+MPU_2!J27+NC_2!J27+NW_2!J27+WC_2!J27</f>
        <v>8054753</v>
      </c>
      <c r="K27" s="54">
        <f>EC_2!K27+FS_2!K27+GT_2!K27+KZN_2!K27+LIM_2!K27+MPU_2!K27+NC_2!K27+NW_2!K27+WC_2!K27</f>
        <v>8046293</v>
      </c>
      <c r="L27" s="54">
        <f>EC_2!L27+FS_2!L27+GT_2!L27+KZN_2!L27+LIM_2!L27+MPU_2!L27+NC_2!L27+NW_2!L27+WC_2!L27</f>
        <v>0</v>
      </c>
      <c r="M27" s="54">
        <f>EC_2!M27+FS_2!M27+GT_2!M27+KZN_2!M27+LIM_2!M27+MPU_2!M27+NC_2!M27+NW_2!M27+WC_2!M27</f>
        <v>7931210</v>
      </c>
      <c r="N27" s="183">
        <f t="shared" ref="N27:N31" si="39">IFERROR(M27/H27,0)</f>
        <v>0.97369518843258551</v>
      </c>
      <c r="O27" s="63"/>
      <c r="P27" s="65"/>
      <c r="Q27" s="65"/>
      <c r="R27"/>
      <c r="S27" s="62"/>
      <c r="T27" s="51" t="str">
        <f>C27</f>
        <v>Basic Education (Vote 14)</v>
      </c>
      <c r="U27" s="95">
        <v>8054753.1900000004</v>
      </c>
      <c r="V27" s="198">
        <v>0</v>
      </c>
      <c r="W27" s="54">
        <v>8054753.1900000004</v>
      </c>
      <c r="X27" s="54">
        <v>0</v>
      </c>
      <c r="Y27" s="95">
        <v>8054753.1900000004</v>
      </c>
      <c r="Z27" s="216"/>
      <c r="AA27" s="101">
        <v>4780518</v>
      </c>
      <c r="AB27" s="54">
        <v>4780518</v>
      </c>
      <c r="AC27" s="54"/>
      <c r="AD27" s="54">
        <v>4240268</v>
      </c>
      <c r="AE27" s="183">
        <v>0.52643053113834759</v>
      </c>
      <c r="AF27" s="63"/>
      <c r="AG27" s="444"/>
      <c r="AH27" s="444"/>
      <c r="AI27"/>
      <c r="AJ27" s="402"/>
      <c r="AK27" s="480" t="str">
        <f t="shared" si="24"/>
        <v>Basic Education (Vote 14)</v>
      </c>
      <c r="AL27" s="388">
        <f t="shared" si="25"/>
        <v>9.3132257461547852E-10</v>
      </c>
      <c r="AM27" s="389">
        <f t="shared" si="11"/>
        <v>0</v>
      </c>
      <c r="AN27" s="390">
        <f t="shared" si="11"/>
        <v>9.3132257461547852E-10</v>
      </c>
      <c r="AO27" s="390">
        <f t="shared" si="11"/>
        <v>-90722</v>
      </c>
      <c r="AP27" s="388">
        <f t="shared" si="11"/>
        <v>-90721.999999999069</v>
      </c>
      <c r="AQ27" s="391"/>
      <c r="AR27" s="392">
        <f t="shared" si="12"/>
        <v>-3274235</v>
      </c>
      <c r="AS27" s="390">
        <f t="shared" si="12"/>
        <v>-3265775</v>
      </c>
      <c r="AT27" s="390"/>
      <c r="AU27" s="390">
        <f t="shared" si="26"/>
        <v>-3690942</v>
      </c>
      <c r="AV27" s="315"/>
      <c r="AW27" s="403"/>
      <c r="AX27"/>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row>
    <row r="28" spans="1:82" s="64" customFormat="1" ht="15.75" customHeight="1" x14ac:dyDescent="0.3">
      <c r="A28"/>
      <c r="B28" s="57"/>
      <c r="C28" s="58" t="s">
        <v>23</v>
      </c>
      <c r="D28" s="96">
        <f>EC_2!D28+FS_2!D28+GT_2!D28+KZN_2!D28+LIM_2!D28+MPU_2!D28+NC_2!D28+NW_2!D28+WC_2!D28</f>
        <v>256951</v>
      </c>
      <c r="E28" s="199">
        <f>EC_2!E28+FS_2!E28+GT_2!E28+KZN_2!E28+LIM_2!E28+MPU_2!E28+NC_2!E28+NW_2!E28+WC_2!E28</f>
        <v>0</v>
      </c>
      <c r="F28" s="59">
        <f>EC_2!F28+FS_2!F28+GT_2!F28+KZN_2!F28+LIM_2!F28+MPU_2!F28+NC_2!F28+NW_2!F28+WC_2!F28</f>
        <v>256951</v>
      </c>
      <c r="G28" s="59">
        <f>EC_2!G28+FS_2!G28+GT_2!G28+KZN_2!G28+LIM_2!G28+MPU_2!G28+NC_2!G28+NW_2!G28+WC_2!G28</f>
        <v>7876</v>
      </c>
      <c r="H28" s="96">
        <f>EC_2!H28+FS_2!H28+GT_2!H28+KZN_2!H28+LIM_2!H28+MPU_2!H28+NC_2!H28+NW_2!H28+WC_2!H28</f>
        <v>264827</v>
      </c>
      <c r="I28" s="217">
        <f>EC_2!I28+FS_2!I28+GT_2!I28+KZN_2!I28+LIM_2!I28+MPU_2!I28+NC_2!I28+NW_2!I28+WC_2!I28</f>
        <v>0</v>
      </c>
      <c r="J28" s="102">
        <f>EC_2!J28+FS_2!J28+GT_2!J28+KZN_2!J28+LIM_2!J28+MPU_2!J28+NC_2!J28+NW_2!J28+WC_2!J28</f>
        <v>256951</v>
      </c>
      <c r="K28" s="59">
        <f>EC_2!K28+FS_2!K28+GT_2!K28+KZN_2!K28+LIM_2!K28+MPU_2!K28+NC_2!K28+NW_2!K28+WC_2!K28</f>
        <v>256951</v>
      </c>
      <c r="L28" s="59">
        <f>EC_2!L28+FS_2!L28+GT_2!L28+KZN_2!L28+LIM_2!L28+MPU_2!L28+NC_2!L28+NW_2!L28+WC_2!L28</f>
        <v>0</v>
      </c>
      <c r="M28" s="59">
        <f>EC_2!M28+FS_2!M28+GT_2!M28+KZN_2!M28+LIM_2!M28+MPU_2!M28+NC_2!M28+NW_2!M28+WC_2!M28</f>
        <v>261315</v>
      </c>
      <c r="N28" s="172">
        <f t="shared" si="39"/>
        <v>0.98673851231181109</v>
      </c>
      <c r="O28" s="60"/>
      <c r="P28" s="22"/>
      <c r="Q28" s="22"/>
      <c r="R28"/>
      <c r="S28" s="57"/>
      <c r="T28" s="58" t="str">
        <f t="shared" ref="T28:T32" si="40">C28</f>
        <v>(a) HIV and AIDS (Life Skills Education) Grant</v>
      </c>
      <c r="U28" s="96">
        <v>256951</v>
      </c>
      <c r="V28" s="199">
        <v>0</v>
      </c>
      <c r="W28" s="59">
        <v>256951</v>
      </c>
      <c r="X28" s="59">
        <v>0</v>
      </c>
      <c r="Y28" s="96">
        <v>256951</v>
      </c>
      <c r="Z28" s="217"/>
      <c r="AA28" s="102">
        <v>102779</v>
      </c>
      <c r="AB28" s="59">
        <v>102779</v>
      </c>
      <c r="AC28" s="59"/>
      <c r="AD28" s="59">
        <v>122438</v>
      </c>
      <c r="AE28" s="172">
        <v>0.47650330218601988</v>
      </c>
      <c r="AF28" s="60"/>
      <c r="AG28" s="443"/>
      <c r="AH28" s="443"/>
      <c r="AI28"/>
      <c r="AJ28" s="394"/>
      <c r="AK28" s="479" t="str">
        <f>C28</f>
        <v>(a) HIV and AIDS (Life Skills Education) Grant</v>
      </c>
      <c r="AL28" s="396">
        <f>IFERROR(U28-D28,0)</f>
        <v>0</v>
      </c>
      <c r="AM28" s="397">
        <f t="shared" ref="AM28:AM32" si="41">IFERROR(V28-E28,0)</f>
        <v>0</v>
      </c>
      <c r="AN28" s="398">
        <f t="shared" ref="AN28:AN32" si="42">IFERROR(W28-F28,0)</f>
        <v>0</v>
      </c>
      <c r="AO28" s="398">
        <f t="shared" ref="AO28:AO32" si="43">IFERROR(X28-G28,0)</f>
        <v>-7876</v>
      </c>
      <c r="AP28" s="396">
        <f t="shared" ref="AP28:AP32" si="44">IFERROR(Y28-H28,0)</f>
        <v>-7876</v>
      </c>
      <c r="AQ28" s="399"/>
      <c r="AR28" s="400">
        <f t="shared" ref="AR28:AR32" si="45">IFERROR(AA28-J28,0)</f>
        <v>-154172</v>
      </c>
      <c r="AS28" s="398">
        <f t="shared" ref="AS28:AS32" si="46">IFERROR(AB28-K28,0)</f>
        <v>-154172</v>
      </c>
      <c r="AT28" s="398"/>
      <c r="AU28" s="398">
        <f>IFERROR(AD28-M28,0)</f>
        <v>-138877</v>
      </c>
      <c r="AV28" s="290"/>
      <c r="AW28" s="401"/>
      <c r="AX2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row>
    <row r="29" spans="1:82" s="56" customFormat="1" ht="15.75" customHeight="1" x14ac:dyDescent="0.3">
      <c r="A29"/>
      <c r="B29" s="57"/>
      <c r="C29" s="58" t="s">
        <v>24</v>
      </c>
      <c r="D29" s="96">
        <f>EC_2!D29+FS_2!D29+GT_2!D29+KZN_2!D29+LIM_2!D29+MPU_2!D29+NC_2!D29+NW_2!D29+WC_2!D29</f>
        <v>220785</v>
      </c>
      <c r="E29" s="199">
        <f>EC_2!E29+FS_2!E29+GT_2!E29+KZN_2!E29+LIM_2!E29+MPU_2!E29+NC_2!E29+NW_2!E29+WC_2!E29</f>
        <v>0</v>
      </c>
      <c r="F29" s="59">
        <f>EC_2!F29+FS_2!F29+GT_2!F29+KZN_2!F29+LIM_2!F29+MPU_2!F29+NC_2!F29+NW_2!F29+WC_2!F29</f>
        <v>220785</v>
      </c>
      <c r="G29" s="59">
        <f>EC_2!G29+FS_2!G29+GT_2!G29+KZN_2!G29+LIM_2!G29+MPU_2!G29+NC_2!G29+NW_2!G29+WC_2!G29</f>
        <v>14064</v>
      </c>
      <c r="H29" s="96">
        <f>EC_2!H29+FS_2!H29+GT_2!H29+KZN_2!H29+LIM_2!H29+MPU_2!H29+NC_2!H29+NW_2!H29+WC_2!H29</f>
        <v>234849</v>
      </c>
      <c r="I29" s="217">
        <f>EC_2!I29+FS_2!I29+GT_2!I29+KZN_2!I29+LIM_2!I29+MPU_2!I29+NC_2!I29+NW_2!I29+WC_2!I29</f>
        <v>0</v>
      </c>
      <c r="J29" s="102">
        <f>EC_2!J29+FS_2!J29+GT_2!J29+KZN_2!J29+LIM_2!J29+MPU_2!J29+NC_2!J29+NW_2!J29+WC_2!J29</f>
        <v>220785</v>
      </c>
      <c r="K29" s="59">
        <f>EC_2!K29+FS_2!K29+GT_2!K29+KZN_2!K29+LIM_2!K29+MPU_2!K29+NC_2!K29+NW_2!K29+WC_2!K29</f>
        <v>212325</v>
      </c>
      <c r="L29" s="59">
        <f>EC_2!L29+FS_2!L29+GT_2!L29+KZN_2!L29+LIM_2!L29+MPU_2!L29+NC_2!L29+NW_2!L29+WC_2!L29</f>
        <v>0</v>
      </c>
      <c r="M29" s="59">
        <f>EC_2!M29+FS_2!M29+GT_2!M29+KZN_2!M29+LIM_2!M29+MPU_2!M29+NC_2!M29+NW_2!M29+WC_2!M29</f>
        <v>215421</v>
      </c>
      <c r="N29" s="172">
        <f t="shared" si="39"/>
        <v>0.91727450404302335</v>
      </c>
      <c r="O29" s="60"/>
      <c r="P29" s="22"/>
      <c r="Q29" s="22"/>
      <c r="R29"/>
      <c r="S29" s="57"/>
      <c r="T29" s="58" t="str">
        <f t="shared" si="40"/>
        <v>(b) Learners with Profound Intellectual Disabilities Grant</v>
      </c>
      <c r="U29" s="96">
        <v>220785</v>
      </c>
      <c r="V29" s="199">
        <v>0</v>
      </c>
      <c r="W29" s="59">
        <v>220785</v>
      </c>
      <c r="X29" s="59">
        <v>0</v>
      </c>
      <c r="Y29" s="96">
        <v>220785</v>
      </c>
      <c r="Z29" s="217"/>
      <c r="AA29" s="102">
        <v>146541</v>
      </c>
      <c r="AB29" s="59">
        <v>146541</v>
      </c>
      <c r="AC29" s="59"/>
      <c r="AD29" s="59">
        <v>103281</v>
      </c>
      <c r="AE29" s="172">
        <v>0.46778993138120795</v>
      </c>
      <c r="AF29" s="60"/>
      <c r="AG29" s="443"/>
      <c r="AH29" s="443"/>
      <c r="AI29"/>
      <c r="AJ29" s="394"/>
      <c r="AK29" s="479" t="str">
        <f t="shared" ref="AK29:AK32" si="47">C29</f>
        <v>(b) Learners with Profound Intellectual Disabilities Grant</v>
      </c>
      <c r="AL29" s="396">
        <f t="shared" ref="AL29:AL32" si="48">IFERROR(U29-D29,0)</f>
        <v>0</v>
      </c>
      <c r="AM29" s="397">
        <f t="shared" si="41"/>
        <v>0</v>
      </c>
      <c r="AN29" s="398">
        <f t="shared" si="42"/>
        <v>0</v>
      </c>
      <c r="AO29" s="398">
        <f t="shared" si="43"/>
        <v>-14064</v>
      </c>
      <c r="AP29" s="396">
        <f t="shared" si="44"/>
        <v>-14064</v>
      </c>
      <c r="AQ29" s="399"/>
      <c r="AR29" s="400">
        <f t="shared" si="45"/>
        <v>-74244</v>
      </c>
      <c r="AS29" s="398">
        <f t="shared" si="46"/>
        <v>-65784</v>
      </c>
      <c r="AT29" s="398"/>
      <c r="AU29" s="398">
        <f t="shared" ref="AU29:AU32" si="49">IFERROR(AD29-M29,0)</f>
        <v>-112140</v>
      </c>
      <c r="AV29" s="290"/>
      <c r="AW29" s="401"/>
      <c r="AX29"/>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row>
    <row r="30" spans="1:82" s="35" customFormat="1" ht="15.75" customHeight="1" x14ac:dyDescent="0.3">
      <c r="A30"/>
      <c r="B30" s="57"/>
      <c r="C30" s="58" t="s">
        <v>25</v>
      </c>
      <c r="D30" s="96">
        <f>EC_2!D30+FS_2!D30+GT_2!D30+KZN_2!D30+LIM_2!D30+MPU_2!D30+NC_2!D30+NW_2!D30+WC_2!D30</f>
        <v>391302</v>
      </c>
      <c r="E30" s="199">
        <f>EC_2!E30+FS_2!E30+GT_2!E30+KZN_2!E30+LIM_2!E30+MPU_2!E30+NC_2!E30+NW_2!E30+WC_2!E30</f>
        <v>0</v>
      </c>
      <c r="F30" s="59">
        <f>EC_2!F30+FS_2!F30+GT_2!F30+KZN_2!F30+LIM_2!F30+MPU_2!F30+NC_2!F30+NW_2!F30+WC_2!F30</f>
        <v>391302</v>
      </c>
      <c r="G30" s="59">
        <f>EC_2!G30+FS_2!G30+GT_2!G30+KZN_2!G30+LIM_2!G30+MPU_2!G30+NC_2!G30+NW_2!G30+WC_2!G30</f>
        <v>10250</v>
      </c>
      <c r="H30" s="96">
        <f>EC_2!H30+FS_2!H30+GT_2!H30+KZN_2!H30+LIM_2!H30+MPU_2!H30+NC_2!H30+NW_2!H30+WC_2!H30</f>
        <v>401552</v>
      </c>
      <c r="I30" s="217">
        <f>EC_2!I30+FS_2!I30+GT_2!I30+KZN_2!I30+LIM_2!I30+MPU_2!I30+NC_2!I30+NW_2!I30+WC_2!I30</f>
        <v>0</v>
      </c>
      <c r="J30" s="102">
        <f>EC_2!J30+FS_2!J30+GT_2!J30+KZN_2!J30+LIM_2!J30+MPU_2!J30+NC_2!J30+NW_2!J30+WC_2!J30</f>
        <v>391302</v>
      </c>
      <c r="K30" s="59">
        <f>EC_2!K30+FS_2!K30+GT_2!K30+KZN_2!K30+LIM_2!K30+MPU_2!K30+NC_2!K30+NW_2!K30+WC_2!K30</f>
        <v>391302</v>
      </c>
      <c r="L30" s="59">
        <f>EC_2!L30+FS_2!L30+GT_2!L30+KZN_2!L30+LIM_2!L30+MPU_2!L30+NC_2!L30+NW_2!L30+WC_2!L30</f>
        <v>0</v>
      </c>
      <c r="M30" s="59">
        <f>EC_2!M30+FS_2!M30+GT_2!M30+KZN_2!M30+LIM_2!M30+MPU_2!M30+NC_2!M30+NW_2!M30+WC_2!M30</f>
        <v>319291</v>
      </c>
      <c r="N30" s="172">
        <f t="shared" si="39"/>
        <v>0.79514234769095904</v>
      </c>
      <c r="O30" s="60"/>
      <c r="P30" s="22"/>
      <c r="Q30" s="22"/>
      <c r="R30"/>
      <c r="S30" s="57"/>
      <c r="T30" s="58" t="str">
        <f t="shared" si="40"/>
        <v>(c) Maths, Science and Technology Grant</v>
      </c>
      <c r="U30" s="96">
        <v>391302</v>
      </c>
      <c r="V30" s="199">
        <v>0</v>
      </c>
      <c r="W30" s="59">
        <v>391302</v>
      </c>
      <c r="X30" s="59">
        <v>0</v>
      </c>
      <c r="Y30" s="96">
        <v>391302</v>
      </c>
      <c r="Z30" s="217"/>
      <c r="AA30" s="102">
        <v>195651</v>
      </c>
      <c r="AB30" s="59">
        <v>195651</v>
      </c>
      <c r="AC30" s="59"/>
      <c r="AD30" s="59">
        <v>113639</v>
      </c>
      <c r="AE30" s="172">
        <v>0.29041252025289932</v>
      </c>
      <c r="AF30" s="60"/>
      <c r="AG30" s="443"/>
      <c r="AH30" s="443"/>
      <c r="AI30"/>
      <c r="AJ30" s="394"/>
      <c r="AK30" s="479" t="str">
        <f t="shared" si="47"/>
        <v>(c) Maths, Science and Technology Grant</v>
      </c>
      <c r="AL30" s="396">
        <f t="shared" si="48"/>
        <v>0</v>
      </c>
      <c r="AM30" s="397">
        <f t="shared" si="41"/>
        <v>0</v>
      </c>
      <c r="AN30" s="398">
        <f t="shared" si="42"/>
        <v>0</v>
      </c>
      <c r="AO30" s="398">
        <f t="shared" si="43"/>
        <v>-10250</v>
      </c>
      <c r="AP30" s="396">
        <f t="shared" si="44"/>
        <v>-10250</v>
      </c>
      <c r="AQ30" s="399"/>
      <c r="AR30" s="400">
        <f t="shared" si="45"/>
        <v>-195651</v>
      </c>
      <c r="AS30" s="398">
        <f t="shared" si="46"/>
        <v>-195651</v>
      </c>
      <c r="AT30" s="398"/>
      <c r="AU30" s="398">
        <f t="shared" si="49"/>
        <v>-205652</v>
      </c>
      <c r="AV30" s="290"/>
      <c r="AW30" s="401"/>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s="66" customFormat="1" ht="15.75" customHeight="1" x14ac:dyDescent="0.3">
      <c r="A31"/>
      <c r="B31" s="57"/>
      <c r="C31" s="58" t="s">
        <v>26</v>
      </c>
      <c r="D31" s="96">
        <f>EC_2!D31+FS_2!D31+GT_2!D31+KZN_2!D31+LIM_2!D31+MPU_2!D31+NC_2!D31+NW_2!D31+WC_2!D31</f>
        <v>7185715.1900000004</v>
      </c>
      <c r="E31" s="199">
        <f>EC_2!E31+FS_2!E31+GT_2!E31+KZN_2!E31+LIM_2!E31+MPU_2!E31+NC_2!E31+NW_2!E31+WC_2!E31</f>
        <v>0</v>
      </c>
      <c r="F31" s="59">
        <f>EC_2!F31+FS_2!F31+GT_2!F31+KZN_2!F31+LIM_2!F31+MPU_2!F31+NC_2!F31+NW_2!F31+WC_2!F31</f>
        <v>7185715.1900000004</v>
      </c>
      <c r="G31" s="59">
        <f>EC_2!G31+FS_2!G31+GT_2!G31+KZN_2!G31+LIM_2!G31+MPU_2!G31+NC_2!G31+NW_2!G31+WC_2!G31</f>
        <v>58532</v>
      </c>
      <c r="H31" s="96">
        <f>EC_2!H31+FS_2!H31+GT_2!H31+KZN_2!H31+LIM_2!H31+MPU_2!H31+NC_2!H31+NW_2!H31+WC_2!H31</f>
        <v>7244247.1900000004</v>
      </c>
      <c r="I31" s="217">
        <f>EC_2!I31+FS_2!I31+GT_2!I31+KZN_2!I31+LIM_2!I31+MPU_2!I31+NC_2!I31+NW_2!I31+WC_2!I31</f>
        <v>0</v>
      </c>
      <c r="J31" s="102">
        <f>EC_2!J31+FS_2!J31+GT_2!J31+KZN_2!J31+LIM_2!J31+MPU_2!J31+NC_2!J31+NW_2!J31+WC_2!J31</f>
        <v>7185715</v>
      </c>
      <c r="K31" s="59">
        <f>EC_2!K31+FS_2!K31+GT_2!K31+KZN_2!K31+LIM_2!K31+MPU_2!K31+NC_2!K31+NW_2!K31+WC_2!K31</f>
        <v>7185715</v>
      </c>
      <c r="L31" s="59">
        <f>EC_2!L31+FS_2!L31+GT_2!L31+KZN_2!L31+LIM_2!L31+MPU_2!L31+NC_2!L31+NW_2!L31+WC_2!L31</f>
        <v>0</v>
      </c>
      <c r="M31" s="59">
        <f>EC_2!M31+FS_2!M31+GT_2!M31+KZN_2!M31+LIM_2!M31+MPU_2!M31+NC_2!M31+NW_2!M31+WC_2!M31</f>
        <v>7135183</v>
      </c>
      <c r="N31" s="172">
        <f t="shared" si="39"/>
        <v>0.98494471721636534</v>
      </c>
      <c r="O31" s="60"/>
      <c r="P31" s="22"/>
      <c r="Q31" s="22"/>
      <c r="R31"/>
      <c r="S31" s="57"/>
      <c r="T31" s="58" t="str">
        <f t="shared" si="40"/>
        <v>(d) National School Nutrition Programme Grant</v>
      </c>
      <c r="U31" s="96">
        <v>7185715.1900000004</v>
      </c>
      <c r="V31" s="199">
        <v>0</v>
      </c>
      <c r="W31" s="59">
        <v>7185715.1900000004</v>
      </c>
      <c r="X31" s="59">
        <v>0</v>
      </c>
      <c r="Y31" s="96">
        <v>7185715.1900000004</v>
      </c>
      <c r="Z31" s="217"/>
      <c r="AA31" s="102">
        <v>4335547</v>
      </c>
      <c r="AB31" s="59">
        <v>4335547</v>
      </c>
      <c r="AC31" s="59"/>
      <c r="AD31" s="59">
        <v>3900910</v>
      </c>
      <c r="AE31" s="172">
        <v>0.54287011060899004</v>
      </c>
      <c r="AF31" s="60"/>
      <c r="AG31" s="443"/>
      <c r="AH31" s="443"/>
      <c r="AI31"/>
      <c r="AJ31" s="394"/>
      <c r="AK31" s="479" t="str">
        <f t="shared" si="47"/>
        <v>(d) National School Nutrition Programme Grant</v>
      </c>
      <c r="AL31" s="396">
        <f t="shared" si="48"/>
        <v>0</v>
      </c>
      <c r="AM31" s="397">
        <f t="shared" si="41"/>
        <v>0</v>
      </c>
      <c r="AN31" s="398">
        <f t="shared" si="42"/>
        <v>0</v>
      </c>
      <c r="AO31" s="398">
        <f t="shared" si="43"/>
        <v>-58532</v>
      </c>
      <c r="AP31" s="396">
        <f t="shared" si="44"/>
        <v>-58532</v>
      </c>
      <c r="AQ31" s="399"/>
      <c r="AR31" s="400">
        <f t="shared" si="45"/>
        <v>-2850168</v>
      </c>
      <c r="AS31" s="398">
        <f t="shared" si="46"/>
        <v>-2850168</v>
      </c>
      <c r="AT31" s="398"/>
      <c r="AU31" s="398">
        <f t="shared" si="49"/>
        <v>-3234273</v>
      </c>
      <c r="AV31" s="290"/>
      <c r="AW31" s="401"/>
      <c r="AX31"/>
      <c r="AY31"/>
      <c r="AZ31"/>
      <c r="BA31"/>
      <c r="BB31"/>
      <c r="BC31"/>
      <c r="BD31"/>
      <c r="BE31"/>
      <c r="BF31"/>
      <c r="BG31"/>
      <c r="BH31"/>
      <c r="BI31"/>
      <c r="BJ31"/>
      <c r="BK31"/>
      <c r="BL31"/>
      <c r="BM31"/>
      <c r="BN31"/>
      <c r="BO31"/>
      <c r="BP31"/>
      <c r="BQ31"/>
      <c r="BR31"/>
      <c r="BS31"/>
      <c r="BT31"/>
      <c r="BU31"/>
      <c r="BV31"/>
      <c r="BW31"/>
      <c r="BX31"/>
      <c r="BY31"/>
      <c r="BZ31"/>
      <c r="CA31"/>
      <c r="CB31"/>
      <c r="CC31"/>
      <c r="CD31"/>
    </row>
    <row r="32" spans="1:82" s="530" customFormat="1" ht="15.75" customHeight="1" x14ac:dyDescent="0.3">
      <c r="A32" s="508"/>
      <c r="B32" s="509"/>
      <c r="C32" s="510"/>
      <c r="D32" s="511">
        <f>EC_2!D32+FS_2!D32+GT_2!D32+KZN_2!D32+LIM_2!D32+MPU_2!D32+NC_2!D32+NW_2!D32+WC_2!D32</f>
        <v>0</v>
      </c>
      <c r="E32" s="512">
        <f>EC_2!E32+FS_2!E32+GT_2!E32+KZN_2!E32+LIM_2!E32+MPU_2!E32+NC_2!E32+NW_2!E32+WC_2!E32</f>
        <v>0</v>
      </c>
      <c r="F32" s="513">
        <f>EC_2!F32+FS_2!F32+GT_2!F32+KZN_2!F32+LIM_2!F32+MPU_2!F32+NC_2!F32+NW_2!F32+WC_2!F32</f>
        <v>0</v>
      </c>
      <c r="G32" s="513">
        <f>EC_2!G32+FS_2!G32+GT_2!G32+KZN_2!G32+LIM_2!G32+MPU_2!G32+NC_2!G32+NW_2!G32+WC_2!G32</f>
        <v>0</v>
      </c>
      <c r="H32" s="511">
        <f>EC_2!H32+FS_2!H32+GT_2!H32+KZN_2!H32+LIM_2!H32+MPU_2!H32+NC_2!H32+NW_2!H32+WC_2!H32</f>
        <v>0</v>
      </c>
      <c r="I32" s="514">
        <f>EC_2!I32+FS_2!I32+GT_2!I32+KZN_2!I32+LIM_2!I32+MPU_2!I32+NC_2!I32+NW_2!I32+WC_2!I32</f>
        <v>0</v>
      </c>
      <c r="J32" s="515">
        <f>EC_2!J32+FS_2!J32+GT_2!J32+KZN_2!J32+LIM_2!J32+MPU_2!J32+NC_2!J32+NW_2!J32+WC_2!J32</f>
        <v>0</v>
      </c>
      <c r="K32" s="513">
        <f>EC_2!K32+FS_2!K32+GT_2!K32+KZN_2!K32+LIM_2!K32+MPU_2!K32+NC_2!K32+NW_2!K32+WC_2!K32</f>
        <v>0</v>
      </c>
      <c r="L32" s="513">
        <f>EC_2!L32+FS_2!L32+GT_2!L32+KZN_2!L32+LIM_2!L32+MPU_2!L32+NC_2!L32+NW_2!L32+WC_2!L32</f>
        <v>0</v>
      </c>
      <c r="M32" s="513">
        <f>EC_2!M32+FS_2!M32+GT_2!M32+KZN_2!M32+LIM_2!M32+MPU_2!M32+NC_2!M32+NW_2!M32+WC_2!M32</f>
        <v>0</v>
      </c>
      <c r="N32" s="516">
        <f t="shared" ref="N32" si="50">IFERROR(M32/F32,0)</f>
        <v>0</v>
      </c>
      <c r="O32" s="517"/>
      <c r="P32" s="518"/>
      <c r="Q32" s="518"/>
      <c r="R32" s="508"/>
      <c r="S32" s="509"/>
      <c r="T32" s="510">
        <f t="shared" si="40"/>
        <v>0</v>
      </c>
      <c r="U32" s="511">
        <v>0</v>
      </c>
      <c r="V32" s="512">
        <v>0</v>
      </c>
      <c r="W32" s="513">
        <v>0</v>
      </c>
      <c r="X32" s="513">
        <v>0</v>
      </c>
      <c r="Y32" s="511">
        <v>0</v>
      </c>
      <c r="Z32" s="514"/>
      <c r="AA32" s="515">
        <v>0</v>
      </c>
      <c r="AB32" s="513">
        <v>0</v>
      </c>
      <c r="AC32" s="513"/>
      <c r="AD32" s="513">
        <v>0</v>
      </c>
      <c r="AE32" s="516">
        <v>0</v>
      </c>
      <c r="AF32" s="517"/>
      <c r="AG32" s="519"/>
      <c r="AH32" s="519"/>
      <c r="AI32" s="508"/>
      <c r="AJ32" s="520"/>
      <c r="AK32" s="521">
        <f t="shared" si="47"/>
        <v>0</v>
      </c>
      <c r="AL32" s="522">
        <f t="shared" si="48"/>
        <v>0</v>
      </c>
      <c r="AM32" s="523">
        <f t="shared" si="41"/>
        <v>0</v>
      </c>
      <c r="AN32" s="524">
        <f t="shared" si="42"/>
        <v>0</v>
      </c>
      <c r="AO32" s="524">
        <f t="shared" si="43"/>
        <v>0</v>
      </c>
      <c r="AP32" s="522">
        <f t="shared" si="44"/>
        <v>0</v>
      </c>
      <c r="AQ32" s="525"/>
      <c r="AR32" s="526">
        <f t="shared" si="45"/>
        <v>0</v>
      </c>
      <c r="AS32" s="524">
        <f t="shared" si="46"/>
        <v>0</v>
      </c>
      <c r="AT32" s="524"/>
      <c r="AU32" s="524">
        <f t="shared" si="49"/>
        <v>0</v>
      </c>
      <c r="AV32" s="527"/>
      <c r="AW32" s="528"/>
      <c r="AX32" s="508"/>
      <c r="AY32" s="508"/>
      <c r="AZ32" s="508"/>
      <c r="BA32" s="508"/>
      <c r="BB32" s="508"/>
      <c r="BC32" s="508"/>
      <c r="BD32" s="508"/>
      <c r="BE32" s="508"/>
      <c r="BF32" s="508"/>
      <c r="BG32" s="508"/>
      <c r="BH32" s="508"/>
      <c r="BI32" s="508"/>
      <c r="BJ32" s="508"/>
      <c r="BK32" s="508"/>
      <c r="BL32" s="508"/>
      <c r="BM32" s="508"/>
      <c r="BN32" s="508"/>
      <c r="BO32" s="508"/>
      <c r="BP32" s="508"/>
      <c r="BQ32" s="508"/>
      <c r="BR32" s="508"/>
      <c r="BS32" s="508"/>
      <c r="BT32" s="508"/>
      <c r="BU32" s="508"/>
      <c r="BV32" s="508"/>
      <c r="BW32" s="508"/>
      <c r="BX32" s="508"/>
      <c r="BY32" s="508"/>
      <c r="BZ32" s="508"/>
      <c r="CA32" s="508"/>
      <c r="CB32" s="508"/>
      <c r="CC32" s="508"/>
      <c r="CD32" s="508"/>
    </row>
    <row r="33" spans="1:82" s="518" customFormat="1" ht="8.25" customHeight="1" x14ac:dyDescent="0.3">
      <c r="A33" s="508"/>
      <c r="B33" s="509"/>
      <c r="C33" s="510"/>
      <c r="D33" s="511">
        <f>EC_2!D33+FS_2!D33+GT_2!D33+KZN_2!D33+LIM_2!D33+MPU_2!D33+NC_2!D33+NW_2!D33+WC_2!D33</f>
        <v>0</v>
      </c>
      <c r="E33" s="512">
        <f>EC_2!E33+FS_2!E33+GT_2!E33+KZN_2!E33+LIM_2!E33+MPU_2!E33+NC_2!E33+NW_2!E33+WC_2!E33</f>
        <v>0</v>
      </c>
      <c r="F33" s="513">
        <f>EC_2!F33+FS_2!F33+GT_2!F33+KZN_2!F33+LIM_2!F33+MPU_2!F33+NC_2!F33+NW_2!F33+WC_2!F33</f>
        <v>0</v>
      </c>
      <c r="G33" s="513">
        <f>EC_2!G33+FS_2!G33+GT_2!G33+KZN_2!G33+LIM_2!G33+MPU_2!G33+NC_2!G33+NW_2!G33+WC_2!G33</f>
        <v>0</v>
      </c>
      <c r="H33" s="511">
        <f>EC_2!H33+FS_2!H33+GT_2!H33+KZN_2!H33+LIM_2!H33+MPU_2!H33+NC_2!H33+NW_2!H33+WC_2!H33</f>
        <v>0</v>
      </c>
      <c r="I33" s="514">
        <f>EC_2!I33+FS_2!I33+GT_2!I33+KZN_2!I33+LIM_2!I33+MPU_2!I33+NC_2!I33+NW_2!I33+WC_2!I33</f>
        <v>0</v>
      </c>
      <c r="J33" s="515">
        <f>EC_2!J33+FS_2!J33+GT_2!J33+KZN_2!J33+LIM_2!J33+MPU_2!J33+NC_2!J33+NW_2!J33+WC_2!J33</f>
        <v>0</v>
      </c>
      <c r="K33" s="513">
        <f>EC_2!K33+FS_2!K33+GT_2!K33+KZN_2!K33+LIM_2!K33+MPU_2!K33+NC_2!K33+NW_2!K33+WC_2!K33</f>
        <v>0</v>
      </c>
      <c r="L33" s="513">
        <f>EC_2!L33+FS_2!L33+GT_2!L33+KZN_2!L33+LIM_2!L33+MPU_2!L33+NC_2!L33+NW_2!L33+WC_2!L33</f>
        <v>0</v>
      </c>
      <c r="M33" s="513">
        <f>EC_2!M33+FS_2!M33+GT_2!M33+KZN_2!M33+LIM_2!M33+MPU_2!M33+NC_2!M33+NW_2!M33+WC_2!M33</f>
        <v>0</v>
      </c>
      <c r="N33" s="516"/>
      <c r="O33" s="517"/>
      <c r="R33" s="508"/>
      <c r="S33" s="509"/>
      <c r="T33" s="510"/>
      <c r="U33" s="511"/>
      <c r="V33" s="512"/>
      <c r="W33" s="513"/>
      <c r="X33" s="513"/>
      <c r="Y33" s="511"/>
      <c r="Z33" s="514"/>
      <c r="AA33" s="515"/>
      <c r="AB33" s="513"/>
      <c r="AC33" s="513"/>
      <c r="AD33" s="513"/>
      <c r="AE33" s="516"/>
      <c r="AF33" s="517"/>
      <c r="AG33" s="519"/>
      <c r="AH33" s="519"/>
      <c r="AI33" s="508"/>
      <c r="AJ33" s="520"/>
      <c r="AK33" s="521">
        <f t="shared" si="24"/>
        <v>0</v>
      </c>
      <c r="AL33" s="522">
        <f t="shared" ref="AL33:AP87" si="51">IFERROR(U33-D33,0)</f>
        <v>0</v>
      </c>
      <c r="AM33" s="523">
        <f t="shared" si="51"/>
        <v>0</v>
      </c>
      <c r="AN33" s="524">
        <f t="shared" si="51"/>
        <v>0</v>
      </c>
      <c r="AO33" s="524">
        <f t="shared" si="51"/>
        <v>0</v>
      </c>
      <c r="AP33" s="522">
        <f t="shared" si="51"/>
        <v>0</v>
      </c>
      <c r="AQ33" s="525"/>
      <c r="AR33" s="526">
        <f t="shared" ref="AR33:AS97" si="52">IFERROR(AA33-J33,0)</f>
        <v>0</v>
      </c>
      <c r="AS33" s="524">
        <f t="shared" si="52"/>
        <v>0</v>
      </c>
      <c r="AT33" s="524"/>
      <c r="AU33" s="524">
        <f t="shared" si="26"/>
        <v>0</v>
      </c>
      <c r="AV33" s="527"/>
      <c r="AW33" s="52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row>
    <row r="34" spans="1:82" s="72" customFormat="1" ht="15.75" customHeight="1" x14ac:dyDescent="0.35">
      <c r="A34"/>
      <c r="B34" s="53"/>
      <c r="C34" s="51" t="s">
        <v>46</v>
      </c>
      <c r="D34" s="95">
        <f>EC_2!D34+FS_2!D34+GT_2!D34+KZN_2!D34+LIM_2!D34+MPU_2!D34+NC_2!D34+NW_2!D34+WC_2!D34</f>
        <v>0</v>
      </c>
      <c r="E34" s="198">
        <f>EC_2!E34+FS_2!E34+GT_2!E34+KZN_2!E34+LIM_2!E34+MPU_2!E34+NC_2!E34+NW_2!E34+WC_2!E34</f>
        <v>0</v>
      </c>
      <c r="F34" s="54">
        <f>EC_2!F34+FS_2!F34+GT_2!F34+KZN_2!F34+LIM_2!F34+MPU_2!F34+NC_2!F34+NW_2!F34+WC_2!F34</f>
        <v>0</v>
      </c>
      <c r="G34" s="54">
        <f>EC_2!G34+FS_2!G34+GT_2!G34+KZN_2!G34+LIM_2!G34+MPU_2!G34+NC_2!G34+NW_2!G34+WC_2!G34</f>
        <v>675</v>
      </c>
      <c r="H34" s="95">
        <f>EC_2!H34+FS_2!H34+GT_2!H34+KZN_2!H34+LIM_2!H34+MPU_2!H34+NC_2!H34+NW_2!H34+WC_2!H34</f>
        <v>675</v>
      </c>
      <c r="I34" s="216">
        <f>EC_2!I34+FS_2!I34+GT_2!I34+KZN_2!I34+LIM_2!I34+MPU_2!I34+NC_2!I34+NW_2!I34+WC_2!I34</f>
        <v>0</v>
      </c>
      <c r="J34" s="101">
        <f>EC_2!J34+FS_2!J34+GT_2!J34+KZN_2!J34+LIM_2!J34+MPU_2!J34+NC_2!J34+NW_2!J34+WC_2!J34</f>
        <v>0</v>
      </c>
      <c r="K34" s="54">
        <f>EC_2!K34+FS_2!K34+GT_2!K34+KZN_2!K34+LIM_2!K34+MPU_2!K34+NC_2!K34+NW_2!K34+WC_2!K34</f>
        <v>0</v>
      </c>
      <c r="L34" s="54">
        <f>EC_2!L34+FS_2!L34+GT_2!L34+KZN_2!L34+LIM_2!L34+MPU_2!L34+NC_2!L34+NW_2!L34+WC_2!L34</f>
        <v>0</v>
      </c>
      <c r="M34" s="54">
        <f>EC_2!M34+FS_2!M34+GT_2!M34+KZN_2!M34+LIM_2!M34+MPU_2!M34+NC_2!M34+NW_2!M34+WC_2!M34</f>
        <v>288</v>
      </c>
      <c r="N34" s="183">
        <f t="shared" ref="N34:N35" si="53">IFERROR(M34/H34,0)</f>
        <v>0.42666666666666669</v>
      </c>
      <c r="O34" s="55"/>
      <c r="P34" s="52"/>
      <c r="Q34" s="52"/>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0" t="str">
        <f t="shared" si="24"/>
        <v>Cooperative Governance and Traditional Affairs (Vote 4)</v>
      </c>
      <c r="AL34" s="388">
        <f>SUM(AL35:AL37)</f>
        <v>0</v>
      </c>
      <c r="AM34" s="389">
        <f t="shared" ref="AM34:AP34" si="54">SUM(AM35:AM37)</f>
        <v>0</v>
      </c>
      <c r="AN34" s="390">
        <f t="shared" si="54"/>
        <v>0</v>
      </c>
      <c r="AO34" s="390">
        <f t="shared" si="54"/>
        <v>-675</v>
      </c>
      <c r="AP34" s="388">
        <f t="shared" si="54"/>
        <v>-675</v>
      </c>
      <c r="AQ34" s="391"/>
      <c r="AR34" s="392">
        <f t="shared" ref="AR34:AS34" si="55">SUM(AR35:AR37)</f>
        <v>0</v>
      </c>
      <c r="AS34" s="390">
        <f t="shared" si="55"/>
        <v>0</v>
      </c>
      <c r="AT34" s="390"/>
      <c r="AU34" s="390">
        <f>SUM(AU35:AU37)</f>
        <v>-288</v>
      </c>
      <c r="AV34" s="315"/>
      <c r="AW34" s="393"/>
      <c r="AX34"/>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row>
    <row r="35" spans="1:82" s="35" customFormat="1" ht="15.75" customHeight="1" x14ac:dyDescent="0.3">
      <c r="A35"/>
      <c r="B35" s="57"/>
      <c r="C35" s="58" t="s">
        <v>204</v>
      </c>
      <c r="D35" s="96">
        <f>EC_2!D35+FS_2!D35+GT_2!D35+KZN_2!D35+LIM_2!D35+MPU_2!D35+NC_2!D35+NW_2!D35+WC_2!D35</f>
        <v>0</v>
      </c>
      <c r="E35" s="199">
        <f>EC_2!E35+FS_2!E35+GT_2!E35+KZN_2!E35+LIM_2!E35+MPU_2!E35+NC_2!E35+NW_2!E35+WC_2!E35</f>
        <v>0</v>
      </c>
      <c r="F35" s="59">
        <f>EC_2!F35+FS_2!F35+GT_2!F35+KZN_2!F35+LIM_2!F35+MPU_2!F35+NC_2!F35+NW_2!F35+WC_2!F35</f>
        <v>0</v>
      </c>
      <c r="G35" s="59">
        <f>EC_2!G35+FS_2!G35+GT_2!G35+KZN_2!G35+LIM_2!G35+MPU_2!G35+NC_2!G35+NW_2!G35+WC_2!G35</f>
        <v>675</v>
      </c>
      <c r="H35" s="96">
        <f>EC_2!H35+FS_2!H35+GT_2!H35+KZN_2!H35+LIM_2!H35+MPU_2!H35+NC_2!H35+NW_2!H35+WC_2!H35</f>
        <v>675</v>
      </c>
      <c r="I35" s="217">
        <f>EC_2!I35+FS_2!I35+GT_2!I35+KZN_2!I35+LIM_2!I35+MPU_2!I35+NC_2!I35+NW_2!I35+WC_2!I35</f>
        <v>0</v>
      </c>
      <c r="J35" s="102">
        <f>EC_2!J35+FS_2!J35+GT_2!J35+KZN_2!J35+LIM_2!J35+MPU_2!J35+NC_2!J35+NW_2!J35+WC_2!J35</f>
        <v>0</v>
      </c>
      <c r="K35" s="59">
        <f>EC_2!K35+FS_2!K35+GT_2!K35+KZN_2!K35+LIM_2!K35+MPU_2!K35+NC_2!K35+NW_2!K35+WC_2!K35</f>
        <v>0</v>
      </c>
      <c r="L35" s="59">
        <f>EC_2!L35+FS_2!L35+GT_2!L35+KZN_2!L35+LIM_2!L35+MPU_2!L35+NC_2!L35+NW_2!L35+WC_2!L35</f>
        <v>0</v>
      </c>
      <c r="M35" s="59">
        <f>EC_2!M35+FS_2!M35+GT_2!M35+KZN_2!M35+LIM_2!M35+MPU_2!M35+NC_2!M35+NW_2!M35+WC_2!M35</f>
        <v>288</v>
      </c>
      <c r="N35" s="172">
        <f t="shared" si="53"/>
        <v>0.42666666666666669</v>
      </c>
      <c r="O35" s="60"/>
      <c r="P35" s="56"/>
      <c r="Q35" s="56"/>
      <c r="R35"/>
      <c r="S35" s="57"/>
      <c r="T35" s="58" t="str">
        <f t="shared" ref="T35:T39" si="56">C35</f>
        <v>Provincial Disaster Recovery Grant</v>
      </c>
      <c r="U35" s="96">
        <v>0</v>
      </c>
      <c r="V35" s="199">
        <v>0</v>
      </c>
      <c r="W35" s="59">
        <v>0</v>
      </c>
      <c r="X35" s="59">
        <v>0</v>
      </c>
      <c r="Y35" s="96">
        <v>0</v>
      </c>
      <c r="Z35" s="217"/>
      <c r="AA35" s="102">
        <v>0</v>
      </c>
      <c r="AB35" s="59">
        <v>0</v>
      </c>
      <c r="AC35" s="59"/>
      <c r="AD35" s="59">
        <v>0</v>
      </c>
      <c r="AE35" s="172">
        <v>0</v>
      </c>
      <c r="AF35" s="60"/>
      <c r="AG35" s="443"/>
      <c r="AH35" s="443"/>
      <c r="AI35" s="61"/>
      <c r="AJ35" s="394"/>
      <c r="AK35" s="479" t="str">
        <f>C35</f>
        <v>Provincial Disaster Recovery Grant</v>
      </c>
      <c r="AL35" s="396">
        <f>IFERROR(U35-D35,0)</f>
        <v>0</v>
      </c>
      <c r="AM35" s="397">
        <f t="shared" ref="AM35:AM39" si="57">IFERROR(V35-E35,0)</f>
        <v>0</v>
      </c>
      <c r="AN35" s="398">
        <f t="shared" ref="AN35:AN39" si="58">IFERROR(W35-F35,0)</f>
        <v>0</v>
      </c>
      <c r="AO35" s="398">
        <f t="shared" ref="AO35:AO39" si="59">IFERROR(X35-G35,0)</f>
        <v>-675</v>
      </c>
      <c r="AP35" s="396">
        <f t="shared" ref="AP35:AP39" si="60">IFERROR(Y35-H35,0)</f>
        <v>-675</v>
      </c>
      <c r="AQ35" s="399"/>
      <c r="AR35" s="400">
        <f t="shared" ref="AR35:AR39" si="61">IFERROR(AA35-J35,0)</f>
        <v>0</v>
      </c>
      <c r="AS35" s="398">
        <f t="shared" ref="AS35:AS39" si="62">IFERROR(AB35-K35,0)</f>
        <v>0</v>
      </c>
      <c r="AT35" s="398"/>
      <c r="AU35" s="398">
        <f>IFERROR(AD35-M35,0)</f>
        <v>-288</v>
      </c>
      <c r="AV35" s="290"/>
      <c r="AW35" s="401"/>
      <c r="AX35" s="61"/>
      <c r="AY35"/>
      <c r="AZ35"/>
      <c r="BA35"/>
      <c r="BB35"/>
      <c r="BC35"/>
      <c r="BD35"/>
      <c r="BE35"/>
      <c r="BF35"/>
      <c r="BG35"/>
      <c r="BH35"/>
      <c r="BI35"/>
      <c r="BJ35"/>
      <c r="BK35"/>
      <c r="BL35"/>
      <c r="BM35"/>
      <c r="BN35"/>
      <c r="BO35"/>
      <c r="BP35"/>
      <c r="BQ35"/>
      <c r="BR35"/>
      <c r="BS35"/>
      <c r="BT35"/>
      <c r="BU35"/>
      <c r="BV35"/>
      <c r="BW35"/>
      <c r="BX35"/>
      <c r="BY35"/>
      <c r="BZ35"/>
      <c r="CA35"/>
      <c r="CB35"/>
      <c r="CC35"/>
      <c r="CD35"/>
    </row>
    <row r="36" spans="1:82" s="518" customFormat="1" ht="15.75" customHeight="1" x14ac:dyDescent="0.3">
      <c r="A36" s="508"/>
      <c r="B36" s="509"/>
      <c r="C36" s="510"/>
      <c r="D36" s="511">
        <f>EC_2!D36+FS_2!D36+GT_2!D36+KZN_2!D36+LIM_2!D36+MPU_2!D36+NC_2!D36+NW_2!D36+WC_2!D36</f>
        <v>0</v>
      </c>
      <c r="E36" s="512">
        <f>EC_2!E36+FS_2!E36+GT_2!E36+KZN_2!E36+LIM_2!E36+MPU_2!E36+NC_2!E36+NW_2!E36+WC_2!E36</f>
        <v>0</v>
      </c>
      <c r="F36" s="513">
        <f>EC_2!F36+FS_2!F36+GT_2!F36+KZN_2!F36+LIM_2!F36+MPU_2!F36+NC_2!F36+NW_2!F36+WC_2!F36</f>
        <v>0</v>
      </c>
      <c r="G36" s="513">
        <f>EC_2!G36+FS_2!G36+GT_2!G36+KZN_2!G36+LIM_2!G36+MPU_2!G36+NC_2!G36+NW_2!G36+WC_2!G36</f>
        <v>0</v>
      </c>
      <c r="H36" s="511">
        <f>EC_2!H36+FS_2!H36+GT_2!H36+KZN_2!H36+LIM_2!H36+MPU_2!H36+NC_2!H36+NW_2!H36+WC_2!H36</f>
        <v>0</v>
      </c>
      <c r="I36" s="514">
        <f>EC_2!I36+FS_2!I36+GT_2!I36+KZN_2!I36+LIM_2!I36+MPU_2!I36+NC_2!I36+NW_2!I36+WC_2!I36</f>
        <v>0</v>
      </c>
      <c r="J36" s="515">
        <f>EC_2!J36+FS_2!J36+GT_2!J36+KZN_2!J36+LIM_2!J36+MPU_2!J36+NC_2!J36+NW_2!J36+WC_2!J36</f>
        <v>0</v>
      </c>
      <c r="K36" s="513">
        <f>EC_2!K36+FS_2!K36+GT_2!K36+KZN_2!K36+LIM_2!K36+MPU_2!K36+NC_2!K36+NW_2!K36+WC_2!K36</f>
        <v>0</v>
      </c>
      <c r="L36" s="513">
        <f>EC_2!L36+FS_2!L36+GT_2!L36+KZN_2!L36+LIM_2!L36+MPU_2!L36+NC_2!L36+NW_2!L36+WC_2!L36</f>
        <v>0</v>
      </c>
      <c r="M36" s="513">
        <f>EC_2!M36+FS_2!M36+GT_2!M36+KZN_2!M36+LIM_2!M36+MPU_2!M36+NC_2!M36+NW_2!M36+WC_2!M36</f>
        <v>0</v>
      </c>
      <c r="N36" s="516">
        <f t="shared" ref="N36:N39" si="63">IFERROR(M36/F36,0)</f>
        <v>0</v>
      </c>
      <c r="O36" s="517"/>
      <c r="R36" s="508"/>
      <c r="S36" s="509"/>
      <c r="T36" s="510">
        <f t="shared" si="56"/>
        <v>0</v>
      </c>
      <c r="U36" s="511">
        <v>0</v>
      </c>
      <c r="V36" s="512">
        <v>0</v>
      </c>
      <c r="W36" s="513">
        <v>0</v>
      </c>
      <c r="X36" s="513">
        <v>0</v>
      </c>
      <c r="Y36" s="511">
        <v>0</v>
      </c>
      <c r="Z36" s="514"/>
      <c r="AA36" s="515">
        <v>0</v>
      </c>
      <c r="AB36" s="513">
        <v>0</v>
      </c>
      <c r="AC36" s="513"/>
      <c r="AD36" s="513">
        <v>0</v>
      </c>
      <c r="AE36" s="516">
        <v>0</v>
      </c>
      <c r="AF36" s="517"/>
      <c r="AG36" s="519"/>
      <c r="AH36" s="519"/>
      <c r="AI36" s="508"/>
      <c r="AJ36" s="520"/>
      <c r="AK36" s="521">
        <f t="shared" ref="AK36:AK39" si="64">C36</f>
        <v>0</v>
      </c>
      <c r="AL36" s="522">
        <f t="shared" ref="AL36:AL39" si="65">IFERROR(U36-D36,0)</f>
        <v>0</v>
      </c>
      <c r="AM36" s="523">
        <f t="shared" si="57"/>
        <v>0</v>
      </c>
      <c r="AN36" s="524">
        <f t="shared" si="58"/>
        <v>0</v>
      </c>
      <c r="AO36" s="524">
        <f t="shared" si="59"/>
        <v>0</v>
      </c>
      <c r="AP36" s="522">
        <f t="shared" si="60"/>
        <v>0</v>
      </c>
      <c r="AQ36" s="525"/>
      <c r="AR36" s="526">
        <f t="shared" si="61"/>
        <v>0</v>
      </c>
      <c r="AS36" s="524">
        <f t="shared" si="62"/>
        <v>0</v>
      </c>
      <c r="AT36" s="524"/>
      <c r="AU36" s="524">
        <f t="shared" ref="AU36:AU39" si="66">IFERROR(AD36-M36,0)</f>
        <v>0</v>
      </c>
      <c r="AV36" s="527"/>
      <c r="AW36" s="52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row>
    <row r="37" spans="1:82" s="518" customFormat="1" ht="15.75" customHeight="1" x14ac:dyDescent="0.3">
      <c r="A37" s="508"/>
      <c r="B37" s="509"/>
      <c r="C37" s="510"/>
      <c r="D37" s="511">
        <f>EC_2!D37+FS_2!D37+GT_2!D37+KZN_2!D37+LIM_2!D37+MPU_2!D37+NC_2!D37+NW_2!D37+WC_2!D37</f>
        <v>0</v>
      </c>
      <c r="E37" s="512">
        <f>EC_2!E37+FS_2!E37+GT_2!E37+KZN_2!E37+LIM_2!E37+MPU_2!E37+NC_2!E37+NW_2!E37+WC_2!E37</f>
        <v>0</v>
      </c>
      <c r="F37" s="513">
        <f>EC_2!F37+FS_2!F37+GT_2!F37+KZN_2!F37+LIM_2!F37+MPU_2!F37+NC_2!F37+NW_2!F37+WC_2!F37</f>
        <v>0</v>
      </c>
      <c r="G37" s="513">
        <f>EC_2!G37+FS_2!G37+GT_2!G37+KZN_2!G37+LIM_2!G37+MPU_2!G37+NC_2!G37+NW_2!G37+WC_2!G37</f>
        <v>0</v>
      </c>
      <c r="H37" s="511">
        <f>EC_2!H37+FS_2!H37+GT_2!H37+KZN_2!H37+LIM_2!H37+MPU_2!H37+NC_2!H37+NW_2!H37+WC_2!H37</f>
        <v>0</v>
      </c>
      <c r="I37" s="514">
        <f>EC_2!I37+FS_2!I37+GT_2!I37+KZN_2!I37+LIM_2!I37+MPU_2!I37+NC_2!I37+NW_2!I37+WC_2!I37</f>
        <v>0</v>
      </c>
      <c r="J37" s="515">
        <f>EC_2!J37+FS_2!J37+GT_2!J37+KZN_2!J37+LIM_2!J37+MPU_2!J37+NC_2!J37+NW_2!J37+WC_2!J37</f>
        <v>0</v>
      </c>
      <c r="K37" s="513">
        <f>EC_2!K37+FS_2!K37+GT_2!K37+KZN_2!K37+LIM_2!K37+MPU_2!K37+NC_2!K37+NW_2!K37+WC_2!K37</f>
        <v>0</v>
      </c>
      <c r="L37" s="513">
        <f>EC_2!L37+FS_2!L37+GT_2!L37+KZN_2!L37+LIM_2!L37+MPU_2!L37+NC_2!L37+NW_2!L37+WC_2!L37</f>
        <v>0</v>
      </c>
      <c r="M37" s="513">
        <f>EC_2!M37+FS_2!M37+GT_2!M37+KZN_2!M37+LIM_2!M37+MPU_2!M37+NC_2!M37+NW_2!M37+WC_2!M37</f>
        <v>0</v>
      </c>
      <c r="N37" s="516">
        <f t="shared" si="63"/>
        <v>0</v>
      </c>
      <c r="O37" s="517"/>
      <c r="R37" s="508"/>
      <c r="S37" s="509"/>
      <c r="T37" s="510">
        <f t="shared" si="56"/>
        <v>0</v>
      </c>
      <c r="U37" s="511">
        <v>0</v>
      </c>
      <c r="V37" s="512">
        <v>0</v>
      </c>
      <c r="W37" s="513">
        <v>0</v>
      </c>
      <c r="X37" s="513">
        <v>0</v>
      </c>
      <c r="Y37" s="511">
        <v>0</v>
      </c>
      <c r="Z37" s="514"/>
      <c r="AA37" s="515">
        <v>0</v>
      </c>
      <c r="AB37" s="513">
        <v>0</v>
      </c>
      <c r="AC37" s="513"/>
      <c r="AD37" s="513">
        <v>0</v>
      </c>
      <c r="AE37" s="516">
        <v>0</v>
      </c>
      <c r="AF37" s="517"/>
      <c r="AG37" s="519"/>
      <c r="AH37" s="519"/>
      <c r="AI37" s="508"/>
      <c r="AJ37" s="520"/>
      <c r="AK37" s="521">
        <f t="shared" si="64"/>
        <v>0</v>
      </c>
      <c r="AL37" s="522">
        <f t="shared" si="65"/>
        <v>0</v>
      </c>
      <c r="AM37" s="523">
        <f t="shared" si="57"/>
        <v>0</v>
      </c>
      <c r="AN37" s="524">
        <f t="shared" si="58"/>
        <v>0</v>
      </c>
      <c r="AO37" s="524">
        <f t="shared" si="59"/>
        <v>0</v>
      </c>
      <c r="AP37" s="522">
        <f t="shared" si="60"/>
        <v>0</v>
      </c>
      <c r="AQ37" s="525"/>
      <c r="AR37" s="526">
        <f t="shared" si="61"/>
        <v>0</v>
      </c>
      <c r="AS37" s="524">
        <f t="shared" si="62"/>
        <v>0</v>
      </c>
      <c r="AT37" s="524"/>
      <c r="AU37" s="524">
        <f t="shared" si="66"/>
        <v>0</v>
      </c>
      <c r="AV37" s="527"/>
      <c r="AW37" s="528"/>
      <c r="AX37" s="508"/>
      <c r="AY37" s="508"/>
      <c r="AZ37" s="508"/>
      <c r="BA37" s="508"/>
      <c r="BB37" s="508"/>
      <c r="BC37" s="508"/>
      <c r="BD37" s="508"/>
      <c r="BE37" s="508"/>
      <c r="BF37" s="508"/>
      <c r="BG37" s="508"/>
      <c r="BH37" s="508"/>
      <c r="BI37" s="508"/>
      <c r="BJ37" s="508"/>
      <c r="BK37" s="508"/>
      <c r="BL37" s="508"/>
      <c r="BM37" s="508"/>
      <c r="BN37" s="508"/>
      <c r="BO37" s="508"/>
      <c r="BP37" s="508"/>
      <c r="BQ37" s="508"/>
      <c r="BR37" s="508"/>
      <c r="BS37" s="508"/>
      <c r="BT37" s="508"/>
      <c r="BU37" s="508"/>
      <c r="BV37" s="508"/>
      <c r="BW37" s="508"/>
      <c r="BX37" s="508"/>
      <c r="BY37" s="508"/>
      <c r="BZ37" s="508"/>
      <c r="CA37" s="508"/>
      <c r="CB37" s="508"/>
      <c r="CC37" s="508"/>
      <c r="CD37" s="508"/>
    </row>
    <row r="38" spans="1:82" s="529" customFormat="1" ht="15.75" customHeight="1" x14ac:dyDescent="0.3">
      <c r="A38" s="508"/>
      <c r="B38" s="509"/>
      <c r="C38" s="510"/>
      <c r="D38" s="511">
        <f>EC_2!D38+FS_2!D38+GT_2!D38+KZN_2!D38+LIM_2!D38+MPU_2!D38+NC_2!D38+NW_2!D38+WC_2!D38</f>
        <v>0</v>
      </c>
      <c r="E38" s="512">
        <f>EC_2!E38+FS_2!E38+GT_2!E38+KZN_2!E38+LIM_2!E38+MPU_2!E38+NC_2!E38+NW_2!E38+WC_2!E38</f>
        <v>0</v>
      </c>
      <c r="F38" s="513">
        <f>EC_2!F38+FS_2!F38+GT_2!F38+KZN_2!F38+LIM_2!F38+MPU_2!F38+NC_2!F38+NW_2!F38+WC_2!F38</f>
        <v>0</v>
      </c>
      <c r="G38" s="513">
        <f>EC_2!G38+FS_2!G38+GT_2!G38+KZN_2!G38+LIM_2!G38+MPU_2!G38+NC_2!G38+NW_2!G38+WC_2!G38</f>
        <v>0</v>
      </c>
      <c r="H38" s="511">
        <f>EC_2!H38+FS_2!H38+GT_2!H38+KZN_2!H38+LIM_2!H38+MPU_2!H38+NC_2!H38+NW_2!H38+WC_2!H38</f>
        <v>0</v>
      </c>
      <c r="I38" s="514">
        <f>EC_2!I38+FS_2!I38+GT_2!I38+KZN_2!I38+LIM_2!I38+MPU_2!I38+NC_2!I38+NW_2!I38+WC_2!I38</f>
        <v>0</v>
      </c>
      <c r="J38" s="515">
        <f>EC_2!J38+FS_2!J38+GT_2!J38+KZN_2!J38+LIM_2!J38+MPU_2!J38+NC_2!J38+NW_2!J38+WC_2!J38</f>
        <v>0</v>
      </c>
      <c r="K38" s="513">
        <f>EC_2!K38+FS_2!K38+GT_2!K38+KZN_2!K38+LIM_2!K38+MPU_2!K38+NC_2!K38+NW_2!K38+WC_2!K38</f>
        <v>0</v>
      </c>
      <c r="L38" s="513">
        <f>EC_2!L38+FS_2!L38+GT_2!L38+KZN_2!L38+LIM_2!L38+MPU_2!L38+NC_2!L38+NW_2!L38+WC_2!L38</f>
        <v>0</v>
      </c>
      <c r="M38" s="513">
        <f>EC_2!M38+FS_2!M38+GT_2!M38+KZN_2!M38+LIM_2!M38+MPU_2!M38+NC_2!M38+NW_2!M38+WC_2!M38</f>
        <v>0</v>
      </c>
      <c r="N38" s="516">
        <f t="shared" si="63"/>
        <v>0</v>
      </c>
      <c r="O38" s="517"/>
      <c r="P38" s="518"/>
      <c r="Q38" s="518"/>
      <c r="R38" s="508"/>
      <c r="S38" s="509"/>
      <c r="T38" s="510">
        <f t="shared" si="56"/>
        <v>0</v>
      </c>
      <c r="U38" s="511">
        <v>0</v>
      </c>
      <c r="V38" s="512">
        <v>0</v>
      </c>
      <c r="W38" s="513">
        <v>0</v>
      </c>
      <c r="X38" s="513">
        <v>0</v>
      </c>
      <c r="Y38" s="511">
        <v>0</v>
      </c>
      <c r="Z38" s="514"/>
      <c r="AA38" s="515">
        <v>0</v>
      </c>
      <c r="AB38" s="513">
        <v>0</v>
      </c>
      <c r="AC38" s="513"/>
      <c r="AD38" s="513">
        <v>0</v>
      </c>
      <c r="AE38" s="516">
        <v>0</v>
      </c>
      <c r="AF38" s="517"/>
      <c r="AG38" s="519"/>
      <c r="AH38" s="519"/>
      <c r="AI38" s="508"/>
      <c r="AJ38" s="520"/>
      <c r="AK38" s="521">
        <f t="shared" si="64"/>
        <v>0</v>
      </c>
      <c r="AL38" s="522">
        <f t="shared" si="65"/>
        <v>0</v>
      </c>
      <c r="AM38" s="523">
        <f t="shared" si="57"/>
        <v>0</v>
      </c>
      <c r="AN38" s="524">
        <f t="shared" si="58"/>
        <v>0</v>
      </c>
      <c r="AO38" s="524">
        <f t="shared" si="59"/>
        <v>0</v>
      </c>
      <c r="AP38" s="522">
        <f t="shared" si="60"/>
        <v>0</v>
      </c>
      <c r="AQ38" s="525"/>
      <c r="AR38" s="526">
        <f t="shared" si="61"/>
        <v>0</v>
      </c>
      <c r="AS38" s="524">
        <f t="shared" si="62"/>
        <v>0</v>
      </c>
      <c r="AT38" s="524"/>
      <c r="AU38" s="524">
        <f t="shared" si="66"/>
        <v>0</v>
      </c>
      <c r="AV38" s="527"/>
      <c r="AW38" s="528"/>
      <c r="AX38" s="508"/>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row>
    <row r="39" spans="1:82" s="518" customFormat="1" ht="15.75" customHeight="1" x14ac:dyDescent="0.3">
      <c r="A39" s="508"/>
      <c r="B39" s="509"/>
      <c r="C39" s="510"/>
      <c r="D39" s="511">
        <f>EC_2!D39+FS_2!D39+GT_2!D39+KZN_2!D39+LIM_2!D39+MPU_2!D39+NC_2!D39+NW_2!D39+WC_2!D39</f>
        <v>0</v>
      </c>
      <c r="E39" s="512">
        <f>EC_2!E39+FS_2!E39+GT_2!E39+KZN_2!E39+LIM_2!E39+MPU_2!E39+NC_2!E39+NW_2!E39+WC_2!E39</f>
        <v>0</v>
      </c>
      <c r="F39" s="513">
        <f>EC_2!F39+FS_2!F39+GT_2!F39+KZN_2!F39+LIM_2!F39+MPU_2!F39+NC_2!F39+NW_2!F39+WC_2!F39</f>
        <v>0</v>
      </c>
      <c r="G39" s="513">
        <f>EC_2!G39+FS_2!G39+GT_2!G39+KZN_2!G39+LIM_2!G39+MPU_2!G39+NC_2!G39+NW_2!G39+WC_2!G39</f>
        <v>0</v>
      </c>
      <c r="H39" s="511">
        <f>EC_2!H39+FS_2!H39+GT_2!H39+KZN_2!H39+LIM_2!H39+MPU_2!H39+NC_2!H39+NW_2!H39+WC_2!H39</f>
        <v>0</v>
      </c>
      <c r="I39" s="514">
        <f>EC_2!I39+FS_2!I39+GT_2!I39+KZN_2!I39+LIM_2!I39+MPU_2!I39+NC_2!I39+NW_2!I39+WC_2!I39</f>
        <v>0</v>
      </c>
      <c r="J39" s="515">
        <f>EC_2!J39+FS_2!J39+GT_2!J39+KZN_2!J39+LIM_2!J39+MPU_2!J39+NC_2!J39+NW_2!J39+WC_2!J39</f>
        <v>0</v>
      </c>
      <c r="K39" s="513">
        <f>EC_2!K39+FS_2!K39+GT_2!K39+KZN_2!K39+LIM_2!K39+MPU_2!K39+NC_2!K39+NW_2!K39+WC_2!K39</f>
        <v>0</v>
      </c>
      <c r="L39" s="513">
        <f>EC_2!L39+FS_2!L39+GT_2!L39+KZN_2!L39+LIM_2!L39+MPU_2!L39+NC_2!L39+NW_2!L39+WC_2!L39</f>
        <v>0</v>
      </c>
      <c r="M39" s="513">
        <f>EC_2!M39+FS_2!M39+GT_2!M39+KZN_2!M39+LIM_2!M39+MPU_2!M39+NC_2!M39+NW_2!M39+WC_2!M39</f>
        <v>0</v>
      </c>
      <c r="N39" s="516">
        <f t="shared" si="63"/>
        <v>0</v>
      </c>
      <c r="O39" s="517"/>
      <c r="R39" s="508"/>
      <c r="S39" s="509"/>
      <c r="T39" s="510">
        <f t="shared" si="56"/>
        <v>0</v>
      </c>
      <c r="U39" s="511">
        <v>0</v>
      </c>
      <c r="V39" s="512">
        <v>0</v>
      </c>
      <c r="W39" s="513">
        <v>0</v>
      </c>
      <c r="X39" s="513">
        <v>0</v>
      </c>
      <c r="Y39" s="511">
        <v>0</v>
      </c>
      <c r="Z39" s="514"/>
      <c r="AA39" s="515">
        <v>0</v>
      </c>
      <c r="AB39" s="513">
        <v>0</v>
      </c>
      <c r="AC39" s="513"/>
      <c r="AD39" s="513">
        <v>0</v>
      </c>
      <c r="AE39" s="516">
        <v>0</v>
      </c>
      <c r="AF39" s="517"/>
      <c r="AG39" s="519"/>
      <c r="AH39" s="519"/>
      <c r="AI39" s="508"/>
      <c r="AJ39" s="520"/>
      <c r="AK39" s="521">
        <f t="shared" si="64"/>
        <v>0</v>
      </c>
      <c r="AL39" s="522">
        <f t="shared" si="65"/>
        <v>0</v>
      </c>
      <c r="AM39" s="523">
        <f t="shared" si="57"/>
        <v>0</v>
      </c>
      <c r="AN39" s="524">
        <f t="shared" si="58"/>
        <v>0</v>
      </c>
      <c r="AO39" s="524">
        <f t="shared" si="59"/>
        <v>0</v>
      </c>
      <c r="AP39" s="522">
        <f t="shared" si="60"/>
        <v>0</v>
      </c>
      <c r="AQ39" s="525"/>
      <c r="AR39" s="526">
        <f t="shared" si="61"/>
        <v>0</v>
      </c>
      <c r="AS39" s="524">
        <f t="shared" si="62"/>
        <v>0</v>
      </c>
      <c r="AT39" s="524"/>
      <c r="AU39" s="524">
        <f t="shared" si="66"/>
        <v>0</v>
      </c>
      <c r="AV39" s="527"/>
      <c r="AW39" s="52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row>
    <row r="40" spans="1:82" s="518" customFormat="1" ht="8.25" customHeight="1" x14ac:dyDescent="0.3">
      <c r="A40" s="508"/>
      <c r="B40" s="509"/>
      <c r="C40" s="510"/>
      <c r="D40" s="511">
        <f>EC_2!D40+FS_2!D40+GT_2!D40+KZN_2!D40+LIM_2!D40+MPU_2!D40+NC_2!D40+NW_2!D40+WC_2!D40</f>
        <v>0</v>
      </c>
      <c r="E40" s="512">
        <f>EC_2!E40+FS_2!E40+GT_2!E40+KZN_2!E40+LIM_2!E40+MPU_2!E40+NC_2!E40+NW_2!E40+WC_2!E40</f>
        <v>0</v>
      </c>
      <c r="F40" s="513">
        <f>EC_2!F40+FS_2!F40+GT_2!F40+KZN_2!F40+LIM_2!F40+MPU_2!F40+NC_2!F40+NW_2!F40+WC_2!F40</f>
        <v>0</v>
      </c>
      <c r="G40" s="513">
        <f>EC_2!G40+FS_2!G40+GT_2!G40+KZN_2!G40+LIM_2!G40+MPU_2!G40+NC_2!G40+NW_2!G40+WC_2!G40</f>
        <v>0</v>
      </c>
      <c r="H40" s="511">
        <f>EC_2!H40+FS_2!H40+GT_2!H40+KZN_2!H40+LIM_2!H40+MPU_2!H40+NC_2!H40+NW_2!H40+WC_2!H40</f>
        <v>0</v>
      </c>
      <c r="I40" s="514">
        <f>EC_2!I40+FS_2!I40+GT_2!I40+KZN_2!I40+LIM_2!I40+MPU_2!I40+NC_2!I40+NW_2!I40+WC_2!I40</f>
        <v>0</v>
      </c>
      <c r="J40" s="515">
        <f>EC_2!J40+FS_2!J40+GT_2!J40+KZN_2!J40+LIM_2!J40+MPU_2!J40+NC_2!J40+NW_2!J40+WC_2!J40</f>
        <v>0</v>
      </c>
      <c r="K40" s="513">
        <f>EC_2!K40+FS_2!K40+GT_2!K40+KZN_2!K40+LIM_2!K40+MPU_2!K40+NC_2!K40+NW_2!K40+WC_2!K40</f>
        <v>0</v>
      </c>
      <c r="L40" s="513">
        <f>EC_2!L40+FS_2!L40+GT_2!L40+KZN_2!L40+LIM_2!L40+MPU_2!L40+NC_2!L40+NW_2!L40+WC_2!L40</f>
        <v>0</v>
      </c>
      <c r="M40" s="513">
        <f>EC_2!M40+FS_2!M40+GT_2!M40+KZN_2!M40+LIM_2!M40+MPU_2!M40+NC_2!M40+NW_2!M40+WC_2!M40</f>
        <v>0</v>
      </c>
      <c r="N40" s="516"/>
      <c r="O40" s="517"/>
      <c r="R40" s="508"/>
      <c r="S40" s="509"/>
      <c r="T40" s="510"/>
      <c r="U40" s="511"/>
      <c r="V40" s="512"/>
      <c r="W40" s="513"/>
      <c r="X40" s="513"/>
      <c r="Y40" s="511"/>
      <c r="Z40" s="514"/>
      <c r="AA40" s="515"/>
      <c r="AB40" s="513"/>
      <c r="AC40" s="513"/>
      <c r="AD40" s="513"/>
      <c r="AE40" s="516"/>
      <c r="AF40" s="517"/>
      <c r="AG40" s="519"/>
      <c r="AH40" s="519"/>
      <c r="AI40" s="508"/>
      <c r="AJ40" s="520"/>
      <c r="AK40" s="521">
        <f t="shared" ref="AK40" si="67">C40</f>
        <v>0</v>
      </c>
      <c r="AL40" s="522">
        <f t="shared" ref="AL40" si="68">IFERROR(U40-D40,0)</f>
        <v>0</v>
      </c>
      <c r="AM40" s="523">
        <f t="shared" ref="AM40:AP40" si="69">IFERROR(V40-E40,0)</f>
        <v>0</v>
      </c>
      <c r="AN40" s="524">
        <f t="shared" si="69"/>
        <v>0</v>
      </c>
      <c r="AO40" s="524">
        <f t="shared" si="69"/>
        <v>0</v>
      </c>
      <c r="AP40" s="522">
        <f t="shared" si="69"/>
        <v>0</v>
      </c>
      <c r="AQ40" s="525"/>
      <c r="AR40" s="526">
        <f t="shared" ref="AR40:AS40" si="70">IFERROR(AA40-J40,0)</f>
        <v>0</v>
      </c>
      <c r="AS40" s="524">
        <f t="shared" si="70"/>
        <v>0</v>
      </c>
      <c r="AT40" s="524"/>
      <c r="AU40" s="524">
        <f t="shared" ref="AU40" si="71">IFERROR(AD40-M40,0)</f>
        <v>0</v>
      </c>
      <c r="AV40" s="527"/>
      <c r="AW40" s="52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row>
    <row r="41" spans="1:82" s="35" customFormat="1" ht="15.75" customHeight="1" x14ac:dyDescent="0.3">
      <c r="A41"/>
      <c r="B41" s="62"/>
      <c r="C41" s="51" t="s">
        <v>27</v>
      </c>
      <c r="D41" s="95">
        <f>EC_2!D41+FS_2!D41+GT_2!D41+KZN_2!D41+LIM_2!D41+MPU_2!D41+NC_2!D41+NW_2!D41+WC_2!D41</f>
        <v>28862864</v>
      </c>
      <c r="E41" s="198">
        <f>EC_2!E41+FS_2!E41+GT_2!E41+KZN_2!E41+LIM_2!E41+MPU_2!E41+NC_2!E41+NW_2!E41+WC_2!E41</f>
        <v>874588</v>
      </c>
      <c r="F41" s="54">
        <f>EC_2!F41+FS_2!F41+GT_2!F41+KZN_2!F41+LIM_2!F41+MPU_2!F41+NC_2!F41+NW_2!F41+WC_2!F41</f>
        <v>29737452</v>
      </c>
      <c r="G41" s="54">
        <f>EC_2!G41+FS_2!G41+GT_2!G41+KZN_2!G41+LIM_2!G41+MPU_2!G41+NC_2!G41+NW_2!G41+WC_2!G41</f>
        <v>145342</v>
      </c>
      <c r="H41" s="95">
        <f>EC_2!H41+FS_2!H41+GT_2!H41+KZN_2!H41+LIM_2!H41+MPU_2!H41+NC_2!H41+NW_2!H41+WC_2!H41</f>
        <v>29882794</v>
      </c>
      <c r="I41" s="216">
        <f>EC_2!I41+FS_2!I41+GT_2!I41+KZN_2!I41+LIM_2!I41+MPU_2!I41+NC_2!I41+NW_2!I41+WC_2!I41</f>
        <v>0</v>
      </c>
      <c r="J41" s="101">
        <f>EC_2!J41+FS_2!J41+GT_2!J41+KZN_2!J41+LIM_2!J41+MPU_2!J41+NC_2!J41+NW_2!J41+WC_2!J41</f>
        <v>29737452</v>
      </c>
      <c r="K41" s="54">
        <f>EC_2!K41+FS_2!K41+GT_2!K41+KZN_2!K41+LIM_2!K41+MPU_2!K41+NC_2!K41+NW_2!K41+WC_2!K41</f>
        <v>29737452</v>
      </c>
      <c r="L41" s="54">
        <f>EC_2!L41+FS_2!L41+GT_2!L41+KZN_2!L41+LIM_2!L41+MPU_2!L41+NC_2!L41+NW_2!L41+WC_2!L41</f>
        <v>0</v>
      </c>
      <c r="M41" s="54">
        <f>EC_2!M41+FS_2!M41+GT_2!M41+KZN_2!M41+LIM_2!M41+MPU_2!M41+NC_2!M41+NW_2!M41+WC_2!M41</f>
        <v>29603286.158240002</v>
      </c>
      <c r="N41" s="183">
        <f t="shared" ref="N41:N46" si="72">IFERROR(M41/H41,0)</f>
        <v>0.99064652917796114</v>
      </c>
      <c r="O41" s="63"/>
      <c r="P41" s="65"/>
      <c r="Q41" s="65"/>
      <c r="R41"/>
      <c r="S41" s="62"/>
      <c r="T41" s="51" t="str">
        <f>C41</f>
        <v>Health (Vote 16)</v>
      </c>
      <c r="U41" s="95">
        <v>28862864</v>
      </c>
      <c r="V41" s="198">
        <v>0</v>
      </c>
      <c r="W41" s="54">
        <v>28862864</v>
      </c>
      <c r="X41" s="54">
        <v>0</v>
      </c>
      <c r="Y41" s="95">
        <v>28862864</v>
      </c>
      <c r="Z41" s="216"/>
      <c r="AA41" s="101">
        <v>14608296</v>
      </c>
      <c r="AB41" s="54">
        <v>14608269</v>
      </c>
      <c r="AC41" s="54"/>
      <c r="AD41" s="54">
        <v>13130521</v>
      </c>
      <c r="AE41" s="183">
        <v>0.45492786162870047</v>
      </c>
      <c r="AF41" s="63"/>
      <c r="AG41" s="444"/>
      <c r="AH41" s="444"/>
      <c r="AI41"/>
      <c r="AJ41" s="402"/>
      <c r="AK41" s="480" t="str">
        <f t="shared" si="24"/>
        <v>Health (Vote 16)</v>
      </c>
      <c r="AL41" s="388">
        <f t="shared" si="51"/>
        <v>0</v>
      </c>
      <c r="AM41" s="389">
        <f t="shared" si="51"/>
        <v>-874588</v>
      </c>
      <c r="AN41" s="390">
        <f t="shared" si="51"/>
        <v>-874588</v>
      </c>
      <c r="AO41" s="390">
        <f t="shared" si="51"/>
        <v>-145342</v>
      </c>
      <c r="AP41" s="388">
        <f t="shared" si="51"/>
        <v>-1019930</v>
      </c>
      <c r="AQ41" s="391"/>
      <c r="AR41" s="392">
        <f t="shared" si="52"/>
        <v>-15129156</v>
      </c>
      <c r="AS41" s="390">
        <f t="shared" si="52"/>
        <v>-15129183</v>
      </c>
      <c r="AT41" s="390"/>
      <c r="AU41" s="390">
        <f t="shared" si="26"/>
        <v>-16472765.158240002</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35" customFormat="1" ht="15.75" customHeight="1" x14ac:dyDescent="0.3">
      <c r="A42"/>
      <c r="B42" s="57"/>
      <c r="C42" s="58" t="s">
        <v>195</v>
      </c>
      <c r="D42" s="96">
        <f>EC_2!D42+FS_2!D42+GT_2!D42+KZN_2!D42+LIM_2!D42+MPU_2!D42+NC_2!D42+NW_2!D42+WC_2!D42</f>
        <v>22038995</v>
      </c>
      <c r="E42" s="199">
        <f>EC_2!E42+FS_2!E42+GT_2!E42+KZN_2!E42+LIM_2!E42+MPU_2!E42+NC_2!E42+NW_2!E42+WC_2!E42</f>
        <v>0</v>
      </c>
      <c r="F42" s="59">
        <f>EC_2!F42+FS_2!F42+GT_2!F42+KZN_2!F42+LIM_2!F42+MPU_2!F42+NC_2!F42+NW_2!F42+WC_2!F42</f>
        <v>22038995</v>
      </c>
      <c r="G42" s="59">
        <f>EC_2!G42+FS_2!G42+GT_2!G42+KZN_2!G42+LIM_2!G42+MPU_2!G42+NC_2!G42+NW_2!G42+WC_2!G42</f>
        <v>37149</v>
      </c>
      <c r="H42" s="96">
        <f>EC_2!H42+FS_2!H42+GT_2!H42+KZN_2!H42+LIM_2!H42+MPU_2!H42+NC_2!H42+NW_2!H42+WC_2!H42</f>
        <v>22076144</v>
      </c>
      <c r="I42" s="217">
        <f>EC_2!I42+FS_2!I42+GT_2!I42+KZN_2!I42+LIM_2!I42+MPU_2!I42+NC_2!I42+NW_2!I42+WC_2!I42</f>
        <v>0</v>
      </c>
      <c r="J42" s="102">
        <f>EC_2!J42+FS_2!J42+GT_2!J42+KZN_2!J42+LIM_2!J42+MPU_2!J42+NC_2!J42+NW_2!J42+WC_2!J42</f>
        <v>22038995</v>
      </c>
      <c r="K42" s="59">
        <f>EC_2!K42+FS_2!K42+GT_2!K42+KZN_2!K42+LIM_2!K42+MPU_2!K42+NC_2!K42+NW_2!K42+WC_2!K42</f>
        <v>22038995</v>
      </c>
      <c r="L42" s="59">
        <f>EC_2!L42+FS_2!L42+GT_2!L42+KZN_2!L42+LIM_2!L42+MPU_2!L42+NC_2!L42+NW_2!L42+WC_2!L42</f>
        <v>0</v>
      </c>
      <c r="M42" s="59">
        <f>EC_2!M42+FS_2!M42+GT_2!M42+KZN_2!M42+LIM_2!M42+MPU_2!M42+NC_2!M42+NW_2!M42+WC_2!M42</f>
        <v>21903130.688999999</v>
      </c>
      <c r="N42" s="172">
        <f t="shared" si="72"/>
        <v>0.99216288356336135</v>
      </c>
      <c r="O42" s="60"/>
      <c r="P42" s="56"/>
      <c r="Q42" s="56"/>
      <c r="R42"/>
      <c r="S42" s="57"/>
      <c r="T42" s="58" t="str">
        <f t="shared" ref="T42:T46" si="73">C42</f>
        <v>(a) HIV, TB, Malaria and Community Outreach Grant</v>
      </c>
      <c r="U42" s="96">
        <v>22038995</v>
      </c>
      <c r="V42" s="199">
        <v>0</v>
      </c>
      <c r="W42" s="59">
        <v>22038995</v>
      </c>
      <c r="X42" s="59">
        <v>0</v>
      </c>
      <c r="Y42" s="96">
        <v>22038995</v>
      </c>
      <c r="Z42" s="217"/>
      <c r="AA42" s="102">
        <v>11019474</v>
      </c>
      <c r="AB42" s="59">
        <v>11019447</v>
      </c>
      <c r="AC42" s="59"/>
      <c r="AD42" s="59">
        <v>9943973</v>
      </c>
      <c r="AE42" s="172">
        <v>0.45119902245996246</v>
      </c>
      <c r="AF42" s="60"/>
      <c r="AG42" s="443"/>
      <c r="AH42" s="443"/>
      <c r="AI42"/>
      <c r="AJ42" s="394"/>
      <c r="AK42" s="479" t="str">
        <f>C42</f>
        <v>(a) HIV, TB, Malaria and Community Outreach Grant</v>
      </c>
      <c r="AL42" s="396">
        <f>IFERROR(U42-D42,0)</f>
        <v>0</v>
      </c>
      <c r="AM42" s="397">
        <f t="shared" ref="AM42:AM46" si="74">IFERROR(V42-E42,0)</f>
        <v>0</v>
      </c>
      <c r="AN42" s="398">
        <f t="shared" ref="AN42:AN46" si="75">IFERROR(W42-F42,0)</f>
        <v>0</v>
      </c>
      <c r="AO42" s="398">
        <f t="shared" ref="AO42:AO46" si="76">IFERROR(X42-G42,0)</f>
        <v>-37149</v>
      </c>
      <c r="AP42" s="396">
        <f t="shared" ref="AP42:AP46" si="77">IFERROR(Y42-H42,0)</f>
        <v>-37149</v>
      </c>
      <c r="AQ42" s="399"/>
      <c r="AR42" s="400">
        <f t="shared" si="52"/>
        <v>-11019521</v>
      </c>
      <c r="AS42" s="398">
        <f t="shared" si="52"/>
        <v>-11019548</v>
      </c>
      <c r="AT42" s="398"/>
      <c r="AU42" s="398">
        <f>IFERROR(AD42-M42,0)</f>
        <v>-11959157.688999999</v>
      </c>
      <c r="AV42" s="290"/>
      <c r="AW42" s="401"/>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s="52" customFormat="1" ht="15.75" customHeight="1" x14ac:dyDescent="0.3">
      <c r="A43"/>
      <c r="B43" s="57"/>
      <c r="C43" s="58" t="s">
        <v>28</v>
      </c>
      <c r="D43" s="96">
        <f>EC_2!D43+FS_2!D43+GT_2!D43+KZN_2!D43+LIM_2!D43+MPU_2!D43+NC_2!D43+NW_2!D43+WC_2!D43</f>
        <v>6006973</v>
      </c>
      <c r="E43" s="199">
        <f>EC_2!E43+FS_2!E43+GT_2!E43+KZN_2!E43+LIM_2!E43+MPU_2!E43+NC_2!E43+NW_2!E43+WC_2!E43</f>
        <v>339300</v>
      </c>
      <c r="F43" s="59">
        <f>EC_2!F43+FS_2!F43+GT_2!F43+KZN_2!F43+LIM_2!F43+MPU_2!F43+NC_2!F43+NW_2!F43+WC_2!F43</f>
        <v>6346273</v>
      </c>
      <c r="G43" s="59">
        <f>EC_2!G43+FS_2!G43+GT_2!G43+KZN_2!G43+LIM_2!G43+MPU_2!G43+NC_2!G43+NW_2!G43+WC_2!G43</f>
        <v>94799</v>
      </c>
      <c r="H43" s="96">
        <f>EC_2!H43+FS_2!H43+GT_2!H43+KZN_2!H43+LIM_2!H43+MPU_2!H43+NC_2!H43+NW_2!H43+WC_2!H43</f>
        <v>6441072</v>
      </c>
      <c r="I43" s="217">
        <f>EC_2!I43+FS_2!I43+GT_2!I43+KZN_2!I43+LIM_2!I43+MPU_2!I43+NC_2!I43+NW_2!I43+WC_2!I43</f>
        <v>0</v>
      </c>
      <c r="J43" s="102">
        <f>EC_2!J43+FS_2!J43+GT_2!J43+KZN_2!J43+LIM_2!J43+MPU_2!J43+NC_2!J43+NW_2!J43+WC_2!J43</f>
        <v>6346273</v>
      </c>
      <c r="K43" s="59">
        <f>EC_2!K43+FS_2!K43+GT_2!K43+KZN_2!K43+LIM_2!K43+MPU_2!K43+NC_2!K43+NW_2!K43+WC_2!K43</f>
        <v>6346273</v>
      </c>
      <c r="L43" s="59">
        <f>EC_2!L43+FS_2!L43+GT_2!L43+KZN_2!L43+LIM_2!L43+MPU_2!L43+NC_2!L43+NW_2!L43+WC_2!L43</f>
        <v>0</v>
      </c>
      <c r="M43" s="59">
        <f>EC_2!M43+FS_2!M43+GT_2!M43+KZN_2!M43+LIM_2!M43+MPU_2!M43+NC_2!M43+NW_2!M43+WC_2!M43</f>
        <v>6262599.8150000004</v>
      </c>
      <c r="N43" s="172">
        <f t="shared" si="72"/>
        <v>0.97229154013493413</v>
      </c>
      <c r="O43" s="60"/>
      <c r="P43" s="56"/>
      <c r="Q43" s="56"/>
      <c r="R43"/>
      <c r="S43" s="57"/>
      <c r="T43" s="58" t="str">
        <f t="shared" si="73"/>
        <v>(b) Health Facility Revitalisation Grant</v>
      </c>
      <c r="U43" s="96">
        <v>6006973</v>
      </c>
      <c r="V43" s="199">
        <v>0</v>
      </c>
      <c r="W43" s="59">
        <v>6006973</v>
      </c>
      <c r="X43" s="59">
        <v>0</v>
      </c>
      <c r="Y43" s="96">
        <v>6006973</v>
      </c>
      <c r="Z43" s="217"/>
      <c r="AA43" s="102">
        <v>3180425</v>
      </c>
      <c r="AB43" s="59">
        <v>3180425</v>
      </c>
      <c r="AC43" s="59"/>
      <c r="AD43" s="59">
        <v>2693839</v>
      </c>
      <c r="AE43" s="172">
        <v>0.44845199071146152</v>
      </c>
      <c r="AF43" s="60"/>
      <c r="AG43" s="443"/>
      <c r="AH43" s="443"/>
      <c r="AI43"/>
      <c r="AJ43" s="394"/>
      <c r="AK43" s="479" t="str">
        <f t="shared" ref="AK43:AK46" si="78">C43</f>
        <v>(b) Health Facility Revitalisation Grant</v>
      </c>
      <c r="AL43" s="396">
        <f t="shared" ref="AL43:AL46" si="79">IFERROR(U43-D43,0)</f>
        <v>0</v>
      </c>
      <c r="AM43" s="397">
        <f t="shared" si="74"/>
        <v>-339300</v>
      </c>
      <c r="AN43" s="398">
        <f t="shared" si="75"/>
        <v>-339300</v>
      </c>
      <c r="AO43" s="398">
        <f t="shared" si="76"/>
        <v>-94799</v>
      </c>
      <c r="AP43" s="396">
        <f t="shared" si="77"/>
        <v>-434099</v>
      </c>
      <c r="AQ43" s="399"/>
      <c r="AR43" s="400">
        <f t="shared" si="52"/>
        <v>-3165848</v>
      </c>
      <c r="AS43" s="398">
        <f t="shared" si="52"/>
        <v>-3165848</v>
      </c>
      <c r="AT43" s="398"/>
      <c r="AU43" s="398">
        <f t="shared" ref="AU43:AU46" si="80">IFERROR(AD43-M43,0)</f>
        <v>-3568760.8150000004</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35" customFormat="1" ht="15.75" customHeight="1" x14ac:dyDescent="0.35">
      <c r="A44"/>
      <c r="B44" s="67"/>
      <c r="C44" s="58" t="s">
        <v>29</v>
      </c>
      <c r="D44" s="96">
        <f>EC_2!D44+FS_2!D44+GT_2!D44+KZN_2!D44+LIM_2!D44+MPU_2!D44+NC_2!D44+NW_2!D44+WC_2!D44</f>
        <v>211200</v>
      </c>
      <c r="E44" s="199">
        <f>EC_2!E44+FS_2!E44+GT_2!E44+KZN_2!E44+LIM_2!E44+MPU_2!E44+NC_2!E44+NW_2!E44+WC_2!E44</f>
        <v>-54000</v>
      </c>
      <c r="F44" s="59">
        <f>EC_2!F44+FS_2!F44+GT_2!F44+KZN_2!F44+LIM_2!F44+MPU_2!F44+NC_2!F44+NW_2!F44+WC_2!F44</f>
        <v>157200</v>
      </c>
      <c r="G44" s="59">
        <f>EC_2!G44+FS_2!G44+GT_2!G44+KZN_2!G44+LIM_2!G44+MPU_2!G44+NC_2!G44+NW_2!G44+WC_2!G44</f>
        <v>13394</v>
      </c>
      <c r="H44" s="96">
        <f>EC_2!H44+FS_2!H44+GT_2!H44+KZN_2!H44+LIM_2!H44+MPU_2!H44+NC_2!H44+NW_2!H44+WC_2!H44</f>
        <v>170594</v>
      </c>
      <c r="I44" s="217">
        <f>EC_2!I44+FS_2!I44+GT_2!I44+KZN_2!I44+LIM_2!I44+MPU_2!I44+NC_2!I44+NW_2!I44+WC_2!I44</f>
        <v>0</v>
      </c>
      <c r="J44" s="102">
        <f>EC_2!J44+FS_2!J44+GT_2!J44+KZN_2!J44+LIM_2!J44+MPU_2!J44+NC_2!J44+NW_2!J44+WC_2!J44</f>
        <v>157200</v>
      </c>
      <c r="K44" s="59">
        <f>EC_2!K44+FS_2!K44+GT_2!K44+KZN_2!K44+LIM_2!K44+MPU_2!K44+NC_2!K44+NW_2!K44+WC_2!K44</f>
        <v>157200</v>
      </c>
      <c r="L44" s="59">
        <f>EC_2!L44+FS_2!L44+GT_2!L44+KZN_2!L44+LIM_2!L44+MPU_2!L44+NC_2!L44+NW_2!L44+WC_2!L44</f>
        <v>0</v>
      </c>
      <c r="M44" s="59">
        <f>EC_2!M44+FS_2!M44+GT_2!M44+KZN_2!M44+LIM_2!M44+MPU_2!M44+NC_2!M44+NW_2!M44+WC_2!M44</f>
        <v>161428.57399999999</v>
      </c>
      <c r="N44" s="172">
        <f t="shared" si="72"/>
        <v>0.9462734562763051</v>
      </c>
      <c r="O44" s="69"/>
      <c r="P44" s="70"/>
      <c r="Q44" s="70"/>
      <c r="R44"/>
      <c r="S44" s="67"/>
      <c r="T44" s="58" t="str">
        <f t="shared" si="73"/>
        <v>(c) Human Papillomavirus Vaccine Grant</v>
      </c>
      <c r="U44" s="97">
        <v>211200</v>
      </c>
      <c r="V44" s="200">
        <v>0</v>
      </c>
      <c r="W44" s="68">
        <v>211200</v>
      </c>
      <c r="X44" s="68">
        <v>0</v>
      </c>
      <c r="Y44" s="97">
        <v>211200</v>
      </c>
      <c r="Z44" s="218"/>
      <c r="AA44" s="103">
        <v>105570</v>
      </c>
      <c r="AB44" s="68">
        <v>105570</v>
      </c>
      <c r="AC44" s="68"/>
      <c r="AD44" s="68">
        <v>62287</v>
      </c>
      <c r="AE44" s="172">
        <v>0.29491950757575758</v>
      </c>
      <c r="AF44" s="69"/>
      <c r="AG44" s="445"/>
      <c r="AH44" s="445"/>
      <c r="AI44" s="71"/>
      <c r="AJ44" s="404"/>
      <c r="AK44" s="479" t="str">
        <f t="shared" si="78"/>
        <v>(c) Human Papillomavirus Vaccine Grant</v>
      </c>
      <c r="AL44" s="405">
        <f t="shared" si="79"/>
        <v>0</v>
      </c>
      <c r="AM44" s="406">
        <f t="shared" si="74"/>
        <v>54000</v>
      </c>
      <c r="AN44" s="407">
        <f t="shared" si="75"/>
        <v>54000</v>
      </c>
      <c r="AO44" s="407">
        <f t="shared" si="76"/>
        <v>-13394</v>
      </c>
      <c r="AP44" s="405">
        <f t="shared" si="77"/>
        <v>40606</v>
      </c>
      <c r="AQ44" s="408"/>
      <c r="AR44" s="409">
        <f t="shared" si="52"/>
        <v>-51630</v>
      </c>
      <c r="AS44" s="407">
        <f t="shared" si="52"/>
        <v>-51630</v>
      </c>
      <c r="AT44" s="407"/>
      <c r="AU44" s="407">
        <f t="shared" si="80"/>
        <v>-99141.573999999993</v>
      </c>
      <c r="AV44" s="290"/>
      <c r="AW44" s="410"/>
      <c r="AX44" s="71"/>
      <c r="AY44"/>
      <c r="AZ44"/>
      <c r="BA44"/>
      <c r="BB44"/>
      <c r="BC44"/>
      <c r="BD44"/>
      <c r="BE44"/>
      <c r="BF44"/>
      <c r="BG44"/>
      <c r="BH44"/>
      <c r="BI44"/>
      <c r="BJ44"/>
      <c r="BK44"/>
      <c r="BL44"/>
      <c r="BM44"/>
      <c r="BN44"/>
      <c r="BO44"/>
      <c r="BP44"/>
      <c r="BQ44"/>
      <c r="BR44"/>
      <c r="BS44"/>
      <c r="BT44"/>
      <c r="BU44"/>
      <c r="BV44"/>
      <c r="BW44"/>
      <c r="BX44"/>
      <c r="BY44"/>
      <c r="BZ44"/>
      <c r="CA44"/>
      <c r="CB44"/>
      <c r="CC44"/>
      <c r="CD44"/>
    </row>
    <row r="45" spans="1:82" s="35" customFormat="1" ht="15.75" customHeight="1" x14ac:dyDescent="0.3">
      <c r="A45"/>
      <c r="B45" s="57"/>
      <c r="C45" s="58" t="s">
        <v>196</v>
      </c>
      <c r="D45" s="96">
        <f>EC_2!D45+FS_2!D45+GT_2!D45+KZN_2!D45+LIM_2!D45+MPU_2!D45+NC_2!D45+NW_2!D45+WC_2!D45</f>
        <v>605696</v>
      </c>
      <c r="E45" s="199">
        <f>EC_2!E45+FS_2!E45+GT_2!E45+KZN_2!E45+LIM_2!E45+MPU_2!E45+NC_2!E45+NW_2!E45+WC_2!E45</f>
        <v>300000</v>
      </c>
      <c r="F45" s="59">
        <f>EC_2!F45+FS_2!F45+GT_2!F45+KZN_2!F45+LIM_2!F45+MPU_2!F45+NC_2!F45+NW_2!F45+WC_2!F45</f>
        <v>905696</v>
      </c>
      <c r="G45" s="59">
        <f>EC_2!G45+FS_2!G45+GT_2!G45+KZN_2!G45+LIM_2!G45+MPU_2!G45+NC_2!G45+NW_2!G45+WC_2!G45</f>
        <v>0</v>
      </c>
      <c r="H45" s="96">
        <f>EC_2!H45+FS_2!H45+GT_2!H45+KZN_2!H45+LIM_2!H45+MPU_2!H45+NC_2!H45+NW_2!H45+WC_2!H45</f>
        <v>905696</v>
      </c>
      <c r="I45" s="217">
        <f>EC_2!I45+FS_2!I45+GT_2!I45+KZN_2!I45+LIM_2!I45+MPU_2!I45+NC_2!I45+NW_2!I45+WC_2!I45</f>
        <v>0</v>
      </c>
      <c r="J45" s="102">
        <f>EC_2!J45+FS_2!J45+GT_2!J45+KZN_2!J45+LIM_2!J45+MPU_2!J45+NC_2!J45+NW_2!J45+WC_2!J45</f>
        <v>905696</v>
      </c>
      <c r="K45" s="59">
        <f>EC_2!K45+FS_2!K45+GT_2!K45+KZN_2!K45+LIM_2!K45+MPU_2!K45+NC_2!K45+NW_2!K45+WC_2!K45</f>
        <v>905696</v>
      </c>
      <c r="L45" s="59">
        <f>EC_2!L45+FS_2!L45+GT_2!L45+KZN_2!L45+LIM_2!L45+MPU_2!L45+NC_2!L45+NW_2!L45+WC_2!L45</f>
        <v>0</v>
      </c>
      <c r="M45" s="59">
        <f>EC_2!M45+FS_2!M45+GT_2!M45+KZN_2!M45+LIM_2!M45+MPU_2!M45+NC_2!M45+NW_2!M45+WC_2!M45</f>
        <v>1057969.564</v>
      </c>
      <c r="N45" s="172">
        <f t="shared" si="72"/>
        <v>1.1681287805179663</v>
      </c>
      <c r="O45" s="60"/>
      <c r="P45" s="56"/>
      <c r="Q45" s="56"/>
      <c r="R45"/>
      <c r="S45" s="57"/>
      <c r="T45" s="58" t="str">
        <f t="shared" si="73"/>
        <v>(d) Human Resources Capacitation Grant</v>
      </c>
      <c r="U45" s="96">
        <v>605696</v>
      </c>
      <c r="V45" s="199">
        <v>0</v>
      </c>
      <c r="W45" s="59">
        <v>605696</v>
      </c>
      <c r="X45" s="59">
        <v>0</v>
      </c>
      <c r="Y45" s="96">
        <v>605696</v>
      </c>
      <c r="Z45" s="217"/>
      <c r="AA45" s="102">
        <v>302827</v>
      </c>
      <c r="AB45" s="59">
        <v>302827</v>
      </c>
      <c r="AC45" s="59"/>
      <c r="AD45" s="59">
        <v>430422</v>
      </c>
      <c r="AE45" s="172">
        <v>0.71062381128486896</v>
      </c>
      <c r="AF45" s="60"/>
      <c r="AG45" s="443"/>
      <c r="AH45" s="443"/>
      <c r="AI45"/>
      <c r="AJ45" s="394"/>
      <c r="AK45" s="479" t="str">
        <f t="shared" si="78"/>
        <v>(d) Human Resources Capacitation Grant</v>
      </c>
      <c r="AL45" s="396">
        <f t="shared" si="79"/>
        <v>0</v>
      </c>
      <c r="AM45" s="397">
        <f t="shared" si="74"/>
        <v>-300000</v>
      </c>
      <c r="AN45" s="398">
        <f t="shared" si="75"/>
        <v>-300000</v>
      </c>
      <c r="AO45" s="398">
        <f t="shared" si="76"/>
        <v>0</v>
      </c>
      <c r="AP45" s="396">
        <f t="shared" si="77"/>
        <v>-300000</v>
      </c>
      <c r="AQ45" s="399"/>
      <c r="AR45" s="400">
        <f t="shared" si="52"/>
        <v>-602869</v>
      </c>
      <c r="AS45" s="398">
        <f t="shared" si="52"/>
        <v>-602869</v>
      </c>
      <c r="AT45" s="398"/>
      <c r="AU45" s="398">
        <f t="shared" si="80"/>
        <v>-627547.56400000001</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35" customFormat="1" ht="15.75" customHeight="1" x14ac:dyDescent="0.3">
      <c r="A46"/>
      <c r="B46" s="57"/>
      <c r="C46" s="58" t="s">
        <v>201</v>
      </c>
      <c r="D46" s="96">
        <f>EC_2!D46+FS_2!D46+GT_2!D46+KZN_2!D46+LIM_2!D46+MPU_2!D46+NC_2!D46+NW_2!D46+WC_2!D46</f>
        <v>0</v>
      </c>
      <c r="E46" s="199">
        <f>EC_2!E46+FS_2!E46+GT_2!E46+KZN_2!E46+LIM_2!E46+MPU_2!E46+NC_2!E46+NW_2!E46+WC_2!E46</f>
        <v>289288</v>
      </c>
      <c r="F46" s="59">
        <f>EC_2!F46+FS_2!F46+GT_2!F46+KZN_2!F46+LIM_2!F46+MPU_2!F46+NC_2!F46+NW_2!F46+WC_2!F46</f>
        <v>289288</v>
      </c>
      <c r="G46" s="59">
        <f>EC_2!G46+FS_2!G46+GT_2!G46+KZN_2!G46+LIM_2!G46+MPU_2!G46+NC_2!G46+NW_2!G46+WC_2!G46</f>
        <v>0</v>
      </c>
      <c r="H46" s="96">
        <f>EC_2!H46+FS_2!H46+GT_2!H46+KZN_2!H46+LIM_2!H46+MPU_2!H46+NC_2!H46+NW_2!H46+WC_2!H46</f>
        <v>289288</v>
      </c>
      <c r="I46" s="217">
        <f>EC_2!I46+FS_2!I46+GT_2!I46+KZN_2!I46+LIM_2!I46+MPU_2!I46+NC_2!I46+NW_2!I46+WC_2!I46</f>
        <v>0</v>
      </c>
      <c r="J46" s="102">
        <f>EC_2!J46+FS_2!J46+GT_2!J46+KZN_2!J46+LIM_2!J46+MPU_2!J46+NC_2!J46+NW_2!J46+WC_2!J46</f>
        <v>289288</v>
      </c>
      <c r="K46" s="59">
        <f>EC_2!K46+FS_2!K46+GT_2!K46+KZN_2!K46+LIM_2!K46+MPU_2!K46+NC_2!K46+NW_2!K46+WC_2!K46</f>
        <v>289288</v>
      </c>
      <c r="L46" s="59">
        <f>EC_2!L46+FS_2!L46+GT_2!L46+KZN_2!L46+LIM_2!L46+MPU_2!L46+NC_2!L46+NW_2!L46+WC_2!L46</f>
        <v>0</v>
      </c>
      <c r="M46" s="59">
        <f>EC_2!M46+FS_2!M46+GT_2!M46+KZN_2!M46+LIM_2!M46+MPU_2!M46+NC_2!M46+NW_2!M46+WC_2!M46</f>
        <v>218157.51624</v>
      </c>
      <c r="N46" s="172">
        <f t="shared" si="72"/>
        <v>0.75411878902685214</v>
      </c>
      <c r="O46" s="60"/>
      <c r="P46" s="56"/>
      <c r="Q46" s="56"/>
      <c r="R46"/>
      <c r="S46" s="57"/>
      <c r="T46" s="58" t="str">
        <f t="shared" si="73"/>
        <v>(e) National Health Insurance Grant</v>
      </c>
      <c r="U46" s="96">
        <v>0</v>
      </c>
      <c r="V46" s="199">
        <v>0</v>
      </c>
      <c r="W46" s="59">
        <v>0</v>
      </c>
      <c r="X46" s="59">
        <v>0</v>
      </c>
      <c r="Y46" s="96">
        <v>0</v>
      </c>
      <c r="Z46" s="217"/>
      <c r="AA46" s="102">
        <v>0</v>
      </c>
      <c r="AB46" s="59">
        <v>0</v>
      </c>
      <c r="AC46" s="59"/>
      <c r="AD46" s="59">
        <v>0</v>
      </c>
      <c r="AE46" s="172">
        <v>0</v>
      </c>
      <c r="AF46" s="60"/>
      <c r="AG46" s="443"/>
      <c r="AH46" s="443"/>
      <c r="AI46" s="61"/>
      <c r="AJ46" s="394"/>
      <c r="AK46" s="479" t="str">
        <f t="shared" si="78"/>
        <v>(e) National Health Insurance Grant</v>
      </c>
      <c r="AL46" s="396">
        <f t="shared" si="79"/>
        <v>0</v>
      </c>
      <c r="AM46" s="397">
        <f t="shared" si="74"/>
        <v>-289288</v>
      </c>
      <c r="AN46" s="398">
        <f t="shared" si="75"/>
        <v>-289288</v>
      </c>
      <c r="AO46" s="398">
        <f t="shared" si="76"/>
        <v>0</v>
      </c>
      <c r="AP46" s="396">
        <f t="shared" si="77"/>
        <v>-289288</v>
      </c>
      <c r="AQ46" s="399"/>
      <c r="AR46" s="400">
        <f t="shared" si="52"/>
        <v>-289288</v>
      </c>
      <c r="AS46" s="398">
        <f t="shared" si="52"/>
        <v>-289288</v>
      </c>
      <c r="AT46" s="398"/>
      <c r="AU46" s="398">
        <f t="shared" si="80"/>
        <v>-218157.51624</v>
      </c>
      <c r="AV46" s="290"/>
      <c r="AW46" s="401"/>
      <c r="AX46" s="61"/>
      <c r="AY46"/>
      <c r="AZ46"/>
      <c r="BA46"/>
      <c r="BB46"/>
      <c r="BC46"/>
      <c r="BD46"/>
      <c r="BE46"/>
      <c r="BF46"/>
      <c r="BG46"/>
      <c r="BH46"/>
      <c r="BI46"/>
      <c r="BJ46"/>
      <c r="BK46"/>
      <c r="BL46"/>
      <c r="BM46"/>
      <c r="BN46"/>
      <c r="BO46"/>
      <c r="BP46"/>
      <c r="BQ46"/>
      <c r="BR46"/>
      <c r="BS46"/>
      <c r="BT46"/>
      <c r="BU46"/>
      <c r="BV46"/>
      <c r="BW46"/>
      <c r="BX46"/>
      <c r="BY46"/>
      <c r="BZ46"/>
      <c r="CA46"/>
      <c r="CB46"/>
      <c r="CC46"/>
      <c r="CD46"/>
    </row>
    <row r="47" spans="1:82" s="529" customFormat="1" ht="8.25" customHeight="1" x14ac:dyDescent="0.3">
      <c r="A47" s="508"/>
      <c r="B47" s="509"/>
      <c r="C47" s="510"/>
      <c r="D47" s="511">
        <f>EC_2!D47+FS_2!D47+GT_2!D47+KZN_2!D47+LIM_2!D47+MPU_2!D47+NC_2!D47+NW_2!D47+WC_2!D47</f>
        <v>0</v>
      </c>
      <c r="E47" s="512">
        <f>EC_2!E47+FS_2!E47+GT_2!E47+KZN_2!E47+LIM_2!E47+MPU_2!E47+NC_2!E47+NW_2!E47+WC_2!E47</f>
        <v>0</v>
      </c>
      <c r="F47" s="513">
        <f>EC_2!F47+FS_2!F47+GT_2!F47+KZN_2!F47+LIM_2!F47+MPU_2!F47+NC_2!F47+NW_2!F47+WC_2!F47</f>
        <v>0</v>
      </c>
      <c r="G47" s="513">
        <f>EC_2!G47+FS_2!G47+GT_2!G47+KZN_2!G47+LIM_2!G47+MPU_2!G47+NC_2!G47+NW_2!G47+WC_2!G47</f>
        <v>0</v>
      </c>
      <c r="H47" s="511">
        <f>EC_2!H47+FS_2!H47+GT_2!H47+KZN_2!H47+LIM_2!H47+MPU_2!H47+NC_2!H47+NW_2!H47+WC_2!H47</f>
        <v>0</v>
      </c>
      <c r="I47" s="514">
        <f>EC_2!I47+FS_2!I47+GT_2!I47+KZN_2!I47+LIM_2!I47+MPU_2!I47+NC_2!I47+NW_2!I47+WC_2!I47</f>
        <v>0</v>
      </c>
      <c r="J47" s="515">
        <f>EC_2!J47+FS_2!J47+GT_2!J47+KZN_2!J47+LIM_2!J47+MPU_2!J47+NC_2!J47+NW_2!J47+WC_2!J47</f>
        <v>0</v>
      </c>
      <c r="K47" s="513">
        <f>EC_2!K47+FS_2!K47+GT_2!K47+KZN_2!K47+LIM_2!K47+MPU_2!K47+NC_2!K47+NW_2!K47+WC_2!K47</f>
        <v>0</v>
      </c>
      <c r="L47" s="513">
        <f>EC_2!L47+FS_2!L47+GT_2!L47+KZN_2!L47+LIM_2!L47+MPU_2!L47+NC_2!L47+NW_2!L47+WC_2!L47</f>
        <v>0</v>
      </c>
      <c r="M47" s="513">
        <f>EC_2!M47+FS_2!M47+GT_2!M47+KZN_2!M47+LIM_2!M47+MPU_2!M47+NC_2!M47+NW_2!M47+WC_2!M47</f>
        <v>0</v>
      </c>
      <c r="N47" s="516"/>
      <c r="O47" s="517"/>
      <c r="P47" s="518"/>
      <c r="Q47" s="518"/>
      <c r="R47" s="508"/>
      <c r="S47" s="509"/>
      <c r="T47" s="510"/>
      <c r="U47" s="511"/>
      <c r="V47" s="512"/>
      <c r="W47" s="513"/>
      <c r="X47" s="513"/>
      <c r="Y47" s="511"/>
      <c r="Z47" s="514"/>
      <c r="AA47" s="515"/>
      <c r="AB47" s="513"/>
      <c r="AC47" s="513"/>
      <c r="AD47" s="513"/>
      <c r="AE47" s="516"/>
      <c r="AF47" s="517"/>
      <c r="AG47" s="519"/>
      <c r="AH47" s="519"/>
      <c r="AI47" s="508"/>
      <c r="AJ47" s="520"/>
      <c r="AK47" s="521">
        <f t="shared" si="24"/>
        <v>0</v>
      </c>
      <c r="AL47" s="522">
        <f t="shared" si="51"/>
        <v>0</v>
      </c>
      <c r="AM47" s="523">
        <f t="shared" si="51"/>
        <v>0</v>
      </c>
      <c r="AN47" s="524">
        <f t="shared" si="51"/>
        <v>0</v>
      </c>
      <c r="AO47" s="524">
        <f t="shared" si="51"/>
        <v>0</v>
      </c>
      <c r="AP47" s="522">
        <f t="shared" si="51"/>
        <v>0</v>
      </c>
      <c r="AQ47" s="525"/>
      <c r="AR47" s="526">
        <f t="shared" si="52"/>
        <v>0</v>
      </c>
      <c r="AS47" s="524">
        <f t="shared" si="52"/>
        <v>0</v>
      </c>
      <c r="AT47" s="524"/>
      <c r="AU47" s="524">
        <f t="shared" si="26"/>
        <v>0</v>
      </c>
      <c r="AV47" s="527"/>
      <c r="AW47" s="52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row>
    <row r="48" spans="1:82" s="35" customFormat="1" ht="15.75" customHeight="1" x14ac:dyDescent="0.3">
      <c r="A48"/>
      <c r="B48" s="62"/>
      <c r="C48" s="51" t="s">
        <v>30</v>
      </c>
      <c r="D48" s="95">
        <f>EC_2!D48+FS_2!D48+GT_2!D48+KZN_2!D48+LIM_2!D48+MPU_2!D48+NC_2!D48+NW_2!D48+WC_2!D48</f>
        <v>19327515</v>
      </c>
      <c r="E48" s="198">
        <f>EC_2!E48+FS_2!E48+GT_2!E48+KZN_2!E48+LIM_2!E48+MPU_2!E48+NC_2!E48+NW_2!E48+WC_2!E48</f>
        <v>0</v>
      </c>
      <c r="F48" s="54">
        <f>EC_2!F48+FS_2!F48+GT_2!F48+KZN_2!F48+LIM_2!F48+MPU_2!F48+NC_2!F48+NW_2!F48+WC_2!F48</f>
        <v>19327515</v>
      </c>
      <c r="G48" s="54">
        <f>EC_2!G48+FS_2!G48+GT_2!G48+KZN_2!G48+LIM_2!G48+MPU_2!G48+NC_2!G48+NW_2!G48+WC_2!G48</f>
        <v>288239</v>
      </c>
      <c r="H48" s="95">
        <f>EC_2!H48+FS_2!H48+GT_2!H48+KZN_2!H48+LIM_2!H48+MPU_2!H48+NC_2!H48+NW_2!H48+WC_2!H48</f>
        <v>19615754</v>
      </c>
      <c r="I48" s="216">
        <f>EC_2!I48+FS_2!I48+GT_2!I48+KZN_2!I48+LIM_2!I48+MPU_2!I48+NC_2!I48+NW_2!I48+WC_2!I48</f>
        <v>0</v>
      </c>
      <c r="J48" s="101">
        <f>EC_2!J48+FS_2!J48+GT_2!J48+KZN_2!J48+LIM_2!J48+MPU_2!J48+NC_2!J48+NW_2!J48+WC_2!J48</f>
        <v>19327515</v>
      </c>
      <c r="K48" s="54">
        <f>EC_2!K48+FS_2!K48+GT_2!K48+KZN_2!K48+LIM_2!K48+MPU_2!K48+NC_2!K48+NW_2!K48+WC_2!K48</f>
        <v>19327515</v>
      </c>
      <c r="L48" s="54">
        <f>EC_2!L48+FS_2!L48+GT_2!L48+KZN_2!L48+LIM_2!L48+MPU_2!L48+NC_2!L48+NW_2!L48+WC_2!L48</f>
        <v>0</v>
      </c>
      <c r="M48" s="54">
        <f>EC_2!M48+FS_2!M48+GT_2!M48+KZN_2!M48+LIM_2!M48+MPU_2!M48+NC_2!M48+NW_2!M48+WC_2!M48</f>
        <v>18924147</v>
      </c>
      <c r="N48" s="183">
        <f t="shared" ref="N48:N53" si="81">IFERROR(M48/F48,0)</f>
        <v>0.97912985709751099</v>
      </c>
      <c r="O48" s="63"/>
      <c r="P48" s="64"/>
      <c r="Q48" s="64"/>
      <c r="R48"/>
      <c r="S48" s="62"/>
      <c r="T48" s="51" t="str">
        <f>C48</f>
        <v>Human Settlements (Vote 38)</v>
      </c>
      <c r="U48" s="95">
        <v>19327515</v>
      </c>
      <c r="V48" s="198">
        <v>0</v>
      </c>
      <c r="W48" s="54">
        <v>19327515</v>
      </c>
      <c r="X48" s="54">
        <v>0</v>
      </c>
      <c r="Y48" s="95">
        <v>19327515</v>
      </c>
      <c r="Z48" s="216"/>
      <c r="AA48" s="101">
        <v>9130694</v>
      </c>
      <c r="AB48" s="54">
        <v>9170843.1750000007</v>
      </c>
      <c r="AC48" s="54"/>
      <c r="AD48" s="54">
        <v>8294072</v>
      </c>
      <c r="AE48" s="183">
        <v>0.42913287093555486</v>
      </c>
      <c r="AF48" s="63"/>
      <c r="AG48" s="444"/>
      <c r="AH48" s="444"/>
      <c r="AI48" s="73"/>
      <c r="AJ48" s="402"/>
      <c r="AK48" s="480" t="str">
        <f t="shared" si="24"/>
        <v>Human Settlements (Vote 38)</v>
      </c>
      <c r="AL48" s="388">
        <f t="shared" si="51"/>
        <v>0</v>
      </c>
      <c r="AM48" s="389">
        <f t="shared" si="51"/>
        <v>0</v>
      </c>
      <c r="AN48" s="390">
        <f t="shared" si="51"/>
        <v>0</v>
      </c>
      <c r="AO48" s="390">
        <f t="shared" si="51"/>
        <v>-288239</v>
      </c>
      <c r="AP48" s="388">
        <f t="shared" si="51"/>
        <v>-288239</v>
      </c>
      <c r="AQ48" s="391"/>
      <c r="AR48" s="392">
        <f t="shared" si="52"/>
        <v>-10196821</v>
      </c>
      <c r="AS48" s="390">
        <f t="shared" si="52"/>
        <v>-10156671.824999999</v>
      </c>
      <c r="AT48" s="390"/>
      <c r="AU48" s="390">
        <f t="shared" si="26"/>
        <v>-10630075</v>
      </c>
      <c r="AV48" s="315"/>
      <c r="AW48" s="403"/>
      <c r="AX48" s="73"/>
      <c r="AY48"/>
      <c r="AZ48"/>
      <c r="BA48"/>
      <c r="BB48"/>
      <c r="BC48"/>
      <c r="BD48"/>
      <c r="BE48"/>
      <c r="BF48"/>
      <c r="BG48"/>
      <c r="BH48"/>
      <c r="BI48"/>
      <c r="BJ48"/>
      <c r="BK48"/>
      <c r="BL48"/>
      <c r="BM48"/>
      <c r="BN48"/>
      <c r="BO48"/>
      <c r="BP48"/>
      <c r="BQ48"/>
      <c r="BR48"/>
      <c r="BS48"/>
      <c r="BT48"/>
      <c r="BU48"/>
      <c r="BV48"/>
      <c r="BW48"/>
      <c r="BX48"/>
      <c r="BY48"/>
      <c r="BZ48"/>
      <c r="CA48"/>
      <c r="CB48"/>
      <c r="CC48"/>
      <c r="CD48"/>
    </row>
    <row r="49" spans="1:82" s="35" customFormat="1" ht="15.75" customHeight="1" x14ac:dyDescent="0.3">
      <c r="A49"/>
      <c r="B49" s="57"/>
      <c r="C49" s="58" t="s">
        <v>92</v>
      </c>
      <c r="D49" s="96">
        <f>EC_2!D49+FS_2!D49+GT_2!D49+KZN_2!D49+LIM_2!D49+MPU_2!D49+NC_2!D49+NW_2!D49+WC_2!D49</f>
        <v>18779815</v>
      </c>
      <c r="E49" s="199">
        <f>EC_2!E49+FS_2!E49+GT_2!E49+KZN_2!E49+LIM_2!E49+MPU_2!E49+NC_2!E49+NW_2!E49+WC_2!E49</f>
        <v>0</v>
      </c>
      <c r="F49" s="59">
        <f>EC_2!F49+FS_2!F49+GT_2!F49+KZN_2!F49+LIM_2!F49+MPU_2!F49+NC_2!F49+NW_2!F49+WC_2!F49</f>
        <v>18779815</v>
      </c>
      <c r="G49" s="59">
        <f>EC_2!G49+FS_2!G49+GT_2!G49+KZN_2!G49+LIM_2!G49+MPU_2!G49+NC_2!G49+NW_2!G49+WC_2!G49</f>
        <v>168218</v>
      </c>
      <c r="H49" s="96">
        <f>EC_2!H49+FS_2!H49+GT_2!H49+KZN_2!H49+LIM_2!H49+MPU_2!H49+NC_2!H49+NW_2!H49+WC_2!H49</f>
        <v>18948033</v>
      </c>
      <c r="I49" s="217">
        <f>EC_2!I49+FS_2!I49+GT_2!I49+KZN_2!I49+LIM_2!I49+MPU_2!I49+NC_2!I49+NW_2!I49+WC_2!I49</f>
        <v>0</v>
      </c>
      <c r="J49" s="102">
        <f>EC_2!J49+FS_2!J49+GT_2!J49+KZN_2!J49+LIM_2!J49+MPU_2!J49+NC_2!J49+NW_2!J49+WC_2!J49</f>
        <v>18779815</v>
      </c>
      <c r="K49" s="59">
        <f>EC_2!K49+FS_2!K49+GT_2!K49+KZN_2!K49+LIM_2!K49+MPU_2!K49+NC_2!K49+NW_2!K49+WC_2!K49</f>
        <v>18779815</v>
      </c>
      <c r="L49" s="59">
        <f>EC_2!L49+FS_2!L49+GT_2!L49+KZN_2!L49+LIM_2!L49+MPU_2!L49+NC_2!L49+NW_2!L49+WC_2!L49</f>
        <v>0</v>
      </c>
      <c r="M49" s="59">
        <f>EC_2!M49+FS_2!M49+GT_2!M49+KZN_2!M49+LIM_2!M49+MPU_2!M49+NC_2!M49+NW_2!M49+WC_2!M49</f>
        <v>18548103</v>
      </c>
      <c r="N49" s="172">
        <f t="shared" ref="N49:N50" si="82">IFERROR(M49/H49,0)</f>
        <v>0.97889332365000636</v>
      </c>
      <c r="O49" s="60"/>
      <c r="P49" s="56"/>
      <c r="Q49" s="56"/>
      <c r="R49"/>
      <c r="S49" s="57"/>
      <c r="T49" s="58" t="str">
        <f t="shared" ref="T49:T53" si="83">C49</f>
        <v>(a) Human Settlements Development Grant</v>
      </c>
      <c r="U49" s="96">
        <v>18779815</v>
      </c>
      <c r="V49" s="199">
        <v>0</v>
      </c>
      <c r="W49" s="59">
        <v>18779815</v>
      </c>
      <c r="X49" s="59">
        <v>0</v>
      </c>
      <c r="Y49" s="96">
        <v>18779815</v>
      </c>
      <c r="Z49" s="217"/>
      <c r="AA49" s="102">
        <v>8931387</v>
      </c>
      <c r="AB49" s="59">
        <v>8961386.1750000007</v>
      </c>
      <c r="AC49" s="59"/>
      <c r="AD49" s="59">
        <v>8210247</v>
      </c>
      <c r="AE49" s="172">
        <v>0.43718465810232954</v>
      </c>
      <c r="AF49" s="60"/>
      <c r="AG49" s="443"/>
      <c r="AH49" s="443"/>
      <c r="AI49" s="61"/>
      <c r="AJ49" s="394"/>
      <c r="AK49" s="479" t="str">
        <f>C49</f>
        <v>(a) Human Settlements Development Grant</v>
      </c>
      <c r="AL49" s="396">
        <f>IFERROR(U49-D49,0)</f>
        <v>0</v>
      </c>
      <c r="AM49" s="397">
        <f t="shared" ref="AM49:AM53" si="84">IFERROR(V49-E49,0)</f>
        <v>0</v>
      </c>
      <c r="AN49" s="398">
        <f t="shared" ref="AN49:AN53" si="85">IFERROR(W49-F49,0)</f>
        <v>0</v>
      </c>
      <c r="AO49" s="398">
        <f t="shared" ref="AO49:AO53" si="86">IFERROR(X49-G49,0)</f>
        <v>-168218</v>
      </c>
      <c r="AP49" s="396">
        <f t="shared" ref="AP49:AP53" si="87">IFERROR(Y49-H49,0)</f>
        <v>-168218</v>
      </c>
      <c r="AQ49" s="399"/>
      <c r="AR49" s="400">
        <f t="shared" si="52"/>
        <v>-9848428</v>
      </c>
      <c r="AS49" s="398">
        <f t="shared" si="52"/>
        <v>-9818428.8249999993</v>
      </c>
      <c r="AT49" s="398"/>
      <c r="AU49" s="398">
        <f>IFERROR(AD49-M49,0)</f>
        <v>-10337856</v>
      </c>
      <c r="AV49" s="290"/>
      <c r="AW49" s="401"/>
      <c r="AX49" s="61"/>
      <c r="AY49"/>
      <c r="AZ49"/>
      <c r="BA49"/>
      <c r="BB49"/>
      <c r="BC49"/>
      <c r="BD49"/>
      <c r="BE49"/>
      <c r="BF49"/>
      <c r="BG49"/>
      <c r="BH49"/>
      <c r="BI49"/>
      <c r="BJ49"/>
      <c r="BK49"/>
      <c r="BL49"/>
      <c r="BM49"/>
      <c r="BN49"/>
      <c r="BO49"/>
      <c r="BP49"/>
      <c r="BQ49"/>
      <c r="BR49"/>
      <c r="BS49"/>
      <c r="BT49"/>
      <c r="BU49"/>
      <c r="BV49"/>
      <c r="BW49"/>
      <c r="BX49"/>
      <c r="BY49"/>
      <c r="BZ49"/>
      <c r="CA49"/>
      <c r="CB49"/>
      <c r="CC49"/>
      <c r="CD49"/>
    </row>
    <row r="50" spans="1:82" s="35" customFormat="1" ht="15.75" customHeight="1" x14ac:dyDescent="0.3">
      <c r="A50"/>
      <c r="B50" s="57"/>
      <c r="C50" s="58" t="s">
        <v>93</v>
      </c>
      <c r="D50" s="96">
        <f>EC_2!D50+FS_2!D50+GT_2!D50+KZN_2!D50+LIM_2!D50+MPU_2!D50+NC_2!D50+NW_2!D50+WC_2!D50</f>
        <v>547700</v>
      </c>
      <c r="E50" s="199">
        <f>EC_2!E50+FS_2!E50+GT_2!E50+KZN_2!E50+LIM_2!E50+MPU_2!E50+NC_2!E50+NW_2!E50+WC_2!E50</f>
        <v>0</v>
      </c>
      <c r="F50" s="59">
        <f>EC_2!F50+FS_2!F50+GT_2!F50+KZN_2!F50+LIM_2!F50+MPU_2!F50+NC_2!F50+NW_2!F50+WC_2!F50</f>
        <v>547700</v>
      </c>
      <c r="G50" s="59">
        <f>EC_2!G50+FS_2!G50+GT_2!G50+KZN_2!G50+LIM_2!G50+MPU_2!G50+NC_2!G50+NW_2!G50+WC_2!G50</f>
        <v>120021</v>
      </c>
      <c r="H50" s="96">
        <f>EC_2!H50+FS_2!H50+GT_2!H50+KZN_2!H50+LIM_2!H50+MPU_2!H50+NC_2!H50+NW_2!H50+WC_2!H50</f>
        <v>667721</v>
      </c>
      <c r="I50" s="217">
        <f>EC_2!I50+FS_2!I50+GT_2!I50+KZN_2!I50+LIM_2!I50+MPU_2!I50+NC_2!I50+NW_2!I50+WC_2!I50</f>
        <v>0</v>
      </c>
      <c r="J50" s="102">
        <f>EC_2!J50+FS_2!J50+GT_2!J50+KZN_2!J50+LIM_2!J50+MPU_2!J50+NC_2!J50+NW_2!J50+WC_2!J50</f>
        <v>547700</v>
      </c>
      <c r="K50" s="59">
        <f>EC_2!K50+FS_2!K50+GT_2!K50+KZN_2!K50+LIM_2!K50+MPU_2!K50+NC_2!K50+NW_2!K50+WC_2!K50</f>
        <v>547700</v>
      </c>
      <c r="L50" s="59">
        <f>EC_2!L50+FS_2!L50+GT_2!L50+KZN_2!L50+LIM_2!L50+MPU_2!L50+NC_2!L50+NW_2!L50+WC_2!L50</f>
        <v>0</v>
      </c>
      <c r="M50" s="59">
        <f>EC_2!M50+FS_2!M50+GT_2!M50+KZN_2!M50+LIM_2!M50+MPU_2!M50+NC_2!M50+NW_2!M50+WC_2!M50</f>
        <v>376044</v>
      </c>
      <c r="N50" s="172">
        <f t="shared" si="82"/>
        <v>0.56317533820263255</v>
      </c>
      <c r="O50" s="60"/>
      <c r="P50" s="56"/>
      <c r="Q50" s="56"/>
      <c r="R50"/>
      <c r="S50" s="57"/>
      <c r="T50" s="58" t="str">
        <f t="shared" si="83"/>
        <v>(b) Title Deeds Restoriation Grant</v>
      </c>
      <c r="U50" s="96">
        <v>547700</v>
      </c>
      <c r="V50" s="199">
        <v>0</v>
      </c>
      <c r="W50" s="59">
        <v>547700</v>
      </c>
      <c r="X50" s="59">
        <v>0</v>
      </c>
      <c r="Y50" s="96">
        <v>547700</v>
      </c>
      <c r="Z50" s="217"/>
      <c r="AA50" s="102">
        <v>199307</v>
      </c>
      <c r="AB50" s="59">
        <v>209457</v>
      </c>
      <c r="AC50" s="59"/>
      <c r="AD50" s="59">
        <v>83825</v>
      </c>
      <c r="AE50" s="172">
        <v>0.15304911447872924</v>
      </c>
      <c r="AF50" s="60"/>
      <c r="AG50" s="443"/>
      <c r="AH50" s="443"/>
      <c r="AI50"/>
      <c r="AJ50" s="394"/>
      <c r="AK50" s="479" t="str">
        <f t="shared" ref="AK50:AK53" si="88">C50</f>
        <v>(b) Title Deeds Restoriation Grant</v>
      </c>
      <c r="AL50" s="396">
        <f t="shared" ref="AL50:AL53" si="89">IFERROR(U50-D50,0)</f>
        <v>0</v>
      </c>
      <c r="AM50" s="397">
        <f t="shared" si="84"/>
        <v>0</v>
      </c>
      <c r="AN50" s="398">
        <f t="shared" si="85"/>
        <v>0</v>
      </c>
      <c r="AO50" s="398">
        <f t="shared" si="86"/>
        <v>-120021</v>
      </c>
      <c r="AP50" s="396">
        <f t="shared" si="87"/>
        <v>-120021</v>
      </c>
      <c r="AQ50" s="399"/>
      <c r="AR50" s="400">
        <f t="shared" si="52"/>
        <v>-348393</v>
      </c>
      <c r="AS50" s="398">
        <f t="shared" si="52"/>
        <v>-338243</v>
      </c>
      <c r="AT50" s="398"/>
      <c r="AU50" s="398">
        <f t="shared" ref="AU50:AU53" si="90">IFERROR(AD50-M50,0)</f>
        <v>-292219</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529" customFormat="1" ht="15.75" customHeight="1" x14ac:dyDescent="0.3">
      <c r="A51" s="508"/>
      <c r="B51" s="509"/>
      <c r="C51" s="518"/>
      <c r="D51" s="511">
        <f>EC_2!D51+FS_2!D51+GT_2!D51+KZN_2!D51+LIM_2!D51+MPU_2!D51+NC_2!D51+NW_2!D51+WC_2!D51</f>
        <v>0</v>
      </c>
      <c r="E51" s="512">
        <f>EC_2!E51+FS_2!E51+GT_2!E51+KZN_2!E51+LIM_2!E51+MPU_2!E51+NC_2!E51+NW_2!E51+WC_2!E51</f>
        <v>0</v>
      </c>
      <c r="F51" s="513">
        <f>EC_2!F51+FS_2!F51+GT_2!F51+KZN_2!F51+LIM_2!F51+MPU_2!F51+NC_2!F51+NW_2!F51+WC_2!F51</f>
        <v>0</v>
      </c>
      <c r="G51" s="513">
        <f>EC_2!G51+FS_2!G51+GT_2!G51+KZN_2!G51+LIM_2!G51+MPU_2!G51+NC_2!G51+NW_2!G51+WC_2!G51</f>
        <v>0</v>
      </c>
      <c r="H51" s="511">
        <f>EC_2!H51+FS_2!H51+GT_2!H51+KZN_2!H51+LIM_2!H51+MPU_2!H51+NC_2!H51+NW_2!H51+WC_2!H51</f>
        <v>0</v>
      </c>
      <c r="I51" s="514">
        <f>EC_2!I51+FS_2!I51+GT_2!I51+KZN_2!I51+LIM_2!I51+MPU_2!I51+NC_2!I51+NW_2!I51+WC_2!I51</f>
        <v>0</v>
      </c>
      <c r="J51" s="515">
        <f>EC_2!J51+FS_2!J51+GT_2!J51+KZN_2!J51+LIM_2!J51+MPU_2!J51+NC_2!J51+NW_2!J51+WC_2!J51</f>
        <v>0</v>
      </c>
      <c r="K51" s="513">
        <f>EC_2!K51+FS_2!K51+GT_2!K51+KZN_2!K51+LIM_2!K51+MPU_2!K51+NC_2!K51+NW_2!K51+WC_2!K51</f>
        <v>0</v>
      </c>
      <c r="L51" s="513">
        <f>EC_2!L51+FS_2!L51+GT_2!L51+KZN_2!L51+LIM_2!L51+MPU_2!L51+NC_2!L51+NW_2!L51+WC_2!L51</f>
        <v>0</v>
      </c>
      <c r="M51" s="513">
        <f>EC_2!M51+FS_2!M51+GT_2!M51+KZN_2!M51+LIM_2!M51+MPU_2!M51+NC_2!M51+NW_2!M51+WC_2!M51</f>
        <v>0</v>
      </c>
      <c r="N51" s="516">
        <f t="shared" si="81"/>
        <v>0</v>
      </c>
      <c r="O51" s="517"/>
      <c r="P51" s="518"/>
      <c r="Q51" s="518"/>
      <c r="R51" s="508"/>
      <c r="S51" s="509"/>
      <c r="T51" s="510">
        <f t="shared" si="83"/>
        <v>0</v>
      </c>
      <c r="U51" s="511">
        <v>0</v>
      </c>
      <c r="V51" s="512">
        <v>0</v>
      </c>
      <c r="W51" s="513">
        <v>0</v>
      </c>
      <c r="X51" s="513">
        <v>0</v>
      </c>
      <c r="Y51" s="511">
        <v>0</v>
      </c>
      <c r="Z51" s="514"/>
      <c r="AA51" s="515">
        <v>0</v>
      </c>
      <c r="AB51" s="513">
        <v>0</v>
      </c>
      <c r="AC51" s="513"/>
      <c r="AD51" s="513">
        <v>0</v>
      </c>
      <c r="AE51" s="516">
        <v>0</v>
      </c>
      <c r="AF51" s="517"/>
      <c r="AG51" s="519"/>
      <c r="AH51" s="519"/>
      <c r="AI51" s="508"/>
      <c r="AJ51" s="520"/>
      <c r="AK51" s="521">
        <f t="shared" si="88"/>
        <v>0</v>
      </c>
      <c r="AL51" s="522">
        <f t="shared" si="89"/>
        <v>0</v>
      </c>
      <c r="AM51" s="523">
        <f t="shared" si="84"/>
        <v>0</v>
      </c>
      <c r="AN51" s="524">
        <f t="shared" si="85"/>
        <v>0</v>
      </c>
      <c r="AO51" s="524">
        <f t="shared" si="86"/>
        <v>0</v>
      </c>
      <c r="AP51" s="522">
        <f t="shared" si="87"/>
        <v>0</v>
      </c>
      <c r="AQ51" s="525"/>
      <c r="AR51" s="526">
        <f t="shared" si="52"/>
        <v>0</v>
      </c>
      <c r="AS51" s="524">
        <f t="shared" si="52"/>
        <v>0</v>
      </c>
      <c r="AT51" s="524"/>
      <c r="AU51" s="524">
        <f t="shared" si="90"/>
        <v>0</v>
      </c>
      <c r="AV51" s="527"/>
      <c r="AW51" s="52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row>
    <row r="52" spans="1:82" s="518" customFormat="1" ht="15.75" customHeight="1" x14ac:dyDescent="0.3">
      <c r="A52" s="508"/>
      <c r="B52" s="509"/>
      <c r="C52" s="510"/>
      <c r="D52" s="511">
        <f>EC_2!D52+FS_2!D52+GT_2!D52+KZN_2!D52+LIM_2!D52+MPU_2!D52+NC_2!D52+NW_2!D52+WC_2!D52</f>
        <v>0</v>
      </c>
      <c r="E52" s="512">
        <f>EC_2!E52+FS_2!E52+GT_2!E52+KZN_2!E52+LIM_2!E52+MPU_2!E52+NC_2!E52+NW_2!E52+WC_2!E52</f>
        <v>0</v>
      </c>
      <c r="F52" s="513">
        <f>EC_2!F52+FS_2!F52+GT_2!F52+KZN_2!F52+LIM_2!F52+MPU_2!F52+NC_2!F52+NW_2!F52+WC_2!F52</f>
        <v>0</v>
      </c>
      <c r="G52" s="513">
        <f>EC_2!G52+FS_2!G52+GT_2!G52+KZN_2!G52+LIM_2!G52+MPU_2!G52+NC_2!G52+NW_2!G52+WC_2!G52</f>
        <v>0</v>
      </c>
      <c r="H52" s="511">
        <f>EC_2!H52+FS_2!H52+GT_2!H52+KZN_2!H52+LIM_2!H52+MPU_2!H52+NC_2!H52+NW_2!H52+WC_2!H52</f>
        <v>0</v>
      </c>
      <c r="I52" s="514">
        <f>EC_2!I52+FS_2!I52+GT_2!I52+KZN_2!I52+LIM_2!I52+MPU_2!I52+NC_2!I52+NW_2!I52+WC_2!I52</f>
        <v>0</v>
      </c>
      <c r="J52" s="515">
        <f>EC_2!J52+FS_2!J52+GT_2!J52+KZN_2!J52+LIM_2!J52+MPU_2!J52+NC_2!J52+NW_2!J52+WC_2!J52</f>
        <v>0</v>
      </c>
      <c r="K52" s="513">
        <f>EC_2!K52+FS_2!K52+GT_2!K52+KZN_2!K52+LIM_2!K52+MPU_2!K52+NC_2!K52+NW_2!K52+WC_2!K52</f>
        <v>0</v>
      </c>
      <c r="L52" s="513">
        <f>EC_2!L52+FS_2!L52+GT_2!L52+KZN_2!L52+LIM_2!L52+MPU_2!L52+NC_2!L52+NW_2!L52+WC_2!L52</f>
        <v>0</v>
      </c>
      <c r="M52" s="513">
        <f>EC_2!M52+FS_2!M52+GT_2!M52+KZN_2!M52+LIM_2!M52+MPU_2!M52+NC_2!M52+NW_2!M52+WC_2!M52</f>
        <v>0</v>
      </c>
      <c r="N52" s="516">
        <f t="shared" si="81"/>
        <v>0</v>
      </c>
      <c r="O52" s="517"/>
      <c r="R52" s="508"/>
      <c r="S52" s="509"/>
      <c r="T52" s="510">
        <f t="shared" si="83"/>
        <v>0</v>
      </c>
      <c r="U52" s="511">
        <v>0</v>
      </c>
      <c r="V52" s="512">
        <v>0</v>
      </c>
      <c r="W52" s="513">
        <v>0</v>
      </c>
      <c r="X52" s="513">
        <v>0</v>
      </c>
      <c r="Y52" s="511">
        <v>0</v>
      </c>
      <c r="Z52" s="514"/>
      <c r="AA52" s="515">
        <v>0</v>
      </c>
      <c r="AB52" s="513">
        <v>0</v>
      </c>
      <c r="AC52" s="513"/>
      <c r="AD52" s="513">
        <v>0</v>
      </c>
      <c r="AE52" s="516">
        <v>0</v>
      </c>
      <c r="AF52" s="517"/>
      <c r="AG52" s="519"/>
      <c r="AH52" s="519"/>
      <c r="AI52" s="508"/>
      <c r="AJ52" s="520"/>
      <c r="AK52" s="521">
        <f t="shared" si="88"/>
        <v>0</v>
      </c>
      <c r="AL52" s="522">
        <f t="shared" si="89"/>
        <v>0</v>
      </c>
      <c r="AM52" s="523">
        <f t="shared" si="84"/>
        <v>0</v>
      </c>
      <c r="AN52" s="524">
        <f t="shared" si="85"/>
        <v>0</v>
      </c>
      <c r="AO52" s="524">
        <f t="shared" si="86"/>
        <v>0</v>
      </c>
      <c r="AP52" s="522">
        <f t="shared" si="87"/>
        <v>0</v>
      </c>
      <c r="AQ52" s="525"/>
      <c r="AR52" s="526">
        <f t="shared" si="52"/>
        <v>0</v>
      </c>
      <c r="AS52" s="524">
        <f t="shared" si="52"/>
        <v>0</v>
      </c>
      <c r="AT52" s="524"/>
      <c r="AU52" s="524">
        <f t="shared" si="90"/>
        <v>0</v>
      </c>
      <c r="AV52" s="527"/>
      <c r="AW52" s="52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row>
    <row r="53" spans="1:82" s="518" customFormat="1" ht="15.75" customHeight="1" x14ac:dyDescent="0.3">
      <c r="A53" s="508"/>
      <c r="B53" s="509"/>
      <c r="C53" s="510"/>
      <c r="D53" s="511">
        <f>EC_2!D53+FS_2!D53+GT_2!D53+KZN_2!D53+LIM_2!D53+MPU_2!D53+NC_2!D53+NW_2!D53+WC_2!D53</f>
        <v>0</v>
      </c>
      <c r="E53" s="512">
        <f>EC_2!E53+FS_2!E53+GT_2!E53+KZN_2!E53+LIM_2!E53+MPU_2!E53+NC_2!E53+NW_2!E53+WC_2!E53</f>
        <v>0</v>
      </c>
      <c r="F53" s="513">
        <f>EC_2!F53+FS_2!F53+GT_2!F53+KZN_2!F53+LIM_2!F53+MPU_2!F53+NC_2!F53+NW_2!F53+WC_2!F53</f>
        <v>0</v>
      </c>
      <c r="G53" s="513">
        <f>EC_2!G53+FS_2!G53+GT_2!G53+KZN_2!G53+LIM_2!G53+MPU_2!G53+NC_2!G53+NW_2!G53+WC_2!G53</f>
        <v>0</v>
      </c>
      <c r="H53" s="511">
        <f>EC_2!H53+FS_2!H53+GT_2!H53+KZN_2!H53+LIM_2!H53+MPU_2!H53+NC_2!H53+NW_2!H53+WC_2!H53</f>
        <v>0</v>
      </c>
      <c r="I53" s="514">
        <f>EC_2!I53+FS_2!I53+GT_2!I53+KZN_2!I53+LIM_2!I53+MPU_2!I53+NC_2!I53+NW_2!I53+WC_2!I53</f>
        <v>0</v>
      </c>
      <c r="J53" s="515">
        <f>EC_2!J53+FS_2!J53+GT_2!J53+KZN_2!J53+LIM_2!J53+MPU_2!J53+NC_2!J53+NW_2!J53+WC_2!J53</f>
        <v>0</v>
      </c>
      <c r="K53" s="513">
        <f>EC_2!K53+FS_2!K53+GT_2!K53+KZN_2!K53+LIM_2!K53+MPU_2!K53+NC_2!K53+NW_2!K53+WC_2!K53</f>
        <v>0</v>
      </c>
      <c r="L53" s="513">
        <f>EC_2!L53+FS_2!L53+GT_2!L53+KZN_2!L53+LIM_2!L53+MPU_2!L53+NC_2!L53+NW_2!L53+WC_2!L53</f>
        <v>0</v>
      </c>
      <c r="M53" s="513">
        <f>EC_2!M53+FS_2!M53+GT_2!M53+KZN_2!M53+LIM_2!M53+MPU_2!M53+NC_2!M53+NW_2!M53+WC_2!M53</f>
        <v>0</v>
      </c>
      <c r="N53" s="516">
        <f t="shared" si="81"/>
        <v>0</v>
      </c>
      <c r="O53" s="517"/>
      <c r="R53" s="508"/>
      <c r="S53" s="509"/>
      <c r="T53" s="510">
        <f t="shared" si="83"/>
        <v>0</v>
      </c>
      <c r="U53" s="511">
        <v>0</v>
      </c>
      <c r="V53" s="512">
        <v>0</v>
      </c>
      <c r="W53" s="513">
        <v>0</v>
      </c>
      <c r="X53" s="513">
        <v>0</v>
      </c>
      <c r="Y53" s="511">
        <v>0</v>
      </c>
      <c r="Z53" s="514"/>
      <c r="AA53" s="515">
        <v>0</v>
      </c>
      <c r="AB53" s="513">
        <v>0</v>
      </c>
      <c r="AC53" s="513"/>
      <c r="AD53" s="513">
        <v>0</v>
      </c>
      <c r="AE53" s="516">
        <v>0</v>
      </c>
      <c r="AF53" s="517"/>
      <c r="AG53" s="519"/>
      <c r="AH53" s="519"/>
      <c r="AI53" s="508"/>
      <c r="AJ53" s="520"/>
      <c r="AK53" s="521">
        <f t="shared" si="88"/>
        <v>0</v>
      </c>
      <c r="AL53" s="522">
        <f t="shared" si="89"/>
        <v>0</v>
      </c>
      <c r="AM53" s="523">
        <f t="shared" si="84"/>
        <v>0</v>
      </c>
      <c r="AN53" s="524">
        <f t="shared" si="85"/>
        <v>0</v>
      </c>
      <c r="AO53" s="524">
        <f t="shared" si="86"/>
        <v>0</v>
      </c>
      <c r="AP53" s="522">
        <f t="shared" si="87"/>
        <v>0</v>
      </c>
      <c r="AQ53" s="525"/>
      <c r="AR53" s="526">
        <f t="shared" si="52"/>
        <v>0</v>
      </c>
      <c r="AS53" s="524">
        <f t="shared" si="52"/>
        <v>0</v>
      </c>
      <c r="AT53" s="524"/>
      <c r="AU53" s="524">
        <f t="shared" si="90"/>
        <v>0</v>
      </c>
      <c r="AV53" s="527"/>
      <c r="AW53" s="52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row>
    <row r="54" spans="1:82" s="518" customFormat="1" ht="8.25" customHeight="1" x14ac:dyDescent="0.3">
      <c r="A54" s="508"/>
      <c r="B54" s="509"/>
      <c r="C54" s="510"/>
      <c r="D54" s="511">
        <f>EC_2!D54+FS_2!D54+GT_2!D54+KZN_2!D54+LIM_2!D54+MPU_2!D54+NC_2!D54+NW_2!D54+WC_2!D54</f>
        <v>0</v>
      </c>
      <c r="E54" s="512">
        <f>EC_2!E54+FS_2!E54+GT_2!E54+KZN_2!E54+LIM_2!E54+MPU_2!E54+NC_2!E54+NW_2!E54+WC_2!E54</f>
        <v>0</v>
      </c>
      <c r="F54" s="513">
        <f>EC_2!F54+FS_2!F54+GT_2!F54+KZN_2!F54+LIM_2!F54+MPU_2!F54+NC_2!F54+NW_2!F54+WC_2!F54</f>
        <v>0</v>
      </c>
      <c r="G54" s="513">
        <f>EC_2!G54+FS_2!G54+GT_2!G54+KZN_2!G54+LIM_2!G54+MPU_2!G54+NC_2!G54+NW_2!G54+WC_2!G54</f>
        <v>0</v>
      </c>
      <c r="H54" s="511">
        <f>EC_2!H54+FS_2!H54+GT_2!H54+KZN_2!H54+LIM_2!H54+MPU_2!H54+NC_2!H54+NW_2!H54+WC_2!H54</f>
        <v>0</v>
      </c>
      <c r="I54" s="514">
        <f>EC_2!I54+FS_2!I54+GT_2!I54+KZN_2!I54+LIM_2!I54+MPU_2!I54+NC_2!I54+NW_2!I54+WC_2!I54</f>
        <v>0</v>
      </c>
      <c r="J54" s="515">
        <f>EC_2!J54+FS_2!J54+GT_2!J54+KZN_2!J54+LIM_2!J54+MPU_2!J54+NC_2!J54+NW_2!J54+WC_2!J54</f>
        <v>0</v>
      </c>
      <c r="K54" s="513">
        <f>EC_2!K54+FS_2!K54+GT_2!K54+KZN_2!K54+LIM_2!K54+MPU_2!K54+NC_2!K54+NW_2!K54+WC_2!K54</f>
        <v>0</v>
      </c>
      <c r="L54" s="513">
        <f>EC_2!L54+FS_2!L54+GT_2!L54+KZN_2!L54+LIM_2!L54+MPU_2!L54+NC_2!L54+NW_2!L54+WC_2!L54</f>
        <v>0</v>
      </c>
      <c r="M54" s="513">
        <f>EC_2!M54+FS_2!M54+GT_2!M54+KZN_2!M54+LIM_2!M54+MPU_2!M54+NC_2!M54+NW_2!M54+WC_2!M54</f>
        <v>0</v>
      </c>
      <c r="N54" s="516"/>
      <c r="O54" s="517"/>
      <c r="R54" s="508"/>
      <c r="S54" s="509"/>
      <c r="T54" s="510"/>
      <c r="U54" s="511"/>
      <c r="V54" s="512"/>
      <c r="W54" s="513"/>
      <c r="X54" s="513"/>
      <c r="Y54" s="511"/>
      <c r="Z54" s="514"/>
      <c r="AA54" s="515"/>
      <c r="AB54" s="513"/>
      <c r="AC54" s="513"/>
      <c r="AD54" s="513"/>
      <c r="AE54" s="516"/>
      <c r="AF54" s="517"/>
      <c r="AG54" s="519"/>
      <c r="AH54" s="519"/>
      <c r="AI54" s="508"/>
      <c r="AJ54" s="520"/>
      <c r="AK54" s="521">
        <f t="shared" si="24"/>
        <v>0</v>
      </c>
      <c r="AL54" s="522">
        <f t="shared" si="51"/>
        <v>0</v>
      </c>
      <c r="AM54" s="523">
        <f t="shared" si="51"/>
        <v>0</v>
      </c>
      <c r="AN54" s="524">
        <f t="shared" si="51"/>
        <v>0</v>
      </c>
      <c r="AO54" s="524">
        <f t="shared" si="51"/>
        <v>0</v>
      </c>
      <c r="AP54" s="522">
        <f t="shared" si="51"/>
        <v>0</v>
      </c>
      <c r="AQ54" s="525"/>
      <c r="AR54" s="526">
        <f t="shared" si="52"/>
        <v>0</v>
      </c>
      <c r="AS54" s="524">
        <f t="shared" si="52"/>
        <v>0</v>
      </c>
      <c r="AT54" s="524"/>
      <c r="AU54" s="524">
        <f t="shared" si="26"/>
        <v>0</v>
      </c>
      <c r="AV54" s="527"/>
      <c r="AW54" s="52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row>
    <row r="55" spans="1:82" s="56" customFormat="1" ht="15.75" customHeight="1" x14ac:dyDescent="0.3">
      <c r="A55" s="61"/>
      <c r="B55" s="62"/>
      <c r="C55" s="51" t="s">
        <v>31</v>
      </c>
      <c r="D55" s="95">
        <f>EC_2!D55+FS_2!D55+GT_2!D55+KZN_2!D55+LIM_2!D55+MPU_2!D55+NC_2!D55+NW_2!D55+WC_2!D55</f>
        <v>868181</v>
      </c>
      <c r="E55" s="198">
        <f>EC_2!E55+FS_2!E55+GT_2!E55+KZN_2!E55+LIM_2!E55+MPU_2!E55+NC_2!E55+NW_2!E55+WC_2!E55</f>
        <v>0</v>
      </c>
      <c r="F55" s="54">
        <f>EC_2!F55+FS_2!F55+GT_2!F55+KZN_2!F55+LIM_2!F55+MPU_2!F55+NC_2!F55+NW_2!F55+WC_2!F55</f>
        <v>868181</v>
      </c>
      <c r="G55" s="54">
        <f>EC_2!G55+FS_2!G55+GT_2!G55+KZN_2!G55+LIM_2!G55+MPU_2!G55+NC_2!G55+NW_2!G55+WC_2!G55</f>
        <v>3603</v>
      </c>
      <c r="H55" s="95">
        <f>EC_2!H55+FS_2!H55+GT_2!H55+KZN_2!H55+LIM_2!H55+MPU_2!H55+NC_2!H55+NW_2!H55+WC_2!H55</f>
        <v>871784</v>
      </c>
      <c r="I55" s="216">
        <f>EC_2!I55+FS_2!I55+GT_2!I55+KZN_2!I55+LIM_2!I55+MPU_2!I55+NC_2!I55+NW_2!I55+WC_2!I55</f>
        <v>0</v>
      </c>
      <c r="J55" s="101">
        <f>EC_2!J55+FS_2!J55+GT_2!J55+KZN_2!J55+LIM_2!J55+MPU_2!J55+NC_2!J55+NW_2!J55+WC_2!J55</f>
        <v>868181</v>
      </c>
      <c r="K55" s="54">
        <f>EC_2!K55+FS_2!K55+GT_2!K55+KZN_2!K55+LIM_2!K55+MPU_2!K55+NC_2!K55+NW_2!K55+WC_2!K55</f>
        <v>868181</v>
      </c>
      <c r="L55" s="54">
        <f>EC_2!L55+FS_2!L55+GT_2!L55+KZN_2!L55+LIM_2!L55+MPU_2!L55+NC_2!L55+NW_2!L55+WC_2!L55</f>
        <v>0</v>
      </c>
      <c r="M55" s="54">
        <f>EC_2!M55+FS_2!M55+GT_2!M55+KZN_2!M55+LIM_2!M55+MPU_2!M55+NC_2!M55+NW_2!M55+WC_2!M55</f>
        <v>839685.70259999996</v>
      </c>
      <c r="N55" s="183">
        <f t="shared" ref="N55" si="91">IFERROR(M55/F55,0)</f>
        <v>0.96717816054486327</v>
      </c>
      <c r="O55" s="63"/>
      <c r="P55" s="64"/>
      <c r="Q55" s="64"/>
      <c r="R55" s="61"/>
      <c r="S55" s="62"/>
      <c r="T55" s="51" t="str">
        <f>C55</f>
        <v>Public Works (Vote 11)</v>
      </c>
      <c r="U55" s="95">
        <v>868181</v>
      </c>
      <c r="V55" s="198">
        <v>0</v>
      </c>
      <c r="W55" s="54">
        <v>868181</v>
      </c>
      <c r="X55" s="54">
        <v>0</v>
      </c>
      <c r="Y55" s="95">
        <v>868181</v>
      </c>
      <c r="Z55" s="216"/>
      <c r="AA55" s="101">
        <v>607727</v>
      </c>
      <c r="AB55" s="54">
        <v>528974</v>
      </c>
      <c r="AC55" s="54"/>
      <c r="AD55" s="54">
        <v>388243.12760000001</v>
      </c>
      <c r="AE55" s="183">
        <v>0.44719145846315456</v>
      </c>
      <c r="AF55" s="63"/>
      <c r="AG55" s="444"/>
      <c r="AH55" s="444"/>
      <c r="AI55" s="61"/>
      <c r="AJ55" s="402"/>
      <c r="AK55" s="480" t="str">
        <f t="shared" si="24"/>
        <v>Public Works (Vote 11)</v>
      </c>
      <c r="AL55" s="388">
        <f t="shared" si="51"/>
        <v>0</v>
      </c>
      <c r="AM55" s="389">
        <f t="shared" si="51"/>
        <v>0</v>
      </c>
      <c r="AN55" s="390">
        <f t="shared" si="51"/>
        <v>0</v>
      </c>
      <c r="AO55" s="390">
        <f t="shared" si="51"/>
        <v>-3603</v>
      </c>
      <c r="AP55" s="388">
        <f t="shared" si="51"/>
        <v>-3603</v>
      </c>
      <c r="AQ55" s="391"/>
      <c r="AR55" s="392">
        <f t="shared" si="52"/>
        <v>-260454</v>
      </c>
      <c r="AS55" s="390">
        <f t="shared" si="52"/>
        <v>-339207</v>
      </c>
      <c r="AT55" s="390"/>
      <c r="AU55" s="390">
        <f t="shared" si="26"/>
        <v>-451442.57499999995</v>
      </c>
      <c r="AV55" s="315"/>
      <c r="AW55" s="403"/>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row>
    <row r="56" spans="1:82" s="35" customFormat="1" ht="15.75" customHeight="1" x14ac:dyDescent="0.3">
      <c r="A56"/>
      <c r="B56" s="57"/>
      <c r="C56" s="58" t="s">
        <v>32</v>
      </c>
      <c r="D56" s="96">
        <f>EC_2!D56+FS_2!D56+GT_2!D56+KZN_2!D56+LIM_2!D56+MPU_2!D56+NC_2!D56+NW_2!D56+WC_2!D56</f>
        <v>437388</v>
      </c>
      <c r="E56" s="199">
        <f>EC_2!E56+FS_2!E56+GT_2!E56+KZN_2!E56+LIM_2!E56+MPU_2!E56+NC_2!E56+NW_2!E56+WC_2!E56</f>
        <v>0</v>
      </c>
      <c r="F56" s="59">
        <f>EC_2!F56+FS_2!F56+GT_2!F56+KZN_2!F56+LIM_2!F56+MPU_2!F56+NC_2!F56+NW_2!F56+WC_2!F56</f>
        <v>437388</v>
      </c>
      <c r="G56" s="59">
        <f>EC_2!G56+FS_2!G56+GT_2!G56+KZN_2!G56+LIM_2!G56+MPU_2!G56+NC_2!G56+NW_2!G56+WC_2!G56</f>
        <v>3468</v>
      </c>
      <c r="H56" s="96">
        <f>EC_2!H56+FS_2!H56+GT_2!H56+KZN_2!H56+LIM_2!H56+MPU_2!H56+NC_2!H56+NW_2!H56+WC_2!H56</f>
        <v>440856</v>
      </c>
      <c r="I56" s="217">
        <f>EC_2!I56+FS_2!I56+GT_2!I56+KZN_2!I56+LIM_2!I56+MPU_2!I56+NC_2!I56+NW_2!I56+WC_2!I56</f>
        <v>0</v>
      </c>
      <c r="J56" s="102">
        <f>EC_2!J56+FS_2!J56+GT_2!J56+KZN_2!J56+LIM_2!J56+MPU_2!J56+NC_2!J56+NW_2!J56+WC_2!J56</f>
        <v>437388</v>
      </c>
      <c r="K56" s="59">
        <f>EC_2!K56+FS_2!K56+GT_2!K56+KZN_2!K56+LIM_2!K56+MPU_2!K56+NC_2!K56+NW_2!K56+WC_2!K56</f>
        <v>437388</v>
      </c>
      <c r="L56" s="59">
        <f>EC_2!L56+FS_2!L56+GT_2!L56+KZN_2!L56+LIM_2!L56+MPU_2!L56+NC_2!L56+NW_2!L56+WC_2!L56</f>
        <v>0</v>
      </c>
      <c r="M56" s="59">
        <f>EC_2!M56+FS_2!M56+GT_2!M56+KZN_2!M56+LIM_2!M56+MPU_2!M56+NC_2!M56+NW_2!M56+WC_2!M56</f>
        <v>419399.12760000001</v>
      </c>
      <c r="N56" s="172">
        <f t="shared" ref="N56:N57" si="92">IFERROR(M56/H56,0)</f>
        <v>0.95132906799499162</v>
      </c>
      <c r="O56" s="60"/>
      <c r="P56" s="56"/>
      <c r="Q56" s="56"/>
      <c r="R56"/>
      <c r="S56" s="57"/>
      <c r="T56" s="58" t="str">
        <f t="shared" ref="T56:T60" si="93">C56</f>
        <v>(a) Expanded Public Works Programme Integrated Grant for Provinces</v>
      </c>
      <c r="U56" s="96">
        <v>437388</v>
      </c>
      <c r="V56" s="199">
        <v>0</v>
      </c>
      <c r="W56" s="59">
        <v>437388</v>
      </c>
      <c r="X56" s="59">
        <v>0</v>
      </c>
      <c r="Y56" s="96">
        <v>437388</v>
      </c>
      <c r="Z56" s="217"/>
      <c r="AA56" s="102">
        <v>306172</v>
      </c>
      <c r="AB56" s="59">
        <v>231365</v>
      </c>
      <c r="AC56" s="59"/>
      <c r="AD56" s="59">
        <v>177734.12760000001</v>
      </c>
      <c r="AE56" s="172">
        <v>0.40635346100030179</v>
      </c>
      <c r="AF56" s="60"/>
      <c r="AG56" s="443"/>
      <c r="AH56" s="443"/>
      <c r="AI56"/>
      <c r="AJ56" s="394"/>
      <c r="AK56" s="479" t="str">
        <f>C56</f>
        <v>(a) Expanded Public Works Programme Integrated Grant for Provinces</v>
      </c>
      <c r="AL56" s="396">
        <f>IFERROR(U56-D56,0)</f>
        <v>0</v>
      </c>
      <c r="AM56" s="397">
        <f t="shared" ref="AM56:AM60" si="94">IFERROR(V56-E56,0)</f>
        <v>0</v>
      </c>
      <c r="AN56" s="398">
        <f t="shared" ref="AN56:AN60" si="95">IFERROR(W56-F56,0)</f>
        <v>0</v>
      </c>
      <c r="AO56" s="398">
        <f t="shared" ref="AO56:AO60" si="96">IFERROR(X56-G56,0)</f>
        <v>-3468</v>
      </c>
      <c r="AP56" s="396">
        <f t="shared" ref="AP56:AP60" si="97">IFERROR(Y56-H56,0)</f>
        <v>-3468</v>
      </c>
      <c r="AQ56" s="399"/>
      <c r="AR56" s="400">
        <f t="shared" si="52"/>
        <v>-131216</v>
      </c>
      <c r="AS56" s="398">
        <f t="shared" si="52"/>
        <v>-206023</v>
      </c>
      <c r="AT56" s="398"/>
      <c r="AU56" s="398">
        <f>IFERROR(AD56-M56,0)</f>
        <v>-241665</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66" customFormat="1" ht="15.75" customHeight="1" x14ac:dyDescent="0.3">
      <c r="A57"/>
      <c r="B57" s="57"/>
      <c r="C57" s="58" t="s">
        <v>33</v>
      </c>
      <c r="D57" s="96">
        <f>EC_2!D57+FS_2!D57+GT_2!D57+KZN_2!D57+LIM_2!D57+MPU_2!D57+NC_2!D57+NW_2!D57+WC_2!D57</f>
        <v>430793</v>
      </c>
      <c r="E57" s="199">
        <f>EC_2!E57+FS_2!E57+GT_2!E57+KZN_2!E57+LIM_2!E57+MPU_2!E57+NC_2!E57+NW_2!E57+WC_2!E57</f>
        <v>0</v>
      </c>
      <c r="F57" s="59">
        <f>EC_2!F57+FS_2!F57+GT_2!F57+KZN_2!F57+LIM_2!F57+MPU_2!F57+NC_2!F57+NW_2!F57+WC_2!F57</f>
        <v>430793</v>
      </c>
      <c r="G57" s="59">
        <f>EC_2!G57+FS_2!G57+GT_2!G57+KZN_2!G57+LIM_2!G57+MPU_2!G57+NC_2!G57+NW_2!G57+WC_2!G57</f>
        <v>135</v>
      </c>
      <c r="H57" s="96">
        <f>EC_2!H57+FS_2!H57+GT_2!H57+KZN_2!H57+LIM_2!H57+MPU_2!H57+NC_2!H57+NW_2!H57+WC_2!H57</f>
        <v>430928</v>
      </c>
      <c r="I57" s="217">
        <f>EC_2!I57+FS_2!I57+GT_2!I57+KZN_2!I57+LIM_2!I57+MPU_2!I57+NC_2!I57+NW_2!I57+WC_2!I57</f>
        <v>0</v>
      </c>
      <c r="J57" s="102">
        <f>EC_2!J57+FS_2!J57+GT_2!J57+KZN_2!J57+LIM_2!J57+MPU_2!J57+NC_2!J57+NW_2!J57+WC_2!J57</f>
        <v>430793</v>
      </c>
      <c r="K57" s="59">
        <f>EC_2!K57+FS_2!K57+GT_2!K57+KZN_2!K57+LIM_2!K57+MPU_2!K57+NC_2!K57+NW_2!K57+WC_2!K57</f>
        <v>430793</v>
      </c>
      <c r="L57" s="59">
        <f>EC_2!L57+FS_2!L57+GT_2!L57+KZN_2!L57+LIM_2!L57+MPU_2!L57+NC_2!L57+NW_2!L57+WC_2!L57</f>
        <v>0</v>
      </c>
      <c r="M57" s="59">
        <f>EC_2!M57+FS_2!M57+GT_2!M57+KZN_2!M57+LIM_2!M57+MPU_2!M57+NC_2!M57+NW_2!M57+WC_2!M57</f>
        <v>420286.57500000001</v>
      </c>
      <c r="N57" s="172">
        <f t="shared" si="92"/>
        <v>0.97530579354323699</v>
      </c>
      <c r="O57" s="60"/>
      <c r="P57" s="56"/>
      <c r="Q57" s="56"/>
      <c r="R57"/>
      <c r="S57" s="57"/>
      <c r="T57" s="58" t="str">
        <f t="shared" si="93"/>
        <v>(b) Social Sector Expanded Public Works Programme Incentive Grant for Provinces</v>
      </c>
      <c r="U57" s="96">
        <v>430793</v>
      </c>
      <c r="V57" s="199">
        <v>0</v>
      </c>
      <c r="W57" s="59">
        <v>430793</v>
      </c>
      <c r="X57" s="59">
        <v>0</v>
      </c>
      <c r="Y57" s="96">
        <v>430793</v>
      </c>
      <c r="Z57" s="217"/>
      <c r="AA57" s="102">
        <v>301555</v>
      </c>
      <c r="AB57" s="59">
        <v>297609</v>
      </c>
      <c r="AC57" s="59"/>
      <c r="AD57" s="59">
        <v>210509</v>
      </c>
      <c r="AE57" s="172">
        <v>0.48865464387768603</v>
      </c>
      <c r="AF57" s="60"/>
      <c r="AG57" s="443"/>
      <c r="AH57" s="443"/>
      <c r="AI57"/>
      <c r="AJ57" s="394"/>
      <c r="AK57" s="479" t="str">
        <f t="shared" ref="AK57:AK60" si="98">C57</f>
        <v>(b) Social Sector Expanded Public Works Programme Incentive Grant for Provinces</v>
      </c>
      <c r="AL57" s="396">
        <f t="shared" ref="AL57:AL60" si="99">IFERROR(U57-D57,0)</f>
        <v>0</v>
      </c>
      <c r="AM57" s="397">
        <f t="shared" si="94"/>
        <v>0</v>
      </c>
      <c r="AN57" s="398">
        <f t="shared" si="95"/>
        <v>0</v>
      </c>
      <c r="AO57" s="398">
        <f t="shared" si="96"/>
        <v>-135</v>
      </c>
      <c r="AP57" s="396">
        <f t="shared" si="97"/>
        <v>-135</v>
      </c>
      <c r="AQ57" s="399"/>
      <c r="AR57" s="400">
        <f t="shared" si="52"/>
        <v>-129238</v>
      </c>
      <c r="AS57" s="398">
        <f t="shared" si="52"/>
        <v>-133184</v>
      </c>
      <c r="AT57" s="398"/>
      <c r="AU57" s="398">
        <f t="shared" ref="AU57:AU60" si="100">IFERROR(AD57-M57,0)</f>
        <v>-209777.57500000001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518" customFormat="1" ht="15.75" customHeight="1" x14ac:dyDescent="0.3">
      <c r="A58" s="508"/>
      <c r="B58" s="509"/>
      <c r="C58" s="510"/>
      <c r="D58" s="511">
        <f>EC_2!D58+FS_2!D58+GT_2!D58+KZN_2!D58+LIM_2!D58+MPU_2!D58+NC_2!D58+NW_2!D58+WC_2!D58</f>
        <v>0</v>
      </c>
      <c r="E58" s="512">
        <f>EC_2!E58+FS_2!E58+GT_2!E58+KZN_2!E58+LIM_2!E58+MPU_2!E58+NC_2!E58+NW_2!E58+WC_2!E58</f>
        <v>0</v>
      </c>
      <c r="F58" s="513">
        <f>EC_2!F58+FS_2!F58+GT_2!F58+KZN_2!F58+LIM_2!F58+MPU_2!F58+NC_2!F58+NW_2!F58+WC_2!F58</f>
        <v>0</v>
      </c>
      <c r="G58" s="513">
        <f>EC_2!G58+FS_2!G58+GT_2!G58+KZN_2!G58+LIM_2!G58+MPU_2!G58+NC_2!G58+NW_2!G58+WC_2!G58</f>
        <v>0</v>
      </c>
      <c r="H58" s="511">
        <f>EC_2!H58+FS_2!H58+GT_2!H58+KZN_2!H58+LIM_2!H58+MPU_2!H58+NC_2!H58+NW_2!H58+WC_2!H58</f>
        <v>0</v>
      </c>
      <c r="I58" s="514">
        <f>EC_2!I58+FS_2!I58+GT_2!I58+KZN_2!I58+LIM_2!I58+MPU_2!I58+NC_2!I58+NW_2!I58+WC_2!I58</f>
        <v>0</v>
      </c>
      <c r="J58" s="515">
        <f>EC_2!J58+FS_2!J58+GT_2!J58+KZN_2!J58+LIM_2!J58+MPU_2!J58+NC_2!J58+NW_2!J58+WC_2!J58</f>
        <v>0</v>
      </c>
      <c r="K58" s="513">
        <f>EC_2!K58+FS_2!K58+GT_2!K58+KZN_2!K58+LIM_2!K58+MPU_2!K58+NC_2!K58+NW_2!K58+WC_2!K58</f>
        <v>0</v>
      </c>
      <c r="L58" s="513">
        <f>EC_2!L58+FS_2!L58+GT_2!L58+KZN_2!L58+LIM_2!L58+MPU_2!L58+NC_2!L58+NW_2!L58+WC_2!L58</f>
        <v>0</v>
      </c>
      <c r="M58" s="513">
        <f>EC_2!M58+FS_2!M58+GT_2!M58+KZN_2!M58+LIM_2!M58+MPU_2!M58+NC_2!M58+NW_2!M58+WC_2!M58</f>
        <v>0</v>
      </c>
      <c r="N58" s="516">
        <f t="shared" ref="N58:N60" si="101">IFERROR(M58/F58,0)</f>
        <v>0</v>
      </c>
      <c r="O58" s="517"/>
      <c r="R58" s="508"/>
      <c r="S58" s="509"/>
      <c r="T58" s="510">
        <f t="shared" si="93"/>
        <v>0</v>
      </c>
      <c r="U58" s="511">
        <v>0</v>
      </c>
      <c r="V58" s="512">
        <v>0</v>
      </c>
      <c r="W58" s="513">
        <v>0</v>
      </c>
      <c r="X58" s="513">
        <v>0</v>
      </c>
      <c r="Y58" s="511">
        <v>0</v>
      </c>
      <c r="Z58" s="514"/>
      <c r="AA58" s="515">
        <v>0</v>
      </c>
      <c r="AB58" s="513">
        <v>0</v>
      </c>
      <c r="AC58" s="513"/>
      <c r="AD58" s="513">
        <v>0</v>
      </c>
      <c r="AE58" s="516">
        <v>0</v>
      </c>
      <c r="AF58" s="517"/>
      <c r="AG58" s="519"/>
      <c r="AH58" s="519"/>
      <c r="AI58" s="508"/>
      <c r="AJ58" s="520"/>
      <c r="AK58" s="521">
        <f t="shared" si="98"/>
        <v>0</v>
      </c>
      <c r="AL58" s="522">
        <f t="shared" si="99"/>
        <v>0</v>
      </c>
      <c r="AM58" s="523">
        <f t="shared" si="94"/>
        <v>0</v>
      </c>
      <c r="AN58" s="524">
        <f t="shared" si="95"/>
        <v>0</v>
      </c>
      <c r="AO58" s="524">
        <f t="shared" si="96"/>
        <v>0</v>
      </c>
      <c r="AP58" s="522">
        <f t="shared" si="97"/>
        <v>0</v>
      </c>
      <c r="AQ58" s="525"/>
      <c r="AR58" s="526">
        <f t="shared" si="52"/>
        <v>0</v>
      </c>
      <c r="AS58" s="524">
        <f t="shared" si="52"/>
        <v>0</v>
      </c>
      <c r="AT58" s="524"/>
      <c r="AU58" s="524">
        <f t="shared" si="100"/>
        <v>0</v>
      </c>
      <c r="AV58" s="527"/>
      <c r="AW58" s="52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row>
    <row r="59" spans="1:82" s="518" customFormat="1" ht="15.75" customHeight="1" x14ac:dyDescent="0.3">
      <c r="A59" s="508"/>
      <c r="B59" s="509"/>
      <c r="C59" s="510"/>
      <c r="D59" s="511">
        <f>EC_2!D59+FS_2!D59+GT_2!D59+KZN_2!D59+LIM_2!D59+MPU_2!D59+NC_2!D59+NW_2!D59+WC_2!D59</f>
        <v>0</v>
      </c>
      <c r="E59" s="512">
        <f>EC_2!E59+FS_2!E59+GT_2!E59+KZN_2!E59+LIM_2!E59+MPU_2!E59+NC_2!E59+NW_2!E59+WC_2!E59</f>
        <v>0</v>
      </c>
      <c r="F59" s="513">
        <f>EC_2!F59+FS_2!F59+GT_2!F59+KZN_2!F59+LIM_2!F59+MPU_2!F59+NC_2!F59+NW_2!F59+WC_2!F59</f>
        <v>0</v>
      </c>
      <c r="G59" s="513">
        <f>EC_2!G59+FS_2!G59+GT_2!G59+KZN_2!G59+LIM_2!G59+MPU_2!G59+NC_2!G59+NW_2!G59+WC_2!G59</f>
        <v>0</v>
      </c>
      <c r="H59" s="511">
        <f>EC_2!H59+FS_2!H59+GT_2!H59+KZN_2!H59+LIM_2!H59+MPU_2!H59+NC_2!H59+NW_2!H59+WC_2!H59</f>
        <v>0</v>
      </c>
      <c r="I59" s="514">
        <f>EC_2!I59+FS_2!I59+GT_2!I59+KZN_2!I59+LIM_2!I59+MPU_2!I59+NC_2!I59+NW_2!I59+WC_2!I59</f>
        <v>0</v>
      </c>
      <c r="J59" s="515">
        <f>EC_2!J59+FS_2!J59+GT_2!J59+KZN_2!J59+LIM_2!J59+MPU_2!J59+NC_2!J59+NW_2!J59+WC_2!J59</f>
        <v>0</v>
      </c>
      <c r="K59" s="513">
        <f>EC_2!K59+FS_2!K59+GT_2!K59+KZN_2!K59+LIM_2!K59+MPU_2!K59+NC_2!K59+NW_2!K59+WC_2!K59</f>
        <v>0</v>
      </c>
      <c r="L59" s="513">
        <f>EC_2!L59+FS_2!L59+GT_2!L59+KZN_2!L59+LIM_2!L59+MPU_2!L59+NC_2!L59+NW_2!L59+WC_2!L59</f>
        <v>0</v>
      </c>
      <c r="M59" s="513">
        <f>EC_2!M59+FS_2!M59+GT_2!M59+KZN_2!M59+LIM_2!M59+MPU_2!M59+NC_2!M59+NW_2!M59+WC_2!M59</f>
        <v>0</v>
      </c>
      <c r="N59" s="516">
        <f t="shared" si="101"/>
        <v>0</v>
      </c>
      <c r="O59" s="517"/>
      <c r="R59" s="508"/>
      <c r="S59" s="509"/>
      <c r="T59" s="510">
        <f t="shared" si="93"/>
        <v>0</v>
      </c>
      <c r="U59" s="511">
        <v>0</v>
      </c>
      <c r="V59" s="512">
        <v>0</v>
      </c>
      <c r="W59" s="513">
        <v>0</v>
      </c>
      <c r="X59" s="513">
        <v>0</v>
      </c>
      <c r="Y59" s="511">
        <v>0</v>
      </c>
      <c r="Z59" s="514"/>
      <c r="AA59" s="515">
        <v>0</v>
      </c>
      <c r="AB59" s="513">
        <v>0</v>
      </c>
      <c r="AC59" s="513"/>
      <c r="AD59" s="513">
        <v>0</v>
      </c>
      <c r="AE59" s="516">
        <v>0</v>
      </c>
      <c r="AF59" s="517"/>
      <c r="AG59" s="519"/>
      <c r="AH59" s="519"/>
      <c r="AI59" s="508"/>
      <c r="AJ59" s="520"/>
      <c r="AK59" s="521">
        <f t="shared" si="98"/>
        <v>0</v>
      </c>
      <c r="AL59" s="522">
        <f t="shared" si="99"/>
        <v>0</v>
      </c>
      <c r="AM59" s="523">
        <f t="shared" si="94"/>
        <v>0</v>
      </c>
      <c r="AN59" s="524">
        <f t="shared" si="95"/>
        <v>0</v>
      </c>
      <c r="AO59" s="524">
        <f t="shared" si="96"/>
        <v>0</v>
      </c>
      <c r="AP59" s="522">
        <f t="shared" si="97"/>
        <v>0</v>
      </c>
      <c r="AQ59" s="525"/>
      <c r="AR59" s="526">
        <f t="shared" si="52"/>
        <v>0</v>
      </c>
      <c r="AS59" s="524">
        <f t="shared" si="52"/>
        <v>0</v>
      </c>
      <c r="AT59" s="524"/>
      <c r="AU59" s="524">
        <f t="shared" si="100"/>
        <v>0</v>
      </c>
      <c r="AV59" s="527"/>
      <c r="AW59" s="52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row>
    <row r="60" spans="1:82" s="518" customFormat="1" ht="15.75" customHeight="1" x14ac:dyDescent="0.3">
      <c r="A60" s="508"/>
      <c r="B60" s="509"/>
      <c r="C60" s="510"/>
      <c r="D60" s="511">
        <f>EC_2!D60+FS_2!D60+GT_2!D60+KZN_2!D60+LIM_2!D60+MPU_2!D60+NC_2!D60+NW_2!D60+WC_2!D60</f>
        <v>0</v>
      </c>
      <c r="E60" s="512">
        <f>EC_2!E60+FS_2!E60+GT_2!E60+KZN_2!E60+LIM_2!E60+MPU_2!E60+NC_2!E60+NW_2!E60+WC_2!E60</f>
        <v>0</v>
      </c>
      <c r="F60" s="513">
        <f>EC_2!F60+FS_2!F60+GT_2!F60+KZN_2!F60+LIM_2!F60+MPU_2!F60+NC_2!F60+NW_2!F60+WC_2!F60</f>
        <v>0</v>
      </c>
      <c r="G60" s="513">
        <f>EC_2!G60+FS_2!G60+GT_2!G60+KZN_2!G60+LIM_2!G60+MPU_2!G60+NC_2!G60+NW_2!G60+WC_2!G60</f>
        <v>0</v>
      </c>
      <c r="H60" s="511">
        <f>EC_2!H60+FS_2!H60+GT_2!H60+KZN_2!H60+LIM_2!H60+MPU_2!H60+NC_2!H60+NW_2!H60+WC_2!H60</f>
        <v>0</v>
      </c>
      <c r="I60" s="514">
        <f>EC_2!I60+FS_2!I60+GT_2!I60+KZN_2!I60+LIM_2!I60+MPU_2!I60+NC_2!I60+NW_2!I60+WC_2!I60</f>
        <v>0</v>
      </c>
      <c r="J60" s="515">
        <f>EC_2!J60+FS_2!J60+GT_2!J60+KZN_2!J60+LIM_2!J60+MPU_2!J60+NC_2!J60+NW_2!J60+WC_2!J60</f>
        <v>0</v>
      </c>
      <c r="K60" s="513">
        <f>EC_2!K60+FS_2!K60+GT_2!K60+KZN_2!K60+LIM_2!K60+MPU_2!K60+NC_2!K60+NW_2!K60+WC_2!K60</f>
        <v>0</v>
      </c>
      <c r="L60" s="513">
        <f>EC_2!L60+FS_2!L60+GT_2!L60+KZN_2!L60+LIM_2!L60+MPU_2!L60+NC_2!L60+NW_2!L60+WC_2!L60</f>
        <v>0</v>
      </c>
      <c r="M60" s="513">
        <f>EC_2!M60+FS_2!M60+GT_2!M60+KZN_2!M60+LIM_2!M60+MPU_2!M60+NC_2!M60+NW_2!M60+WC_2!M60</f>
        <v>0</v>
      </c>
      <c r="N60" s="516">
        <f t="shared" si="101"/>
        <v>0</v>
      </c>
      <c r="O60" s="517"/>
      <c r="R60" s="508"/>
      <c r="S60" s="509"/>
      <c r="T60" s="510">
        <f t="shared" si="93"/>
        <v>0</v>
      </c>
      <c r="U60" s="511">
        <v>0</v>
      </c>
      <c r="V60" s="512">
        <v>0</v>
      </c>
      <c r="W60" s="513">
        <v>0</v>
      </c>
      <c r="X60" s="513">
        <v>0</v>
      </c>
      <c r="Y60" s="511">
        <v>0</v>
      </c>
      <c r="Z60" s="514"/>
      <c r="AA60" s="515">
        <v>0</v>
      </c>
      <c r="AB60" s="513">
        <v>0</v>
      </c>
      <c r="AC60" s="513"/>
      <c r="AD60" s="513">
        <v>0</v>
      </c>
      <c r="AE60" s="516">
        <v>0</v>
      </c>
      <c r="AF60" s="517"/>
      <c r="AG60" s="519"/>
      <c r="AH60" s="519"/>
      <c r="AI60" s="508"/>
      <c r="AJ60" s="520"/>
      <c r="AK60" s="521">
        <f t="shared" si="98"/>
        <v>0</v>
      </c>
      <c r="AL60" s="522">
        <f t="shared" si="99"/>
        <v>0</v>
      </c>
      <c r="AM60" s="523">
        <f t="shared" si="94"/>
        <v>0</v>
      </c>
      <c r="AN60" s="524">
        <f t="shared" si="95"/>
        <v>0</v>
      </c>
      <c r="AO60" s="524">
        <f t="shared" si="96"/>
        <v>0</v>
      </c>
      <c r="AP60" s="522">
        <f t="shared" si="97"/>
        <v>0</v>
      </c>
      <c r="AQ60" s="525"/>
      <c r="AR60" s="526">
        <f t="shared" si="52"/>
        <v>0</v>
      </c>
      <c r="AS60" s="524">
        <f t="shared" si="52"/>
        <v>0</v>
      </c>
      <c r="AT60" s="524"/>
      <c r="AU60" s="524">
        <f t="shared" si="100"/>
        <v>0</v>
      </c>
      <c r="AV60" s="527"/>
      <c r="AW60" s="52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row>
    <row r="61" spans="1:82" s="549" customFormat="1" ht="8.25" customHeight="1" x14ac:dyDescent="0.3">
      <c r="A61" s="508"/>
      <c r="B61" s="509"/>
      <c r="C61" s="510"/>
      <c r="D61" s="511">
        <f>EC_2!D61+FS_2!D61+GT_2!D61+KZN_2!D61+LIM_2!D61+MPU_2!D61+NC_2!D61+NW_2!D61+WC_2!D61</f>
        <v>0</v>
      </c>
      <c r="E61" s="512">
        <f>EC_2!E61+FS_2!E61+GT_2!E61+KZN_2!E61+LIM_2!E61+MPU_2!E61+NC_2!E61+NW_2!E61+WC_2!E61</f>
        <v>0</v>
      </c>
      <c r="F61" s="513">
        <f>EC_2!F61+FS_2!F61+GT_2!F61+KZN_2!F61+LIM_2!F61+MPU_2!F61+NC_2!F61+NW_2!F61+WC_2!F61</f>
        <v>0</v>
      </c>
      <c r="G61" s="513">
        <f>EC_2!G61+FS_2!G61+GT_2!G61+KZN_2!G61+LIM_2!G61+MPU_2!G61+NC_2!G61+NW_2!G61+WC_2!G61</f>
        <v>0</v>
      </c>
      <c r="H61" s="511">
        <f>EC_2!H61+FS_2!H61+GT_2!H61+KZN_2!H61+LIM_2!H61+MPU_2!H61+NC_2!H61+NW_2!H61+WC_2!H61</f>
        <v>0</v>
      </c>
      <c r="I61" s="514">
        <f>EC_2!I61+FS_2!I61+GT_2!I61+KZN_2!I61+LIM_2!I61+MPU_2!I61+NC_2!I61+NW_2!I61+WC_2!I61</f>
        <v>0</v>
      </c>
      <c r="J61" s="515">
        <f>EC_2!J61+FS_2!J61+GT_2!J61+KZN_2!J61+LIM_2!J61+MPU_2!J61+NC_2!J61+NW_2!J61+WC_2!J61</f>
        <v>0</v>
      </c>
      <c r="K61" s="513">
        <f>EC_2!K61+FS_2!K61+GT_2!K61+KZN_2!K61+LIM_2!K61+MPU_2!K61+NC_2!K61+NW_2!K61+WC_2!K61</f>
        <v>0</v>
      </c>
      <c r="L61" s="513">
        <f>EC_2!L61+FS_2!L61+GT_2!L61+KZN_2!L61+LIM_2!L61+MPU_2!L61+NC_2!L61+NW_2!L61+WC_2!L61</f>
        <v>0</v>
      </c>
      <c r="M61" s="513">
        <f>EC_2!M61+FS_2!M61+GT_2!M61+KZN_2!M61+LIM_2!M61+MPU_2!M61+NC_2!M61+NW_2!M61+WC_2!M61</f>
        <v>0</v>
      </c>
      <c r="N61" s="516"/>
      <c r="O61" s="517"/>
      <c r="P61" s="518"/>
      <c r="Q61" s="518"/>
      <c r="R61" s="508"/>
      <c r="S61" s="509"/>
      <c r="T61" s="510"/>
      <c r="U61" s="511"/>
      <c r="V61" s="512"/>
      <c r="W61" s="513"/>
      <c r="X61" s="513"/>
      <c r="Y61" s="511"/>
      <c r="Z61" s="514"/>
      <c r="AA61" s="515"/>
      <c r="AB61" s="513"/>
      <c r="AC61" s="513"/>
      <c r="AD61" s="513"/>
      <c r="AE61" s="516"/>
      <c r="AF61" s="517"/>
      <c r="AG61" s="519"/>
      <c r="AH61" s="519"/>
      <c r="AI61" s="508"/>
      <c r="AJ61" s="520"/>
      <c r="AK61" s="521">
        <f t="shared" si="24"/>
        <v>0</v>
      </c>
      <c r="AL61" s="522">
        <f t="shared" si="51"/>
        <v>0</v>
      </c>
      <c r="AM61" s="523">
        <f t="shared" si="51"/>
        <v>0</v>
      </c>
      <c r="AN61" s="524">
        <f t="shared" si="51"/>
        <v>0</v>
      </c>
      <c r="AO61" s="524">
        <f t="shared" si="51"/>
        <v>0</v>
      </c>
      <c r="AP61" s="522">
        <f t="shared" si="51"/>
        <v>0</v>
      </c>
      <c r="AQ61" s="525"/>
      <c r="AR61" s="526">
        <f t="shared" si="52"/>
        <v>0</v>
      </c>
      <c r="AS61" s="524">
        <f t="shared" si="52"/>
        <v>0</v>
      </c>
      <c r="AT61" s="524"/>
      <c r="AU61" s="524">
        <f t="shared" si="26"/>
        <v>0</v>
      </c>
      <c r="AV61" s="527"/>
      <c r="AW61" s="52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row>
    <row r="62" spans="1:82" s="35" customFormat="1" ht="15.75" customHeight="1" x14ac:dyDescent="0.3">
      <c r="A62"/>
      <c r="B62" s="62"/>
      <c r="C62" s="51" t="s">
        <v>34</v>
      </c>
      <c r="D62" s="95">
        <f>EC_2!D62+FS_2!D62+GT_2!D62+KZN_2!D62+LIM_2!D62+MPU_2!D62+NC_2!D62+NW_2!D62+WC_2!D62</f>
        <v>518228</v>
      </c>
      <c r="E62" s="198">
        <f>EC_2!E62+FS_2!E62+GT_2!E62+KZN_2!E62+LIM_2!E62+MPU_2!E62+NC_2!E62+NW_2!E62+WC_2!E62</f>
        <v>0</v>
      </c>
      <c r="F62" s="54">
        <f>EC_2!F62+FS_2!F62+GT_2!F62+KZN_2!F62+LIM_2!F62+MPU_2!F62+NC_2!F62+NW_2!F62+WC_2!F62</f>
        <v>518228</v>
      </c>
      <c r="G62" s="54">
        <f>EC_2!G62+FS_2!G62+GT_2!G62+KZN_2!G62+LIM_2!G62+MPU_2!G62+NC_2!G62+NW_2!G62+WC_2!G62</f>
        <v>4677</v>
      </c>
      <c r="H62" s="95">
        <f>EC_2!H62+FS_2!H62+GT_2!H62+KZN_2!H62+LIM_2!H62+MPU_2!H62+NC_2!H62+NW_2!H62+WC_2!H62</f>
        <v>522905</v>
      </c>
      <c r="I62" s="216">
        <f>EC_2!I62+FS_2!I62+GT_2!I62+KZN_2!I62+LIM_2!I62+MPU_2!I62+NC_2!I62+NW_2!I62+WC_2!I62</f>
        <v>0</v>
      </c>
      <c r="J62" s="101">
        <f>EC_2!J62+FS_2!J62+GT_2!J62+KZN_2!J62+LIM_2!J62+MPU_2!J62+NC_2!J62+NW_2!J62+WC_2!J62</f>
        <v>518228</v>
      </c>
      <c r="K62" s="54">
        <f>EC_2!K62+FS_2!K62+GT_2!K62+KZN_2!K62+LIM_2!K62+MPU_2!K62+NC_2!K62+NW_2!K62+WC_2!K62</f>
        <v>518228</v>
      </c>
      <c r="L62" s="54">
        <f>EC_2!L62+FS_2!L62+GT_2!L62+KZN_2!L62+LIM_2!L62+MPU_2!L62+NC_2!L62+NW_2!L62+WC_2!L62</f>
        <v>0</v>
      </c>
      <c r="M62" s="54">
        <f>EC_2!M62+FS_2!M62+GT_2!M62+KZN_2!M62+LIM_2!M62+MPU_2!M62+NC_2!M62+NW_2!M62+WC_2!M62</f>
        <v>503428</v>
      </c>
      <c r="N62" s="183">
        <f t="shared" ref="N62:N64" si="102">IFERROR(M62/H62,0)</f>
        <v>0.96275231638634173</v>
      </c>
      <c r="O62" s="63"/>
      <c r="P62" s="64"/>
      <c r="Q62" s="64"/>
      <c r="R62"/>
      <c r="S62" s="62"/>
      <c r="T62" s="51" t="str">
        <f>C62</f>
        <v>Social Development (Vote 17)</v>
      </c>
      <c r="U62" s="95">
        <v>518228</v>
      </c>
      <c r="V62" s="198">
        <v>0</v>
      </c>
      <c r="W62" s="54">
        <v>518228</v>
      </c>
      <c r="X62" s="54">
        <v>0</v>
      </c>
      <c r="Y62" s="95">
        <v>518228</v>
      </c>
      <c r="Z62" s="216"/>
      <c r="AA62" s="101">
        <v>259334</v>
      </c>
      <c r="AB62" s="54">
        <v>259682</v>
      </c>
      <c r="AC62" s="54"/>
      <c r="AD62" s="54">
        <v>212847</v>
      </c>
      <c r="AE62" s="183">
        <v>0.41072076383367939</v>
      </c>
      <c r="AF62" s="63"/>
      <c r="AG62" s="444"/>
      <c r="AH62" s="444"/>
      <c r="AI62"/>
      <c r="AJ62" s="402"/>
      <c r="AK62" s="480" t="str">
        <f t="shared" si="24"/>
        <v>Social Development (Vote 17)</v>
      </c>
      <c r="AL62" s="388">
        <f t="shared" si="51"/>
        <v>0</v>
      </c>
      <c r="AM62" s="389">
        <f t="shared" si="51"/>
        <v>0</v>
      </c>
      <c r="AN62" s="390">
        <f t="shared" si="51"/>
        <v>0</v>
      </c>
      <c r="AO62" s="390">
        <f t="shared" si="51"/>
        <v>-4677</v>
      </c>
      <c r="AP62" s="388">
        <f t="shared" si="51"/>
        <v>-4677</v>
      </c>
      <c r="AQ62" s="391"/>
      <c r="AR62" s="392">
        <f t="shared" si="52"/>
        <v>-258894</v>
      </c>
      <c r="AS62" s="390">
        <f t="shared" si="52"/>
        <v>-258546</v>
      </c>
      <c r="AT62" s="390"/>
      <c r="AU62" s="390">
        <f t="shared" si="26"/>
        <v>-290581</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ht="15.75" customHeight="1" x14ac:dyDescent="0.3">
      <c r="B63" s="57"/>
      <c r="C63" s="58" t="s">
        <v>202</v>
      </c>
      <c r="D63" s="96">
        <f>EC_2!D63+FS_2!D63+GT_2!D63+KZN_2!D63+LIM_2!D63+MPU_2!D63+NC_2!D63+NW_2!D63+WC_2!D63</f>
        <v>518228</v>
      </c>
      <c r="E63" s="199">
        <f>EC_2!E63+FS_2!E63+GT_2!E63+KZN_2!E63+LIM_2!E63+MPU_2!E63+NC_2!E63+NW_2!E63+WC_2!E63</f>
        <v>0</v>
      </c>
      <c r="F63" s="59">
        <f>EC_2!F63+FS_2!F63+GT_2!F63+KZN_2!F63+LIM_2!F63+MPU_2!F63+NC_2!F63+NW_2!F63+WC_2!F63</f>
        <v>518228</v>
      </c>
      <c r="G63" s="59">
        <f>EC_2!G63+FS_2!G63+GT_2!G63+KZN_2!G63+LIM_2!G63+MPU_2!G63+NC_2!G63+NW_2!G63+WC_2!G63</f>
        <v>4677</v>
      </c>
      <c r="H63" s="96">
        <f>EC_2!H63+FS_2!H63+GT_2!H63+KZN_2!H63+LIM_2!H63+MPU_2!H63+NC_2!H63+NW_2!H63+WC_2!H63</f>
        <v>522905</v>
      </c>
      <c r="I63" s="217">
        <f>EC_2!I63+FS_2!I63+GT_2!I63+KZN_2!I63+LIM_2!I63+MPU_2!I63+NC_2!I63+NW_2!I63+WC_2!I63</f>
        <v>0</v>
      </c>
      <c r="J63" s="102">
        <f>EC_2!J63+FS_2!J63+GT_2!J63+KZN_2!J63+LIM_2!J63+MPU_2!J63+NC_2!J63+NW_2!J63+WC_2!J63</f>
        <v>518228</v>
      </c>
      <c r="K63" s="59">
        <f>EC_2!K63+FS_2!K63+GT_2!K63+KZN_2!K63+LIM_2!K63+MPU_2!K63+NC_2!K63+NW_2!K63+WC_2!K63</f>
        <v>518228</v>
      </c>
      <c r="L63" s="59">
        <f>EC_2!L63+FS_2!L63+GT_2!L63+KZN_2!L63+LIM_2!L63+MPU_2!L63+NC_2!L63+NW_2!L63+WC_2!L63</f>
        <v>0</v>
      </c>
      <c r="M63" s="59">
        <f>EC_2!M63+FS_2!M63+GT_2!M63+KZN_2!M63+LIM_2!M63+MPU_2!M63+NC_2!M63+NW_2!M63+WC_2!M63</f>
        <v>503428</v>
      </c>
      <c r="N63" s="172">
        <f t="shared" si="102"/>
        <v>0.96275231638634173</v>
      </c>
      <c r="O63" s="33"/>
      <c r="S63" s="57"/>
      <c r="T63" s="58" t="str">
        <f t="shared" ref="T63:T67" si="103">C63</f>
        <v>(a) Early Childhood Development Grant</v>
      </c>
      <c r="U63" s="96">
        <v>518228</v>
      </c>
      <c r="V63" s="199">
        <v>0</v>
      </c>
      <c r="W63" s="59">
        <v>518228</v>
      </c>
      <c r="X63" s="59">
        <v>0</v>
      </c>
      <c r="Y63" s="96">
        <v>518228</v>
      </c>
      <c r="Z63" s="217"/>
      <c r="AA63" s="102">
        <v>259334</v>
      </c>
      <c r="AB63" s="59">
        <v>259682</v>
      </c>
      <c r="AC63" s="59"/>
      <c r="AD63" s="59">
        <v>212847</v>
      </c>
      <c r="AE63" s="172">
        <v>0.41072076383367939</v>
      </c>
      <c r="AF63" s="33"/>
      <c r="AG63" s="441"/>
      <c r="AH63" s="441"/>
      <c r="AJ63" s="394"/>
      <c r="AK63" s="479" t="str">
        <f>C63</f>
        <v>(a) Early Childhood Development Grant</v>
      </c>
      <c r="AL63" s="396">
        <f>IFERROR(U63-D63,0)</f>
        <v>0</v>
      </c>
      <c r="AM63" s="397">
        <f t="shared" ref="AM63:AM67" si="104">IFERROR(V63-E63,0)</f>
        <v>0</v>
      </c>
      <c r="AN63" s="398">
        <f t="shared" ref="AN63:AN67" si="105">IFERROR(W63-F63,0)</f>
        <v>0</v>
      </c>
      <c r="AO63" s="398">
        <f t="shared" ref="AO63:AO67" si="106">IFERROR(X63-G63,0)</f>
        <v>-4677</v>
      </c>
      <c r="AP63" s="396">
        <f t="shared" ref="AP63:AP67" si="107">IFERROR(Y63-H63,0)</f>
        <v>-4677</v>
      </c>
      <c r="AQ63" s="399"/>
      <c r="AR63" s="400">
        <f t="shared" si="52"/>
        <v>-258894</v>
      </c>
      <c r="AS63" s="398">
        <f t="shared" si="52"/>
        <v>-258546</v>
      </c>
      <c r="AT63" s="398"/>
      <c r="AU63" s="398">
        <f>IFERROR(AD63-M63,0)</f>
        <v>-290581</v>
      </c>
      <c r="AV63" s="290"/>
      <c r="AW63" s="347"/>
    </row>
    <row r="64" spans="1:82" s="66" customFormat="1" ht="15.75" customHeight="1" x14ac:dyDescent="0.3">
      <c r="A64"/>
      <c r="B64" s="57"/>
      <c r="C64" s="58" t="s">
        <v>203</v>
      </c>
      <c r="D64" s="96">
        <f>EC_2!D64+FS_2!D64+GT_2!D64+KZN_2!D64+LIM_2!D64+MPU_2!D64+NC_2!D64+NW_2!D64+WC_2!D64</f>
        <v>0</v>
      </c>
      <c r="E64" s="199">
        <f>EC_2!E64+FS_2!E64+GT_2!E64+KZN_2!E64+LIM_2!E64+MPU_2!E64+NC_2!E64+NW_2!E64+WC_2!E64</f>
        <v>0</v>
      </c>
      <c r="F64" s="59">
        <f>EC_2!F64+FS_2!F64+GT_2!F64+KZN_2!F64+LIM_2!F64+MPU_2!F64+NC_2!F64+NW_2!F64+WC_2!F64</f>
        <v>0</v>
      </c>
      <c r="G64" s="59">
        <f>EC_2!G64+FS_2!G64+GT_2!G64+KZN_2!G64+LIM_2!G64+MPU_2!G64+NC_2!G64+NW_2!G64+WC_2!G64</f>
        <v>0</v>
      </c>
      <c r="H64" s="96">
        <f>EC_2!H64+FS_2!H64+GT_2!H64+KZN_2!H64+LIM_2!H64+MPU_2!H64+NC_2!H64+NW_2!H64+WC_2!H64</f>
        <v>0</v>
      </c>
      <c r="I64" s="217">
        <f>EC_2!I64+FS_2!I64+GT_2!I64+KZN_2!I64+LIM_2!I64+MPU_2!I64+NC_2!I64+NW_2!I64+WC_2!I64</f>
        <v>0</v>
      </c>
      <c r="J64" s="102">
        <f>EC_2!J64+FS_2!J64+GT_2!J64+KZN_2!J64+LIM_2!J64+MPU_2!J64+NC_2!J64+NW_2!J64+WC_2!J64</f>
        <v>0</v>
      </c>
      <c r="K64" s="59">
        <f>EC_2!K64+FS_2!K64+GT_2!K64+KZN_2!K64+LIM_2!K64+MPU_2!K64+NC_2!K64+NW_2!K64+WC_2!K64</f>
        <v>0</v>
      </c>
      <c r="L64" s="59">
        <f>EC_2!L64+FS_2!L64+GT_2!L64+KZN_2!L64+LIM_2!L64+MPU_2!L64+NC_2!L64+NW_2!L64+WC_2!L64</f>
        <v>0</v>
      </c>
      <c r="M64" s="59">
        <f>EC_2!M64+FS_2!M64+GT_2!M64+KZN_2!M64+LIM_2!M64+MPU_2!M64+NC_2!M64+NW_2!M64+WC_2!M64</f>
        <v>0</v>
      </c>
      <c r="N64" s="172">
        <f t="shared" si="102"/>
        <v>0</v>
      </c>
      <c r="O64" s="33"/>
      <c r="P64" s="21"/>
      <c r="Q64" s="21"/>
      <c r="R64"/>
      <c r="S64" s="57"/>
      <c r="T64" s="58" t="str">
        <f t="shared" si="103"/>
        <v>(b) Substance Abuse Treatment Grant</v>
      </c>
      <c r="U64" s="96">
        <v>0</v>
      </c>
      <c r="V64" s="199">
        <v>0</v>
      </c>
      <c r="W64" s="59">
        <v>0</v>
      </c>
      <c r="X64" s="59">
        <v>0</v>
      </c>
      <c r="Y64" s="96">
        <v>0</v>
      </c>
      <c r="Z64" s="217"/>
      <c r="AA64" s="102">
        <v>0</v>
      </c>
      <c r="AB64" s="59">
        <v>0</v>
      </c>
      <c r="AC64" s="59"/>
      <c r="AD64" s="59">
        <v>0</v>
      </c>
      <c r="AE64" s="172">
        <v>0</v>
      </c>
      <c r="AF64" s="33"/>
      <c r="AG64" s="441"/>
      <c r="AH64" s="441"/>
      <c r="AI64"/>
      <c r="AJ64" s="394"/>
      <c r="AK64" s="479" t="str">
        <f t="shared" ref="AK64:AK67" si="108">C64</f>
        <v>(b) Substance Abuse Treatment Grant</v>
      </c>
      <c r="AL64" s="396">
        <f t="shared" ref="AL64:AL67" si="109">IFERROR(U64-D64,0)</f>
        <v>0</v>
      </c>
      <c r="AM64" s="397">
        <f t="shared" si="104"/>
        <v>0</v>
      </c>
      <c r="AN64" s="398">
        <f t="shared" si="105"/>
        <v>0</v>
      </c>
      <c r="AO64" s="398">
        <f t="shared" si="106"/>
        <v>0</v>
      </c>
      <c r="AP64" s="396">
        <f t="shared" si="107"/>
        <v>0</v>
      </c>
      <c r="AQ64" s="399"/>
      <c r="AR64" s="400">
        <f t="shared" si="52"/>
        <v>0</v>
      </c>
      <c r="AS64" s="398">
        <f t="shared" si="52"/>
        <v>0</v>
      </c>
      <c r="AT64" s="398"/>
      <c r="AU64" s="398">
        <f t="shared" ref="AU64:AU67" si="110">IFERROR(AD64-M64,0)</f>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518" customFormat="1" ht="15.75" customHeight="1" x14ac:dyDescent="0.3">
      <c r="A65" s="508"/>
      <c r="B65" s="509"/>
      <c r="C65" s="510"/>
      <c r="D65" s="511">
        <f>EC_2!D65+FS_2!D65+GT_2!D65+KZN_2!D65+LIM_2!D65+MPU_2!D65+NC_2!D65+NW_2!D65+WC_2!D65</f>
        <v>0</v>
      </c>
      <c r="E65" s="512">
        <f>EC_2!E65+FS_2!E65+GT_2!E65+KZN_2!E65+LIM_2!E65+MPU_2!E65+NC_2!E65+NW_2!E65+WC_2!E65</f>
        <v>0</v>
      </c>
      <c r="F65" s="513">
        <f>EC_2!F65+FS_2!F65+GT_2!F65+KZN_2!F65+LIM_2!F65+MPU_2!F65+NC_2!F65+NW_2!F65+WC_2!F65</f>
        <v>0</v>
      </c>
      <c r="G65" s="513">
        <f>EC_2!G65+FS_2!G65+GT_2!G65+KZN_2!G65+LIM_2!G65+MPU_2!G65+NC_2!G65+NW_2!G65+WC_2!G65</f>
        <v>0</v>
      </c>
      <c r="H65" s="511">
        <f>EC_2!H65+FS_2!H65+GT_2!H65+KZN_2!H65+LIM_2!H65+MPU_2!H65+NC_2!H65+NW_2!H65+WC_2!H65</f>
        <v>0</v>
      </c>
      <c r="I65" s="514">
        <f>EC_2!I65+FS_2!I65+GT_2!I65+KZN_2!I65+LIM_2!I65+MPU_2!I65+NC_2!I65+NW_2!I65+WC_2!I65</f>
        <v>0</v>
      </c>
      <c r="J65" s="515">
        <f>EC_2!J65+FS_2!J65+GT_2!J65+KZN_2!J65+LIM_2!J65+MPU_2!J65+NC_2!J65+NW_2!J65+WC_2!J65</f>
        <v>0</v>
      </c>
      <c r="K65" s="513">
        <f>EC_2!K65+FS_2!K65+GT_2!K65+KZN_2!K65+LIM_2!K65+MPU_2!K65+NC_2!K65+NW_2!K65+WC_2!K65</f>
        <v>0</v>
      </c>
      <c r="L65" s="513">
        <f>EC_2!L65+FS_2!L65+GT_2!L65+KZN_2!L65+LIM_2!L65+MPU_2!L65+NC_2!L65+NW_2!L65+WC_2!L65</f>
        <v>0</v>
      </c>
      <c r="M65" s="513">
        <f>EC_2!M65+FS_2!M65+GT_2!M65+KZN_2!M65+LIM_2!M65+MPU_2!M65+NC_2!M65+NW_2!M65+WC_2!M65</f>
        <v>0</v>
      </c>
      <c r="N65" s="516">
        <f t="shared" ref="N65:N67" si="111">IFERROR(M65/F65,0)</f>
        <v>0</v>
      </c>
      <c r="O65" s="517"/>
      <c r="P65" s="530"/>
      <c r="Q65" s="530"/>
      <c r="R65" s="508"/>
      <c r="S65" s="509"/>
      <c r="T65" s="510">
        <f t="shared" si="103"/>
        <v>0</v>
      </c>
      <c r="U65" s="511">
        <v>0</v>
      </c>
      <c r="V65" s="512">
        <v>0</v>
      </c>
      <c r="W65" s="513">
        <v>0</v>
      </c>
      <c r="X65" s="513">
        <v>0</v>
      </c>
      <c r="Y65" s="511">
        <v>0</v>
      </c>
      <c r="Z65" s="514"/>
      <c r="AA65" s="515">
        <v>0</v>
      </c>
      <c r="AB65" s="513">
        <v>0</v>
      </c>
      <c r="AC65" s="513"/>
      <c r="AD65" s="513">
        <v>0</v>
      </c>
      <c r="AE65" s="516">
        <v>0</v>
      </c>
      <c r="AF65" s="517"/>
      <c r="AG65" s="519"/>
      <c r="AH65" s="519"/>
      <c r="AI65" s="508"/>
      <c r="AJ65" s="520"/>
      <c r="AK65" s="521">
        <f t="shared" si="108"/>
        <v>0</v>
      </c>
      <c r="AL65" s="522">
        <f t="shared" si="109"/>
        <v>0</v>
      </c>
      <c r="AM65" s="523">
        <f t="shared" si="104"/>
        <v>0</v>
      </c>
      <c r="AN65" s="524">
        <f t="shared" si="105"/>
        <v>0</v>
      </c>
      <c r="AO65" s="524">
        <f t="shared" si="106"/>
        <v>0</v>
      </c>
      <c r="AP65" s="522">
        <f t="shared" si="107"/>
        <v>0</v>
      </c>
      <c r="AQ65" s="525"/>
      <c r="AR65" s="526">
        <f t="shared" si="52"/>
        <v>0</v>
      </c>
      <c r="AS65" s="524">
        <f t="shared" si="52"/>
        <v>0</v>
      </c>
      <c r="AT65" s="524"/>
      <c r="AU65" s="524">
        <f t="shared" si="110"/>
        <v>0</v>
      </c>
      <c r="AV65" s="527"/>
      <c r="AW65" s="52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row>
    <row r="66" spans="1:82" s="530" customFormat="1" ht="15.75" customHeight="1" x14ac:dyDescent="0.3">
      <c r="A66" s="508"/>
      <c r="B66" s="509"/>
      <c r="C66" s="510"/>
      <c r="D66" s="511">
        <f>EC_2!D66+FS_2!D66+GT_2!D66+KZN_2!D66+LIM_2!D66+MPU_2!D66+NC_2!D66+NW_2!D66+WC_2!D66</f>
        <v>0</v>
      </c>
      <c r="E66" s="512">
        <f>EC_2!E66+FS_2!E66+GT_2!E66+KZN_2!E66+LIM_2!E66+MPU_2!E66+NC_2!E66+NW_2!E66+WC_2!E66</f>
        <v>0</v>
      </c>
      <c r="F66" s="513">
        <f>EC_2!F66+FS_2!F66+GT_2!F66+KZN_2!F66+LIM_2!F66+MPU_2!F66+NC_2!F66+NW_2!F66+WC_2!F66</f>
        <v>0</v>
      </c>
      <c r="G66" s="513">
        <f>EC_2!G66+FS_2!G66+GT_2!G66+KZN_2!G66+LIM_2!G66+MPU_2!G66+NC_2!G66+NW_2!G66+WC_2!G66</f>
        <v>0</v>
      </c>
      <c r="H66" s="511">
        <f>EC_2!H66+FS_2!H66+GT_2!H66+KZN_2!H66+LIM_2!H66+MPU_2!H66+NC_2!H66+NW_2!H66+WC_2!H66</f>
        <v>0</v>
      </c>
      <c r="I66" s="514">
        <f>EC_2!I66+FS_2!I66+GT_2!I66+KZN_2!I66+LIM_2!I66+MPU_2!I66+NC_2!I66+NW_2!I66+WC_2!I66</f>
        <v>0</v>
      </c>
      <c r="J66" s="515">
        <f>EC_2!J66+FS_2!J66+GT_2!J66+KZN_2!J66+LIM_2!J66+MPU_2!J66+NC_2!J66+NW_2!J66+WC_2!J66</f>
        <v>0</v>
      </c>
      <c r="K66" s="513">
        <f>EC_2!K66+FS_2!K66+GT_2!K66+KZN_2!K66+LIM_2!K66+MPU_2!K66+NC_2!K66+NW_2!K66+WC_2!K66</f>
        <v>0</v>
      </c>
      <c r="L66" s="513">
        <f>EC_2!L66+FS_2!L66+GT_2!L66+KZN_2!L66+LIM_2!L66+MPU_2!L66+NC_2!L66+NW_2!L66+WC_2!L66</f>
        <v>0</v>
      </c>
      <c r="M66" s="513">
        <f>EC_2!M66+FS_2!M66+GT_2!M66+KZN_2!M66+LIM_2!M66+MPU_2!M66+NC_2!M66+NW_2!M66+WC_2!M66</f>
        <v>0</v>
      </c>
      <c r="N66" s="516">
        <f t="shared" si="111"/>
        <v>0</v>
      </c>
      <c r="O66" s="517"/>
      <c r="R66" s="508"/>
      <c r="S66" s="509"/>
      <c r="T66" s="510">
        <f t="shared" si="103"/>
        <v>0</v>
      </c>
      <c r="U66" s="511">
        <v>0</v>
      </c>
      <c r="V66" s="512">
        <v>0</v>
      </c>
      <c r="W66" s="513">
        <v>0</v>
      </c>
      <c r="X66" s="513">
        <v>0</v>
      </c>
      <c r="Y66" s="511">
        <v>0</v>
      </c>
      <c r="Z66" s="514"/>
      <c r="AA66" s="515">
        <v>0</v>
      </c>
      <c r="AB66" s="513">
        <v>0</v>
      </c>
      <c r="AC66" s="513"/>
      <c r="AD66" s="513">
        <v>0</v>
      </c>
      <c r="AE66" s="516">
        <v>0</v>
      </c>
      <c r="AF66" s="517"/>
      <c r="AG66" s="519"/>
      <c r="AH66" s="519"/>
      <c r="AI66" s="508"/>
      <c r="AJ66" s="520"/>
      <c r="AK66" s="521">
        <f t="shared" si="108"/>
        <v>0</v>
      </c>
      <c r="AL66" s="522">
        <f t="shared" si="109"/>
        <v>0</v>
      </c>
      <c r="AM66" s="523">
        <f t="shared" si="104"/>
        <v>0</v>
      </c>
      <c r="AN66" s="524">
        <f t="shared" si="105"/>
        <v>0</v>
      </c>
      <c r="AO66" s="524">
        <f t="shared" si="106"/>
        <v>0</v>
      </c>
      <c r="AP66" s="522">
        <f t="shared" si="107"/>
        <v>0</v>
      </c>
      <c r="AQ66" s="525"/>
      <c r="AR66" s="526">
        <f t="shared" si="52"/>
        <v>0</v>
      </c>
      <c r="AS66" s="524">
        <f t="shared" si="52"/>
        <v>0</v>
      </c>
      <c r="AT66" s="524"/>
      <c r="AU66" s="524">
        <f t="shared" si="110"/>
        <v>0</v>
      </c>
      <c r="AV66" s="527"/>
      <c r="AW66" s="52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row>
    <row r="67" spans="1:82" s="530" customFormat="1" ht="15.75" customHeight="1" x14ac:dyDescent="0.3">
      <c r="A67" s="508"/>
      <c r="B67" s="509"/>
      <c r="C67" s="510"/>
      <c r="D67" s="511">
        <f>EC_2!D67+FS_2!D67+GT_2!D67+KZN_2!D67+LIM_2!D67+MPU_2!D67+NC_2!D67+NW_2!D67+WC_2!D67</f>
        <v>0</v>
      </c>
      <c r="E67" s="512">
        <f>EC_2!E67+FS_2!E67+GT_2!E67+KZN_2!E67+LIM_2!E67+MPU_2!E67+NC_2!E67+NW_2!E67+WC_2!E67</f>
        <v>0</v>
      </c>
      <c r="F67" s="513">
        <f>EC_2!F67+FS_2!F67+GT_2!F67+KZN_2!F67+LIM_2!F67+MPU_2!F67+NC_2!F67+NW_2!F67+WC_2!F67</f>
        <v>0</v>
      </c>
      <c r="G67" s="513">
        <f>EC_2!G67+FS_2!G67+GT_2!G67+KZN_2!G67+LIM_2!G67+MPU_2!G67+NC_2!G67+NW_2!G67+WC_2!G67</f>
        <v>0</v>
      </c>
      <c r="H67" s="511">
        <f>EC_2!H67+FS_2!H67+GT_2!H67+KZN_2!H67+LIM_2!H67+MPU_2!H67+NC_2!H67+NW_2!H67+WC_2!H67</f>
        <v>0</v>
      </c>
      <c r="I67" s="514">
        <f>EC_2!I67+FS_2!I67+GT_2!I67+KZN_2!I67+LIM_2!I67+MPU_2!I67+NC_2!I67+NW_2!I67+WC_2!I67</f>
        <v>0</v>
      </c>
      <c r="J67" s="515">
        <f>EC_2!J67+FS_2!J67+GT_2!J67+KZN_2!J67+LIM_2!J67+MPU_2!J67+NC_2!J67+NW_2!J67+WC_2!J67</f>
        <v>0</v>
      </c>
      <c r="K67" s="513">
        <f>EC_2!K67+FS_2!K67+GT_2!K67+KZN_2!K67+LIM_2!K67+MPU_2!K67+NC_2!K67+NW_2!K67+WC_2!K67</f>
        <v>0</v>
      </c>
      <c r="L67" s="513">
        <f>EC_2!L67+FS_2!L67+GT_2!L67+KZN_2!L67+LIM_2!L67+MPU_2!L67+NC_2!L67+NW_2!L67+WC_2!L67</f>
        <v>0</v>
      </c>
      <c r="M67" s="513">
        <f>EC_2!M67+FS_2!M67+GT_2!M67+KZN_2!M67+LIM_2!M67+MPU_2!M67+NC_2!M67+NW_2!M67+WC_2!M67</f>
        <v>0</v>
      </c>
      <c r="N67" s="516">
        <f t="shared" si="111"/>
        <v>0</v>
      </c>
      <c r="O67" s="517"/>
      <c r="R67" s="508"/>
      <c r="S67" s="509"/>
      <c r="T67" s="510">
        <f t="shared" si="103"/>
        <v>0</v>
      </c>
      <c r="U67" s="511">
        <v>0</v>
      </c>
      <c r="V67" s="512">
        <v>0</v>
      </c>
      <c r="W67" s="513">
        <v>0</v>
      </c>
      <c r="X67" s="513">
        <v>0</v>
      </c>
      <c r="Y67" s="511">
        <v>0</v>
      </c>
      <c r="Z67" s="514"/>
      <c r="AA67" s="515">
        <v>0</v>
      </c>
      <c r="AB67" s="513">
        <v>0</v>
      </c>
      <c r="AC67" s="513"/>
      <c r="AD67" s="513">
        <v>0</v>
      </c>
      <c r="AE67" s="516">
        <v>0</v>
      </c>
      <c r="AF67" s="517"/>
      <c r="AG67" s="519"/>
      <c r="AH67" s="519"/>
      <c r="AI67" s="508"/>
      <c r="AJ67" s="520"/>
      <c r="AK67" s="521">
        <f t="shared" si="108"/>
        <v>0</v>
      </c>
      <c r="AL67" s="522">
        <f t="shared" si="109"/>
        <v>0</v>
      </c>
      <c r="AM67" s="523">
        <f t="shared" si="104"/>
        <v>0</v>
      </c>
      <c r="AN67" s="524">
        <f t="shared" si="105"/>
        <v>0</v>
      </c>
      <c r="AO67" s="524">
        <f t="shared" si="106"/>
        <v>0</v>
      </c>
      <c r="AP67" s="522">
        <f t="shared" si="107"/>
        <v>0</v>
      </c>
      <c r="AQ67" s="525"/>
      <c r="AR67" s="526">
        <f t="shared" si="52"/>
        <v>0</v>
      </c>
      <c r="AS67" s="524">
        <f t="shared" si="52"/>
        <v>0</v>
      </c>
      <c r="AT67" s="524"/>
      <c r="AU67" s="524">
        <f t="shared" si="110"/>
        <v>0</v>
      </c>
      <c r="AV67" s="527"/>
      <c r="AW67" s="52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row>
    <row r="68" spans="1:82" s="549" customFormat="1" ht="8.25" customHeight="1" x14ac:dyDescent="0.3">
      <c r="A68" s="508"/>
      <c r="B68" s="509"/>
      <c r="C68" s="510"/>
      <c r="D68" s="511">
        <f>EC_2!D68+FS_2!D68+GT_2!D68+KZN_2!D68+LIM_2!D68+MPU_2!D68+NC_2!D68+NW_2!D68+WC_2!D68</f>
        <v>0</v>
      </c>
      <c r="E68" s="512">
        <f>EC_2!E68+FS_2!E68+GT_2!E68+KZN_2!E68+LIM_2!E68+MPU_2!E68+NC_2!E68+NW_2!E68+WC_2!E68</f>
        <v>0</v>
      </c>
      <c r="F68" s="513">
        <f>EC_2!F68+FS_2!F68+GT_2!F68+KZN_2!F68+LIM_2!F68+MPU_2!F68+NC_2!F68+NW_2!F68+WC_2!F68</f>
        <v>0</v>
      </c>
      <c r="G68" s="513">
        <f>EC_2!G68+FS_2!G68+GT_2!G68+KZN_2!G68+LIM_2!G68+MPU_2!G68+NC_2!G68+NW_2!G68+WC_2!G68</f>
        <v>0</v>
      </c>
      <c r="H68" s="511">
        <f>EC_2!H68+FS_2!H68+GT_2!H68+KZN_2!H68+LIM_2!H68+MPU_2!H68+NC_2!H68+NW_2!H68+WC_2!H68</f>
        <v>0</v>
      </c>
      <c r="I68" s="514">
        <f>EC_2!I68+FS_2!I68+GT_2!I68+KZN_2!I68+LIM_2!I68+MPU_2!I68+NC_2!I68+NW_2!I68+WC_2!I68</f>
        <v>0</v>
      </c>
      <c r="J68" s="515">
        <f>EC_2!J68+FS_2!J68+GT_2!J68+KZN_2!J68+LIM_2!J68+MPU_2!J68+NC_2!J68+NW_2!J68+WC_2!J68</f>
        <v>0</v>
      </c>
      <c r="K68" s="513">
        <f>EC_2!K68+FS_2!K68+GT_2!K68+KZN_2!K68+LIM_2!K68+MPU_2!K68+NC_2!K68+NW_2!K68+WC_2!K68</f>
        <v>0</v>
      </c>
      <c r="L68" s="513">
        <f>EC_2!L68+FS_2!L68+GT_2!L68+KZN_2!L68+LIM_2!L68+MPU_2!L68+NC_2!L68+NW_2!L68+WC_2!L68</f>
        <v>0</v>
      </c>
      <c r="M68" s="513">
        <f>EC_2!M68+FS_2!M68+GT_2!M68+KZN_2!M68+LIM_2!M68+MPU_2!M68+NC_2!M68+NW_2!M68+WC_2!M68</f>
        <v>0</v>
      </c>
      <c r="N68" s="516"/>
      <c r="O68" s="517"/>
      <c r="P68" s="518"/>
      <c r="Q68" s="518"/>
      <c r="R68" s="508"/>
      <c r="S68" s="509"/>
      <c r="T68" s="510"/>
      <c r="U68" s="511"/>
      <c r="V68" s="512"/>
      <c r="W68" s="513"/>
      <c r="X68" s="513"/>
      <c r="Y68" s="511"/>
      <c r="Z68" s="514"/>
      <c r="AA68" s="515"/>
      <c r="AB68" s="513"/>
      <c r="AC68" s="513"/>
      <c r="AD68" s="513"/>
      <c r="AE68" s="516"/>
      <c r="AF68" s="517"/>
      <c r="AG68" s="519"/>
      <c r="AH68" s="519"/>
      <c r="AI68" s="508"/>
      <c r="AJ68" s="520"/>
      <c r="AK68" s="521">
        <f t="shared" si="24"/>
        <v>0</v>
      </c>
      <c r="AL68" s="522">
        <f t="shared" si="51"/>
        <v>0</v>
      </c>
      <c r="AM68" s="523">
        <f t="shared" si="51"/>
        <v>0</v>
      </c>
      <c r="AN68" s="524">
        <f t="shared" si="51"/>
        <v>0</v>
      </c>
      <c r="AO68" s="524">
        <f t="shared" si="51"/>
        <v>0</v>
      </c>
      <c r="AP68" s="522">
        <f t="shared" si="51"/>
        <v>0</v>
      </c>
      <c r="AQ68" s="525"/>
      <c r="AR68" s="526">
        <f t="shared" si="52"/>
        <v>0</v>
      </c>
      <c r="AS68" s="524">
        <f t="shared" si="52"/>
        <v>0</v>
      </c>
      <c r="AT68" s="524"/>
      <c r="AU68" s="524">
        <f t="shared" si="26"/>
        <v>0</v>
      </c>
      <c r="AV68" s="527"/>
      <c r="AW68" s="52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row>
    <row r="69" spans="1:82" s="35" customFormat="1" ht="15.75" customHeight="1" x14ac:dyDescent="0.3">
      <c r="A69"/>
      <c r="B69" s="62"/>
      <c r="C69" s="51" t="s">
        <v>35</v>
      </c>
      <c r="D69" s="95">
        <f>EC_2!D69+FS_2!D69+GT_2!D69+KZN_2!D69+LIM_2!D69+MPU_2!D69+NC_2!D69+NW_2!D69+WC_2!D69</f>
        <v>620016</v>
      </c>
      <c r="E69" s="198">
        <f>EC_2!E69+FS_2!E69+GT_2!E69+KZN_2!E69+LIM_2!E69+MPU_2!E69+NC_2!E69+NW_2!E69+WC_2!E69</f>
        <v>0</v>
      </c>
      <c r="F69" s="54">
        <f>EC_2!F69+FS_2!F69+GT_2!F69+KZN_2!F69+LIM_2!F69+MPU_2!F69+NC_2!F69+NW_2!F69+WC_2!F69</f>
        <v>620016</v>
      </c>
      <c r="G69" s="54">
        <f>EC_2!G69+FS_2!G69+GT_2!G69+KZN_2!G69+LIM_2!G69+MPU_2!G69+NC_2!G69+NW_2!G69+WC_2!G69</f>
        <v>6904</v>
      </c>
      <c r="H69" s="95">
        <f>EC_2!H69+FS_2!H69+GT_2!H69+KZN_2!H69+LIM_2!H69+MPU_2!H69+NC_2!H69+NW_2!H69+WC_2!H69</f>
        <v>626920</v>
      </c>
      <c r="I69" s="216">
        <f>EC_2!I69+FS_2!I69+GT_2!I69+KZN_2!I69+LIM_2!I69+MPU_2!I69+NC_2!I69+NW_2!I69+WC_2!I69</f>
        <v>0</v>
      </c>
      <c r="J69" s="101">
        <f>EC_2!J69+FS_2!J69+GT_2!J69+KZN_2!J69+LIM_2!J69+MPU_2!J69+NC_2!J69+NW_2!J69+WC_2!J69</f>
        <v>620016</v>
      </c>
      <c r="K69" s="54">
        <f>EC_2!K69+FS_2!K69+GT_2!K69+KZN_2!K69+LIM_2!K69+MPU_2!K69+NC_2!K69+NW_2!K69+WC_2!K69</f>
        <v>620016</v>
      </c>
      <c r="L69" s="54">
        <f>EC_2!L69+FS_2!L69+GT_2!L69+KZN_2!L69+LIM_2!L69+MPU_2!L69+NC_2!L69+NW_2!L69+WC_2!L69</f>
        <v>0</v>
      </c>
      <c r="M69" s="54">
        <f>EC_2!M69+FS_2!M69+GT_2!M69+KZN_2!M69+LIM_2!M69+MPU_2!M69+NC_2!M69+NW_2!M69+WC_2!M69</f>
        <v>538041</v>
      </c>
      <c r="N69" s="183">
        <f t="shared" ref="N69:N70" si="112">IFERROR(M69/H69,0)</f>
        <v>0.85822912014292096</v>
      </c>
      <c r="O69" s="63"/>
      <c r="P69" s="64"/>
      <c r="Q69" s="64"/>
      <c r="R69"/>
      <c r="S69" s="62"/>
      <c r="T69" s="51" t="str">
        <f>C69</f>
        <v>Sport and Recreation South Africa (Vote 40)</v>
      </c>
      <c r="U69" s="95">
        <v>620016</v>
      </c>
      <c r="V69" s="198">
        <v>0</v>
      </c>
      <c r="W69" s="54">
        <v>620016</v>
      </c>
      <c r="X69" s="54">
        <v>0</v>
      </c>
      <c r="Y69" s="95">
        <v>620016</v>
      </c>
      <c r="Z69" s="216"/>
      <c r="AA69" s="101">
        <v>310009</v>
      </c>
      <c r="AB69" s="54">
        <v>310009</v>
      </c>
      <c r="AC69" s="59"/>
      <c r="AD69" s="54">
        <v>251292</v>
      </c>
      <c r="AE69" s="172">
        <v>0.4052992180846946</v>
      </c>
      <c r="AF69" s="63"/>
      <c r="AG69" s="444"/>
      <c r="AH69" s="444"/>
      <c r="AI69"/>
      <c r="AJ69" s="402"/>
      <c r="AK69" s="480" t="str">
        <f t="shared" si="24"/>
        <v>Sport and Recreation South Africa (Vote 40)</v>
      </c>
      <c r="AL69" s="388">
        <f t="shared" si="51"/>
        <v>0</v>
      </c>
      <c r="AM69" s="389">
        <f t="shared" si="51"/>
        <v>0</v>
      </c>
      <c r="AN69" s="390">
        <f t="shared" si="51"/>
        <v>0</v>
      </c>
      <c r="AO69" s="390">
        <f t="shared" si="51"/>
        <v>-6904</v>
      </c>
      <c r="AP69" s="388">
        <f t="shared" si="51"/>
        <v>-6904</v>
      </c>
      <c r="AQ69" s="391"/>
      <c r="AR69" s="392">
        <f t="shared" si="52"/>
        <v>-310007</v>
      </c>
      <c r="AS69" s="390">
        <f t="shared" si="52"/>
        <v>-310007</v>
      </c>
      <c r="AT69" s="398"/>
      <c r="AU69" s="390">
        <f t="shared" si="26"/>
        <v>-286749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ht="15.75" customHeight="1" x14ac:dyDescent="0.3">
      <c r="B70" s="57"/>
      <c r="C70" s="58" t="s">
        <v>36</v>
      </c>
      <c r="D70" s="96">
        <f>EC_2!D70+FS_2!D70+GT_2!D70+KZN_2!D70+LIM_2!D70+MPU_2!D70+NC_2!D70+NW_2!D70+WC_2!D70</f>
        <v>620016</v>
      </c>
      <c r="E70" s="199">
        <f>EC_2!E70+FS_2!E70+GT_2!E70+KZN_2!E70+LIM_2!E70+MPU_2!E70+NC_2!E70+NW_2!E70+WC_2!E70</f>
        <v>0</v>
      </c>
      <c r="F70" s="59">
        <f>EC_2!F70+FS_2!F70+GT_2!F70+KZN_2!F70+LIM_2!F70+MPU_2!F70+NC_2!F70+NW_2!F70+WC_2!F70</f>
        <v>620016</v>
      </c>
      <c r="G70" s="59">
        <f>EC_2!G70+FS_2!G70+GT_2!G70+KZN_2!G70+LIM_2!G70+MPU_2!G70+NC_2!G70+NW_2!G70+WC_2!G70</f>
        <v>6904</v>
      </c>
      <c r="H70" s="96">
        <f>EC_2!H70+FS_2!H70+GT_2!H70+KZN_2!H70+LIM_2!H70+MPU_2!H70+NC_2!H70+NW_2!H70+WC_2!H70</f>
        <v>626920</v>
      </c>
      <c r="I70" s="217">
        <f>EC_2!I70+FS_2!I70+GT_2!I70+KZN_2!I70+LIM_2!I70+MPU_2!I70+NC_2!I70+NW_2!I70+WC_2!I70</f>
        <v>0</v>
      </c>
      <c r="J70" s="102">
        <f>EC_2!J70+FS_2!J70+GT_2!J70+KZN_2!J70+LIM_2!J70+MPU_2!J70+NC_2!J70+NW_2!J70+WC_2!J70</f>
        <v>620016</v>
      </c>
      <c r="K70" s="59">
        <f>EC_2!K70+FS_2!K70+GT_2!K70+KZN_2!K70+LIM_2!K70+MPU_2!K70+NC_2!K70+NW_2!K70+WC_2!K70</f>
        <v>620016</v>
      </c>
      <c r="L70" s="59">
        <f>EC_2!L70+FS_2!L70+GT_2!L70+KZN_2!L70+LIM_2!L70+MPU_2!L70+NC_2!L70+NW_2!L70+WC_2!L70</f>
        <v>0</v>
      </c>
      <c r="M70" s="59">
        <f>EC_2!M70+FS_2!M70+GT_2!M70+KZN_2!M70+LIM_2!M70+MPU_2!M70+NC_2!M70+NW_2!M70+WC_2!M70</f>
        <v>538041</v>
      </c>
      <c r="N70" s="172">
        <f t="shared" si="112"/>
        <v>0.85822912014292096</v>
      </c>
      <c r="O70" s="60"/>
      <c r="P70" s="56"/>
      <c r="Q70" s="56"/>
      <c r="S70" s="57"/>
      <c r="T70" s="58" t="str">
        <f t="shared" ref="T70:T74" si="113">C70</f>
        <v>Mass Participation and Sport Development Grant</v>
      </c>
      <c r="U70" s="96">
        <v>620016</v>
      </c>
      <c r="V70" s="199">
        <v>0</v>
      </c>
      <c r="W70" s="59">
        <v>620016</v>
      </c>
      <c r="X70" s="59">
        <v>0</v>
      </c>
      <c r="Y70" s="96">
        <v>620016</v>
      </c>
      <c r="Z70" s="217"/>
      <c r="AA70" s="102">
        <v>310009</v>
      </c>
      <c r="AB70" s="59">
        <v>310009</v>
      </c>
      <c r="AC70" s="59"/>
      <c r="AD70" s="59">
        <v>251292</v>
      </c>
      <c r="AE70" s="183">
        <v>0.4052992180846946</v>
      </c>
      <c r="AF70" s="60"/>
      <c r="AG70" s="443"/>
      <c r="AH70" s="443"/>
      <c r="AJ70" s="394"/>
      <c r="AK70" s="479" t="str">
        <f>C70</f>
        <v>Mass Participation and Sport Development Grant</v>
      </c>
      <c r="AL70" s="396">
        <f>IFERROR(U70-D70,0)</f>
        <v>0</v>
      </c>
      <c r="AM70" s="397">
        <f t="shared" ref="AM70:AM74" si="114">IFERROR(V70-E70,0)</f>
        <v>0</v>
      </c>
      <c r="AN70" s="398">
        <f t="shared" ref="AN70:AN74" si="115">IFERROR(W70-F70,0)</f>
        <v>0</v>
      </c>
      <c r="AO70" s="398">
        <f t="shared" ref="AO70:AO74" si="116">IFERROR(X70-G70,0)</f>
        <v>-6904</v>
      </c>
      <c r="AP70" s="396">
        <f t="shared" ref="AP70:AP74" si="117">IFERROR(Y70-H70,0)</f>
        <v>-6904</v>
      </c>
      <c r="AQ70" s="399"/>
      <c r="AR70" s="400">
        <f t="shared" si="52"/>
        <v>-310007</v>
      </c>
      <c r="AS70" s="398">
        <f t="shared" si="52"/>
        <v>-310007</v>
      </c>
      <c r="AT70" s="398"/>
      <c r="AU70" s="398">
        <f>IFERROR(AD70-M70,0)</f>
        <v>-286749</v>
      </c>
      <c r="AV70" s="315"/>
      <c r="AW70" s="401"/>
    </row>
    <row r="71" spans="1:82" s="518" customFormat="1" ht="15.75" customHeight="1" x14ac:dyDescent="0.3">
      <c r="A71" s="508"/>
      <c r="B71" s="509"/>
      <c r="C71" s="510"/>
      <c r="D71" s="511">
        <f>EC_2!D71+FS_2!D71+GT_2!D71+KZN_2!D71+LIM_2!D71+MPU_2!D71+NC_2!D71+NW_2!D71+WC_2!D71</f>
        <v>0</v>
      </c>
      <c r="E71" s="512">
        <f>EC_2!E71+FS_2!E71+GT_2!E71+KZN_2!E71+LIM_2!E71+MPU_2!E71+NC_2!E71+NW_2!E71+WC_2!E71</f>
        <v>0</v>
      </c>
      <c r="F71" s="513">
        <f>EC_2!F71+FS_2!F71+GT_2!F71+KZN_2!F71+LIM_2!F71+MPU_2!F71+NC_2!F71+NW_2!F71+WC_2!F71</f>
        <v>0</v>
      </c>
      <c r="G71" s="513">
        <f>EC_2!G71+FS_2!G71+GT_2!G71+KZN_2!G71+LIM_2!G71+MPU_2!G71+NC_2!G71+NW_2!G71+WC_2!G71</f>
        <v>0</v>
      </c>
      <c r="H71" s="511">
        <f>EC_2!H71+FS_2!H71+GT_2!H71+KZN_2!H71+LIM_2!H71+MPU_2!H71+NC_2!H71+NW_2!H71+WC_2!H71</f>
        <v>0</v>
      </c>
      <c r="I71" s="514">
        <f>EC_2!I71+FS_2!I71+GT_2!I71+KZN_2!I71+LIM_2!I71+MPU_2!I71+NC_2!I71+NW_2!I71+WC_2!I71</f>
        <v>0</v>
      </c>
      <c r="J71" s="515">
        <f>EC_2!J71+FS_2!J71+GT_2!J71+KZN_2!J71+LIM_2!J71+MPU_2!J71+NC_2!J71+NW_2!J71+WC_2!J71</f>
        <v>0</v>
      </c>
      <c r="K71" s="513">
        <f>EC_2!K71+FS_2!K71+GT_2!K71+KZN_2!K71+LIM_2!K71+MPU_2!K71+NC_2!K71+NW_2!K71+WC_2!K71</f>
        <v>0</v>
      </c>
      <c r="L71" s="513">
        <f>EC_2!L71+FS_2!L71+GT_2!L71+KZN_2!L71+LIM_2!L71+MPU_2!L71+NC_2!L71+NW_2!L71+WC_2!L71</f>
        <v>0</v>
      </c>
      <c r="M71" s="513">
        <f>EC_2!M71+FS_2!M71+GT_2!M71+KZN_2!M71+LIM_2!M71+MPU_2!M71+NC_2!M71+NW_2!M71+WC_2!M71</f>
        <v>0</v>
      </c>
      <c r="N71" s="513">
        <f t="shared" ref="N71:N74" si="118">IFERROR(M71/F71,0)</f>
        <v>0</v>
      </c>
      <c r="O71" s="517"/>
      <c r="R71" s="508"/>
      <c r="S71" s="509"/>
      <c r="T71" s="510">
        <f t="shared" si="113"/>
        <v>0</v>
      </c>
      <c r="U71" s="511">
        <v>0</v>
      </c>
      <c r="V71" s="512">
        <v>0</v>
      </c>
      <c r="W71" s="513">
        <v>0</v>
      </c>
      <c r="X71" s="513">
        <v>0</v>
      </c>
      <c r="Y71" s="511">
        <v>0</v>
      </c>
      <c r="Z71" s="514"/>
      <c r="AA71" s="515">
        <v>0</v>
      </c>
      <c r="AB71" s="513">
        <v>0</v>
      </c>
      <c r="AC71" s="513"/>
      <c r="AD71" s="513">
        <v>0</v>
      </c>
      <c r="AE71" s="513">
        <v>0</v>
      </c>
      <c r="AF71" s="517"/>
      <c r="AG71" s="519"/>
      <c r="AH71" s="519"/>
      <c r="AI71" s="508"/>
      <c r="AJ71" s="520"/>
      <c r="AK71" s="521">
        <f t="shared" ref="AK71:AK74" si="119">C71</f>
        <v>0</v>
      </c>
      <c r="AL71" s="522">
        <f t="shared" ref="AL71:AL74" si="120">IFERROR(U71-D71,0)</f>
        <v>0</v>
      </c>
      <c r="AM71" s="523">
        <f t="shared" si="114"/>
        <v>0</v>
      </c>
      <c r="AN71" s="524">
        <f t="shared" si="115"/>
        <v>0</v>
      </c>
      <c r="AO71" s="524">
        <f t="shared" si="116"/>
        <v>0</v>
      </c>
      <c r="AP71" s="522">
        <f t="shared" si="117"/>
        <v>0</v>
      </c>
      <c r="AQ71" s="525"/>
      <c r="AR71" s="526">
        <f t="shared" si="52"/>
        <v>0</v>
      </c>
      <c r="AS71" s="524">
        <f t="shared" si="52"/>
        <v>0</v>
      </c>
      <c r="AT71" s="524"/>
      <c r="AU71" s="524">
        <f t="shared" ref="AU71:AU74" si="121">IFERROR(AD71-M71,0)</f>
        <v>0</v>
      </c>
      <c r="AV71" s="524"/>
      <c r="AW71" s="52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row>
    <row r="72" spans="1:82" s="529" customFormat="1" ht="15.75" customHeight="1" x14ac:dyDescent="0.3">
      <c r="A72" s="508"/>
      <c r="B72" s="509"/>
      <c r="C72" s="510"/>
      <c r="D72" s="511">
        <f>EC_2!D72+FS_2!D72+GT_2!D72+KZN_2!D72+LIM_2!D72+MPU_2!D72+NC_2!D72+NW_2!D72+WC_2!D72</f>
        <v>0</v>
      </c>
      <c r="E72" s="512">
        <f>EC_2!E72+FS_2!E72+GT_2!E72+KZN_2!E72+LIM_2!E72+MPU_2!E72+NC_2!E72+NW_2!E72+WC_2!E72</f>
        <v>0</v>
      </c>
      <c r="F72" s="513">
        <f>EC_2!F72+FS_2!F72+GT_2!F72+KZN_2!F72+LIM_2!F72+MPU_2!F72+NC_2!F72+NW_2!F72+WC_2!F72</f>
        <v>0</v>
      </c>
      <c r="G72" s="513">
        <f>EC_2!G72+FS_2!G72+GT_2!G72+KZN_2!G72+LIM_2!G72+MPU_2!G72+NC_2!G72+NW_2!G72+WC_2!G72</f>
        <v>0</v>
      </c>
      <c r="H72" s="511">
        <f>EC_2!H72+FS_2!H72+GT_2!H72+KZN_2!H72+LIM_2!H72+MPU_2!H72+NC_2!H72+NW_2!H72+WC_2!H72</f>
        <v>0</v>
      </c>
      <c r="I72" s="514">
        <f>EC_2!I72+FS_2!I72+GT_2!I72+KZN_2!I72+LIM_2!I72+MPU_2!I72+NC_2!I72+NW_2!I72+WC_2!I72</f>
        <v>0</v>
      </c>
      <c r="J72" s="515">
        <f>EC_2!J72+FS_2!J72+GT_2!J72+KZN_2!J72+LIM_2!J72+MPU_2!J72+NC_2!J72+NW_2!J72+WC_2!J72</f>
        <v>0</v>
      </c>
      <c r="K72" s="513">
        <f>EC_2!K72+FS_2!K72+GT_2!K72+KZN_2!K72+LIM_2!K72+MPU_2!K72+NC_2!K72+NW_2!K72+WC_2!K72</f>
        <v>0</v>
      </c>
      <c r="L72" s="513">
        <f>EC_2!L72+FS_2!L72+GT_2!L72+KZN_2!L72+LIM_2!L72+MPU_2!L72+NC_2!L72+NW_2!L72+WC_2!L72</f>
        <v>0</v>
      </c>
      <c r="M72" s="513">
        <f>EC_2!M72+FS_2!M72+GT_2!M72+KZN_2!M72+LIM_2!M72+MPU_2!M72+NC_2!M72+NW_2!M72+WC_2!M72</f>
        <v>0</v>
      </c>
      <c r="N72" s="513">
        <f t="shared" si="118"/>
        <v>0</v>
      </c>
      <c r="O72" s="517"/>
      <c r="P72" s="518"/>
      <c r="Q72" s="518"/>
      <c r="R72" s="508"/>
      <c r="S72" s="509"/>
      <c r="T72" s="510">
        <f t="shared" si="113"/>
        <v>0</v>
      </c>
      <c r="U72" s="511">
        <v>0</v>
      </c>
      <c r="V72" s="512">
        <v>0</v>
      </c>
      <c r="W72" s="513">
        <v>0</v>
      </c>
      <c r="X72" s="513">
        <v>0</v>
      </c>
      <c r="Y72" s="511">
        <v>0</v>
      </c>
      <c r="Z72" s="514"/>
      <c r="AA72" s="515">
        <v>0</v>
      </c>
      <c r="AB72" s="513">
        <v>0</v>
      </c>
      <c r="AC72" s="513"/>
      <c r="AD72" s="513">
        <v>0</v>
      </c>
      <c r="AE72" s="513">
        <v>0</v>
      </c>
      <c r="AF72" s="517"/>
      <c r="AG72" s="519"/>
      <c r="AH72" s="519"/>
      <c r="AI72" s="508"/>
      <c r="AJ72" s="520"/>
      <c r="AK72" s="521">
        <f t="shared" si="119"/>
        <v>0</v>
      </c>
      <c r="AL72" s="522">
        <f t="shared" si="120"/>
        <v>0</v>
      </c>
      <c r="AM72" s="523">
        <f t="shared" si="114"/>
        <v>0</v>
      </c>
      <c r="AN72" s="524">
        <f t="shared" si="115"/>
        <v>0</v>
      </c>
      <c r="AO72" s="524">
        <f t="shared" si="116"/>
        <v>0</v>
      </c>
      <c r="AP72" s="522">
        <f t="shared" si="117"/>
        <v>0</v>
      </c>
      <c r="AQ72" s="525"/>
      <c r="AR72" s="526">
        <f t="shared" si="52"/>
        <v>0</v>
      </c>
      <c r="AS72" s="524">
        <f t="shared" si="52"/>
        <v>0</v>
      </c>
      <c r="AT72" s="524"/>
      <c r="AU72" s="524">
        <f t="shared" si="121"/>
        <v>0</v>
      </c>
      <c r="AV72" s="524"/>
      <c r="AW72" s="528"/>
      <c r="AX72" s="508"/>
      <c r="AY72" s="508"/>
      <c r="AZ72" s="508"/>
      <c r="BA72" s="508"/>
      <c r="BB72" s="508"/>
      <c r="BC72" s="508"/>
      <c r="BD72" s="508"/>
      <c r="BE72" s="508"/>
      <c r="BF72" s="508"/>
      <c r="BG72" s="508"/>
      <c r="BH72" s="508"/>
      <c r="BI72" s="508"/>
      <c r="BJ72" s="508"/>
      <c r="BK72" s="508"/>
      <c r="BL72" s="508"/>
      <c r="BM72" s="508"/>
      <c r="BN72" s="508"/>
      <c r="BO72" s="508"/>
      <c r="BP72" s="508"/>
      <c r="BQ72" s="508"/>
      <c r="BR72" s="508"/>
      <c r="BS72" s="508"/>
      <c r="BT72" s="508"/>
      <c r="BU72" s="508"/>
      <c r="BV72" s="508"/>
      <c r="BW72" s="508"/>
      <c r="BX72" s="508"/>
      <c r="BY72" s="508"/>
      <c r="BZ72" s="508"/>
      <c r="CA72" s="508"/>
      <c r="CB72" s="508"/>
      <c r="CC72" s="508"/>
      <c r="CD72" s="508"/>
    </row>
    <row r="73" spans="1:82" s="530" customFormat="1" ht="15.75" customHeight="1" x14ac:dyDescent="0.3">
      <c r="A73" s="508"/>
      <c r="B73" s="509"/>
      <c r="C73" s="510"/>
      <c r="D73" s="511">
        <f>EC_2!D73+FS_2!D73+GT_2!D73+KZN_2!D73+LIM_2!D73+MPU_2!D73+NC_2!D73+NW_2!D73+WC_2!D73</f>
        <v>0</v>
      </c>
      <c r="E73" s="512">
        <f>EC_2!E73+FS_2!E73+GT_2!E73+KZN_2!E73+LIM_2!E73+MPU_2!E73+NC_2!E73+NW_2!E73+WC_2!E73</f>
        <v>0</v>
      </c>
      <c r="F73" s="513">
        <f>EC_2!F73+FS_2!F73+GT_2!F73+KZN_2!F73+LIM_2!F73+MPU_2!F73+NC_2!F73+NW_2!F73+WC_2!F73</f>
        <v>0</v>
      </c>
      <c r="G73" s="513">
        <f>EC_2!G73+FS_2!G73+GT_2!G73+KZN_2!G73+LIM_2!G73+MPU_2!G73+NC_2!G73+NW_2!G73+WC_2!G73</f>
        <v>0</v>
      </c>
      <c r="H73" s="511">
        <f>EC_2!H73+FS_2!H73+GT_2!H73+KZN_2!H73+LIM_2!H73+MPU_2!H73+NC_2!H73+NW_2!H73+WC_2!H73</f>
        <v>0</v>
      </c>
      <c r="I73" s="514">
        <f>EC_2!I73+FS_2!I73+GT_2!I73+KZN_2!I73+LIM_2!I73+MPU_2!I73+NC_2!I73+NW_2!I73+WC_2!I73</f>
        <v>0</v>
      </c>
      <c r="J73" s="515">
        <f>EC_2!J73+FS_2!J73+GT_2!J73+KZN_2!J73+LIM_2!J73+MPU_2!J73+NC_2!J73+NW_2!J73+WC_2!J73</f>
        <v>0</v>
      </c>
      <c r="K73" s="513">
        <f>EC_2!K73+FS_2!K73+GT_2!K73+KZN_2!K73+LIM_2!K73+MPU_2!K73+NC_2!K73+NW_2!K73+WC_2!K73</f>
        <v>0</v>
      </c>
      <c r="L73" s="513">
        <f>EC_2!L73+FS_2!L73+GT_2!L73+KZN_2!L73+LIM_2!L73+MPU_2!L73+NC_2!L73+NW_2!L73+WC_2!L73</f>
        <v>0</v>
      </c>
      <c r="M73" s="513">
        <f>EC_2!M73+FS_2!M73+GT_2!M73+KZN_2!M73+LIM_2!M73+MPU_2!M73+NC_2!M73+NW_2!M73+WC_2!M73</f>
        <v>0</v>
      </c>
      <c r="N73" s="513">
        <f t="shared" si="118"/>
        <v>0</v>
      </c>
      <c r="O73" s="517"/>
      <c r="P73" s="518"/>
      <c r="Q73" s="518"/>
      <c r="R73" s="508"/>
      <c r="S73" s="509"/>
      <c r="T73" s="510">
        <f t="shared" si="113"/>
        <v>0</v>
      </c>
      <c r="U73" s="511">
        <v>0</v>
      </c>
      <c r="V73" s="512">
        <v>0</v>
      </c>
      <c r="W73" s="513">
        <v>0</v>
      </c>
      <c r="X73" s="513">
        <v>0</v>
      </c>
      <c r="Y73" s="511">
        <v>0</v>
      </c>
      <c r="Z73" s="514"/>
      <c r="AA73" s="515">
        <v>0</v>
      </c>
      <c r="AB73" s="513">
        <v>0</v>
      </c>
      <c r="AC73" s="513"/>
      <c r="AD73" s="513">
        <v>0</v>
      </c>
      <c r="AE73" s="513">
        <v>0</v>
      </c>
      <c r="AF73" s="517"/>
      <c r="AG73" s="519"/>
      <c r="AH73" s="519"/>
      <c r="AI73" s="508"/>
      <c r="AJ73" s="520"/>
      <c r="AK73" s="521">
        <f t="shared" si="119"/>
        <v>0</v>
      </c>
      <c r="AL73" s="522">
        <f t="shared" si="120"/>
        <v>0</v>
      </c>
      <c r="AM73" s="523">
        <f t="shared" si="114"/>
        <v>0</v>
      </c>
      <c r="AN73" s="524">
        <f t="shared" si="115"/>
        <v>0</v>
      </c>
      <c r="AO73" s="524">
        <f t="shared" si="116"/>
        <v>0</v>
      </c>
      <c r="AP73" s="522">
        <f t="shared" si="117"/>
        <v>0</v>
      </c>
      <c r="AQ73" s="525"/>
      <c r="AR73" s="526">
        <f t="shared" si="52"/>
        <v>0</v>
      </c>
      <c r="AS73" s="524">
        <f t="shared" si="52"/>
        <v>0</v>
      </c>
      <c r="AT73" s="524"/>
      <c r="AU73" s="524">
        <f t="shared" si="121"/>
        <v>0</v>
      </c>
      <c r="AV73" s="524"/>
      <c r="AW73" s="528"/>
      <c r="AX73" s="508"/>
      <c r="AY73" s="508"/>
      <c r="AZ73" s="508"/>
      <c r="BA73" s="508"/>
      <c r="BB73" s="508"/>
      <c r="BC73" s="508"/>
      <c r="BD73" s="508"/>
      <c r="BE73" s="508"/>
      <c r="BF73" s="508"/>
      <c r="BG73" s="508"/>
      <c r="BH73" s="508"/>
      <c r="BI73" s="508"/>
      <c r="BJ73" s="508"/>
      <c r="BK73" s="508"/>
      <c r="BL73" s="508"/>
      <c r="BM73" s="508"/>
      <c r="BN73" s="508"/>
      <c r="BO73" s="508"/>
      <c r="BP73" s="508"/>
      <c r="BQ73" s="508"/>
      <c r="BR73" s="508"/>
      <c r="BS73" s="508"/>
      <c r="BT73" s="508"/>
      <c r="BU73" s="508"/>
      <c r="BV73" s="508"/>
      <c r="BW73" s="508"/>
      <c r="BX73" s="508"/>
      <c r="BY73" s="508"/>
      <c r="BZ73" s="508"/>
      <c r="CA73" s="508"/>
      <c r="CB73" s="508"/>
      <c r="CC73" s="508"/>
      <c r="CD73" s="508"/>
    </row>
    <row r="74" spans="1:82" s="518" customFormat="1" ht="15.75" customHeight="1" x14ac:dyDescent="0.3">
      <c r="A74" s="508"/>
      <c r="B74" s="509"/>
      <c r="C74" s="510"/>
      <c r="D74" s="511">
        <f>EC_2!D74+FS_2!D74+GT_2!D74+KZN_2!D74+LIM_2!D74+MPU_2!D74+NC_2!D74+NW_2!D74+WC_2!D74</f>
        <v>0</v>
      </c>
      <c r="E74" s="512">
        <f>EC_2!E74+FS_2!E74+GT_2!E74+KZN_2!E74+LIM_2!E74+MPU_2!E74+NC_2!E74+NW_2!E74+WC_2!E74</f>
        <v>0</v>
      </c>
      <c r="F74" s="513">
        <f>EC_2!F74+FS_2!F74+GT_2!F74+KZN_2!F74+LIM_2!F74+MPU_2!F74+NC_2!F74+NW_2!F74+WC_2!F74</f>
        <v>0</v>
      </c>
      <c r="G74" s="513">
        <f>EC_2!G74+FS_2!G74+GT_2!G74+KZN_2!G74+LIM_2!G74+MPU_2!G74+NC_2!G74+NW_2!G74+WC_2!G74</f>
        <v>0</v>
      </c>
      <c r="H74" s="511">
        <f>EC_2!H74+FS_2!H74+GT_2!H74+KZN_2!H74+LIM_2!H74+MPU_2!H74+NC_2!H74+NW_2!H74+WC_2!H74</f>
        <v>0</v>
      </c>
      <c r="I74" s="514">
        <f>EC_2!I74+FS_2!I74+GT_2!I74+KZN_2!I74+LIM_2!I74+MPU_2!I74+NC_2!I74+NW_2!I74+WC_2!I74</f>
        <v>0</v>
      </c>
      <c r="J74" s="515">
        <f>EC_2!J74+FS_2!J74+GT_2!J74+KZN_2!J74+LIM_2!J74+MPU_2!J74+NC_2!J74+NW_2!J74+WC_2!J74</f>
        <v>0</v>
      </c>
      <c r="K74" s="513">
        <f>EC_2!K74+FS_2!K74+GT_2!K74+KZN_2!K74+LIM_2!K74+MPU_2!K74+NC_2!K74+NW_2!K74+WC_2!K74</f>
        <v>0</v>
      </c>
      <c r="L74" s="513">
        <f>EC_2!L74+FS_2!L74+GT_2!L74+KZN_2!L74+LIM_2!L74+MPU_2!L74+NC_2!L74+NW_2!L74+WC_2!L74</f>
        <v>0</v>
      </c>
      <c r="M74" s="513">
        <f>EC_2!M74+FS_2!M74+GT_2!M74+KZN_2!M74+LIM_2!M74+MPU_2!M74+NC_2!M74+NW_2!M74+WC_2!M74</f>
        <v>0</v>
      </c>
      <c r="N74" s="513">
        <f t="shared" si="118"/>
        <v>0</v>
      </c>
      <c r="O74" s="517"/>
      <c r="R74" s="508"/>
      <c r="S74" s="509"/>
      <c r="T74" s="510">
        <f t="shared" si="113"/>
        <v>0</v>
      </c>
      <c r="U74" s="511">
        <v>0</v>
      </c>
      <c r="V74" s="512">
        <v>0</v>
      </c>
      <c r="W74" s="513">
        <v>0</v>
      </c>
      <c r="X74" s="513">
        <v>0</v>
      </c>
      <c r="Y74" s="511">
        <v>0</v>
      </c>
      <c r="Z74" s="514"/>
      <c r="AA74" s="515">
        <v>0</v>
      </c>
      <c r="AB74" s="513">
        <v>0</v>
      </c>
      <c r="AC74" s="513"/>
      <c r="AD74" s="513">
        <v>0</v>
      </c>
      <c r="AE74" s="513">
        <v>0</v>
      </c>
      <c r="AF74" s="517"/>
      <c r="AG74" s="519"/>
      <c r="AH74" s="519"/>
      <c r="AI74" s="508"/>
      <c r="AJ74" s="520"/>
      <c r="AK74" s="521">
        <f t="shared" si="119"/>
        <v>0</v>
      </c>
      <c r="AL74" s="522">
        <f t="shared" si="120"/>
        <v>0</v>
      </c>
      <c r="AM74" s="523">
        <f t="shared" si="114"/>
        <v>0</v>
      </c>
      <c r="AN74" s="524">
        <f t="shared" si="115"/>
        <v>0</v>
      </c>
      <c r="AO74" s="524">
        <f t="shared" si="116"/>
        <v>0</v>
      </c>
      <c r="AP74" s="522">
        <f t="shared" si="117"/>
        <v>0</v>
      </c>
      <c r="AQ74" s="525"/>
      <c r="AR74" s="526">
        <f t="shared" si="52"/>
        <v>0</v>
      </c>
      <c r="AS74" s="524">
        <f t="shared" si="52"/>
        <v>0</v>
      </c>
      <c r="AT74" s="524"/>
      <c r="AU74" s="524">
        <f t="shared" si="121"/>
        <v>0</v>
      </c>
      <c r="AV74" s="524"/>
      <c r="AW74" s="52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8"/>
    </row>
    <row r="75" spans="1:82" s="529" customFormat="1" ht="8.25" customHeight="1" x14ac:dyDescent="0.3">
      <c r="A75" s="508"/>
      <c r="B75" s="509"/>
      <c r="C75" s="510"/>
      <c r="D75" s="511">
        <f>EC_2!D75+FS_2!D75+GT_2!D75+KZN_2!D75+LIM_2!D75+MPU_2!D75+NC_2!D75+NW_2!D75+WC_2!D75</f>
        <v>0</v>
      </c>
      <c r="E75" s="512">
        <f>EC_2!E75+FS_2!E75+GT_2!E75+KZN_2!E75+LIM_2!E75+MPU_2!E75+NC_2!E75+NW_2!E75+WC_2!E75</f>
        <v>0</v>
      </c>
      <c r="F75" s="513">
        <f>EC_2!F75+FS_2!F75+GT_2!F75+KZN_2!F75+LIM_2!F75+MPU_2!F75+NC_2!F75+NW_2!F75+WC_2!F75</f>
        <v>0</v>
      </c>
      <c r="G75" s="513">
        <f>EC_2!G75+FS_2!G75+GT_2!G75+KZN_2!G75+LIM_2!G75+MPU_2!G75+NC_2!G75+NW_2!G75+WC_2!G75</f>
        <v>0</v>
      </c>
      <c r="H75" s="511">
        <f>EC_2!H75+FS_2!H75+GT_2!H75+KZN_2!H75+LIM_2!H75+MPU_2!H75+NC_2!H75+NW_2!H75+WC_2!H75</f>
        <v>0</v>
      </c>
      <c r="I75" s="514">
        <f>EC_2!I75+FS_2!I75+GT_2!I75+KZN_2!I75+LIM_2!I75+MPU_2!I75+NC_2!I75+NW_2!I75+WC_2!I75</f>
        <v>0</v>
      </c>
      <c r="J75" s="515">
        <f>EC_2!J75+FS_2!J75+GT_2!J75+KZN_2!J75+LIM_2!J75+MPU_2!J75+NC_2!J75+NW_2!J75+WC_2!J75</f>
        <v>0</v>
      </c>
      <c r="K75" s="513">
        <f>EC_2!K75+FS_2!K75+GT_2!K75+KZN_2!K75+LIM_2!K75+MPU_2!K75+NC_2!K75+NW_2!K75+WC_2!K75</f>
        <v>0</v>
      </c>
      <c r="L75" s="513">
        <f>EC_2!L75+FS_2!L75+GT_2!L75+KZN_2!L75+LIM_2!L75+MPU_2!L75+NC_2!L75+NW_2!L75+WC_2!L75</f>
        <v>0</v>
      </c>
      <c r="M75" s="513">
        <f>EC_2!M75+FS_2!M75+GT_2!M75+KZN_2!M75+LIM_2!M75+MPU_2!M75+NC_2!M75+NW_2!M75+WC_2!M75</f>
        <v>0</v>
      </c>
      <c r="N75" s="513"/>
      <c r="O75" s="517"/>
      <c r="P75" s="518"/>
      <c r="Q75" s="518"/>
      <c r="R75" s="508"/>
      <c r="S75" s="509"/>
      <c r="T75" s="510"/>
      <c r="U75" s="511"/>
      <c r="V75" s="512"/>
      <c r="W75" s="513"/>
      <c r="X75" s="513"/>
      <c r="Y75" s="511"/>
      <c r="Z75" s="514"/>
      <c r="AA75" s="515"/>
      <c r="AB75" s="513"/>
      <c r="AC75" s="513"/>
      <c r="AD75" s="513"/>
      <c r="AE75" s="513"/>
      <c r="AF75" s="517"/>
      <c r="AG75" s="519"/>
      <c r="AH75" s="519"/>
      <c r="AI75" s="508"/>
      <c r="AJ75" s="520"/>
      <c r="AK75" s="521">
        <f t="shared" si="24"/>
        <v>0</v>
      </c>
      <c r="AL75" s="522">
        <f t="shared" si="51"/>
        <v>0</v>
      </c>
      <c r="AM75" s="523">
        <f t="shared" si="51"/>
        <v>0</v>
      </c>
      <c r="AN75" s="524">
        <f t="shared" si="51"/>
        <v>0</v>
      </c>
      <c r="AO75" s="524">
        <f t="shared" si="51"/>
        <v>0</v>
      </c>
      <c r="AP75" s="522">
        <f t="shared" si="51"/>
        <v>0</v>
      </c>
      <c r="AQ75" s="525"/>
      <c r="AR75" s="526">
        <f t="shared" si="52"/>
        <v>0</v>
      </c>
      <c r="AS75" s="524">
        <f t="shared" si="52"/>
        <v>0</v>
      </c>
      <c r="AT75" s="524"/>
      <c r="AU75" s="524">
        <f t="shared" si="26"/>
        <v>0</v>
      </c>
      <c r="AV75" s="524"/>
      <c r="AW75" s="528"/>
      <c r="AX75" s="508"/>
      <c r="AY75" s="508"/>
      <c r="AZ75" s="508"/>
      <c r="BA75" s="508"/>
      <c r="BB75" s="508"/>
      <c r="BC75" s="508"/>
      <c r="BD75" s="508"/>
      <c r="BE75" s="508"/>
      <c r="BF75" s="508"/>
      <c r="BG75" s="508"/>
      <c r="BH75" s="508"/>
      <c r="BI75" s="508"/>
      <c r="BJ75" s="508"/>
      <c r="BK75" s="508"/>
      <c r="BL75" s="508"/>
      <c r="BM75" s="508"/>
      <c r="BN75" s="508"/>
      <c r="BO75" s="508"/>
      <c r="BP75" s="508"/>
      <c r="BQ75" s="508"/>
      <c r="BR75" s="508"/>
      <c r="BS75" s="508"/>
      <c r="BT75" s="508"/>
      <c r="BU75" s="508"/>
      <c r="BV75" s="508"/>
      <c r="BW75" s="508"/>
      <c r="BX75" s="508"/>
      <c r="BY75" s="508"/>
      <c r="BZ75" s="508"/>
      <c r="CA75" s="508"/>
      <c r="CB75" s="508"/>
      <c r="CC75" s="508"/>
      <c r="CD75" s="508"/>
    </row>
    <row r="76" spans="1:82" s="22" customFormat="1" ht="15.75" customHeight="1" x14ac:dyDescent="0.3">
      <c r="A76"/>
      <c r="B76" s="53"/>
      <c r="C76" s="74" t="s">
        <v>37</v>
      </c>
      <c r="D76" s="98">
        <f>EC_2!D76+FS_2!D76+GT_2!D76+KZN_2!D76+LIM_2!D76+MPU_2!D76+NC_2!D76+NW_2!D76+WC_2!D76</f>
        <v>61956674.189999998</v>
      </c>
      <c r="E76" s="201">
        <f>EC_2!E76+FS_2!E76+GT_2!E76+KZN_2!E76+LIM_2!E76+MPU_2!E76+NC_2!E76+NW_2!E76+WC_2!E76</f>
        <v>829320</v>
      </c>
      <c r="F76" s="75">
        <f>EC_2!F76+FS_2!F76+GT_2!F76+KZN_2!F76+LIM_2!F76+MPU_2!F76+NC_2!F76+NW_2!F76+WC_2!F76</f>
        <v>62785994.189999998</v>
      </c>
      <c r="G76" s="75">
        <f>EC_2!G76+FS_2!G76+GT_2!G76+KZN_2!G76+LIM_2!G76+MPU_2!G76+NC_2!G76+NW_2!G76+WC_2!G76</f>
        <v>779924</v>
      </c>
      <c r="H76" s="98">
        <f>EC_2!H76+FS_2!H76+GT_2!H76+KZN_2!H76+LIM_2!H76+MPU_2!H76+NC_2!H76+NW_2!H76+WC_2!H76</f>
        <v>63565918.189999998</v>
      </c>
      <c r="I76" s="219">
        <f>EC_2!I76+FS_2!I76+GT_2!I76+KZN_2!I76+LIM_2!I76+MPU_2!I76+NC_2!I76+NW_2!I76+WC_2!I76</f>
        <v>0</v>
      </c>
      <c r="J76" s="104">
        <f>EC_2!J76+FS_2!J76+GT_2!J76+KZN_2!J76+LIM_2!J76+MPU_2!J76+NC_2!J76+NW_2!J76+WC_2!J76</f>
        <v>62785994</v>
      </c>
      <c r="K76" s="75">
        <f>EC_2!K76+FS_2!K76+GT_2!K76+KZN_2!K76+LIM_2!K76+MPU_2!K76+NC_2!K76+NW_2!K76+WC_2!K76</f>
        <v>62776399.000179999</v>
      </c>
      <c r="L76" s="59">
        <f>EC_2!L76+FS_2!L76+GT_2!L76+KZN_2!L76+LIM_2!L76+MPU_2!L76+NC_2!L76+NW_2!L76+WC_2!L76</f>
        <v>0</v>
      </c>
      <c r="M76" s="75">
        <f>EC_2!M76+FS_2!M76+GT_2!M76+KZN_2!M76+LIM_2!M76+MPU_2!M76+NC_2!M76+NW_2!M76+WC_2!M76</f>
        <v>61786270.86084</v>
      </c>
      <c r="N76" s="180">
        <f>IFERROR(M76/H76,0)</f>
        <v>0.972003120857303</v>
      </c>
      <c r="O76" s="60"/>
      <c r="P76" s="65"/>
      <c r="Q76" s="65"/>
      <c r="R76"/>
      <c r="S76" s="53"/>
      <c r="T76" s="74" t="s">
        <v>37</v>
      </c>
      <c r="U76" s="98">
        <v>61956674.189999998</v>
      </c>
      <c r="V76" s="201">
        <v>0</v>
      </c>
      <c r="W76" s="75">
        <v>61956674.189999998</v>
      </c>
      <c r="X76" s="75">
        <v>0</v>
      </c>
      <c r="Y76" s="98">
        <v>61956674.189999998</v>
      </c>
      <c r="Z76" s="219">
        <v>0</v>
      </c>
      <c r="AA76" s="104">
        <v>31549702</v>
      </c>
      <c r="AB76" s="75">
        <v>31509579.175000001</v>
      </c>
      <c r="AC76" s="59"/>
      <c r="AD76" s="75">
        <v>27897942.127599999</v>
      </c>
      <c r="AE76" s="180">
        <v>0.4502814667237709</v>
      </c>
      <c r="AF76" s="60"/>
      <c r="AG76" s="443"/>
      <c r="AH76" s="443"/>
      <c r="AI76"/>
      <c r="AJ76" s="387"/>
      <c r="AK76" s="411" t="str">
        <f t="shared" si="24"/>
        <v>Sub-Total</v>
      </c>
      <c r="AL76" s="412">
        <f t="shared" si="51"/>
        <v>0</v>
      </c>
      <c r="AM76" s="413">
        <f t="shared" si="51"/>
        <v>-829320</v>
      </c>
      <c r="AN76" s="414">
        <f t="shared" si="51"/>
        <v>-829320</v>
      </c>
      <c r="AO76" s="414">
        <f t="shared" si="51"/>
        <v>-779924</v>
      </c>
      <c r="AP76" s="412">
        <f t="shared" si="51"/>
        <v>-1609244</v>
      </c>
      <c r="AQ76" s="415"/>
      <c r="AR76" s="416">
        <f t="shared" si="52"/>
        <v>-31236292</v>
      </c>
      <c r="AS76" s="414">
        <f t="shared" si="52"/>
        <v>-31266819.825179998</v>
      </c>
      <c r="AT76" s="398"/>
      <c r="AU76" s="414">
        <f t="shared" si="26"/>
        <v>-33888328.733240001</v>
      </c>
      <c r="AV76" s="414"/>
      <c r="AW76" s="401"/>
      <c r="AX76"/>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row>
    <row r="77" spans="1:82" s="35" customFormat="1" ht="8.25" customHeight="1" x14ac:dyDescent="0.3">
      <c r="A77"/>
      <c r="B77" s="46"/>
      <c r="C77" s="47"/>
      <c r="D77" s="94">
        <f>EC_2!D77+FS_2!D77+GT_2!D77+KZN_2!D77+LIM_2!D77+MPU_2!D77+NC_2!D77+NW_2!D77+WC_2!D77</f>
        <v>0</v>
      </c>
      <c r="E77" s="197">
        <f>EC_2!E77+FS_2!E77+GT_2!E77+KZN_2!E77+LIM_2!E77+MPU_2!E77+NC_2!E77+NW_2!E77+WC_2!E77</f>
        <v>0</v>
      </c>
      <c r="F77" s="48">
        <f>EC_2!F77+FS_2!F77+GT_2!F77+KZN_2!F77+LIM_2!F77+MPU_2!F77+NC_2!F77+NW_2!F77+WC_2!F77</f>
        <v>0</v>
      </c>
      <c r="G77" s="48">
        <f>EC_2!G77+FS_2!G77+GT_2!G77+KZN_2!G77+LIM_2!G77+MPU_2!G77+NC_2!G77+NW_2!G77+WC_2!G77</f>
        <v>0</v>
      </c>
      <c r="H77" s="94">
        <f>EC_2!H77+FS_2!H77+GT_2!H77+KZN_2!H77+LIM_2!H77+MPU_2!H77+NC_2!H77+NW_2!H77+WC_2!H77</f>
        <v>0</v>
      </c>
      <c r="I77" s="215">
        <f>EC_2!I77+FS_2!I77+GT_2!I77+KZN_2!I77+LIM_2!I77+MPU_2!I77+NC_2!I77+NW_2!I77+WC_2!I77</f>
        <v>0</v>
      </c>
      <c r="J77" s="46">
        <f>EC_2!J77+FS_2!J77+GT_2!J77+KZN_2!J77+LIM_2!J77+MPU_2!J77+NC_2!J77+NW_2!J77+WC_2!J77</f>
        <v>0</v>
      </c>
      <c r="K77" s="48">
        <f>EC_2!K77+FS_2!K77+GT_2!K77+KZN_2!K77+LIM_2!K77+MPU_2!K77+NC_2!K77+NW_2!K77+WC_2!K77</f>
        <v>0</v>
      </c>
      <c r="L77" s="59">
        <f>EC_2!L77+FS_2!L77+GT_2!L77+KZN_2!L77+LIM_2!L77+MPU_2!L77+NC_2!L77+NW_2!L77+WC_2!L77</f>
        <v>0</v>
      </c>
      <c r="M77" s="49">
        <f>EC_2!M77+FS_2!M77+GT_2!M77+KZN_2!M77+LIM_2!M77+MPU_2!M77+NC_2!M77+NW_2!M77+WC_2!M77</f>
        <v>0</v>
      </c>
      <c r="N77" s="49"/>
      <c r="O77" s="33"/>
      <c r="R77"/>
      <c r="S77" s="46"/>
      <c r="T77" s="47"/>
      <c r="U77" s="94"/>
      <c r="V77" s="197"/>
      <c r="W77" s="48"/>
      <c r="X77" s="48"/>
      <c r="Y77" s="94"/>
      <c r="Z77" s="215"/>
      <c r="AA77" s="46"/>
      <c r="AB77" s="48"/>
      <c r="AC77" s="59"/>
      <c r="AD77" s="49"/>
      <c r="AE77" s="49"/>
      <c r="AF77" s="33"/>
      <c r="AG77" s="441"/>
      <c r="AH77" s="441"/>
      <c r="AI77"/>
      <c r="AJ77" s="378"/>
      <c r="AK77" s="379"/>
      <c r="AL77" s="380">
        <f t="shared" si="51"/>
        <v>0</v>
      </c>
      <c r="AM77" s="381">
        <f t="shared" si="51"/>
        <v>0</v>
      </c>
      <c r="AN77" s="382">
        <f t="shared" si="51"/>
        <v>0</v>
      </c>
      <c r="AO77" s="382">
        <f t="shared" si="51"/>
        <v>0</v>
      </c>
      <c r="AP77" s="380">
        <f t="shared" si="51"/>
        <v>0</v>
      </c>
      <c r="AQ77" s="383"/>
      <c r="AR77" s="378">
        <f t="shared" si="52"/>
        <v>0</v>
      </c>
      <c r="AS77" s="382">
        <f t="shared" si="52"/>
        <v>0</v>
      </c>
      <c r="AT77" s="398"/>
      <c r="AU77" s="384">
        <f t="shared" si="26"/>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f>EC_2!D78+FS_2!D78+GT_2!D78+KZN_2!D78+LIM_2!D78+MPU_2!D78+NC_2!D78+NW_2!D78+WC_2!D78</f>
        <v>0</v>
      </c>
      <c r="E78" s="197">
        <f>EC_2!E78+FS_2!E78+GT_2!E78+KZN_2!E78+LIM_2!E78+MPU_2!E78+NC_2!E78+NW_2!E78+WC_2!E78</f>
        <v>0</v>
      </c>
      <c r="F78" s="48">
        <f>EC_2!F78+FS_2!F78+GT_2!F78+KZN_2!F78+LIM_2!F78+MPU_2!F78+NC_2!F78+NW_2!F78+WC_2!F78</f>
        <v>0</v>
      </c>
      <c r="G78" s="48">
        <f>EC_2!G78+FS_2!G78+GT_2!G78+KZN_2!G78+LIM_2!G78+MPU_2!G78+NC_2!G78+NW_2!G78+WC_2!G78</f>
        <v>0</v>
      </c>
      <c r="H78" s="94">
        <f>EC_2!H78+FS_2!H78+GT_2!H78+KZN_2!H78+LIM_2!H78+MPU_2!H78+NC_2!H78+NW_2!H78+WC_2!H78</f>
        <v>0</v>
      </c>
      <c r="I78" s="215">
        <f>EC_2!I78+FS_2!I78+GT_2!I78+KZN_2!I78+LIM_2!I78+MPU_2!I78+NC_2!I78+NW_2!I78+WC_2!I78</f>
        <v>0</v>
      </c>
      <c r="J78" s="46">
        <f>EC_2!J78+FS_2!J78+GT_2!J78+KZN_2!J78+LIM_2!J78+MPU_2!J78+NC_2!J78+NW_2!J78+WC_2!J78</f>
        <v>0</v>
      </c>
      <c r="K78" s="48">
        <f>EC_2!K78+FS_2!K78+GT_2!K78+KZN_2!K78+LIM_2!K78+MPU_2!K78+NC_2!K78+NW_2!K78+WC_2!K78</f>
        <v>0</v>
      </c>
      <c r="L78" s="59">
        <f>EC_2!L78+FS_2!L78+GT_2!L78+KZN_2!L78+LIM_2!L78+MPU_2!L78+NC_2!L78+NW_2!L78+WC_2!L78</f>
        <v>0</v>
      </c>
      <c r="M78" s="49">
        <f>EC_2!M78+FS_2!M78+GT_2!M78+KZN_2!M78+LIM_2!M78+MPU_2!M78+NC_2!M78+NW_2!M78+WC_2!M78</f>
        <v>0</v>
      </c>
      <c r="N78" s="49"/>
      <c r="O78" s="33"/>
      <c r="R78"/>
      <c r="S78" s="46"/>
      <c r="T78" s="50" t="s">
        <v>38</v>
      </c>
      <c r="U78" s="94"/>
      <c r="V78" s="197"/>
      <c r="W78" s="48"/>
      <c r="X78" s="48"/>
      <c r="Y78" s="94"/>
      <c r="Z78" s="215"/>
      <c r="AA78" s="46"/>
      <c r="AB78" s="48"/>
      <c r="AC78" s="59"/>
      <c r="AD78" s="49"/>
      <c r="AE78" s="49"/>
      <c r="AF78" s="33"/>
      <c r="AG78" s="441"/>
      <c r="AH78" s="441"/>
      <c r="AI78"/>
      <c r="AJ78" s="378"/>
      <c r="AK78" s="385" t="str">
        <f t="shared" si="24"/>
        <v>Schedule 4, Part A Grants1.</v>
      </c>
      <c r="AL78" s="380">
        <f t="shared" si="51"/>
        <v>0</v>
      </c>
      <c r="AM78" s="381">
        <f t="shared" si="51"/>
        <v>0</v>
      </c>
      <c r="AN78" s="382">
        <f t="shared" si="51"/>
        <v>0</v>
      </c>
      <c r="AO78" s="382">
        <f t="shared" si="51"/>
        <v>0</v>
      </c>
      <c r="AP78" s="380">
        <f t="shared" si="51"/>
        <v>0</v>
      </c>
      <c r="AQ78" s="383"/>
      <c r="AR78" s="378">
        <f t="shared" si="52"/>
        <v>0</v>
      </c>
      <c r="AS78" s="382">
        <f t="shared" si="52"/>
        <v>0</v>
      </c>
      <c r="AT78" s="398"/>
      <c r="AU78" s="384">
        <f t="shared" si="26"/>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518" customFormat="1" ht="8.25" customHeight="1" x14ac:dyDescent="0.3">
      <c r="A79" s="508"/>
      <c r="B79" s="550"/>
      <c r="C79" s="533"/>
      <c r="D79" s="551">
        <f>EC_2!D79+FS_2!D79+GT_2!D79+KZN_2!D79+LIM_2!D79+MPU_2!D79+NC_2!D79+NW_2!D79+WC_2!D79</f>
        <v>0</v>
      </c>
      <c r="E79" s="552">
        <f>EC_2!E79+FS_2!E79+GT_2!E79+KZN_2!E79+LIM_2!E79+MPU_2!E79+NC_2!E79+NW_2!E79+WC_2!E79</f>
        <v>0</v>
      </c>
      <c r="F79" s="553">
        <f>EC_2!F79+FS_2!F79+GT_2!F79+KZN_2!F79+LIM_2!F79+MPU_2!F79+NC_2!F79+NW_2!F79+WC_2!F79</f>
        <v>0</v>
      </c>
      <c r="G79" s="553">
        <f>EC_2!G79+FS_2!G79+GT_2!G79+KZN_2!G79+LIM_2!G79+MPU_2!G79+NC_2!G79+NW_2!G79+WC_2!G79</f>
        <v>0</v>
      </c>
      <c r="H79" s="551">
        <f>EC_2!H79+FS_2!H79+GT_2!H79+KZN_2!H79+LIM_2!H79+MPU_2!H79+NC_2!H79+NW_2!H79+WC_2!H79</f>
        <v>0</v>
      </c>
      <c r="I79" s="554">
        <f>EC_2!I79+FS_2!I79+GT_2!I79+KZN_2!I79+LIM_2!I79+MPU_2!I79+NC_2!I79+NW_2!I79+WC_2!I79</f>
        <v>0</v>
      </c>
      <c r="J79" s="550">
        <f>EC_2!J79+FS_2!J79+GT_2!J79+KZN_2!J79+LIM_2!J79+MPU_2!J79+NC_2!J79+NW_2!J79+WC_2!J79</f>
        <v>0</v>
      </c>
      <c r="K79" s="553">
        <f>EC_2!K79+FS_2!K79+GT_2!K79+KZN_2!K79+LIM_2!K79+MPU_2!K79+NC_2!K79+NW_2!K79+WC_2!K79</f>
        <v>0</v>
      </c>
      <c r="L79" s="513">
        <f>EC_2!L79+FS_2!L79+GT_2!L79+KZN_2!L79+LIM_2!L79+MPU_2!L79+NC_2!L79+NW_2!L79+WC_2!L79</f>
        <v>0</v>
      </c>
      <c r="M79" s="555">
        <f>EC_2!M79+FS_2!M79+GT_2!M79+KZN_2!M79+LIM_2!M79+MPU_2!M79+NC_2!M79+NW_2!M79+WC_2!M79</f>
        <v>0</v>
      </c>
      <c r="N79" s="555"/>
      <c r="O79" s="517"/>
      <c r="R79" s="508"/>
      <c r="S79" s="550"/>
      <c r="T79" s="533"/>
      <c r="U79" s="551"/>
      <c r="V79" s="552"/>
      <c r="W79" s="553"/>
      <c r="X79" s="553"/>
      <c r="Y79" s="551"/>
      <c r="Z79" s="554"/>
      <c r="AA79" s="550"/>
      <c r="AB79" s="553"/>
      <c r="AC79" s="513"/>
      <c r="AD79" s="555"/>
      <c r="AE79" s="555"/>
      <c r="AF79" s="517"/>
      <c r="AG79" s="519"/>
      <c r="AH79" s="519"/>
      <c r="AI79" s="508"/>
      <c r="AJ79" s="556"/>
      <c r="AK79" s="557">
        <f t="shared" ref="AK79:AK124" si="122">C79</f>
        <v>0</v>
      </c>
      <c r="AL79" s="558">
        <f t="shared" si="51"/>
        <v>0</v>
      </c>
      <c r="AM79" s="559">
        <f t="shared" si="51"/>
        <v>0</v>
      </c>
      <c r="AN79" s="560">
        <f t="shared" si="51"/>
        <v>0</v>
      </c>
      <c r="AO79" s="560">
        <f t="shared" si="51"/>
        <v>0</v>
      </c>
      <c r="AP79" s="558">
        <f t="shared" si="51"/>
        <v>0</v>
      </c>
      <c r="AQ79" s="561"/>
      <c r="AR79" s="556">
        <f t="shared" si="52"/>
        <v>0</v>
      </c>
      <c r="AS79" s="560">
        <f t="shared" si="52"/>
        <v>0</v>
      </c>
      <c r="AT79" s="524"/>
      <c r="AU79" s="562">
        <f t="shared" ref="AU79:AU124" si="123">IFERROR(AD79-M79,0)</f>
        <v>0</v>
      </c>
      <c r="AV79" s="562"/>
      <c r="AW79" s="528"/>
      <c r="AX79" s="508"/>
      <c r="AY79" s="508"/>
      <c r="AZ79" s="508"/>
      <c r="BA79" s="508"/>
      <c r="BB79" s="508"/>
      <c r="BC79" s="508"/>
      <c r="BD79" s="508"/>
      <c r="BE79" s="508"/>
      <c r="BF79" s="508"/>
      <c r="BG79" s="508"/>
      <c r="BH79" s="508"/>
      <c r="BI79" s="508"/>
      <c r="BJ79" s="508"/>
      <c r="BK79" s="508"/>
      <c r="BL79" s="508"/>
      <c r="BM79" s="508"/>
      <c r="BN79" s="508"/>
      <c r="BO79" s="508"/>
      <c r="BP79" s="508"/>
      <c r="BQ79" s="508"/>
      <c r="BR79" s="508"/>
      <c r="BS79" s="508"/>
      <c r="BT79" s="508"/>
      <c r="BU79" s="508"/>
      <c r="BV79" s="508"/>
      <c r="BW79" s="508"/>
      <c r="BX79" s="508"/>
      <c r="BY79" s="508"/>
      <c r="BZ79" s="508"/>
      <c r="CA79" s="508"/>
      <c r="CB79" s="508"/>
      <c r="CC79" s="508"/>
      <c r="CD79" s="508"/>
    </row>
    <row r="80" spans="1:82" s="35" customFormat="1" ht="15.75" customHeight="1" x14ac:dyDescent="0.3">
      <c r="A80"/>
      <c r="B80" s="62"/>
      <c r="C80" s="51" t="s">
        <v>22</v>
      </c>
      <c r="D80" s="95">
        <f>EC_2!D80+FS_2!D80+GT_2!D80+KZN_2!D80+LIM_2!D80+MPU_2!D80+NC_2!D80+NW_2!D80+WC_2!D80</f>
        <v>10514478</v>
      </c>
      <c r="E80" s="198">
        <f>EC_2!E80+FS_2!E80+GT_2!E80+KZN_2!E80+LIM_2!E80+MPU_2!E80+NC_2!E80+NW_2!E80+WC_2!E80</f>
        <v>0</v>
      </c>
      <c r="F80" s="54">
        <f>EC_2!F80+FS_2!F80+GT_2!F80+KZN_2!F80+LIM_2!F80+MPU_2!F80+NC_2!F80+NW_2!F80+WC_2!F80</f>
        <v>10514478</v>
      </c>
      <c r="G80" s="54">
        <f>EC_2!G80+FS_2!G80+GT_2!G80+KZN_2!G80+LIM_2!G80+MPU_2!G80+NC_2!G80+NW_2!G80+WC_2!G80</f>
        <v>365917</v>
      </c>
      <c r="H80" s="95">
        <f>EC_2!H80+FS_2!H80+GT_2!H80+KZN_2!H80+LIM_2!H80+MPU_2!H80+NC_2!H80+NW_2!H80+WC_2!H80</f>
        <v>10880395</v>
      </c>
      <c r="I80" s="216">
        <f>EC_2!I80+FS_2!I80+GT_2!I80+KZN_2!I80+LIM_2!I80+MPU_2!I80+NC_2!I80+NW_2!I80+WC_2!I80</f>
        <v>0</v>
      </c>
      <c r="J80" s="101">
        <f>EC_2!J80+FS_2!J80+GT_2!J80+KZN_2!J80+LIM_2!J80+MPU_2!J80+NC_2!J80+NW_2!J80+WC_2!J80</f>
        <v>10514478</v>
      </c>
      <c r="K80" s="54">
        <f>EC_2!K80+FS_2!K80+GT_2!K80+KZN_2!K80+LIM_2!K80+MPU_2!K80+NC_2!K80+NW_2!K80+WC_2!K80</f>
        <v>10514478</v>
      </c>
      <c r="L80" s="54">
        <f>EC_2!L80+FS_2!L80+GT_2!L80+KZN_2!L80+LIM_2!L80+MPU_2!L80+NC_2!L80+NW_2!L80+WC_2!L80</f>
        <v>0</v>
      </c>
      <c r="M80" s="589">
        <f>SUM(M81)</f>
        <v>10728168</v>
      </c>
      <c r="N80" s="590">
        <f t="shared" ref="N80:N81" si="124">IFERROR(M80/H80,0)</f>
        <v>0.9860090557374066</v>
      </c>
      <c r="O80" s="55"/>
      <c r="P80" s="66"/>
      <c r="Q80" s="66"/>
      <c r="R80"/>
      <c r="S80" s="62"/>
      <c r="T80" s="51" t="str">
        <f>C80</f>
        <v>Basic Education (Vote 14)</v>
      </c>
      <c r="U80" s="95">
        <v>10514478</v>
      </c>
      <c r="V80" s="198">
        <v>0</v>
      </c>
      <c r="W80" s="54">
        <v>10514478</v>
      </c>
      <c r="X80" s="54">
        <v>0</v>
      </c>
      <c r="Y80" s="95">
        <v>10514478</v>
      </c>
      <c r="Z80" s="216"/>
      <c r="AA80" s="101">
        <v>6571550</v>
      </c>
      <c r="AB80" s="54">
        <v>6571550</v>
      </c>
      <c r="AC80" s="59"/>
      <c r="AD80" s="54"/>
      <c r="AE80" s="54"/>
      <c r="AF80" s="55"/>
      <c r="AG80" s="442"/>
      <c r="AH80" s="442"/>
      <c r="AI80"/>
      <c r="AJ80" s="402"/>
      <c r="AK80" s="480" t="str">
        <f t="shared" si="122"/>
        <v>Basic Education (Vote 14)</v>
      </c>
      <c r="AL80" s="388">
        <f t="shared" si="51"/>
        <v>0</v>
      </c>
      <c r="AM80" s="389">
        <f t="shared" si="51"/>
        <v>0</v>
      </c>
      <c r="AN80" s="390">
        <f t="shared" si="51"/>
        <v>0</v>
      </c>
      <c r="AO80" s="390">
        <f t="shared" si="51"/>
        <v>-365917</v>
      </c>
      <c r="AP80" s="388">
        <f t="shared" si="51"/>
        <v>-365917</v>
      </c>
      <c r="AQ80" s="391"/>
      <c r="AR80" s="392">
        <f t="shared" si="52"/>
        <v>-3942928</v>
      </c>
      <c r="AS80" s="390">
        <f t="shared" si="52"/>
        <v>-3942928</v>
      </c>
      <c r="AT80" s="398"/>
      <c r="AU80" s="390">
        <f t="shared" si="123"/>
        <v>-10728168</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52" customFormat="1" ht="15.75" customHeight="1" x14ac:dyDescent="0.3">
      <c r="A81"/>
      <c r="B81" s="57"/>
      <c r="C81" s="58" t="s">
        <v>39</v>
      </c>
      <c r="D81" s="96">
        <f>EC_2!D81+FS_2!D81+GT_2!D81+KZN_2!D81+LIM_2!D81+MPU_2!D81+NC_2!D81+NW_2!D81+WC_2!D81</f>
        <v>10514478</v>
      </c>
      <c r="E81" s="199">
        <f>EC_2!E81+FS_2!E81+GT_2!E81+KZN_2!E81+LIM_2!E81+MPU_2!E81+NC_2!E81+NW_2!E81+WC_2!E81</f>
        <v>0</v>
      </c>
      <c r="F81" s="59">
        <f>EC_2!F81+FS_2!F81+GT_2!F81+KZN_2!F81+LIM_2!F81+MPU_2!F81+NC_2!F81+NW_2!F81+WC_2!F81</f>
        <v>10514478</v>
      </c>
      <c r="G81" s="59">
        <f>EC_2!G81+FS_2!G81+GT_2!G81+KZN_2!G81+LIM_2!G81+MPU_2!G81+NC_2!G81+NW_2!G81+WC_2!G81</f>
        <v>365917</v>
      </c>
      <c r="H81" s="96">
        <f>EC_2!H81+FS_2!H81+GT_2!H81+KZN_2!H81+LIM_2!H81+MPU_2!H81+NC_2!H81+NW_2!H81+WC_2!H81</f>
        <v>10880395</v>
      </c>
      <c r="I81" s="217">
        <f>EC_2!I81+FS_2!I81+GT_2!I81+KZN_2!I81+LIM_2!I81+MPU_2!I81+NC_2!I81+NW_2!I81+WC_2!I81</f>
        <v>0</v>
      </c>
      <c r="J81" s="102">
        <f>EC_2!J81+FS_2!J81+GT_2!J81+KZN_2!J81+LIM_2!J81+MPU_2!J81+NC_2!J81+NW_2!J81+WC_2!J81</f>
        <v>10514478</v>
      </c>
      <c r="K81" s="59">
        <f>EC_2!K81+FS_2!K81+GT_2!K81+KZN_2!K81+LIM_2!K81+MPU_2!K81+NC_2!K81+NW_2!K81+WC_2!K81</f>
        <v>10514478</v>
      </c>
      <c r="L81" s="59">
        <f>EC_2!L81+FS_2!L81+GT_2!L81+KZN_2!L81+LIM_2!L81+MPU_2!L81+NC_2!L81+NW_2!L81+WC_2!L81</f>
        <v>0</v>
      </c>
      <c r="M81" s="76">
        <v>10728168</v>
      </c>
      <c r="N81" s="439">
        <f t="shared" si="124"/>
        <v>0.9860090557374066</v>
      </c>
      <c r="O81" s="33"/>
      <c r="P81" s="35"/>
      <c r="Q81" s="35"/>
      <c r="R81"/>
      <c r="S81" s="57"/>
      <c r="T81" s="58" t="str">
        <f t="shared" ref="T81:T85" si="125">C81</f>
        <v>Education Infrastructure Grant</v>
      </c>
      <c r="U81" s="96">
        <v>10514478</v>
      </c>
      <c r="V81" s="199">
        <v>0</v>
      </c>
      <c r="W81" s="59">
        <v>10514478</v>
      </c>
      <c r="X81" s="59">
        <v>0</v>
      </c>
      <c r="Y81" s="96">
        <v>10514478</v>
      </c>
      <c r="Z81" s="217"/>
      <c r="AA81" s="102">
        <v>6571550</v>
      </c>
      <c r="AB81" s="59">
        <v>6571550</v>
      </c>
      <c r="AC81" s="59"/>
      <c r="AD81" s="76"/>
      <c r="AE81" s="76"/>
      <c r="AF81" s="33"/>
      <c r="AG81" s="441"/>
      <c r="AH81" s="441"/>
      <c r="AI81"/>
      <c r="AJ81" s="394"/>
      <c r="AK81" s="479" t="str">
        <f>C81</f>
        <v>Education Infrastructure Grant</v>
      </c>
      <c r="AL81" s="396">
        <f>IFERROR(U81-D81,0)</f>
        <v>0</v>
      </c>
      <c r="AM81" s="397">
        <f t="shared" ref="AM81:AM85" si="126">IFERROR(V81-E81,0)</f>
        <v>0</v>
      </c>
      <c r="AN81" s="398">
        <f t="shared" ref="AN81:AN85" si="127">IFERROR(W81-F81,0)</f>
        <v>0</v>
      </c>
      <c r="AO81" s="398">
        <f t="shared" ref="AO81:AO85" si="128">IFERROR(X81-G81,0)</f>
        <v>-365917</v>
      </c>
      <c r="AP81" s="396">
        <f t="shared" ref="AP81:AP85" si="129">IFERROR(Y81-H81,0)</f>
        <v>-365917</v>
      </c>
      <c r="AQ81" s="399"/>
      <c r="AR81" s="400">
        <f t="shared" si="52"/>
        <v>-3942928</v>
      </c>
      <c r="AS81" s="398">
        <f t="shared" si="52"/>
        <v>-3942928</v>
      </c>
      <c r="AT81" s="398"/>
      <c r="AU81" s="417">
        <f>IFERROR(AD81-M81,0)</f>
        <v>-10728168</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530" customFormat="1" ht="15.75" customHeight="1" x14ac:dyDescent="0.3">
      <c r="A82" s="508"/>
      <c r="B82" s="509"/>
      <c r="C82" s="510"/>
      <c r="D82" s="511">
        <f>EC_2!D82+FS_2!D82+GT_2!D82+KZN_2!D82+LIM_2!D82+MPU_2!D82+NC_2!D82+NW_2!D82+WC_2!D82</f>
        <v>0</v>
      </c>
      <c r="E82" s="512">
        <f>EC_2!E82+FS_2!E82+GT_2!E82+KZN_2!E82+LIM_2!E82+MPU_2!E82+NC_2!E82+NW_2!E82+WC_2!E82</f>
        <v>0</v>
      </c>
      <c r="F82" s="513">
        <f>EC_2!F82+FS_2!F82+GT_2!F82+KZN_2!F82+LIM_2!F82+MPU_2!F82+NC_2!F82+NW_2!F82+WC_2!F82</f>
        <v>0</v>
      </c>
      <c r="G82" s="513">
        <f>EC_2!G82+FS_2!G82+GT_2!G82+KZN_2!G82+LIM_2!G82+MPU_2!G82+NC_2!G82+NW_2!G82+WC_2!G82</f>
        <v>0</v>
      </c>
      <c r="H82" s="511">
        <f>EC_2!H82+FS_2!H82+GT_2!H82+KZN_2!H82+LIM_2!H82+MPU_2!H82+NC_2!H82+NW_2!H82+WC_2!H82</f>
        <v>0</v>
      </c>
      <c r="I82" s="514">
        <f>EC_2!I82+FS_2!I82+GT_2!I82+KZN_2!I82+LIM_2!I82+MPU_2!I82+NC_2!I82+NW_2!I82+WC_2!I82</f>
        <v>0</v>
      </c>
      <c r="J82" s="515">
        <f>EC_2!J82+FS_2!J82+GT_2!J82+KZN_2!J82+LIM_2!J82+MPU_2!J82+NC_2!J82+NW_2!J82+WC_2!J82</f>
        <v>0</v>
      </c>
      <c r="K82" s="513">
        <f>EC_2!K82+FS_2!K82+GT_2!K82+KZN_2!K82+LIM_2!K82+MPU_2!K82+NC_2!K82+NW_2!K82+WC_2!K82</f>
        <v>0</v>
      </c>
      <c r="L82" s="513">
        <f>EC_2!L82+FS_2!L82+GT_2!L82+KZN_2!L82+LIM_2!L82+MPU_2!L82+NC_2!L82+NW_2!L82+WC_2!L82</f>
        <v>0</v>
      </c>
      <c r="M82" s="513">
        <f>EC_2!M82+FS_2!M82+GT_2!M82+KZN_2!M82+LIM_2!M82+MPU_2!M82+NC_2!M82+NW_2!M82+WC_2!M82</f>
        <v>0</v>
      </c>
      <c r="N82" s="516"/>
      <c r="O82" s="517"/>
      <c r="P82" s="518"/>
      <c r="Q82" s="518"/>
      <c r="R82" s="508"/>
      <c r="S82" s="509"/>
      <c r="T82" s="510">
        <f t="shared" si="125"/>
        <v>0</v>
      </c>
      <c r="U82" s="511">
        <v>0</v>
      </c>
      <c r="V82" s="512">
        <v>0</v>
      </c>
      <c r="W82" s="513">
        <v>0</v>
      </c>
      <c r="X82" s="513">
        <v>0</v>
      </c>
      <c r="Y82" s="511">
        <v>0</v>
      </c>
      <c r="Z82" s="514"/>
      <c r="AA82" s="515">
        <v>0</v>
      </c>
      <c r="AB82" s="513">
        <v>0</v>
      </c>
      <c r="AC82" s="513"/>
      <c r="AD82" s="513"/>
      <c r="AE82" s="513"/>
      <c r="AF82" s="517"/>
      <c r="AG82" s="519"/>
      <c r="AH82" s="519"/>
      <c r="AI82" s="508"/>
      <c r="AJ82" s="520"/>
      <c r="AK82" s="521">
        <f t="shared" ref="AK82:AK85" si="130">C82</f>
        <v>0</v>
      </c>
      <c r="AL82" s="522">
        <f t="shared" ref="AL82:AL85" si="131">IFERROR(U82-D82,0)</f>
        <v>0</v>
      </c>
      <c r="AM82" s="523">
        <f t="shared" si="126"/>
        <v>0</v>
      </c>
      <c r="AN82" s="524">
        <f t="shared" si="127"/>
        <v>0</v>
      </c>
      <c r="AO82" s="524">
        <f t="shared" si="128"/>
        <v>0</v>
      </c>
      <c r="AP82" s="522">
        <f t="shared" si="129"/>
        <v>0</v>
      </c>
      <c r="AQ82" s="525"/>
      <c r="AR82" s="526">
        <f t="shared" si="52"/>
        <v>0</v>
      </c>
      <c r="AS82" s="524">
        <f t="shared" si="52"/>
        <v>0</v>
      </c>
      <c r="AT82" s="524"/>
      <c r="AU82" s="524">
        <f t="shared" ref="AU82:AU85" si="132">IFERROR(AD82-M82,0)</f>
        <v>0</v>
      </c>
      <c r="AV82" s="524"/>
      <c r="AW82" s="528"/>
      <c r="AX82" s="508"/>
      <c r="AY82" s="508"/>
      <c r="AZ82" s="508"/>
      <c r="BA82" s="508"/>
      <c r="BB82" s="508"/>
      <c r="BC82" s="508"/>
      <c r="BD82" s="508"/>
      <c r="BE82" s="508"/>
      <c r="BF82" s="508"/>
      <c r="BG82" s="508"/>
      <c r="BH82" s="508"/>
      <c r="BI82" s="508"/>
      <c r="BJ82" s="508"/>
      <c r="BK82" s="508"/>
      <c r="BL82" s="508"/>
      <c r="BM82" s="508"/>
      <c r="BN82" s="508"/>
      <c r="BO82" s="508"/>
      <c r="BP82" s="508"/>
      <c r="BQ82" s="508"/>
      <c r="BR82" s="508"/>
      <c r="BS82" s="508"/>
      <c r="BT82" s="508"/>
      <c r="BU82" s="508"/>
      <c r="BV82" s="508"/>
      <c r="BW82" s="508"/>
      <c r="BX82" s="508"/>
      <c r="BY82" s="508"/>
      <c r="BZ82" s="508"/>
      <c r="CA82" s="508"/>
      <c r="CB82" s="508"/>
      <c r="CC82" s="508"/>
      <c r="CD82" s="508"/>
    </row>
    <row r="83" spans="1:82" s="530" customFormat="1" ht="15.75" customHeight="1" x14ac:dyDescent="0.3">
      <c r="A83" s="508"/>
      <c r="B83" s="509"/>
      <c r="C83" s="510"/>
      <c r="D83" s="511">
        <f>EC_2!D83+FS_2!D83+GT_2!D83+KZN_2!D83+LIM_2!D83+MPU_2!D83+NC_2!D83+NW_2!D83+WC_2!D83</f>
        <v>0</v>
      </c>
      <c r="E83" s="512">
        <f>EC_2!E83+FS_2!E83+GT_2!E83+KZN_2!E83+LIM_2!E83+MPU_2!E83+NC_2!E83+NW_2!E83+WC_2!E83</f>
        <v>0</v>
      </c>
      <c r="F83" s="513">
        <f>EC_2!F83+FS_2!F83+GT_2!F83+KZN_2!F83+LIM_2!F83+MPU_2!F83+NC_2!F83+NW_2!F83+WC_2!F83</f>
        <v>0</v>
      </c>
      <c r="G83" s="513">
        <f>EC_2!G83+FS_2!G83+GT_2!G83+KZN_2!G83+LIM_2!G83+MPU_2!G83+NC_2!G83+NW_2!G83+WC_2!G83</f>
        <v>0</v>
      </c>
      <c r="H83" s="511">
        <f>EC_2!H83+FS_2!H83+GT_2!H83+KZN_2!H83+LIM_2!H83+MPU_2!H83+NC_2!H83+NW_2!H83+WC_2!H83</f>
        <v>0</v>
      </c>
      <c r="I83" s="514">
        <f>EC_2!I83+FS_2!I83+GT_2!I83+KZN_2!I83+LIM_2!I83+MPU_2!I83+NC_2!I83+NW_2!I83+WC_2!I83</f>
        <v>0</v>
      </c>
      <c r="J83" s="515">
        <f>EC_2!J83+FS_2!J83+GT_2!J83+KZN_2!J83+LIM_2!J83+MPU_2!J83+NC_2!J83+NW_2!J83+WC_2!J83</f>
        <v>0</v>
      </c>
      <c r="K83" s="513">
        <f>EC_2!K83+FS_2!K83+GT_2!K83+KZN_2!K83+LIM_2!K83+MPU_2!K83+NC_2!K83+NW_2!K83+WC_2!K83</f>
        <v>0</v>
      </c>
      <c r="L83" s="513">
        <f>EC_2!L83+FS_2!L83+GT_2!L83+KZN_2!L83+LIM_2!L83+MPU_2!L83+NC_2!L83+NW_2!L83+WC_2!L83</f>
        <v>0</v>
      </c>
      <c r="M83" s="513">
        <f>EC_2!M83+FS_2!M83+GT_2!M83+KZN_2!M83+LIM_2!M83+MPU_2!M83+NC_2!M83+NW_2!M83+WC_2!M83</f>
        <v>0</v>
      </c>
      <c r="N83" s="516"/>
      <c r="O83" s="517"/>
      <c r="P83" s="518"/>
      <c r="Q83" s="518"/>
      <c r="R83" s="508"/>
      <c r="S83" s="509"/>
      <c r="T83" s="510">
        <f t="shared" si="125"/>
        <v>0</v>
      </c>
      <c r="U83" s="511">
        <v>0</v>
      </c>
      <c r="V83" s="512">
        <v>0</v>
      </c>
      <c r="W83" s="513">
        <v>0</v>
      </c>
      <c r="X83" s="513">
        <v>0</v>
      </c>
      <c r="Y83" s="511">
        <v>0</v>
      </c>
      <c r="Z83" s="514"/>
      <c r="AA83" s="515">
        <v>0</v>
      </c>
      <c r="AB83" s="513">
        <v>0</v>
      </c>
      <c r="AC83" s="513"/>
      <c r="AD83" s="513"/>
      <c r="AE83" s="513"/>
      <c r="AF83" s="517"/>
      <c r="AG83" s="519"/>
      <c r="AH83" s="519"/>
      <c r="AI83" s="508"/>
      <c r="AJ83" s="520"/>
      <c r="AK83" s="521">
        <f t="shared" si="130"/>
        <v>0</v>
      </c>
      <c r="AL83" s="522">
        <f t="shared" si="131"/>
        <v>0</v>
      </c>
      <c r="AM83" s="523">
        <f t="shared" si="126"/>
        <v>0</v>
      </c>
      <c r="AN83" s="524">
        <f t="shared" si="127"/>
        <v>0</v>
      </c>
      <c r="AO83" s="524">
        <f t="shared" si="128"/>
        <v>0</v>
      </c>
      <c r="AP83" s="522">
        <f t="shared" si="129"/>
        <v>0</v>
      </c>
      <c r="AQ83" s="525"/>
      <c r="AR83" s="526">
        <f t="shared" si="52"/>
        <v>0</v>
      </c>
      <c r="AS83" s="524">
        <f t="shared" si="52"/>
        <v>0</v>
      </c>
      <c r="AT83" s="524"/>
      <c r="AU83" s="524">
        <f t="shared" si="132"/>
        <v>0</v>
      </c>
      <c r="AV83" s="524"/>
      <c r="AW83" s="528"/>
      <c r="AX83" s="508"/>
      <c r="AY83" s="508"/>
      <c r="AZ83" s="508"/>
      <c r="BA83" s="508"/>
      <c r="BB83" s="508"/>
      <c r="BC83" s="508"/>
      <c r="BD83" s="508"/>
      <c r="BE83" s="508"/>
      <c r="BF83" s="508"/>
      <c r="BG83" s="508"/>
      <c r="BH83" s="508"/>
      <c r="BI83" s="508"/>
      <c r="BJ83" s="508"/>
      <c r="BK83" s="508"/>
      <c r="BL83" s="508"/>
      <c r="BM83" s="508"/>
      <c r="BN83" s="508"/>
      <c r="BO83" s="508"/>
      <c r="BP83" s="508"/>
      <c r="BQ83" s="508"/>
      <c r="BR83" s="508"/>
      <c r="BS83" s="508"/>
      <c r="BT83" s="508"/>
      <c r="BU83" s="508"/>
      <c r="BV83" s="508"/>
      <c r="BW83" s="508"/>
      <c r="BX83" s="508"/>
      <c r="BY83" s="508"/>
      <c r="BZ83" s="508"/>
      <c r="CA83" s="508"/>
      <c r="CB83" s="508"/>
      <c r="CC83" s="508"/>
      <c r="CD83" s="508"/>
    </row>
    <row r="84" spans="1:82" s="518" customFormat="1" ht="15.75" customHeight="1" x14ac:dyDescent="0.3">
      <c r="A84" s="508"/>
      <c r="B84" s="509"/>
      <c r="C84" s="510"/>
      <c r="D84" s="511">
        <f>EC_2!D84+FS_2!D84+GT_2!D84+KZN_2!D84+LIM_2!D84+MPU_2!D84+NC_2!D84+NW_2!D84+WC_2!D84</f>
        <v>0</v>
      </c>
      <c r="E84" s="512">
        <f>EC_2!E84+FS_2!E84+GT_2!E84+KZN_2!E84+LIM_2!E84+MPU_2!E84+NC_2!E84+NW_2!E84+WC_2!E84</f>
        <v>0</v>
      </c>
      <c r="F84" s="513">
        <f>EC_2!F84+FS_2!F84+GT_2!F84+KZN_2!F84+LIM_2!F84+MPU_2!F84+NC_2!F84+NW_2!F84+WC_2!F84</f>
        <v>0</v>
      </c>
      <c r="G84" s="513">
        <f>EC_2!G84+FS_2!G84+GT_2!G84+KZN_2!G84+LIM_2!G84+MPU_2!G84+NC_2!G84+NW_2!G84+WC_2!G84</f>
        <v>0</v>
      </c>
      <c r="H84" s="511">
        <f>EC_2!H84+FS_2!H84+GT_2!H84+KZN_2!H84+LIM_2!H84+MPU_2!H84+NC_2!H84+NW_2!H84+WC_2!H84</f>
        <v>0</v>
      </c>
      <c r="I84" s="514">
        <f>EC_2!I84+FS_2!I84+GT_2!I84+KZN_2!I84+LIM_2!I84+MPU_2!I84+NC_2!I84+NW_2!I84+WC_2!I84</f>
        <v>0</v>
      </c>
      <c r="J84" s="515">
        <f>EC_2!J84+FS_2!J84+GT_2!J84+KZN_2!J84+LIM_2!J84+MPU_2!J84+NC_2!J84+NW_2!J84+WC_2!J84</f>
        <v>0</v>
      </c>
      <c r="K84" s="513">
        <f>EC_2!K84+FS_2!K84+GT_2!K84+KZN_2!K84+LIM_2!K84+MPU_2!K84+NC_2!K84+NW_2!K84+WC_2!K84</f>
        <v>0</v>
      </c>
      <c r="L84" s="513">
        <f>EC_2!L84+FS_2!L84+GT_2!L84+KZN_2!L84+LIM_2!L84+MPU_2!L84+NC_2!L84+NW_2!L84+WC_2!L84</f>
        <v>0</v>
      </c>
      <c r="M84" s="513">
        <f>EC_2!M84+FS_2!M84+GT_2!M84+KZN_2!M84+LIM_2!M84+MPU_2!M84+NC_2!M84+NW_2!M84+WC_2!M84</f>
        <v>0</v>
      </c>
      <c r="N84" s="516"/>
      <c r="O84" s="517"/>
      <c r="R84" s="508"/>
      <c r="S84" s="509"/>
      <c r="T84" s="510">
        <f t="shared" si="125"/>
        <v>0</v>
      </c>
      <c r="U84" s="511">
        <v>0</v>
      </c>
      <c r="V84" s="512">
        <v>0</v>
      </c>
      <c r="W84" s="513">
        <v>0</v>
      </c>
      <c r="X84" s="513">
        <v>0</v>
      </c>
      <c r="Y84" s="511">
        <v>0</v>
      </c>
      <c r="Z84" s="514"/>
      <c r="AA84" s="515">
        <v>0</v>
      </c>
      <c r="AB84" s="513">
        <v>0</v>
      </c>
      <c r="AC84" s="513"/>
      <c r="AD84" s="513"/>
      <c r="AE84" s="513"/>
      <c r="AF84" s="517"/>
      <c r="AG84" s="519"/>
      <c r="AH84" s="519"/>
      <c r="AI84" s="508"/>
      <c r="AJ84" s="520"/>
      <c r="AK84" s="521">
        <f t="shared" si="130"/>
        <v>0</v>
      </c>
      <c r="AL84" s="522">
        <f t="shared" si="131"/>
        <v>0</v>
      </c>
      <c r="AM84" s="523">
        <f t="shared" si="126"/>
        <v>0</v>
      </c>
      <c r="AN84" s="524">
        <f t="shared" si="127"/>
        <v>0</v>
      </c>
      <c r="AO84" s="524">
        <f t="shared" si="128"/>
        <v>0</v>
      </c>
      <c r="AP84" s="522">
        <f t="shared" si="129"/>
        <v>0</v>
      </c>
      <c r="AQ84" s="525"/>
      <c r="AR84" s="526">
        <f t="shared" si="52"/>
        <v>0</v>
      </c>
      <c r="AS84" s="524">
        <f t="shared" si="52"/>
        <v>0</v>
      </c>
      <c r="AT84" s="524"/>
      <c r="AU84" s="524">
        <f t="shared" si="132"/>
        <v>0</v>
      </c>
      <c r="AV84" s="524"/>
      <c r="AW84" s="528"/>
      <c r="AX84" s="508"/>
      <c r="AY84" s="508"/>
      <c r="AZ84" s="508"/>
      <c r="BA84" s="508"/>
      <c r="BB84" s="508"/>
      <c r="BC84" s="508"/>
      <c r="BD84" s="508"/>
      <c r="BE84" s="508"/>
      <c r="BF84" s="508"/>
      <c r="BG84" s="508"/>
      <c r="BH84" s="508"/>
      <c r="BI84" s="508"/>
      <c r="BJ84" s="508"/>
      <c r="BK84" s="508"/>
      <c r="BL84" s="508"/>
      <c r="BM84" s="508"/>
      <c r="BN84" s="508"/>
      <c r="BO84" s="508"/>
      <c r="BP84" s="508"/>
      <c r="BQ84" s="508"/>
      <c r="BR84" s="508"/>
      <c r="BS84" s="508"/>
      <c r="BT84" s="508"/>
      <c r="BU84" s="508"/>
      <c r="BV84" s="508"/>
      <c r="BW84" s="508"/>
      <c r="BX84" s="508"/>
      <c r="BY84" s="508"/>
      <c r="BZ84" s="508"/>
      <c r="CA84" s="508"/>
      <c r="CB84" s="508"/>
      <c r="CC84" s="508"/>
      <c r="CD84" s="508"/>
    </row>
    <row r="85" spans="1:82" s="549" customFormat="1" ht="15.75" customHeight="1" x14ac:dyDescent="0.3">
      <c r="A85" s="508"/>
      <c r="B85" s="509"/>
      <c r="C85" s="510"/>
      <c r="D85" s="511">
        <f>EC_2!D85+FS_2!D85+GT_2!D85+KZN_2!D85+LIM_2!D85+MPU_2!D85+NC_2!D85+NW_2!D85+WC_2!D85</f>
        <v>0</v>
      </c>
      <c r="E85" s="512">
        <f>EC_2!E85+FS_2!E85+GT_2!E85+KZN_2!E85+LIM_2!E85+MPU_2!E85+NC_2!E85+NW_2!E85+WC_2!E85</f>
        <v>0</v>
      </c>
      <c r="F85" s="513">
        <f>EC_2!F85+FS_2!F85+GT_2!F85+KZN_2!F85+LIM_2!F85+MPU_2!F85+NC_2!F85+NW_2!F85+WC_2!F85</f>
        <v>0</v>
      </c>
      <c r="G85" s="513">
        <f>EC_2!G85+FS_2!G85+GT_2!G85+KZN_2!G85+LIM_2!G85+MPU_2!G85+NC_2!G85+NW_2!G85+WC_2!G85</f>
        <v>0</v>
      </c>
      <c r="H85" s="511">
        <f>EC_2!H85+FS_2!H85+GT_2!H85+KZN_2!H85+LIM_2!H85+MPU_2!H85+NC_2!H85+NW_2!H85+WC_2!H85</f>
        <v>0</v>
      </c>
      <c r="I85" s="514">
        <f>EC_2!I85+FS_2!I85+GT_2!I85+KZN_2!I85+LIM_2!I85+MPU_2!I85+NC_2!I85+NW_2!I85+WC_2!I85</f>
        <v>0</v>
      </c>
      <c r="J85" s="515">
        <f>EC_2!J85+FS_2!J85+GT_2!J85+KZN_2!J85+LIM_2!J85+MPU_2!J85+NC_2!J85+NW_2!J85+WC_2!J85</f>
        <v>0</v>
      </c>
      <c r="K85" s="513">
        <f>EC_2!K85+FS_2!K85+GT_2!K85+KZN_2!K85+LIM_2!K85+MPU_2!K85+NC_2!K85+NW_2!K85+WC_2!K85</f>
        <v>0</v>
      </c>
      <c r="L85" s="513">
        <f>EC_2!L85+FS_2!L85+GT_2!L85+KZN_2!L85+LIM_2!L85+MPU_2!L85+NC_2!L85+NW_2!L85+WC_2!L85</f>
        <v>0</v>
      </c>
      <c r="M85" s="513">
        <f>EC_2!M85+FS_2!M85+GT_2!M85+KZN_2!M85+LIM_2!M85+MPU_2!M85+NC_2!M85+NW_2!M85+WC_2!M85</f>
        <v>0</v>
      </c>
      <c r="N85" s="516"/>
      <c r="O85" s="517"/>
      <c r="P85" s="530"/>
      <c r="Q85" s="530"/>
      <c r="R85" s="508"/>
      <c r="S85" s="509"/>
      <c r="T85" s="510">
        <f t="shared" si="125"/>
        <v>0</v>
      </c>
      <c r="U85" s="511">
        <v>0</v>
      </c>
      <c r="V85" s="512">
        <v>0</v>
      </c>
      <c r="W85" s="513">
        <v>0</v>
      </c>
      <c r="X85" s="513">
        <v>0</v>
      </c>
      <c r="Y85" s="511">
        <v>0</v>
      </c>
      <c r="Z85" s="514"/>
      <c r="AA85" s="515">
        <v>0</v>
      </c>
      <c r="AB85" s="513">
        <v>0</v>
      </c>
      <c r="AC85" s="513"/>
      <c r="AD85" s="513"/>
      <c r="AE85" s="513"/>
      <c r="AF85" s="517"/>
      <c r="AG85" s="519"/>
      <c r="AH85" s="519"/>
      <c r="AI85" s="508"/>
      <c r="AJ85" s="520"/>
      <c r="AK85" s="521">
        <f t="shared" si="130"/>
        <v>0</v>
      </c>
      <c r="AL85" s="522">
        <f t="shared" si="131"/>
        <v>0</v>
      </c>
      <c r="AM85" s="523">
        <f t="shared" si="126"/>
        <v>0</v>
      </c>
      <c r="AN85" s="524">
        <f t="shared" si="127"/>
        <v>0</v>
      </c>
      <c r="AO85" s="524">
        <f t="shared" si="128"/>
        <v>0</v>
      </c>
      <c r="AP85" s="522">
        <f t="shared" si="129"/>
        <v>0</v>
      </c>
      <c r="AQ85" s="525"/>
      <c r="AR85" s="526">
        <f t="shared" si="52"/>
        <v>0</v>
      </c>
      <c r="AS85" s="524">
        <f t="shared" si="52"/>
        <v>0</v>
      </c>
      <c r="AT85" s="524"/>
      <c r="AU85" s="524">
        <f t="shared" si="132"/>
        <v>0</v>
      </c>
      <c r="AV85" s="524"/>
      <c r="AW85" s="528"/>
      <c r="AX85" s="508"/>
      <c r="AY85" s="508"/>
      <c r="AZ85" s="508"/>
      <c r="BA85" s="508"/>
      <c r="BB85" s="508"/>
      <c r="BC85" s="508"/>
      <c r="BD85" s="508"/>
      <c r="BE85" s="508"/>
      <c r="BF85" s="508"/>
      <c r="BG85" s="508"/>
      <c r="BH85" s="508"/>
      <c r="BI85" s="508"/>
      <c r="BJ85" s="508"/>
      <c r="BK85" s="508"/>
      <c r="BL85" s="508"/>
      <c r="BM85" s="508"/>
      <c r="BN85" s="508"/>
      <c r="BO85" s="508"/>
      <c r="BP85" s="508"/>
      <c r="BQ85" s="508"/>
      <c r="BR85" s="508"/>
      <c r="BS85" s="508"/>
      <c r="BT85" s="508"/>
      <c r="BU85" s="508"/>
      <c r="BV85" s="508"/>
      <c r="BW85" s="508"/>
      <c r="BX85" s="508"/>
      <c r="BY85" s="508"/>
      <c r="BZ85" s="508"/>
      <c r="CA85" s="508"/>
      <c r="CB85" s="508"/>
      <c r="CC85" s="508"/>
      <c r="CD85" s="508"/>
    </row>
    <row r="86" spans="1:82" s="518" customFormat="1" ht="8.25" customHeight="1" x14ac:dyDescent="0.3">
      <c r="A86" s="508"/>
      <c r="B86" s="509"/>
      <c r="C86" s="510"/>
      <c r="D86" s="511">
        <f>EC_2!D86+FS_2!D86+GT_2!D86+KZN_2!D86+LIM_2!D86+MPU_2!D86+NC_2!D86+NW_2!D86+WC_2!D86</f>
        <v>0</v>
      </c>
      <c r="E86" s="512">
        <f>EC_2!E86+FS_2!E86+GT_2!E86+KZN_2!E86+LIM_2!E86+MPU_2!E86+NC_2!E86+NW_2!E86+WC_2!E86</f>
        <v>0</v>
      </c>
      <c r="F86" s="513">
        <f>EC_2!F86+FS_2!F86+GT_2!F86+KZN_2!F86+LIM_2!F86+MPU_2!F86+NC_2!F86+NW_2!F86+WC_2!F86</f>
        <v>0</v>
      </c>
      <c r="G86" s="513">
        <f>EC_2!G86+FS_2!G86+GT_2!G86+KZN_2!G86+LIM_2!G86+MPU_2!G86+NC_2!G86+NW_2!G86+WC_2!G86</f>
        <v>0</v>
      </c>
      <c r="H86" s="511">
        <f>EC_2!H86+FS_2!H86+GT_2!H86+KZN_2!H86+LIM_2!H86+MPU_2!H86+NC_2!H86+NW_2!H86+WC_2!H86</f>
        <v>0</v>
      </c>
      <c r="I86" s="514">
        <f>EC_2!I86+FS_2!I86+GT_2!I86+KZN_2!I86+LIM_2!I86+MPU_2!I86+NC_2!I86+NW_2!I86+WC_2!I86</f>
        <v>0</v>
      </c>
      <c r="J86" s="515">
        <f>EC_2!J86+FS_2!J86+GT_2!J86+KZN_2!J86+LIM_2!J86+MPU_2!J86+NC_2!J86+NW_2!J86+WC_2!J86</f>
        <v>0</v>
      </c>
      <c r="K86" s="513">
        <f>EC_2!K86+FS_2!K86+GT_2!K86+KZN_2!K86+LIM_2!K86+MPU_2!K86+NC_2!K86+NW_2!K86+WC_2!K86</f>
        <v>0</v>
      </c>
      <c r="L86" s="513">
        <f>EC_2!L86+FS_2!L86+GT_2!L86+KZN_2!L86+LIM_2!L86+MPU_2!L86+NC_2!L86+NW_2!L86+WC_2!L86</f>
        <v>0</v>
      </c>
      <c r="M86" s="513">
        <f>EC_2!M86+FS_2!M86+GT_2!M86+KZN_2!M86+LIM_2!M86+MPU_2!M86+NC_2!M86+NW_2!M86+WC_2!M86</f>
        <v>0</v>
      </c>
      <c r="N86" s="516"/>
      <c r="O86" s="517"/>
      <c r="P86" s="530"/>
      <c r="Q86" s="530"/>
      <c r="R86" s="508"/>
      <c r="S86" s="509"/>
      <c r="T86" s="510"/>
      <c r="U86" s="511"/>
      <c r="V86" s="512"/>
      <c r="W86" s="513"/>
      <c r="X86" s="513"/>
      <c r="Y86" s="511"/>
      <c r="Z86" s="514"/>
      <c r="AA86" s="515"/>
      <c r="AB86" s="513"/>
      <c r="AC86" s="513"/>
      <c r="AD86" s="513"/>
      <c r="AE86" s="513"/>
      <c r="AF86" s="517"/>
      <c r="AG86" s="519"/>
      <c r="AH86" s="519"/>
      <c r="AI86" s="508"/>
      <c r="AJ86" s="520"/>
      <c r="AK86" s="521">
        <f t="shared" si="122"/>
        <v>0</v>
      </c>
      <c r="AL86" s="522">
        <f t="shared" si="51"/>
        <v>0</v>
      </c>
      <c r="AM86" s="523">
        <f t="shared" si="51"/>
        <v>0</v>
      </c>
      <c r="AN86" s="524">
        <f t="shared" si="51"/>
        <v>0</v>
      </c>
      <c r="AO86" s="524">
        <f t="shared" si="51"/>
        <v>0</v>
      </c>
      <c r="AP86" s="522">
        <f t="shared" si="51"/>
        <v>0</v>
      </c>
      <c r="AQ86" s="525"/>
      <c r="AR86" s="526">
        <f t="shared" si="52"/>
        <v>0</v>
      </c>
      <c r="AS86" s="524">
        <f t="shared" si="52"/>
        <v>0</v>
      </c>
      <c r="AT86" s="524"/>
      <c r="AU86" s="524">
        <f t="shared" si="123"/>
        <v>0</v>
      </c>
      <c r="AV86" s="524"/>
      <c r="AW86" s="528"/>
      <c r="AX86" s="508"/>
      <c r="AY86" s="508"/>
      <c r="AZ86" s="508"/>
      <c r="BA86" s="508"/>
      <c r="BB86" s="508"/>
      <c r="BC86" s="508"/>
      <c r="BD86" s="508"/>
      <c r="BE86" s="508"/>
      <c r="BF86" s="508"/>
      <c r="BG86" s="508"/>
      <c r="BH86" s="508"/>
      <c r="BI86" s="508"/>
      <c r="BJ86" s="508"/>
      <c r="BK86" s="508"/>
      <c r="BL86" s="508"/>
      <c r="BM86" s="508"/>
      <c r="BN86" s="508"/>
      <c r="BO86" s="508"/>
      <c r="BP86" s="508"/>
      <c r="BQ86" s="508"/>
      <c r="BR86" s="508"/>
      <c r="BS86" s="508"/>
      <c r="BT86" s="508"/>
      <c r="BU86" s="508"/>
      <c r="BV86" s="508"/>
      <c r="BW86" s="508"/>
      <c r="BX86" s="508"/>
      <c r="BY86" s="508"/>
      <c r="BZ86" s="508"/>
      <c r="CA86" s="508"/>
      <c r="CB86" s="508"/>
      <c r="CC86" s="508"/>
      <c r="CD86" s="508"/>
    </row>
    <row r="87" spans="1:82" s="35" customFormat="1" ht="15.75" customHeight="1" x14ac:dyDescent="0.3">
      <c r="A87"/>
      <c r="B87" s="62"/>
      <c r="C87" s="51" t="s">
        <v>27</v>
      </c>
      <c r="D87" s="95">
        <f>EC_2!D87+FS_2!D87+GT_2!D87+KZN_2!D87+LIM_2!D87+MPU_2!D87+NC_2!D87+NW_2!D87+WC_2!D87</f>
        <v>16125956</v>
      </c>
      <c r="E87" s="198">
        <f>EC_2!E87+FS_2!E87+GT_2!E87+KZN_2!E87+LIM_2!E87+MPU_2!E87+NC_2!E87+NW_2!E87+WC_2!E87</f>
        <v>0</v>
      </c>
      <c r="F87" s="54">
        <f>EC_2!F87+FS_2!F87+GT_2!F87+KZN_2!F87+LIM_2!F87+MPU_2!F87+NC_2!F87+NW_2!F87+WC_2!F87</f>
        <v>16125956</v>
      </c>
      <c r="G87" s="54">
        <f>EC_2!G87+FS_2!G87+GT_2!G87+KZN_2!G87+LIM_2!G87+MPU_2!G87+NC_2!G87+NW_2!G87+WC_2!G87</f>
        <v>316269</v>
      </c>
      <c r="H87" s="95">
        <f>EC_2!H87+FS_2!H87+GT_2!H87+KZN_2!H87+LIM_2!H87+MPU_2!H87+NC_2!H87+NW_2!H87+WC_2!H87</f>
        <v>16442225</v>
      </c>
      <c r="I87" s="216">
        <f>EC_2!I87+FS_2!I87+GT_2!I87+KZN_2!I87+LIM_2!I87+MPU_2!I87+NC_2!I87+NW_2!I87+WC_2!I87</f>
        <v>0</v>
      </c>
      <c r="J87" s="101">
        <f>EC_2!J87+FS_2!J87+GT_2!J87+KZN_2!J87+LIM_2!J87+MPU_2!J87+NC_2!J87+NW_2!J87+WC_2!J87</f>
        <v>16125956</v>
      </c>
      <c r="K87" s="54">
        <f>EC_2!K87+FS_2!K87+GT_2!K87+KZN_2!K87+LIM_2!K87+MPU_2!K87+NC_2!K87+NW_2!K87+WC_2!K87</f>
        <v>16125956</v>
      </c>
      <c r="L87" s="59">
        <f>EC_2!L87+FS_2!L87+GT_2!L87+KZN_2!L87+LIM_2!L87+MPU_2!L87+NC_2!L87+NW_2!L87+WC_2!L87</f>
        <v>0</v>
      </c>
      <c r="M87" s="591">
        <f>SUM(M88:M89)</f>
        <v>16235524.135999998</v>
      </c>
      <c r="N87" s="590">
        <f t="shared" ref="N87:N89" si="133">IFERROR(M87/H87,0)</f>
        <v>0.98742865615815367</v>
      </c>
      <c r="O87" s="55"/>
      <c r="P87" s="66"/>
      <c r="Q87" s="66"/>
      <c r="R87"/>
      <c r="S87" s="62"/>
      <c r="T87" s="51" t="str">
        <f>C87</f>
        <v>Health (Vote 16)</v>
      </c>
      <c r="U87" s="95">
        <v>16125956</v>
      </c>
      <c r="V87" s="198">
        <v>0</v>
      </c>
      <c r="W87" s="54">
        <v>16125956</v>
      </c>
      <c r="X87" s="54">
        <v>0</v>
      </c>
      <c r="Y87" s="95">
        <v>16125956</v>
      </c>
      <c r="Z87" s="216"/>
      <c r="AA87" s="101">
        <v>8262934</v>
      </c>
      <c r="AB87" s="54">
        <v>8262934</v>
      </c>
      <c r="AC87" s="59"/>
      <c r="AD87" s="54"/>
      <c r="AE87" s="172"/>
      <c r="AF87" s="55"/>
      <c r="AG87" s="442"/>
      <c r="AH87" s="442"/>
      <c r="AI87"/>
      <c r="AJ87" s="402"/>
      <c r="AK87" s="480" t="str">
        <f t="shared" si="122"/>
        <v>Health (Vote 16)</v>
      </c>
      <c r="AL87" s="388">
        <f t="shared" si="51"/>
        <v>0</v>
      </c>
      <c r="AM87" s="389">
        <f t="shared" si="51"/>
        <v>0</v>
      </c>
      <c r="AN87" s="390">
        <f t="shared" si="51"/>
        <v>0</v>
      </c>
      <c r="AO87" s="390">
        <f t="shared" si="51"/>
        <v>-316269</v>
      </c>
      <c r="AP87" s="388">
        <f t="shared" si="51"/>
        <v>-316269</v>
      </c>
      <c r="AQ87" s="391"/>
      <c r="AR87" s="392">
        <f t="shared" si="52"/>
        <v>-7863022</v>
      </c>
      <c r="AS87" s="390">
        <f t="shared" si="52"/>
        <v>-7863022</v>
      </c>
      <c r="AT87" s="398"/>
      <c r="AU87" s="390">
        <f t="shared" si="123"/>
        <v>-16235524.135999998</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96">
        <f>EC_2!D88+FS_2!D88+GT_2!D88+KZN_2!D88+LIM_2!D88+MPU_2!D88+NC_2!D88+NW_2!D88+WC_2!D88</f>
        <v>2940428</v>
      </c>
      <c r="E88" s="199">
        <f>EC_2!E88+FS_2!E88+GT_2!E88+KZN_2!E88+LIM_2!E88+MPU_2!E88+NC_2!E88+NW_2!E88+WC_2!E88</f>
        <v>0</v>
      </c>
      <c r="F88" s="59">
        <f>EC_2!F88+FS_2!F88+GT_2!F88+KZN_2!F88+LIM_2!F88+MPU_2!F88+NC_2!F88+NW_2!F88+WC_2!F88</f>
        <v>2940428</v>
      </c>
      <c r="G88" s="59">
        <f>EC_2!G88+FS_2!G88+GT_2!G88+KZN_2!G88+LIM_2!G88+MPU_2!G88+NC_2!G88+NW_2!G88+WC_2!G88</f>
        <v>33663</v>
      </c>
      <c r="H88" s="96">
        <f>EC_2!H88+FS_2!H88+GT_2!H88+KZN_2!H88+LIM_2!H88+MPU_2!H88+NC_2!H88+NW_2!H88+WC_2!H88</f>
        <v>2974091</v>
      </c>
      <c r="I88" s="217">
        <f>EC_2!I88+FS_2!I88+GT_2!I88+KZN_2!I88+LIM_2!I88+MPU_2!I88+NC_2!I88+NW_2!I88+WC_2!I88</f>
        <v>0</v>
      </c>
      <c r="J88" s="102">
        <f>EC_2!J88+FS_2!J88+GT_2!J88+KZN_2!J88+LIM_2!J88+MPU_2!J88+NC_2!J88+NW_2!J88+WC_2!J88</f>
        <v>2940428</v>
      </c>
      <c r="K88" s="59">
        <f>EC_2!K88+FS_2!K88+GT_2!K88+KZN_2!K88+LIM_2!K88+MPU_2!K88+NC_2!K88+NW_2!K88+WC_2!K88</f>
        <v>2940428</v>
      </c>
      <c r="L88" s="59">
        <f>EC_2!L88+FS_2!L88+GT_2!L88+KZN_2!L88+LIM_2!L88+MPU_2!L88+NC_2!L88+NW_2!L88+WC_2!L88</f>
        <v>0</v>
      </c>
      <c r="M88" s="76">
        <v>2948704.9729999998</v>
      </c>
      <c r="N88" s="439">
        <f t="shared" si="133"/>
        <v>0.99146427362175527</v>
      </c>
      <c r="O88" s="33"/>
      <c r="P88" s="21"/>
      <c r="Q88" s="21"/>
      <c r="R88"/>
      <c r="S88" s="57"/>
      <c r="T88" s="58" t="str">
        <f t="shared" ref="T88:T92" si="134">C88</f>
        <v>(a) Health Professions Training and Development Grant</v>
      </c>
      <c r="U88" s="96">
        <v>2940428</v>
      </c>
      <c r="V88" s="199">
        <v>0</v>
      </c>
      <c r="W88" s="59">
        <v>2940428</v>
      </c>
      <c r="X88" s="59">
        <v>0</v>
      </c>
      <c r="Y88" s="96">
        <v>2940428</v>
      </c>
      <c r="Z88" s="217"/>
      <c r="AA88" s="102">
        <v>1470194</v>
      </c>
      <c r="AB88" s="59">
        <v>1470194</v>
      </c>
      <c r="AC88" s="59"/>
      <c r="AD88" s="76"/>
      <c r="AE88" s="76"/>
      <c r="AF88" s="33"/>
      <c r="AG88" s="441"/>
      <c r="AH88" s="441"/>
      <c r="AI88"/>
      <c r="AJ88" s="394"/>
      <c r="AK88" s="479" t="str">
        <f>C88</f>
        <v>(a) Health Professions Training and Development Grant</v>
      </c>
      <c r="AL88" s="396">
        <f>IFERROR(U88-D88,0)</f>
        <v>0</v>
      </c>
      <c r="AM88" s="397">
        <f t="shared" ref="AM88:AM92" si="135">IFERROR(V88-E88,0)</f>
        <v>0</v>
      </c>
      <c r="AN88" s="398">
        <f t="shared" ref="AN88:AN92" si="136">IFERROR(W88-F88,0)</f>
        <v>0</v>
      </c>
      <c r="AO88" s="398">
        <f t="shared" ref="AO88:AO92" si="137">IFERROR(X88-G88,0)</f>
        <v>-33663</v>
      </c>
      <c r="AP88" s="396">
        <f t="shared" ref="AP88:AP92" si="138">IFERROR(Y88-H88,0)</f>
        <v>-33663</v>
      </c>
      <c r="AQ88" s="399"/>
      <c r="AR88" s="400">
        <f t="shared" si="52"/>
        <v>-1470234</v>
      </c>
      <c r="AS88" s="398">
        <f t="shared" si="52"/>
        <v>-1470234</v>
      </c>
      <c r="AT88" s="398"/>
      <c r="AU88" s="417">
        <f>IFERROR(AD88-M88,0)</f>
        <v>-2948704.9729999998</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s="66" customFormat="1" ht="15.75" customHeight="1" x14ac:dyDescent="0.3">
      <c r="A89"/>
      <c r="B89" s="57"/>
      <c r="C89" s="58" t="s">
        <v>41</v>
      </c>
      <c r="D89" s="96">
        <f>EC_2!D89+FS_2!D89+GT_2!D89+KZN_2!D89+LIM_2!D89+MPU_2!D89+NC_2!D89+NW_2!D89+WC_2!D89</f>
        <v>13185528</v>
      </c>
      <c r="E89" s="199">
        <f>EC_2!E89+FS_2!E89+GT_2!E89+KZN_2!E89+LIM_2!E89+MPU_2!E89+NC_2!E89+NW_2!E89+WC_2!E89</f>
        <v>0</v>
      </c>
      <c r="F89" s="59">
        <f>EC_2!F89+FS_2!F89+GT_2!F89+KZN_2!F89+LIM_2!F89+MPU_2!F89+NC_2!F89+NW_2!F89+WC_2!F89</f>
        <v>13185528</v>
      </c>
      <c r="G89" s="59">
        <f>EC_2!G89+FS_2!G89+GT_2!G89+KZN_2!G89+LIM_2!G89+MPU_2!G89+NC_2!G89+NW_2!G89+WC_2!G89</f>
        <v>282606</v>
      </c>
      <c r="H89" s="96">
        <f>EC_2!H89+FS_2!H89+GT_2!H89+KZN_2!H89+LIM_2!H89+MPU_2!H89+NC_2!H89+NW_2!H89+WC_2!H89</f>
        <v>13468134</v>
      </c>
      <c r="I89" s="217">
        <f>EC_2!I89+FS_2!I89+GT_2!I89+KZN_2!I89+LIM_2!I89+MPU_2!I89+NC_2!I89+NW_2!I89+WC_2!I89</f>
        <v>0</v>
      </c>
      <c r="J89" s="102">
        <f>EC_2!J89+FS_2!J89+GT_2!J89+KZN_2!J89+LIM_2!J89+MPU_2!J89+NC_2!J89+NW_2!J89+WC_2!J89</f>
        <v>13185528</v>
      </c>
      <c r="K89" s="59">
        <f>EC_2!K89+FS_2!K89+GT_2!K89+KZN_2!K89+LIM_2!K89+MPU_2!K89+NC_2!K89+NW_2!K89+WC_2!K89</f>
        <v>13185528</v>
      </c>
      <c r="L89" s="59">
        <f>EC_2!L89+FS_2!L89+GT_2!L89+KZN_2!L89+LIM_2!L89+MPU_2!L89+NC_2!L89+NW_2!L89+WC_2!L89</f>
        <v>0</v>
      </c>
      <c r="M89" s="76">
        <v>13286819.162999999</v>
      </c>
      <c r="N89" s="439">
        <f t="shared" si="133"/>
        <v>0.98653749383544886</v>
      </c>
      <c r="O89" s="33"/>
      <c r="P89" s="21"/>
      <c r="Q89" s="21"/>
      <c r="R89"/>
      <c r="S89" s="57"/>
      <c r="T89" s="58" t="str">
        <f t="shared" si="134"/>
        <v>(b) National Tertiary Services Grant</v>
      </c>
      <c r="U89" s="96">
        <v>13185528</v>
      </c>
      <c r="V89" s="199">
        <v>0</v>
      </c>
      <c r="W89" s="59">
        <v>13185528</v>
      </c>
      <c r="X89" s="59">
        <v>0</v>
      </c>
      <c r="Y89" s="96">
        <v>13185528</v>
      </c>
      <c r="Z89" s="217"/>
      <c r="AA89" s="102">
        <v>6792740</v>
      </c>
      <c r="AB89" s="59">
        <v>6792740</v>
      </c>
      <c r="AC89" s="59"/>
      <c r="AD89" s="76"/>
      <c r="AE89" s="76"/>
      <c r="AF89" s="33"/>
      <c r="AG89" s="441"/>
      <c r="AH89" s="441"/>
      <c r="AI89"/>
      <c r="AJ89" s="394"/>
      <c r="AK89" s="479" t="str">
        <f t="shared" ref="AK89:AK92" si="139">C89</f>
        <v>(b) National Tertiary Services Grant</v>
      </c>
      <c r="AL89" s="396">
        <f t="shared" ref="AL89:AL92" si="140">IFERROR(U89-D89,0)</f>
        <v>0</v>
      </c>
      <c r="AM89" s="397">
        <f t="shared" si="135"/>
        <v>0</v>
      </c>
      <c r="AN89" s="398">
        <f t="shared" si="136"/>
        <v>0</v>
      </c>
      <c r="AO89" s="398">
        <f t="shared" si="137"/>
        <v>-282606</v>
      </c>
      <c r="AP89" s="396">
        <f t="shared" si="138"/>
        <v>-282606</v>
      </c>
      <c r="AQ89" s="399"/>
      <c r="AR89" s="400">
        <f t="shared" si="52"/>
        <v>-6392788</v>
      </c>
      <c r="AS89" s="398">
        <f t="shared" si="52"/>
        <v>-6392788</v>
      </c>
      <c r="AT89" s="398"/>
      <c r="AU89" s="417">
        <f t="shared" ref="AU89:AU92" si="141">IFERROR(AD89-M89,0)</f>
        <v>-13286819.162999999</v>
      </c>
      <c r="AV89" s="417"/>
      <c r="AW89" s="347"/>
      <c r="AX89"/>
      <c r="AY89"/>
      <c r="AZ89"/>
      <c r="BA89"/>
      <c r="BB89"/>
      <c r="BC89"/>
      <c r="BD89"/>
      <c r="BE89"/>
      <c r="BF89"/>
      <c r="BG89"/>
      <c r="BH89"/>
      <c r="BI89"/>
      <c r="BJ89"/>
      <c r="BK89"/>
      <c r="BL89"/>
      <c r="BM89"/>
      <c r="BN89"/>
      <c r="BO89"/>
      <c r="BP89"/>
      <c r="BQ89"/>
      <c r="BR89"/>
      <c r="BS89"/>
      <c r="BT89"/>
      <c r="BU89"/>
      <c r="BV89"/>
      <c r="BW89"/>
      <c r="BX89"/>
      <c r="BY89"/>
      <c r="BZ89"/>
      <c r="CA89"/>
      <c r="CB89"/>
      <c r="CC89"/>
      <c r="CD89"/>
    </row>
    <row r="90" spans="1:82" s="518" customFormat="1" ht="15.75" customHeight="1" x14ac:dyDescent="0.3">
      <c r="A90" s="508"/>
      <c r="B90" s="509"/>
      <c r="C90" s="510"/>
      <c r="D90" s="511">
        <f>EC_2!D90+FS_2!D90+GT_2!D90+KZN_2!D90+LIM_2!D90+MPU_2!D90+NC_2!D90+NW_2!D90+WC_2!D90</f>
        <v>0</v>
      </c>
      <c r="E90" s="512">
        <f>EC_2!E90+FS_2!E90+GT_2!E90+KZN_2!E90+LIM_2!E90+MPU_2!E90+NC_2!E90+NW_2!E90+WC_2!E90</f>
        <v>0</v>
      </c>
      <c r="F90" s="513">
        <f>EC_2!F90+FS_2!F90+GT_2!F90+KZN_2!F90+LIM_2!F90+MPU_2!F90+NC_2!F90+NW_2!F90+WC_2!F90</f>
        <v>0</v>
      </c>
      <c r="G90" s="513">
        <f>EC_2!G90+FS_2!G90+GT_2!G90+KZN_2!G90+LIM_2!G90+MPU_2!G90+NC_2!G90+NW_2!G90+WC_2!G90</f>
        <v>0</v>
      </c>
      <c r="H90" s="511">
        <f>EC_2!H90+FS_2!H90+GT_2!H90+KZN_2!H90+LIM_2!H90+MPU_2!H90+NC_2!H90+NW_2!H90+WC_2!H90</f>
        <v>0</v>
      </c>
      <c r="I90" s="514">
        <f>EC_2!I90+FS_2!I90+GT_2!I90+KZN_2!I90+LIM_2!I90+MPU_2!I90+NC_2!I90+NW_2!I90+WC_2!I90</f>
        <v>0</v>
      </c>
      <c r="J90" s="515">
        <f>EC_2!J90+FS_2!J90+GT_2!J90+KZN_2!J90+LIM_2!J90+MPU_2!J90+NC_2!J90+NW_2!J90+WC_2!J90</f>
        <v>0</v>
      </c>
      <c r="K90" s="513">
        <f>EC_2!K90+FS_2!K90+GT_2!K90+KZN_2!K90+LIM_2!K90+MPU_2!K90+NC_2!K90+NW_2!K90+WC_2!K90</f>
        <v>0</v>
      </c>
      <c r="L90" s="513">
        <f>EC_2!L90+FS_2!L90+GT_2!L90+KZN_2!L90+LIM_2!L90+MPU_2!L90+NC_2!L90+NW_2!L90+WC_2!L90</f>
        <v>0</v>
      </c>
      <c r="M90" s="513">
        <f>EC_2!M90+FS_2!M90+GT_2!M90+KZN_2!M90+LIM_2!M90+MPU_2!M90+NC_2!M90+NW_2!M90+WC_2!M90</f>
        <v>0</v>
      </c>
      <c r="N90" s="516"/>
      <c r="O90" s="517"/>
      <c r="R90" s="508"/>
      <c r="S90" s="509"/>
      <c r="T90" s="510">
        <f t="shared" si="134"/>
        <v>0</v>
      </c>
      <c r="U90" s="511">
        <v>0</v>
      </c>
      <c r="V90" s="512">
        <v>0</v>
      </c>
      <c r="W90" s="513">
        <v>0</v>
      </c>
      <c r="X90" s="513">
        <v>0</v>
      </c>
      <c r="Y90" s="511">
        <v>0</v>
      </c>
      <c r="Z90" s="514"/>
      <c r="AA90" s="515">
        <v>0</v>
      </c>
      <c r="AB90" s="513">
        <v>0</v>
      </c>
      <c r="AC90" s="513"/>
      <c r="AD90" s="513"/>
      <c r="AE90" s="513"/>
      <c r="AF90" s="517"/>
      <c r="AG90" s="519"/>
      <c r="AH90" s="519"/>
      <c r="AI90" s="508"/>
      <c r="AJ90" s="520"/>
      <c r="AK90" s="521">
        <f t="shared" si="139"/>
        <v>0</v>
      </c>
      <c r="AL90" s="522">
        <f t="shared" si="140"/>
        <v>0</v>
      </c>
      <c r="AM90" s="523">
        <f t="shared" si="135"/>
        <v>0</v>
      </c>
      <c r="AN90" s="524">
        <f t="shared" si="136"/>
        <v>0</v>
      </c>
      <c r="AO90" s="524">
        <f t="shared" si="137"/>
        <v>0</v>
      </c>
      <c r="AP90" s="522">
        <f t="shared" si="138"/>
        <v>0</v>
      </c>
      <c r="AQ90" s="525"/>
      <c r="AR90" s="526">
        <f t="shared" si="52"/>
        <v>0</v>
      </c>
      <c r="AS90" s="524">
        <f t="shared" si="52"/>
        <v>0</v>
      </c>
      <c r="AT90" s="524"/>
      <c r="AU90" s="524">
        <f t="shared" si="141"/>
        <v>0</v>
      </c>
      <c r="AV90" s="524"/>
      <c r="AW90" s="528"/>
      <c r="AX90" s="508"/>
      <c r="AY90" s="508"/>
      <c r="AZ90" s="508"/>
      <c r="BA90" s="508"/>
      <c r="BB90" s="508"/>
      <c r="BC90" s="508"/>
      <c r="BD90" s="508"/>
      <c r="BE90" s="508"/>
      <c r="BF90" s="508"/>
      <c r="BG90" s="508"/>
      <c r="BH90" s="508"/>
      <c r="BI90" s="508"/>
      <c r="BJ90" s="508"/>
      <c r="BK90" s="508"/>
      <c r="BL90" s="508"/>
      <c r="BM90" s="508"/>
      <c r="BN90" s="508"/>
      <c r="BO90" s="508"/>
      <c r="BP90" s="508"/>
      <c r="BQ90" s="508"/>
      <c r="BR90" s="508"/>
      <c r="BS90" s="508"/>
      <c r="BT90" s="508"/>
      <c r="BU90" s="508"/>
      <c r="BV90" s="508"/>
      <c r="BW90" s="508"/>
      <c r="BX90" s="508"/>
      <c r="BY90" s="508"/>
      <c r="BZ90" s="508"/>
      <c r="CA90" s="508"/>
      <c r="CB90" s="508"/>
      <c r="CC90" s="508"/>
      <c r="CD90" s="508"/>
    </row>
    <row r="91" spans="1:82" s="530" customFormat="1" ht="15.75" customHeight="1" x14ac:dyDescent="0.3">
      <c r="A91" s="508"/>
      <c r="B91" s="532"/>
      <c r="C91" s="533"/>
      <c r="D91" s="534">
        <f>EC_2!D91+FS_2!D91+GT_2!D91+KZN_2!D91+LIM_2!D91+MPU_2!D91+NC_2!D91+NW_2!D91+WC_2!D91</f>
        <v>0</v>
      </c>
      <c r="E91" s="512">
        <f>EC_2!E91+FS_2!E91+GT_2!E91+KZN_2!E91+LIM_2!E91+MPU_2!E91+NC_2!E91+NW_2!E91+WC_2!E91</f>
        <v>0</v>
      </c>
      <c r="F91" s="536">
        <f>EC_2!F91+FS_2!F91+GT_2!F91+KZN_2!F91+LIM_2!F91+MPU_2!F91+NC_2!F91+NW_2!F91+WC_2!F91</f>
        <v>0</v>
      </c>
      <c r="G91" s="536">
        <f>EC_2!G91+FS_2!G91+GT_2!G91+KZN_2!G91+LIM_2!G91+MPU_2!G91+NC_2!G91+NW_2!G91+WC_2!G91</f>
        <v>0</v>
      </c>
      <c r="H91" s="511">
        <f>EC_2!H91+FS_2!H91+GT_2!H91+KZN_2!H91+LIM_2!H91+MPU_2!H91+NC_2!H91+NW_2!H91+WC_2!H91</f>
        <v>0</v>
      </c>
      <c r="I91" s="537">
        <f>EC_2!I91+FS_2!I91+GT_2!I91+KZN_2!I91+LIM_2!I91+MPU_2!I91+NC_2!I91+NW_2!I91+WC_2!I91</f>
        <v>0</v>
      </c>
      <c r="J91" s="538">
        <f>EC_2!J91+FS_2!J91+GT_2!J91+KZN_2!J91+LIM_2!J91+MPU_2!J91+NC_2!J91+NW_2!J91+WC_2!J91</f>
        <v>0</v>
      </c>
      <c r="K91" s="536">
        <f>EC_2!K91+FS_2!K91+GT_2!K91+KZN_2!K91+LIM_2!K91+MPU_2!K91+NC_2!K91+NW_2!K91+WC_2!K91</f>
        <v>0</v>
      </c>
      <c r="L91" s="513">
        <f>EC_2!L91+FS_2!L91+GT_2!L91+KZN_2!L91+LIM_2!L91+MPU_2!L91+NC_2!L91+NW_2!L91+WC_2!L91</f>
        <v>0</v>
      </c>
      <c r="M91" s="513">
        <f>EC_2!M91+FS_2!M91+GT_2!M91+KZN_2!M91+LIM_2!M91+MPU_2!M91+NC_2!M91+NW_2!M91+WC_2!M91</f>
        <v>0</v>
      </c>
      <c r="N91" s="516"/>
      <c r="O91" s="539"/>
      <c r="P91" s="529"/>
      <c r="Q91" s="529"/>
      <c r="R91" s="508"/>
      <c r="S91" s="532"/>
      <c r="T91" s="510">
        <f t="shared" si="134"/>
        <v>0</v>
      </c>
      <c r="U91" s="534">
        <v>0</v>
      </c>
      <c r="V91" s="535">
        <v>0</v>
      </c>
      <c r="W91" s="536">
        <v>0</v>
      </c>
      <c r="X91" s="536">
        <v>0</v>
      </c>
      <c r="Y91" s="534">
        <v>0</v>
      </c>
      <c r="Z91" s="537"/>
      <c r="AA91" s="538">
        <v>0</v>
      </c>
      <c r="AB91" s="536">
        <v>0</v>
      </c>
      <c r="AC91" s="513"/>
      <c r="AD91" s="536"/>
      <c r="AE91" s="536"/>
      <c r="AF91" s="539"/>
      <c r="AG91" s="540"/>
      <c r="AH91" s="540"/>
      <c r="AI91" s="508"/>
      <c r="AJ91" s="541"/>
      <c r="AK91" s="521">
        <f t="shared" si="139"/>
        <v>0</v>
      </c>
      <c r="AL91" s="543">
        <f t="shared" si="140"/>
        <v>0</v>
      </c>
      <c r="AM91" s="544">
        <f t="shared" si="135"/>
        <v>0</v>
      </c>
      <c r="AN91" s="545">
        <f t="shared" si="136"/>
        <v>0</v>
      </c>
      <c r="AO91" s="545">
        <f t="shared" si="137"/>
        <v>0</v>
      </c>
      <c r="AP91" s="543">
        <f t="shared" si="138"/>
        <v>0</v>
      </c>
      <c r="AQ91" s="546"/>
      <c r="AR91" s="547">
        <f t="shared" si="52"/>
        <v>0</v>
      </c>
      <c r="AS91" s="545">
        <f t="shared" si="52"/>
        <v>0</v>
      </c>
      <c r="AT91" s="524"/>
      <c r="AU91" s="545">
        <f t="shared" si="141"/>
        <v>0</v>
      </c>
      <c r="AV91" s="545"/>
      <c r="AW91" s="548"/>
      <c r="AX91" s="508"/>
      <c r="AY91" s="508"/>
      <c r="AZ91" s="508"/>
      <c r="BA91" s="508"/>
      <c r="BB91" s="508"/>
      <c r="BC91" s="508"/>
      <c r="BD91" s="508"/>
      <c r="BE91" s="508"/>
      <c r="BF91" s="508"/>
      <c r="BG91" s="508"/>
      <c r="BH91" s="508"/>
      <c r="BI91" s="508"/>
      <c r="BJ91" s="508"/>
      <c r="BK91" s="508"/>
      <c r="BL91" s="508"/>
      <c r="BM91" s="508"/>
      <c r="BN91" s="508"/>
      <c r="BO91" s="508"/>
      <c r="BP91" s="508"/>
      <c r="BQ91" s="508"/>
      <c r="BR91" s="508"/>
      <c r="BS91" s="508"/>
      <c r="BT91" s="508"/>
      <c r="BU91" s="508"/>
      <c r="BV91" s="508"/>
      <c r="BW91" s="508"/>
      <c r="BX91" s="508"/>
      <c r="BY91" s="508"/>
      <c r="BZ91" s="508"/>
      <c r="CA91" s="508"/>
      <c r="CB91" s="508"/>
      <c r="CC91" s="508"/>
      <c r="CD91" s="508"/>
    </row>
    <row r="92" spans="1:82" s="549" customFormat="1" ht="15.75" customHeight="1" x14ac:dyDescent="0.3">
      <c r="A92" s="508"/>
      <c r="B92" s="509"/>
      <c r="C92" s="510"/>
      <c r="D92" s="511">
        <f>EC_2!D92+FS_2!D92+GT_2!D92+KZN_2!D92+LIM_2!D92+MPU_2!D92+NC_2!D92+NW_2!D92+WC_2!D92</f>
        <v>0</v>
      </c>
      <c r="E92" s="512">
        <f>EC_2!E92+FS_2!E92+GT_2!E92+KZN_2!E92+LIM_2!E92+MPU_2!E92+NC_2!E92+NW_2!E92+WC_2!E92</f>
        <v>0</v>
      </c>
      <c r="F92" s="513">
        <f>EC_2!F92+FS_2!F92+GT_2!F92+KZN_2!F92+LIM_2!F92+MPU_2!F92+NC_2!F92+NW_2!F92+WC_2!F92</f>
        <v>0</v>
      </c>
      <c r="G92" s="513">
        <f>EC_2!G92+FS_2!G92+GT_2!G92+KZN_2!G92+LIM_2!G92+MPU_2!G92+NC_2!G92+NW_2!G92+WC_2!G92</f>
        <v>0</v>
      </c>
      <c r="H92" s="511">
        <f>EC_2!H92+FS_2!H92+GT_2!H92+KZN_2!H92+LIM_2!H92+MPU_2!H92+NC_2!H92+NW_2!H92+WC_2!H92</f>
        <v>0</v>
      </c>
      <c r="I92" s="514">
        <f>EC_2!I92+FS_2!I92+GT_2!I92+KZN_2!I92+LIM_2!I92+MPU_2!I92+NC_2!I92+NW_2!I92+WC_2!I92</f>
        <v>0</v>
      </c>
      <c r="J92" s="515">
        <f>EC_2!J92+FS_2!J92+GT_2!J92+KZN_2!J92+LIM_2!J92+MPU_2!J92+NC_2!J92+NW_2!J92+WC_2!J92</f>
        <v>0</v>
      </c>
      <c r="K92" s="513">
        <f>EC_2!K92+FS_2!K92+GT_2!K92+KZN_2!K92+LIM_2!K92+MPU_2!K92+NC_2!K92+NW_2!K92+WC_2!K92</f>
        <v>0</v>
      </c>
      <c r="L92" s="513">
        <f>EC_2!L92+FS_2!L92+GT_2!L92+KZN_2!L92+LIM_2!L92+MPU_2!L92+NC_2!L92+NW_2!L92+WC_2!L92</f>
        <v>0</v>
      </c>
      <c r="M92" s="513">
        <f>EC_2!M92+FS_2!M92+GT_2!M92+KZN_2!M92+LIM_2!M92+MPU_2!M92+NC_2!M92+NW_2!M92+WC_2!M92</f>
        <v>0</v>
      </c>
      <c r="N92" s="516"/>
      <c r="O92" s="517"/>
      <c r="P92" s="530"/>
      <c r="Q92" s="530"/>
      <c r="R92" s="508"/>
      <c r="S92" s="509"/>
      <c r="T92" s="510">
        <f t="shared" si="134"/>
        <v>0</v>
      </c>
      <c r="U92" s="511">
        <v>0</v>
      </c>
      <c r="V92" s="512">
        <v>0</v>
      </c>
      <c r="W92" s="513">
        <v>0</v>
      </c>
      <c r="X92" s="513">
        <v>0</v>
      </c>
      <c r="Y92" s="511">
        <v>0</v>
      </c>
      <c r="Z92" s="514"/>
      <c r="AA92" s="515">
        <v>0</v>
      </c>
      <c r="AB92" s="513">
        <v>0</v>
      </c>
      <c r="AC92" s="513"/>
      <c r="AD92" s="536"/>
      <c r="AE92" s="536"/>
      <c r="AF92" s="517"/>
      <c r="AG92" s="519"/>
      <c r="AH92" s="519"/>
      <c r="AI92" s="508"/>
      <c r="AJ92" s="520"/>
      <c r="AK92" s="521">
        <f t="shared" si="139"/>
        <v>0</v>
      </c>
      <c r="AL92" s="522">
        <f t="shared" si="140"/>
        <v>0</v>
      </c>
      <c r="AM92" s="523">
        <f t="shared" si="135"/>
        <v>0</v>
      </c>
      <c r="AN92" s="524">
        <f t="shared" si="136"/>
        <v>0</v>
      </c>
      <c r="AO92" s="524">
        <f t="shared" si="137"/>
        <v>0</v>
      </c>
      <c r="AP92" s="522">
        <f t="shared" si="138"/>
        <v>0</v>
      </c>
      <c r="AQ92" s="525"/>
      <c r="AR92" s="526">
        <f t="shared" si="52"/>
        <v>0</v>
      </c>
      <c r="AS92" s="524">
        <f t="shared" si="52"/>
        <v>0</v>
      </c>
      <c r="AT92" s="524"/>
      <c r="AU92" s="545">
        <f t="shared" si="141"/>
        <v>0</v>
      </c>
      <c r="AV92" s="545"/>
      <c r="AW92" s="528"/>
      <c r="AX92" s="508"/>
      <c r="AY92" s="508"/>
      <c r="AZ92" s="508"/>
      <c r="BA92" s="508"/>
      <c r="BB92" s="508"/>
      <c r="BC92" s="508"/>
      <c r="BD92" s="508"/>
      <c r="BE92" s="508"/>
      <c r="BF92" s="508"/>
      <c r="BG92" s="508"/>
      <c r="BH92" s="508"/>
      <c r="BI92" s="508"/>
      <c r="BJ92" s="508"/>
      <c r="BK92" s="508"/>
      <c r="BL92" s="508"/>
      <c r="BM92" s="508"/>
      <c r="BN92" s="508"/>
      <c r="BO92" s="508"/>
      <c r="BP92" s="508"/>
      <c r="BQ92" s="508"/>
      <c r="BR92" s="508"/>
      <c r="BS92" s="508"/>
      <c r="BT92" s="508"/>
      <c r="BU92" s="508"/>
      <c r="BV92" s="508"/>
      <c r="BW92" s="508"/>
      <c r="BX92" s="508"/>
      <c r="BY92" s="508"/>
      <c r="BZ92" s="508"/>
      <c r="CA92" s="508"/>
      <c r="CB92" s="508"/>
      <c r="CC92" s="508"/>
      <c r="CD92" s="508"/>
    </row>
    <row r="93" spans="1:82" s="518" customFormat="1" ht="8.25" customHeight="1" x14ac:dyDescent="0.3">
      <c r="A93" s="508"/>
      <c r="B93" s="509"/>
      <c r="C93" s="510"/>
      <c r="D93" s="511">
        <f>EC_2!D93+FS_2!D93+GT_2!D93+KZN_2!D93+LIM_2!D93+MPU_2!D93+NC_2!D93+NW_2!D93+WC_2!D93</f>
        <v>0</v>
      </c>
      <c r="E93" s="512">
        <f>EC_2!E93+FS_2!E93+GT_2!E93+KZN_2!E93+LIM_2!E93+MPU_2!E93+NC_2!E93+NW_2!E93+WC_2!E93</f>
        <v>0</v>
      </c>
      <c r="F93" s="513">
        <f>EC_2!F93+FS_2!F93+GT_2!F93+KZN_2!F93+LIM_2!F93+MPU_2!F93+NC_2!F93+NW_2!F93+WC_2!F93</f>
        <v>0</v>
      </c>
      <c r="G93" s="513">
        <f>EC_2!G93+FS_2!G93+GT_2!G93+KZN_2!G93+LIM_2!G93+MPU_2!G93+NC_2!G93+NW_2!G93+WC_2!G93</f>
        <v>0</v>
      </c>
      <c r="H93" s="511">
        <f>EC_2!H93+FS_2!H93+GT_2!H93+KZN_2!H93+LIM_2!H93+MPU_2!H93+NC_2!H93+NW_2!H93+WC_2!H93</f>
        <v>0</v>
      </c>
      <c r="I93" s="514">
        <f>EC_2!I93+FS_2!I93+GT_2!I93+KZN_2!I93+LIM_2!I93+MPU_2!I93+NC_2!I93+NW_2!I93+WC_2!I93</f>
        <v>0</v>
      </c>
      <c r="J93" s="515">
        <f>EC_2!J93+FS_2!J93+GT_2!J93+KZN_2!J93+LIM_2!J93+MPU_2!J93+NC_2!J93+NW_2!J93+WC_2!J93</f>
        <v>0</v>
      </c>
      <c r="K93" s="513">
        <f>EC_2!K93+FS_2!K93+GT_2!K93+KZN_2!K93+LIM_2!K93+MPU_2!K93+NC_2!K93+NW_2!K93+WC_2!K93</f>
        <v>0</v>
      </c>
      <c r="L93" s="513">
        <f>EC_2!L93+FS_2!L93+GT_2!L93+KZN_2!L93+LIM_2!L93+MPU_2!L93+NC_2!L93+NW_2!L93+WC_2!L93</f>
        <v>0</v>
      </c>
      <c r="M93" s="513">
        <f>EC_2!M93+FS_2!M93+GT_2!M93+KZN_2!M93+LIM_2!M93+MPU_2!M93+NC_2!M93+NW_2!M93+WC_2!M93</f>
        <v>0</v>
      </c>
      <c r="N93" s="516"/>
      <c r="O93" s="517"/>
      <c r="R93" s="508"/>
      <c r="S93" s="509"/>
      <c r="T93" s="510"/>
      <c r="U93" s="511"/>
      <c r="V93" s="512"/>
      <c r="W93" s="513"/>
      <c r="X93" s="513"/>
      <c r="Y93" s="511"/>
      <c r="Z93" s="514"/>
      <c r="AA93" s="515"/>
      <c r="AB93" s="513"/>
      <c r="AC93" s="513"/>
      <c r="AD93" s="513"/>
      <c r="AE93" s="513"/>
      <c r="AF93" s="517"/>
      <c r="AG93" s="519"/>
      <c r="AH93" s="519"/>
      <c r="AI93" s="508"/>
      <c r="AJ93" s="520"/>
      <c r="AK93" s="521">
        <f t="shared" si="122"/>
        <v>0</v>
      </c>
      <c r="AL93" s="522">
        <f t="shared" ref="AL93:AP124" si="142">IFERROR(U93-D93,0)</f>
        <v>0</v>
      </c>
      <c r="AM93" s="523">
        <f t="shared" si="142"/>
        <v>0</v>
      </c>
      <c r="AN93" s="524">
        <f t="shared" si="142"/>
        <v>0</v>
      </c>
      <c r="AO93" s="524">
        <f t="shared" si="142"/>
        <v>0</v>
      </c>
      <c r="AP93" s="522">
        <f t="shared" si="142"/>
        <v>0</v>
      </c>
      <c r="AQ93" s="525"/>
      <c r="AR93" s="526">
        <f t="shared" si="52"/>
        <v>0</v>
      </c>
      <c r="AS93" s="524">
        <f t="shared" si="52"/>
        <v>0</v>
      </c>
      <c r="AT93" s="524"/>
      <c r="AU93" s="524">
        <f t="shared" si="123"/>
        <v>0</v>
      </c>
      <c r="AV93" s="524"/>
      <c r="AW93" s="528"/>
      <c r="AX93" s="508"/>
      <c r="AY93" s="508"/>
      <c r="AZ93" s="508"/>
      <c r="BA93" s="508"/>
      <c r="BB93" s="508"/>
      <c r="BC93" s="508"/>
      <c r="BD93" s="508"/>
      <c r="BE93" s="508"/>
      <c r="BF93" s="508"/>
      <c r="BG93" s="508"/>
      <c r="BH93" s="508"/>
      <c r="BI93" s="508"/>
      <c r="BJ93" s="508"/>
      <c r="BK93" s="508"/>
      <c r="BL93" s="508"/>
      <c r="BM93" s="508"/>
      <c r="BN93" s="508"/>
      <c r="BO93" s="508"/>
      <c r="BP93" s="508"/>
      <c r="BQ93" s="508"/>
      <c r="BR93" s="508"/>
      <c r="BS93" s="508"/>
      <c r="BT93" s="508"/>
      <c r="BU93" s="508"/>
      <c r="BV93" s="508"/>
      <c r="BW93" s="508"/>
      <c r="BX93" s="508"/>
      <c r="BY93" s="508"/>
      <c r="BZ93" s="508"/>
      <c r="CA93" s="508"/>
      <c r="CB93" s="508"/>
      <c r="CC93" s="508"/>
      <c r="CD93" s="508"/>
    </row>
    <row r="94" spans="1:82" s="518" customFormat="1" ht="15.75" customHeight="1" x14ac:dyDescent="0.3">
      <c r="A94" s="508"/>
      <c r="B94" s="509"/>
      <c r="C94" s="533"/>
      <c r="D94" s="511">
        <f>EC_2!D94+FS_2!D94+GT_2!D94+KZN_2!D94+LIM_2!D94+MPU_2!D94+NC_2!D94+NW_2!D94+WC_2!D94</f>
        <v>0</v>
      </c>
      <c r="E94" s="512">
        <f>EC_2!E94+FS_2!E94+GT_2!E94+KZN_2!E94+LIM_2!E94+MPU_2!E94+NC_2!E94+NW_2!E94+WC_2!E94</f>
        <v>0</v>
      </c>
      <c r="F94" s="513">
        <f>EC_2!F94+FS_2!F94+GT_2!F94+KZN_2!F94+LIM_2!F94+MPU_2!F94+NC_2!F94+NW_2!F94+WC_2!F94</f>
        <v>0</v>
      </c>
      <c r="G94" s="513">
        <f>EC_2!G94+FS_2!G94+GT_2!G94+KZN_2!G94+LIM_2!G94+MPU_2!G94+NC_2!G94+NW_2!G94+WC_2!G94</f>
        <v>0</v>
      </c>
      <c r="H94" s="511">
        <f>EC_2!H94+FS_2!H94+GT_2!H94+KZN_2!H94+LIM_2!H94+MPU_2!H94+NC_2!H94+NW_2!H94+WC_2!H94</f>
        <v>0</v>
      </c>
      <c r="I94" s="514">
        <f>EC_2!I94+FS_2!I94+GT_2!I94+KZN_2!I94+LIM_2!I94+MPU_2!I94+NC_2!I94+NW_2!I94+WC_2!I94</f>
        <v>0</v>
      </c>
      <c r="J94" s="515">
        <f>EC_2!J94+FS_2!J94+GT_2!J94+KZN_2!J94+LIM_2!J94+MPU_2!J94+NC_2!J94+NW_2!J94+WC_2!J94</f>
        <v>0</v>
      </c>
      <c r="K94" s="513">
        <f>EC_2!K94+FS_2!K94+GT_2!K94+KZN_2!K94+LIM_2!K94+MPU_2!K94+NC_2!K94+NW_2!K94+WC_2!K94</f>
        <v>0</v>
      </c>
      <c r="L94" s="513">
        <f>EC_2!L94+FS_2!L94+GT_2!L94+KZN_2!L94+LIM_2!L94+MPU_2!L94+NC_2!L94+NW_2!L94+WC_2!L94</f>
        <v>0</v>
      </c>
      <c r="M94" s="513">
        <f>EC_2!M94+FS_2!M94+GT_2!M94+KZN_2!M94+LIM_2!M94+MPU_2!M94+NC_2!M94+NW_2!M94+WC_2!M94</f>
        <v>0</v>
      </c>
      <c r="N94" s="516"/>
      <c r="O94" s="517"/>
      <c r="R94" s="508"/>
      <c r="S94" s="509"/>
      <c r="T94" s="533">
        <f>C94</f>
        <v>0</v>
      </c>
      <c r="U94" s="511"/>
      <c r="V94" s="512">
        <v>0</v>
      </c>
      <c r="W94" s="513"/>
      <c r="X94" s="513"/>
      <c r="Y94" s="511"/>
      <c r="Z94" s="514"/>
      <c r="AA94" s="515"/>
      <c r="AB94" s="513"/>
      <c r="AC94" s="513"/>
      <c r="AD94" s="513"/>
      <c r="AE94" s="513"/>
      <c r="AF94" s="517"/>
      <c r="AG94" s="519"/>
      <c r="AH94" s="519"/>
      <c r="AI94" s="508"/>
      <c r="AJ94" s="520"/>
      <c r="AK94" s="542">
        <f t="shared" si="122"/>
        <v>0</v>
      </c>
      <c r="AL94" s="522">
        <f t="shared" si="142"/>
        <v>0</v>
      </c>
      <c r="AM94" s="523">
        <f t="shared" si="142"/>
        <v>0</v>
      </c>
      <c r="AN94" s="524">
        <f t="shared" si="142"/>
        <v>0</v>
      </c>
      <c r="AO94" s="524">
        <f t="shared" si="142"/>
        <v>0</v>
      </c>
      <c r="AP94" s="522">
        <f t="shared" si="142"/>
        <v>0</v>
      </c>
      <c r="AQ94" s="525"/>
      <c r="AR94" s="526">
        <f t="shared" si="52"/>
        <v>0</v>
      </c>
      <c r="AS94" s="524">
        <f t="shared" si="52"/>
        <v>0</v>
      </c>
      <c r="AT94" s="524"/>
      <c r="AU94" s="524">
        <f t="shared" si="123"/>
        <v>0</v>
      </c>
      <c r="AV94" s="524"/>
      <c r="AW94" s="528"/>
      <c r="AX94" s="508"/>
      <c r="AY94" s="508"/>
      <c r="AZ94" s="508"/>
      <c r="BA94" s="508"/>
      <c r="BB94" s="508"/>
      <c r="BC94" s="508"/>
      <c r="BD94" s="508"/>
      <c r="BE94" s="508"/>
      <c r="BF94" s="508"/>
      <c r="BG94" s="508"/>
      <c r="BH94" s="508"/>
      <c r="BI94" s="508"/>
      <c r="BJ94" s="508"/>
      <c r="BK94" s="508"/>
      <c r="BL94" s="508"/>
      <c r="BM94" s="508"/>
      <c r="BN94" s="508"/>
      <c r="BO94" s="508"/>
      <c r="BP94" s="508"/>
      <c r="BQ94" s="508"/>
      <c r="BR94" s="508"/>
      <c r="BS94" s="508"/>
      <c r="BT94" s="508"/>
      <c r="BU94" s="508"/>
      <c r="BV94" s="508"/>
      <c r="BW94" s="508"/>
      <c r="BX94" s="508"/>
      <c r="BY94" s="508"/>
      <c r="BZ94" s="508"/>
      <c r="CA94" s="508"/>
      <c r="CB94" s="508"/>
      <c r="CC94" s="508"/>
      <c r="CD94" s="508"/>
    </row>
    <row r="95" spans="1:82" s="518" customFormat="1" ht="15.75" customHeight="1" x14ac:dyDescent="0.3">
      <c r="A95" s="508"/>
      <c r="B95" s="509"/>
      <c r="C95" s="510"/>
      <c r="D95" s="511">
        <f>EC_2!D95+FS_2!D95+GT_2!D95+KZN_2!D95+LIM_2!D95+MPU_2!D95+NC_2!D95+NW_2!D95+WC_2!D95</f>
        <v>0</v>
      </c>
      <c r="E95" s="512">
        <f>EC_2!E95+FS_2!E95+GT_2!E95+KZN_2!E95+LIM_2!E95+MPU_2!E95+NC_2!E95+NW_2!E95+WC_2!E95</f>
        <v>0</v>
      </c>
      <c r="F95" s="513">
        <f>EC_2!F95+FS_2!F95+GT_2!F95+KZN_2!F95+LIM_2!F95+MPU_2!F95+NC_2!F95+NW_2!F95+WC_2!F95</f>
        <v>0</v>
      </c>
      <c r="G95" s="513">
        <f>EC_2!G95+FS_2!G95+GT_2!G95+KZN_2!G95+LIM_2!G95+MPU_2!G95+NC_2!G95+NW_2!G95+WC_2!G95</f>
        <v>0</v>
      </c>
      <c r="H95" s="511">
        <f>EC_2!H95+FS_2!H95+GT_2!H95+KZN_2!H95+LIM_2!H95+MPU_2!H95+NC_2!H95+NW_2!H95+WC_2!H95</f>
        <v>0</v>
      </c>
      <c r="I95" s="514">
        <f>EC_2!I95+FS_2!I95+GT_2!I95+KZN_2!I95+LIM_2!I95+MPU_2!I95+NC_2!I95+NW_2!I95+WC_2!I95</f>
        <v>0</v>
      </c>
      <c r="J95" s="515">
        <f>EC_2!J95+FS_2!J95+GT_2!J95+KZN_2!J95+LIM_2!J95+MPU_2!J95+NC_2!J95+NW_2!J95+WC_2!J95</f>
        <v>0</v>
      </c>
      <c r="K95" s="513">
        <f>EC_2!K95+FS_2!K95+GT_2!K95+KZN_2!K95+LIM_2!K95+MPU_2!K95+NC_2!K95+NW_2!K95+WC_2!K95</f>
        <v>0</v>
      </c>
      <c r="L95" s="513">
        <f>EC_2!L95+FS_2!L95+GT_2!L95+KZN_2!L95+LIM_2!L95+MPU_2!L95+NC_2!L95+NW_2!L95+WC_2!L95</f>
        <v>0</v>
      </c>
      <c r="M95" s="513">
        <f>EC_2!M95+FS_2!M95+GT_2!M95+KZN_2!M95+LIM_2!M95+MPU_2!M95+NC_2!M95+NW_2!M95+WC_2!M95</f>
        <v>0</v>
      </c>
      <c r="N95" s="516"/>
      <c r="O95" s="517"/>
      <c r="R95" s="508"/>
      <c r="S95" s="509"/>
      <c r="T95" s="510">
        <f t="shared" ref="T95:T99" si="143">C95</f>
        <v>0</v>
      </c>
      <c r="U95" s="511">
        <v>0</v>
      </c>
      <c r="V95" s="512">
        <v>0</v>
      </c>
      <c r="W95" s="513">
        <v>0</v>
      </c>
      <c r="X95" s="513">
        <v>0</v>
      </c>
      <c r="Y95" s="511">
        <v>0</v>
      </c>
      <c r="Z95" s="514"/>
      <c r="AA95" s="515">
        <v>0</v>
      </c>
      <c r="AB95" s="513">
        <v>0</v>
      </c>
      <c r="AC95" s="513"/>
      <c r="AD95" s="513"/>
      <c r="AE95" s="513"/>
      <c r="AF95" s="517"/>
      <c r="AG95" s="519"/>
      <c r="AH95" s="519"/>
      <c r="AI95" s="508"/>
      <c r="AJ95" s="520"/>
      <c r="AK95" s="521">
        <f>C95</f>
        <v>0</v>
      </c>
      <c r="AL95" s="522">
        <f>IFERROR(U95-D95,0)</f>
        <v>0</v>
      </c>
      <c r="AM95" s="523">
        <f t="shared" si="142"/>
        <v>0</v>
      </c>
      <c r="AN95" s="524">
        <f t="shared" si="142"/>
        <v>0</v>
      </c>
      <c r="AO95" s="524">
        <f t="shared" si="142"/>
        <v>0</v>
      </c>
      <c r="AP95" s="522">
        <f t="shared" si="142"/>
        <v>0</v>
      </c>
      <c r="AQ95" s="525"/>
      <c r="AR95" s="526">
        <f t="shared" si="52"/>
        <v>0</v>
      </c>
      <c r="AS95" s="524">
        <f t="shared" si="52"/>
        <v>0</v>
      </c>
      <c r="AT95" s="524"/>
      <c r="AU95" s="524">
        <f>IFERROR(AD95-M95,0)</f>
        <v>0</v>
      </c>
      <c r="AV95" s="524"/>
      <c r="AW95" s="528"/>
      <c r="AX95" s="508"/>
      <c r="AY95" s="508"/>
      <c r="AZ95" s="508"/>
      <c r="BA95" s="508"/>
      <c r="BB95" s="508"/>
      <c r="BC95" s="508"/>
      <c r="BD95" s="508"/>
      <c r="BE95" s="508"/>
      <c r="BF95" s="508"/>
      <c r="BG95" s="508"/>
      <c r="BH95" s="508"/>
      <c r="BI95" s="508"/>
      <c r="BJ95" s="508"/>
      <c r="BK95" s="508"/>
      <c r="BL95" s="508"/>
      <c r="BM95" s="508"/>
      <c r="BN95" s="508"/>
      <c r="BO95" s="508"/>
      <c r="BP95" s="508"/>
      <c r="BQ95" s="508"/>
      <c r="BR95" s="508"/>
      <c r="BS95" s="508"/>
      <c r="BT95" s="508"/>
      <c r="BU95" s="508"/>
      <c r="BV95" s="508"/>
      <c r="BW95" s="508"/>
      <c r="BX95" s="508"/>
      <c r="BY95" s="508"/>
      <c r="BZ95" s="508"/>
      <c r="CA95" s="508"/>
      <c r="CB95" s="508"/>
      <c r="CC95" s="508"/>
      <c r="CD95" s="508"/>
    </row>
    <row r="96" spans="1:82" s="549" customFormat="1" ht="15.75" customHeight="1" x14ac:dyDescent="0.3">
      <c r="A96" s="508"/>
      <c r="B96" s="509"/>
      <c r="C96" s="510"/>
      <c r="D96" s="511">
        <f>EC_2!D96+FS_2!D96+GT_2!D96+KZN_2!D96+LIM_2!D96+MPU_2!D96+NC_2!D96+NW_2!D96+WC_2!D96</f>
        <v>0</v>
      </c>
      <c r="E96" s="512">
        <f>EC_2!E96+FS_2!E96+GT_2!E96+KZN_2!E96+LIM_2!E96+MPU_2!E96+NC_2!E96+NW_2!E96+WC_2!E96</f>
        <v>0</v>
      </c>
      <c r="F96" s="513">
        <f>EC_2!F96+FS_2!F96+GT_2!F96+KZN_2!F96+LIM_2!F96+MPU_2!F96+NC_2!F96+NW_2!F96+WC_2!F96</f>
        <v>0</v>
      </c>
      <c r="G96" s="513">
        <f>EC_2!G96+FS_2!G96+GT_2!G96+KZN_2!G96+LIM_2!G96+MPU_2!G96+NC_2!G96+NW_2!G96+WC_2!G96</f>
        <v>0</v>
      </c>
      <c r="H96" s="511">
        <f>EC_2!H96+FS_2!H96+GT_2!H96+KZN_2!H96+LIM_2!H96+MPU_2!H96+NC_2!H96+NW_2!H96+WC_2!H96</f>
        <v>0</v>
      </c>
      <c r="I96" s="514">
        <f>EC_2!I96+FS_2!I96+GT_2!I96+KZN_2!I96+LIM_2!I96+MPU_2!I96+NC_2!I96+NW_2!I96+WC_2!I96</f>
        <v>0</v>
      </c>
      <c r="J96" s="515">
        <f>EC_2!J96+FS_2!J96+GT_2!J96+KZN_2!J96+LIM_2!J96+MPU_2!J96+NC_2!J96+NW_2!J96+WC_2!J96</f>
        <v>0</v>
      </c>
      <c r="K96" s="513">
        <f>EC_2!K96+FS_2!K96+GT_2!K96+KZN_2!K96+LIM_2!K96+MPU_2!K96+NC_2!K96+NW_2!K96+WC_2!K96</f>
        <v>0</v>
      </c>
      <c r="L96" s="513">
        <f>EC_2!L96+FS_2!L96+GT_2!L96+KZN_2!L96+LIM_2!L96+MPU_2!L96+NC_2!L96+NW_2!L96+WC_2!L96</f>
        <v>0</v>
      </c>
      <c r="M96" s="513">
        <f>EC_2!M96+FS_2!M96+GT_2!M96+KZN_2!M96+LIM_2!M96+MPU_2!M96+NC_2!M96+NW_2!M96+WC_2!M96</f>
        <v>0</v>
      </c>
      <c r="N96" s="516"/>
      <c r="O96" s="517"/>
      <c r="P96" s="518"/>
      <c r="Q96" s="518"/>
      <c r="R96" s="508"/>
      <c r="S96" s="509"/>
      <c r="T96" s="510">
        <f t="shared" si="143"/>
        <v>0</v>
      </c>
      <c r="U96" s="511">
        <v>0</v>
      </c>
      <c r="V96" s="512">
        <v>0</v>
      </c>
      <c r="W96" s="513">
        <v>0</v>
      </c>
      <c r="X96" s="513">
        <v>0</v>
      </c>
      <c r="Y96" s="511">
        <v>0</v>
      </c>
      <c r="Z96" s="514"/>
      <c r="AA96" s="515">
        <v>0</v>
      </c>
      <c r="AB96" s="513">
        <v>0</v>
      </c>
      <c r="AC96" s="513"/>
      <c r="AD96" s="513"/>
      <c r="AE96" s="513"/>
      <c r="AF96" s="517"/>
      <c r="AG96" s="519"/>
      <c r="AH96" s="519"/>
      <c r="AI96" s="508"/>
      <c r="AJ96" s="520"/>
      <c r="AK96" s="521">
        <f t="shared" ref="AK96:AK99" si="144">C96</f>
        <v>0</v>
      </c>
      <c r="AL96" s="522">
        <f t="shared" ref="AL96:AL99" si="145">IFERROR(U96-D96,0)</f>
        <v>0</v>
      </c>
      <c r="AM96" s="523">
        <f t="shared" si="142"/>
        <v>0</v>
      </c>
      <c r="AN96" s="524">
        <f t="shared" si="142"/>
        <v>0</v>
      </c>
      <c r="AO96" s="524">
        <f t="shared" si="142"/>
        <v>0</v>
      </c>
      <c r="AP96" s="522">
        <f t="shared" si="142"/>
        <v>0</v>
      </c>
      <c r="AQ96" s="525"/>
      <c r="AR96" s="526">
        <f t="shared" si="52"/>
        <v>0</v>
      </c>
      <c r="AS96" s="524">
        <f t="shared" si="52"/>
        <v>0</v>
      </c>
      <c r="AT96" s="524"/>
      <c r="AU96" s="524">
        <f t="shared" ref="AU96:AU99" si="146">IFERROR(AD96-M96,0)</f>
        <v>0</v>
      </c>
      <c r="AV96" s="524"/>
      <c r="AW96" s="528"/>
      <c r="AX96" s="508"/>
      <c r="AY96" s="508"/>
      <c r="AZ96" s="508"/>
      <c r="BA96" s="508"/>
      <c r="BB96" s="508"/>
      <c r="BC96" s="508"/>
      <c r="BD96" s="508"/>
      <c r="BE96" s="508"/>
      <c r="BF96" s="508"/>
      <c r="BG96" s="508"/>
      <c r="BH96" s="508"/>
      <c r="BI96" s="508"/>
      <c r="BJ96" s="508"/>
      <c r="BK96" s="508"/>
      <c r="BL96" s="508"/>
      <c r="BM96" s="508"/>
      <c r="BN96" s="508"/>
      <c r="BO96" s="508"/>
      <c r="BP96" s="508"/>
      <c r="BQ96" s="508"/>
      <c r="BR96" s="508"/>
      <c r="BS96" s="508"/>
      <c r="BT96" s="508"/>
      <c r="BU96" s="508"/>
      <c r="BV96" s="508"/>
      <c r="BW96" s="508"/>
      <c r="BX96" s="508"/>
      <c r="BY96" s="508"/>
      <c r="BZ96" s="508"/>
      <c r="CA96" s="508"/>
      <c r="CB96" s="508"/>
      <c r="CC96" s="508"/>
      <c r="CD96" s="508"/>
    </row>
    <row r="97" spans="1:82" s="518" customFormat="1" ht="15.75" customHeight="1" x14ac:dyDescent="0.3">
      <c r="A97" s="508"/>
      <c r="B97" s="509"/>
      <c r="C97" s="510"/>
      <c r="D97" s="511">
        <f>EC_2!D97+FS_2!D97+GT_2!D97+KZN_2!D97+LIM_2!D97+MPU_2!D97+NC_2!D97+NW_2!D97+WC_2!D97</f>
        <v>0</v>
      </c>
      <c r="E97" s="512">
        <f>EC_2!E97+FS_2!E97+GT_2!E97+KZN_2!E97+LIM_2!E97+MPU_2!E97+NC_2!E97+NW_2!E97+WC_2!E97</f>
        <v>0</v>
      </c>
      <c r="F97" s="513">
        <f>EC_2!F97+FS_2!F97+GT_2!F97+KZN_2!F97+LIM_2!F97+MPU_2!F97+NC_2!F97+NW_2!F97+WC_2!F97</f>
        <v>0</v>
      </c>
      <c r="G97" s="513">
        <f>EC_2!G97+FS_2!G97+GT_2!G97+KZN_2!G97+LIM_2!G97+MPU_2!G97+NC_2!G97+NW_2!G97+WC_2!G97</f>
        <v>0</v>
      </c>
      <c r="H97" s="511">
        <f>EC_2!H97+FS_2!H97+GT_2!H97+KZN_2!H97+LIM_2!H97+MPU_2!H97+NC_2!H97+NW_2!H97+WC_2!H97</f>
        <v>0</v>
      </c>
      <c r="I97" s="514">
        <f>EC_2!I97+FS_2!I97+GT_2!I97+KZN_2!I97+LIM_2!I97+MPU_2!I97+NC_2!I97+NW_2!I97+WC_2!I97</f>
        <v>0</v>
      </c>
      <c r="J97" s="515">
        <f>EC_2!J97+FS_2!J97+GT_2!J97+KZN_2!J97+LIM_2!J97+MPU_2!J97+NC_2!J97+NW_2!J97+WC_2!J97</f>
        <v>0</v>
      </c>
      <c r="K97" s="513">
        <f>EC_2!K97+FS_2!K97+GT_2!K97+KZN_2!K97+LIM_2!K97+MPU_2!K97+NC_2!K97+NW_2!K97+WC_2!K97</f>
        <v>0</v>
      </c>
      <c r="L97" s="513">
        <f>EC_2!L97+FS_2!L97+GT_2!L97+KZN_2!L97+LIM_2!L97+MPU_2!L97+NC_2!L97+NW_2!L97+WC_2!L97</f>
        <v>0</v>
      </c>
      <c r="M97" s="513">
        <f>EC_2!M97+FS_2!M97+GT_2!M97+KZN_2!M97+LIM_2!M97+MPU_2!M97+NC_2!M97+NW_2!M97+WC_2!M97</f>
        <v>0</v>
      </c>
      <c r="N97" s="516"/>
      <c r="O97" s="517"/>
      <c r="R97" s="508"/>
      <c r="S97" s="509"/>
      <c r="T97" s="510">
        <f t="shared" si="143"/>
        <v>0</v>
      </c>
      <c r="U97" s="511">
        <v>0</v>
      </c>
      <c r="V97" s="512">
        <v>0</v>
      </c>
      <c r="W97" s="513">
        <v>0</v>
      </c>
      <c r="X97" s="513">
        <v>0</v>
      </c>
      <c r="Y97" s="511">
        <v>0</v>
      </c>
      <c r="Z97" s="514"/>
      <c r="AA97" s="515">
        <v>0</v>
      </c>
      <c r="AB97" s="513">
        <v>0</v>
      </c>
      <c r="AC97" s="513"/>
      <c r="AD97" s="513"/>
      <c r="AE97" s="513"/>
      <c r="AF97" s="517"/>
      <c r="AG97" s="519"/>
      <c r="AH97" s="519"/>
      <c r="AI97" s="508"/>
      <c r="AJ97" s="520"/>
      <c r="AK97" s="521">
        <f t="shared" si="144"/>
        <v>0</v>
      </c>
      <c r="AL97" s="522">
        <f t="shared" si="145"/>
        <v>0</v>
      </c>
      <c r="AM97" s="523">
        <f t="shared" si="142"/>
        <v>0</v>
      </c>
      <c r="AN97" s="524">
        <f t="shared" si="142"/>
        <v>0</v>
      </c>
      <c r="AO97" s="524">
        <f t="shared" si="142"/>
        <v>0</v>
      </c>
      <c r="AP97" s="522">
        <f t="shared" si="142"/>
        <v>0</v>
      </c>
      <c r="AQ97" s="525"/>
      <c r="AR97" s="526">
        <f t="shared" si="52"/>
        <v>0</v>
      </c>
      <c r="AS97" s="524">
        <f t="shared" si="52"/>
        <v>0</v>
      </c>
      <c r="AT97" s="524"/>
      <c r="AU97" s="524">
        <f t="shared" si="146"/>
        <v>0</v>
      </c>
      <c r="AV97" s="524"/>
      <c r="AW97" s="528"/>
      <c r="AX97" s="508"/>
      <c r="AY97" s="508"/>
      <c r="AZ97" s="508"/>
      <c r="BA97" s="508"/>
      <c r="BB97" s="508"/>
      <c r="BC97" s="508"/>
      <c r="BD97" s="508"/>
      <c r="BE97" s="508"/>
      <c r="BF97" s="508"/>
      <c r="BG97" s="508"/>
      <c r="BH97" s="508"/>
      <c r="BI97" s="508"/>
      <c r="BJ97" s="508"/>
      <c r="BK97" s="508"/>
      <c r="BL97" s="508"/>
      <c r="BM97" s="508"/>
      <c r="BN97" s="508"/>
      <c r="BO97" s="508"/>
      <c r="BP97" s="508"/>
      <c r="BQ97" s="508"/>
      <c r="BR97" s="508"/>
      <c r="BS97" s="508"/>
      <c r="BT97" s="508"/>
      <c r="BU97" s="508"/>
      <c r="BV97" s="508"/>
      <c r="BW97" s="508"/>
      <c r="BX97" s="508"/>
      <c r="BY97" s="508"/>
      <c r="BZ97" s="508"/>
      <c r="CA97" s="508"/>
      <c r="CB97" s="508"/>
      <c r="CC97" s="508"/>
      <c r="CD97" s="508"/>
    </row>
    <row r="98" spans="1:82" s="530" customFormat="1" ht="15.75" customHeight="1" x14ac:dyDescent="0.3">
      <c r="A98" s="508"/>
      <c r="B98" s="509"/>
      <c r="C98" s="510"/>
      <c r="D98" s="511">
        <f>EC_2!D98+FS_2!D98+GT_2!D98+KZN_2!D98+LIM_2!D98+MPU_2!D98+NC_2!D98+NW_2!D98+WC_2!D98</f>
        <v>0</v>
      </c>
      <c r="E98" s="512">
        <f>EC_2!E98+FS_2!E98+GT_2!E98+KZN_2!E98+LIM_2!E98+MPU_2!E98+NC_2!E98+NW_2!E98+WC_2!E98</f>
        <v>0</v>
      </c>
      <c r="F98" s="513">
        <f>EC_2!F98+FS_2!F98+GT_2!F98+KZN_2!F98+LIM_2!F98+MPU_2!F98+NC_2!F98+NW_2!F98+WC_2!F98</f>
        <v>0</v>
      </c>
      <c r="G98" s="513">
        <f>EC_2!G98+FS_2!G98+GT_2!G98+KZN_2!G98+LIM_2!G98+MPU_2!G98+NC_2!G98+NW_2!G98+WC_2!G98</f>
        <v>0</v>
      </c>
      <c r="H98" s="511">
        <f>EC_2!H98+FS_2!H98+GT_2!H98+KZN_2!H98+LIM_2!H98+MPU_2!H98+NC_2!H98+NW_2!H98+WC_2!H98</f>
        <v>0</v>
      </c>
      <c r="I98" s="514">
        <f>EC_2!I98+FS_2!I98+GT_2!I98+KZN_2!I98+LIM_2!I98+MPU_2!I98+NC_2!I98+NW_2!I98+WC_2!I98</f>
        <v>0</v>
      </c>
      <c r="J98" s="515">
        <f>EC_2!J98+FS_2!J98+GT_2!J98+KZN_2!J98+LIM_2!J98+MPU_2!J98+NC_2!J98+NW_2!J98+WC_2!J98</f>
        <v>0</v>
      </c>
      <c r="K98" s="513">
        <f>EC_2!K98+FS_2!K98+GT_2!K98+KZN_2!K98+LIM_2!K98+MPU_2!K98+NC_2!K98+NW_2!K98+WC_2!K98</f>
        <v>0</v>
      </c>
      <c r="L98" s="513">
        <f>EC_2!L98+FS_2!L98+GT_2!L98+KZN_2!L98+LIM_2!L98+MPU_2!L98+NC_2!L98+NW_2!L98+WC_2!L98</f>
        <v>0</v>
      </c>
      <c r="M98" s="513">
        <f>EC_2!M98+FS_2!M98+GT_2!M98+KZN_2!M98+LIM_2!M98+MPU_2!M98+NC_2!M98+NW_2!M98+WC_2!M98</f>
        <v>0</v>
      </c>
      <c r="N98" s="516"/>
      <c r="O98" s="517"/>
      <c r="P98" s="518"/>
      <c r="Q98" s="518"/>
      <c r="R98" s="508"/>
      <c r="S98" s="509"/>
      <c r="T98" s="510">
        <f t="shared" si="143"/>
        <v>0</v>
      </c>
      <c r="U98" s="511">
        <v>0</v>
      </c>
      <c r="V98" s="512">
        <v>0</v>
      </c>
      <c r="W98" s="513">
        <v>0</v>
      </c>
      <c r="X98" s="513">
        <v>0</v>
      </c>
      <c r="Y98" s="511">
        <v>0</v>
      </c>
      <c r="Z98" s="514"/>
      <c r="AA98" s="515">
        <v>0</v>
      </c>
      <c r="AB98" s="513">
        <v>0</v>
      </c>
      <c r="AC98" s="513"/>
      <c r="AD98" s="513"/>
      <c r="AE98" s="513"/>
      <c r="AF98" s="517"/>
      <c r="AG98" s="519"/>
      <c r="AH98" s="519"/>
      <c r="AI98" s="508"/>
      <c r="AJ98" s="520"/>
      <c r="AK98" s="521">
        <f t="shared" si="144"/>
        <v>0</v>
      </c>
      <c r="AL98" s="522">
        <f t="shared" si="145"/>
        <v>0</v>
      </c>
      <c r="AM98" s="523">
        <f t="shared" si="142"/>
        <v>0</v>
      </c>
      <c r="AN98" s="524">
        <f t="shared" si="142"/>
        <v>0</v>
      </c>
      <c r="AO98" s="524">
        <f t="shared" si="142"/>
        <v>0</v>
      </c>
      <c r="AP98" s="522">
        <f t="shared" si="142"/>
        <v>0</v>
      </c>
      <c r="AQ98" s="525"/>
      <c r="AR98" s="526">
        <f t="shared" ref="AR98:AR99" si="147">IFERROR(AA98-J98,0)</f>
        <v>0</v>
      </c>
      <c r="AS98" s="524">
        <f t="shared" ref="AS98:AS99" si="148">IFERROR(AB98-K98,0)</f>
        <v>0</v>
      </c>
      <c r="AT98" s="524"/>
      <c r="AU98" s="524">
        <f t="shared" si="146"/>
        <v>0</v>
      </c>
      <c r="AV98" s="524"/>
      <c r="AW98" s="528"/>
      <c r="AX98" s="508"/>
      <c r="AY98" s="508"/>
      <c r="AZ98" s="508"/>
      <c r="BA98" s="508"/>
      <c r="BB98" s="508"/>
      <c r="BC98" s="508"/>
      <c r="BD98" s="508"/>
      <c r="BE98" s="508"/>
      <c r="BF98" s="508"/>
      <c r="BG98" s="508"/>
      <c r="BH98" s="508"/>
      <c r="BI98" s="508"/>
      <c r="BJ98" s="508"/>
      <c r="BK98" s="508"/>
      <c r="BL98" s="508"/>
      <c r="BM98" s="508"/>
      <c r="BN98" s="508"/>
      <c r="BO98" s="508"/>
      <c r="BP98" s="508"/>
      <c r="BQ98" s="508"/>
      <c r="BR98" s="508"/>
      <c r="BS98" s="508"/>
      <c r="BT98" s="508"/>
      <c r="BU98" s="508"/>
      <c r="BV98" s="508"/>
      <c r="BW98" s="508"/>
      <c r="BX98" s="508"/>
      <c r="BY98" s="508"/>
      <c r="BZ98" s="508"/>
      <c r="CA98" s="508"/>
      <c r="CB98" s="508"/>
      <c r="CC98" s="508"/>
      <c r="CD98" s="508"/>
    </row>
    <row r="99" spans="1:82" s="549" customFormat="1" ht="15.75" customHeight="1" x14ac:dyDescent="0.3">
      <c r="A99" s="508"/>
      <c r="B99" s="509"/>
      <c r="C99" s="510"/>
      <c r="D99" s="511">
        <f>EC_2!D99+FS_2!D99+GT_2!D99+KZN_2!D99+LIM_2!D99+MPU_2!D99+NC_2!D99+NW_2!D99+WC_2!D99</f>
        <v>0</v>
      </c>
      <c r="E99" s="512">
        <f>EC_2!E99+FS_2!E99+GT_2!E99+KZN_2!E99+LIM_2!E99+MPU_2!E99+NC_2!E99+NW_2!E99+WC_2!E99</f>
        <v>0</v>
      </c>
      <c r="F99" s="513">
        <f>EC_2!F99+FS_2!F99+GT_2!F99+KZN_2!F99+LIM_2!F99+MPU_2!F99+NC_2!F99+NW_2!F99+WC_2!F99</f>
        <v>0</v>
      </c>
      <c r="G99" s="513">
        <f>EC_2!G99+FS_2!G99+GT_2!G99+KZN_2!G99+LIM_2!G99+MPU_2!G99+NC_2!G99+NW_2!G99+WC_2!G99</f>
        <v>0</v>
      </c>
      <c r="H99" s="511">
        <f>EC_2!H99+FS_2!H99+GT_2!H99+KZN_2!H99+LIM_2!H99+MPU_2!H99+NC_2!H99+NW_2!H99+WC_2!H99</f>
        <v>0</v>
      </c>
      <c r="I99" s="514">
        <f>EC_2!I99+FS_2!I99+GT_2!I99+KZN_2!I99+LIM_2!I99+MPU_2!I99+NC_2!I99+NW_2!I99+WC_2!I99</f>
        <v>0</v>
      </c>
      <c r="J99" s="515">
        <f>EC_2!J99+FS_2!J99+GT_2!J99+KZN_2!J99+LIM_2!J99+MPU_2!J99+NC_2!J99+NW_2!J99+WC_2!J99</f>
        <v>0</v>
      </c>
      <c r="K99" s="513">
        <f>EC_2!K99+FS_2!K99+GT_2!K99+KZN_2!K99+LIM_2!K99+MPU_2!K99+NC_2!K99+NW_2!K99+WC_2!K99</f>
        <v>0</v>
      </c>
      <c r="L99" s="513">
        <f>EC_2!L99+FS_2!L99+GT_2!L99+KZN_2!L99+LIM_2!L99+MPU_2!L99+NC_2!L99+NW_2!L99+WC_2!L99</f>
        <v>0</v>
      </c>
      <c r="M99" s="513">
        <f>EC_2!M99+FS_2!M99+GT_2!M99+KZN_2!M99+LIM_2!M99+MPU_2!M99+NC_2!M99+NW_2!M99+WC_2!M99</f>
        <v>0</v>
      </c>
      <c r="N99" s="516"/>
      <c r="O99" s="517"/>
      <c r="P99" s="518"/>
      <c r="Q99" s="518"/>
      <c r="R99" s="508"/>
      <c r="S99" s="509"/>
      <c r="T99" s="510">
        <f t="shared" si="143"/>
        <v>0</v>
      </c>
      <c r="U99" s="511">
        <v>0</v>
      </c>
      <c r="V99" s="512">
        <v>0</v>
      </c>
      <c r="W99" s="513">
        <v>0</v>
      </c>
      <c r="X99" s="513">
        <v>0</v>
      </c>
      <c r="Y99" s="511">
        <v>0</v>
      </c>
      <c r="Z99" s="514"/>
      <c r="AA99" s="515">
        <v>0</v>
      </c>
      <c r="AB99" s="513">
        <v>0</v>
      </c>
      <c r="AC99" s="513"/>
      <c r="AD99" s="513"/>
      <c r="AE99" s="513"/>
      <c r="AF99" s="517"/>
      <c r="AG99" s="519"/>
      <c r="AH99" s="519"/>
      <c r="AI99" s="508"/>
      <c r="AJ99" s="520"/>
      <c r="AK99" s="521">
        <f t="shared" si="144"/>
        <v>0</v>
      </c>
      <c r="AL99" s="522">
        <f t="shared" si="145"/>
        <v>0</v>
      </c>
      <c r="AM99" s="523">
        <f t="shared" si="142"/>
        <v>0</v>
      </c>
      <c r="AN99" s="524">
        <f t="shared" si="142"/>
        <v>0</v>
      </c>
      <c r="AO99" s="524">
        <f t="shared" si="142"/>
        <v>0</v>
      </c>
      <c r="AP99" s="522">
        <f t="shared" si="142"/>
        <v>0</v>
      </c>
      <c r="AQ99" s="525"/>
      <c r="AR99" s="526">
        <f t="shared" si="147"/>
        <v>0</v>
      </c>
      <c r="AS99" s="524">
        <f t="shared" si="148"/>
        <v>0</v>
      </c>
      <c r="AT99" s="524"/>
      <c r="AU99" s="524">
        <f t="shared" si="146"/>
        <v>0</v>
      </c>
      <c r="AV99" s="524"/>
      <c r="AW99" s="528"/>
      <c r="AX99" s="508"/>
      <c r="AY99" s="508"/>
      <c r="AZ99" s="508"/>
      <c r="BA99" s="508"/>
      <c r="BB99" s="508"/>
      <c r="BC99" s="508"/>
      <c r="BD99" s="508"/>
      <c r="BE99" s="508"/>
      <c r="BF99" s="508"/>
      <c r="BG99" s="508"/>
      <c r="BH99" s="508"/>
      <c r="BI99" s="508"/>
      <c r="BJ99" s="508"/>
      <c r="BK99" s="508"/>
      <c r="BL99" s="508"/>
      <c r="BM99" s="508"/>
      <c r="BN99" s="508"/>
      <c r="BO99" s="508"/>
      <c r="BP99" s="508"/>
      <c r="BQ99" s="508"/>
      <c r="BR99" s="508"/>
      <c r="BS99" s="508"/>
      <c r="BT99" s="508"/>
      <c r="BU99" s="508"/>
      <c r="BV99" s="508"/>
      <c r="BW99" s="508"/>
      <c r="BX99" s="508"/>
      <c r="BY99" s="508"/>
      <c r="BZ99" s="508"/>
      <c r="CA99" s="508"/>
      <c r="CB99" s="508"/>
      <c r="CC99" s="508"/>
      <c r="CD99" s="508"/>
    </row>
    <row r="100" spans="1:82" s="518" customFormat="1" ht="8.25" customHeight="1" x14ac:dyDescent="0.3">
      <c r="A100" s="508"/>
      <c r="B100" s="509"/>
      <c r="C100" s="510"/>
      <c r="D100" s="511">
        <f>EC_2!D100+FS_2!D100+GT_2!D100+KZN_2!D100+LIM_2!D100+MPU_2!D100+NC_2!D100+NW_2!D100+WC_2!D100</f>
        <v>0</v>
      </c>
      <c r="E100" s="512">
        <f>EC_2!E100+FS_2!E100+GT_2!E100+KZN_2!E100+LIM_2!E100+MPU_2!E100+NC_2!E100+NW_2!E100+WC_2!E100</f>
        <v>0</v>
      </c>
      <c r="F100" s="513">
        <f>EC_2!F100+FS_2!F100+GT_2!F100+KZN_2!F100+LIM_2!F100+MPU_2!F100+NC_2!F100+NW_2!F100+WC_2!F100</f>
        <v>0</v>
      </c>
      <c r="G100" s="513">
        <f>EC_2!G100+FS_2!G100+GT_2!G100+KZN_2!G100+LIM_2!G100+MPU_2!G100+NC_2!G100+NW_2!G100+WC_2!G100</f>
        <v>0</v>
      </c>
      <c r="H100" s="511">
        <f>EC_2!H100+FS_2!H100+GT_2!H100+KZN_2!H100+LIM_2!H100+MPU_2!H100+NC_2!H100+NW_2!H100+WC_2!H100</f>
        <v>0</v>
      </c>
      <c r="I100" s="514">
        <f>EC_2!I100+FS_2!I100+GT_2!I100+KZN_2!I100+LIM_2!I100+MPU_2!I100+NC_2!I100+NW_2!I100+WC_2!I100</f>
        <v>0</v>
      </c>
      <c r="J100" s="515">
        <f>EC_2!J100+FS_2!J100+GT_2!J100+KZN_2!J100+LIM_2!J100+MPU_2!J100+NC_2!J100+NW_2!J100+WC_2!J100</f>
        <v>0</v>
      </c>
      <c r="K100" s="513">
        <f>EC_2!K100+FS_2!K100+GT_2!K100+KZN_2!K100+LIM_2!K100+MPU_2!K100+NC_2!K100+NW_2!K100+WC_2!K100</f>
        <v>0</v>
      </c>
      <c r="L100" s="513">
        <f>EC_2!L100+FS_2!L100+GT_2!L100+KZN_2!L100+LIM_2!L100+MPU_2!L100+NC_2!L100+NW_2!L100+WC_2!L100</f>
        <v>0</v>
      </c>
      <c r="M100" s="513">
        <f>EC_2!M100+FS_2!M100+GT_2!M100+KZN_2!M100+LIM_2!M100+MPU_2!M100+NC_2!M100+NW_2!M100+WC_2!M100</f>
        <v>0</v>
      </c>
      <c r="N100" s="516"/>
      <c r="O100" s="517"/>
      <c r="R100" s="508"/>
      <c r="S100" s="509"/>
      <c r="T100" s="510"/>
      <c r="U100" s="511"/>
      <c r="V100" s="512"/>
      <c r="W100" s="513"/>
      <c r="X100" s="513"/>
      <c r="Y100" s="511"/>
      <c r="Z100" s="514"/>
      <c r="AA100" s="515"/>
      <c r="AB100" s="513"/>
      <c r="AC100" s="513"/>
      <c r="AD100" s="513"/>
      <c r="AE100" s="513"/>
      <c r="AF100" s="517"/>
      <c r="AG100" s="519"/>
      <c r="AH100" s="519"/>
      <c r="AI100" s="508"/>
      <c r="AJ100" s="520"/>
      <c r="AK100" s="521">
        <f t="shared" si="122"/>
        <v>0</v>
      </c>
      <c r="AL100" s="522">
        <f t="shared" si="142"/>
        <v>0</v>
      </c>
      <c r="AM100" s="523">
        <f t="shared" si="142"/>
        <v>0</v>
      </c>
      <c r="AN100" s="524">
        <f t="shared" si="142"/>
        <v>0</v>
      </c>
      <c r="AO100" s="524">
        <f t="shared" si="142"/>
        <v>0</v>
      </c>
      <c r="AP100" s="522">
        <f t="shared" si="142"/>
        <v>0</v>
      </c>
      <c r="AQ100" s="525"/>
      <c r="AR100" s="526">
        <f t="shared" ref="AR100:AS124" si="149">IFERROR(AA100-J100,0)</f>
        <v>0</v>
      </c>
      <c r="AS100" s="524">
        <f t="shared" si="149"/>
        <v>0</v>
      </c>
      <c r="AT100" s="524"/>
      <c r="AU100" s="524">
        <f t="shared" si="123"/>
        <v>0</v>
      </c>
      <c r="AV100" s="524"/>
      <c r="AW100" s="528"/>
      <c r="AX100" s="508"/>
      <c r="AY100" s="508"/>
      <c r="AZ100" s="508"/>
      <c r="BA100" s="508"/>
      <c r="BB100" s="508"/>
      <c r="BC100" s="508"/>
      <c r="BD100" s="508"/>
      <c r="BE100" s="508"/>
      <c r="BF100" s="508"/>
      <c r="BG100" s="508"/>
      <c r="BH100" s="508"/>
      <c r="BI100" s="508"/>
      <c r="BJ100" s="508"/>
      <c r="BK100" s="508"/>
      <c r="BL100" s="508"/>
      <c r="BM100" s="508"/>
      <c r="BN100" s="508"/>
      <c r="BO100" s="508"/>
      <c r="BP100" s="508"/>
      <c r="BQ100" s="508"/>
      <c r="BR100" s="508"/>
      <c r="BS100" s="508"/>
      <c r="BT100" s="508"/>
      <c r="BU100" s="508"/>
      <c r="BV100" s="508"/>
      <c r="BW100" s="508"/>
      <c r="BX100" s="508"/>
      <c r="BY100" s="508"/>
      <c r="BZ100" s="508"/>
      <c r="CA100" s="508"/>
      <c r="CB100" s="508"/>
      <c r="CC100" s="508"/>
      <c r="CD100" s="508"/>
    </row>
    <row r="101" spans="1:82" ht="15.75" customHeight="1" x14ac:dyDescent="0.3">
      <c r="B101" s="62"/>
      <c r="C101" s="51" t="s">
        <v>42</v>
      </c>
      <c r="D101" s="95">
        <f>EC_2!D101+FS_2!D101+GT_2!D101+KZN_2!D101+LIM_2!D101+MPU_2!D101+NC_2!D101+NW_2!D101+WC_2!D101</f>
        <v>17707420</v>
      </c>
      <c r="E101" s="198">
        <f>EC_2!E101+FS_2!E101+GT_2!E101+KZN_2!E101+LIM_2!E101+MPU_2!E101+NC_2!E101+NW_2!E101+WC_2!E101</f>
        <v>60733</v>
      </c>
      <c r="F101" s="54">
        <f>EC_2!F101+FS_2!F101+GT_2!F101+KZN_2!F101+LIM_2!F101+MPU_2!F101+NC_2!F101+NW_2!F101+WC_2!F101</f>
        <v>17768153</v>
      </c>
      <c r="G101" s="54">
        <f>EC_2!G101+FS_2!G101+GT_2!G101+KZN_2!G101+LIM_2!G101+MPU_2!G101+NC_2!G101+NW_2!G101+WC_2!G101</f>
        <v>414595</v>
      </c>
      <c r="H101" s="95">
        <f>EC_2!H101+FS_2!H101+GT_2!H101+KZN_2!H101+LIM_2!H101+MPU_2!H101+NC_2!H101+NW_2!H101+WC_2!H101</f>
        <v>18182748</v>
      </c>
      <c r="I101" s="216">
        <f>EC_2!I101+FS_2!I101+GT_2!I101+KZN_2!I101+LIM_2!I101+MPU_2!I101+NC_2!I101+NW_2!I101+WC_2!I101</f>
        <v>0</v>
      </c>
      <c r="J101" s="101">
        <f>EC_2!J101+FS_2!J101+GT_2!J101+KZN_2!J101+LIM_2!J101+MPU_2!J101+NC_2!J101+NW_2!J101+WC_2!J101</f>
        <v>17768153</v>
      </c>
      <c r="K101" s="54">
        <f>EC_2!K101+FS_2!K101+GT_2!K101+KZN_2!K101+LIM_2!K101+MPU_2!K101+NC_2!K101+NW_2!K101+WC_2!K101</f>
        <v>17768153</v>
      </c>
      <c r="L101" s="59">
        <f>EC_2!L101+FS_2!L101+GT_2!L101+KZN_2!L101+LIM_2!L101+MPU_2!L101+NC_2!L101+NW_2!L101+WC_2!L101</f>
        <v>0</v>
      </c>
      <c r="M101" s="591">
        <f>SUM(M102:M103)</f>
        <v>17102504.423890002</v>
      </c>
      <c r="N101" s="590"/>
      <c r="O101" s="55"/>
      <c r="P101" s="52"/>
      <c r="Q101" s="52"/>
      <c r="S101" s="62"/>
      <c r="T101" s="51" t="str">
        <f>C101</f>
        <v>Transport (Vote 35)</v>
      </c>
      <c r="U101" s="95">
        <v>17707420</v>
      </c>
      <c r="V101" s="198">
        <v>0</v>
      </c>
      <c r="W101" s="54">
        <v>17707420</v>
      </c>
      <c r="X101" s="54">
        <v>0</v>
      </c>
      <c r="Y101" s="95">
        <v>17707420</v>
      </c>
      <c r="Z101" s="216"/>
      <c r="AA101" s="101">
        <v>9167804</v>
      </c>
      <c r="AB101" s="54">
        <v>8942514</v>
      </c>
      <c r="AC101" s="59"/>
      <c r="AD101" s="54"/>
      <c r="AE101" s="172"/>
      <c r="AF101" s="55"/>
      <c r="AG101" s="442"/>
      <c r="AH101" s="442"/>
      <c r="AJ101" s="402"/>
      <c r="AK101" s="480" t="str">
        <f t="shared" si="122"/>
        <v>Transport (Vote 35)</v>
      </c>
      <c r="AL101" s="388">
        <f t="shared" si="142"/>
        <v>0</v>
      </c>
      <c r="AM101" s="389">
        <f t="shared" si="142"/>
        <v>-60733</v>
      </c>
      <c r="AN101" s="390">
        <f t="shared" si="142"/>
        <v>-60733</v>
      </c>
      <c r="AO101" s="390">
        <f t="shared" si="142"/>
        <v>-414595</v>
      </c>
      <c r="AP101" s="388">
        <f t="shared" si="142"/>
        <v>-475328</v>
      </c>
      <c r="AQ101" s="391"/>
      <c r="AR101" s="392">
        <f t="shared" si="149"/>
        <v>-8600349</v>
      </c>
      <c r="AS101" s="390">
        <f t="shared" si="149"/>
        <v>-8825639</v>
      </c>
      <c r="AT101" s="398"/>
      <c r="AU101" s="390">
        <f t="shared" si="123"/>
        <v>-17102504.423890002</v>
      </c>
      <c r="AV101" s="390"/>
      <c r="AW101" s="393"/>
    </row>
    <row r="102" spans="1:82" s="66" customFormat="1" ht="15.75" customHeight="1" x14ac:dyDescent="0.3">
      <c r="A102"/>
      <c r="B102" s="57"/>
      <c r="C102" s="58" t="s">
        <v>43</v>
      </c>
      <c r="D102" s="96">
        <f>EC_2!D102+FS_2!D102+GT_2!D102+KZN_2!D102+LIM_2!D102+MPU_2!D102+NC_2!D102+NW_2!D102+WC_2!D102</f>
        <v>11381665</v>
      </c>
      <c r="E102" s="199">
        <f>EC_2!E102+FS_2!E102+GT_2!E102+KZN_2!E102+LIM_2!E102+MPU_2!E102+NC_2!E102+NW_2!E102+WC_2!E102</f>
        <v>60733</v>
      </c>
      <c r="F102" s="59">
        <f>EC_2!F102+FS_2!F102+GT_2!F102+KZN_2!F102+LIM_2!F102+MPU_2!F102+NC_2!F102+NW_2!F102+WC_2!F102</f>
        <v>11442398</v>
      </c>
      <c r="G102" s="59">
        <f>EC_2!G102+FS_2!G102+GT_2!G102+KZN_2!G102+LIM_2!G102+MPU_2!G102+NC_2!G102+NW_2!G102+WC_2!G102</f>
        <v>414595</v>
      </c>
      <c r="H102" s="96">
        <f>EC_2!H102+FS_2!H102+GT_2!H102+KZN_2!H102+LIM_2!H102+MPU_2!H102+NC_2!H102+NW_2!H102+WC_2!H102</f>
        <v>11856993</v>
      </c>
      <c r="I102" s="217">
        <f>EC_2!I102+FS_2!I102+GT_2!I102+KZN_2!I102+LIM_2!I102+MPU_2!I102+NC_2!I102+NW_2!I102+WC_2!I102</f>
        <v>0</v>
      </c>
      <c r="J102" s="102">
        <f>EC_2!J102+FS_2!J102+GT_2!J102+KZN_2!J102+LIM_2!J102+MPU_2!J102+NC_2!J102+NW_2!J102+WC_2!J102</f>
        <v>11442398</v>
      </c>
      <c r="K102" s="59">
        <f>EC_2!K102+FS_2!K102+GT_2!K102+KZN_2!K102+LIM_2!K102+MPU_2!K102+NC_2!K102+NW_2!K102+WC_2!K102</f>
        <v>11442398</v>
      </c>
      <c r="L102" s="59">
        <f>EC_2!L102+FS_2!L102+GT_2!L102+KZN_2!L102+LIM_2!L102+MPU_2!L102+NC_2!L102+NW_2!L102+WC_2!L102</f>
        <v>0</v>
      </c>
      <c r="M102" s="76">
        <v>11231964.347890001</v>
      </c>
      <c r="N102" s="439"/>
      <c r="O102" s="33"/>
      <c r="P102" s="21"/>
      <c r="Q102" s="21"/>
      <c r="R102"/>
      <c r="S102" s="57"/>
      <c r="T102" s="58" t="str">
        <f t="shared" ref="T102:T106" si="150">C102</f>
        <v>(a) Provincial Roads Maintenance Grant</v>
      </c>
      <c r="U102" s="96">
        <v>11381665</v>
      </c>
      <c r="V102" s="199">
        <v>0</v>
      </c>
      <c r="W102" s="59">
        <v>11381665</v>
      </c>
      <c r="X102" s="59">
        <v>0</v>
      </c>
      <c r="Y102" s="96">
        <v>11381665</v>
      </c>
      <c r="Z102" s="217"/>
      <c r="AA102" s="102">
        <v>6803168</v>
      </c>
      <c r="AB102" s="59">
        <v>6367422</v>
      </c>
      <c r="AC102" s="59"/>
      <c r="AD102" s="76"/>
      <c r="AE102" s="76"/>
      <c r="AF102" s="33"/>
      <c r="AG102" s="441"/>
      <c r="AH102" s="441"/>
      <c r="AI102"/>
      <c r="AJ102" s="394"/>
      <c r="AK102" s="479" t="str">
        <f>C102</f>
        <v>(a) Provincial Roads Maintenance Grant</v>
      </c>
      <c r="AL102" s="396">
        <f>IFERROR(U102-D102,0)</f>
        <v>0</v>
      </c>
      <c r="AM102" s="397">
        <f t="shared" si="142"/>
        <v>-60733</v>
      </c>
      <c r="AN102" s="398">
        <f t="shared" si="142"/>
        <v>-60733</v>
      </c>
      <c r="AO102" s="398">
        <f t="shared" si="142"/>
        <v>-414595</v>
      </c>
      <c r="AP102" s="396">
        <f t="shared" si="142"/>
        <v>-475328</v>
      </c>
      <c r="AQ102" s="399"/>
      <c r="AR102" s="400">
        <f t="shared" si="149"/>
        <v>-4639230</v>
      </c>
      <c r="AS102" s="398">
        <f t="shared" si="149"/>
        <v>-5074976</v>
      </c>
      <c r="AT102" s="398"/>
      <c r="AU102" s="417">
        <f>IFERROR(AD102-M102,0)</f>
        <v>-11231964.347890001</v>
      </c>
      <c r="AV102" s="417"/>
      <c r="AW102" s="347"/>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66" customFormat="1" ht="15.75" customHeight="1" x14ac:dyDescent="0.3">
      <c r="A103"/>
      <c r="B103" s="57"/>
      <c r="C103" s="58" t="s">
        <v>44</v>
      </c>
      <c r="D103" s="96">
        <f>EC_2!D103+FS_2!D103+GT_2!D103+KZN_2!D103+LIM_2!D103+MPU_2!D103+NC_2!D103+NW_2!D103+WC_2!D103</f>
        <v>6325755</v>
      </c>
      <c r="E103" s="199">
        <f>EC_2!E103+FS_2!E103+GT_2!E103+KZN_2!E103+LIM_2!E103+MPU_2!E103+NC_2!E103+NW_2!E103+WC_2!E103</f>
        <v>0</v>
      </c>
      <c r="F103" s="59">
        <f>EC_2!F103+FS_2!F103+GT_2!F103+KZN_2!F103+LIM_2!F103+MPU_2!F103+NC_2!F103+NW_2!F103+WC_2!F103</f>
        <v>6325755</v>
      </c>
      <c r="G103" s="59">
        <f>EC_2!G103+FS_2!G103+GT_2!G103+KZN_2!G103+LIM_2!G103+MPU_2!G103+NC_2!G103+NW_2!G103+WC_2!G103</f>
        <v>0</v>
      </c>
      <c r="H103" s="96">
        <f>EC_2!H103+FS_2!H103+GT_2!H103+KZN_2!H103+LIM_2!H103+MPU_2!H103+NC_2!H103+NW_2!H103+WC_2!H103</f>
        <v>6325755</v>
      </c>
      <c r="I103" s="217">
        <f>EC_2!I103+FS_2!I103+GT_2!I103+KZN_2!I103+LIM_2!I103+MPU_2!I103+NC_2!I103+NW_2!I103+WC_2!I103</f>
        <v>0</v>
      </c>
      <c r="J103" s="102">
        <f>EC_2!J103+FS_2!J103+GT_2!J103+KZN_2!J103+LIM_2!J103+MPU_2!J103+NC_2!J103+NW_2!J103+WC_2!J103</f>
        <v>6325755</v>
      </c>
      <c r="K103" s="59">
        <f>EC_2!K103+FS_2!K103+GT_2!K103+KZN_2!K103+LIM_2!K103+MPU_2!K103+NC_2!K103+NW_2!K103+WC_2!K103</f>
        <v>6325755</v>
      </c>
      <c r="L103" s="59">
        <f>EC_2!L103+FS_2!L103+GT_2!L103+KZN_2!L103+LIM_2!L103+MPU_2!L103+NC_2!L103+NW_2!L103+WC_2!L103</f>
        <v>0</v>
      </c>
      <c r="M103" s="76">
        <v>5870540.0760000004</v>
      </c>
      <c r="N103" s="439"/>
      <c r="O103" s="33"/>
      <c r="P103" s="21"/>
      <c r="Q103" s="21"/>
      <c r="R103"/>
      <c r="S103" s="57"/>
      <c r="T103" s="58" t="str">
        <f t="shared" si="150"/>
        <v>(b) Public Transport Operations Grant</v>
      </c>
      <c r="U103" s="96">
        <v>6325755</v>
      </c>
      <c r="V103" s="199">
        <v>0</v>
      </c>
      <c r="W103" s="59">
        <v>6325755</v>
      </c>
      <c r="X103" s="59">
        <v>0</v>
      </c>
      <c r="Y103" s="96">
        <v>6325755</v>
      </c>
      <c r="Z103" s="217"/>
      <c r="AA103" s="102">
        <v>2364636</v>
      </c>
      <c r="AB103" s="59">
        <v>2575092</v>
      </c>
      <c r="AC103" s="59"/>
      <c r="AD103" s="76"/>
      <c r="AE103" s="76"/>
      <c r="AF103" s="33"/>
      <c r="AG103" s="441"/>
      <c r="AH103" s="441"/>
      <c r="AI103"/>
      <c r="AJ103" s="394"/>
      <c r="AK103" s="479" t="str">
        <f t="shared" ref="AK103:AK106" si="151">C103</f>
        <v>(b) Public Transport Operations Grant</v>
      </c>
      <c r="AL103" s="396">
        <f t="shared" ref="AL103:AL106" si="152">IFERROR(U103-D103,0)</f>
        <v>0</v>
      </c>
      <c r="AM103" s="397">
        <f t="shared" si="142"/>
        <v>0</v>
      </c>
      <c r="AN103" s="398">
        <f t="shared" si="142"/>
        <v>0</v>
      </c>
      <c r="AO103" s="398">
        <f t="shared" si="142"/>
        <v>0</v>
      </c>
      <c r="AP103" s="396">
        <f t="shared" si="142"/>
        <v>0</v>
      </c>
      <c r="AQ103" s="399"/>
      <c r="AR103" s="400">
        <f t="shared" si="149"/>
        <v>-3961119</v>
      </c>
      <c r="AS103" s="398">
        <f t="shared" si="149"/>
        <v>-3750663</v>
      </c>
      <c r="AT103" s="398"/>
      <c r="AU103" s="417">
        <f t="shared" ref="AU103:AU106" si="153">IFERROR(AD103-M103,0)</f>
        <v>-5870540.0760000004</v>
      </c>
      <c r="AV103" s="417"/>
      <c r="AW103" s="347"/>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549" customFormat="1" ht="15.75" customHeight="1" x14ac:dyDescent="0.3">
      <c r="A104" s="508"/>
      <c r="B104" s="509"/>
      <c r="C104" s="510"/>
      <c r="D104" s="511">
        <f>EC_2!D104+FS_2!D104+GT_2!D104+KZN_2!D104+LIM_2!D104+MPU_2!D104+NC_2!D104+NW_2!D104+WC_2!D104</f>
        <v>0</v>
      </c>
      <c r="E104" s="512">
        <f>EC_2!E104+FS_2!E104+GT_2!E104+KZN_2!E104+LIM_2!E104+MPU_2!E104+NC_2!E104+NW_2!E104+WC_2!E104</f>
        <v>0</v>
      </c>
      <c r="F104" s="513">
        <f>EC_2!F104+FS_2!F104+GT_2!F104+KZN_2!F104+LIM_2!F104+MPU_2!F104+NC_2!F104+NW_2!F104+WC_2!F104</f>
        <v>0</v>
      </c>
      <c r="G104" s="513">
        <f>EC_2!G104+FS_2!G104+GT_2!G104+KZN_2!G104+LIM_2!G104+MPU_2!G104+NC_2!G104+NW_2!G104+WC_2!G104</f>
        <v>0</v>
      </c>
      <c r="H104" s="511">
        <f>EC_2!H104+FS_2!H104+GT_2!H104+KZN_2!H104+LIM_2!H104+MPU_2!H104+NC_2!H104+NW_2!H104+WC_2!H104</f>
        <v>0</v>
      </c>
      <c r="I104" s="514">
        <f>EC_2!I104+FS_2!I104+GT_2!I104+KZN_2!I104+LIM_2!I104+MPU_2!I104+NC_2!I104+NW_2!I104+WC_2!I104</f>
        <v>0</v>
      </c>
      <c r="J104" s="515">
        <f>EC_2!J104+FS_2!J104+GT_2!J104+KZN_2!J104+LIM_2!J104+MPU_2!J104+NC_2!J104+NW_2!J104+WC_2!J104</f>
        <v>0</v>
      </c>
      <c r="K104" s="513">
        <f>EC_2!K104+FS_2!K104+GT_2!K104+KZN_2!K104+LIM_2!K104+MPU_2!K104+NC_2!K104+NW_2!K104+WC_2!K104</f>
        <v>0</v>
      </c>
      <c r="L104" s="513">
        <f>EC_2!L104+FS_2!L104+GT_2!L104+KZN_2!L104+LIM_2!L104+MPU_2!L104+NC_2!L104+NW_2!L104+WC_2!L104</f>
        <v>0</v>
      </c>
      <c r="M104" s="513">
        <f>EC_2!M104+FS_2!M104+GT_2!M104+KZN_2!M104+LIM_2!M104+MPU_2!M104+NC_2!M104+NW_2!M104+WC_2!M104</f>
        <v>0</v>
      </c>
      <c r="N104" s="516"/>
      <c r="O104" s="517"/>
      <c r="P104" s="530"/>
      <c r="Q104" s="530"/>
      <c r="R104" s="508"/>
      <c r="S104" s="509"/>
      <c r="T104" s="510">
        <f t="shared" si="150"/>
        <v>0</v>
      </c>
      <c r="U104" s="511">
        <v>0</v>
      </c>
      <c r="V104" s="512">
        <v>0</v>
      </c>
      <c r="W104" s="513">
        <v>0</v>
      </c>
      <c r="X104" s="513">
        <v>0</v>
      </c>
      <c r="Y104" s="511">
        <v>0</v>
      </c>
      <c r="Z104" s="514"/>
      <c r="AA104" s="515">
        <v>0</v>
      </c>
      <c r="AB104" s="513">
        <v>0</v>
      </c>
      <c r="AC104" s="513"/>
      <c r="AD104" s="513"/>
      <c r="AE104" s="513"/>
      <c r="AF104" s="517"/>
      <c r="AG104" s="519"/>
      <c r="AH104" s="519"/>
      <c r="AI104" s="508"/>
      <c r="AJ104" s="520"/>
      <c r="AK104" s="521">
        <f t="shared" si="151"/>
        <v>0</v>
      </c>
      <c r="AL104" s="522">
        <f t="shared" si="152"/>
        <v>0</v>
      </c>
      <c r="AM104" s="523">
        <f t="shared" si="142"/>
        <v>0</v>
      </c>
      <c r="AN104" s="524">
        <f t="shared" si="142"/>
        <v>0</v>
      </c>
      <c r="AO104" s="524">
        <f t="shared" si="142"/>
        <v>0</v>
      </c>
      <c r="AP104" s="522">
        <f t="shared" si="142"/>
        <v>0</v>
      </c>
      <c r="AQ104" s="525"/>
      <c r="AR104" s="526">
        <f t="shared" si="149"/>
        <v>0</v>
      </c>
      <c r="AS104" s="524">
        <f t="shared" si="149"/>
        <v>0</v>
      </c>
      <c r="AT104" s="524"/>
      <c r="AU104" s="524">
        <f t="shared" si="153"/>
        <v>0</v>
      </c>
      <c r="AV104" s="524"/>
      <c r="AW104" s="528"/>
      <c r="AX104" s="508"/>
      <c r="AY104" s="508"/>
      <c r="AZ104" s="508"/>
      <c r="BA104" s="508"/>
      <c r="BB104" s="508"/>
      <c r="BC104" s="508"/>
      <c r="BD104" s="508"/>
      <c r="BE104" s="508"/>
      <c r="BF104" s="508"/>
      <c r="BG104" s="508"/>
      <c r="BH104" s="508"/>
      <c r="BI104" s="508"/>
      <c r="BJ104" s="508"/>
      <c r="BK104" s="508"/>
      <c r="BL104" s="508"/>
      <c r="BM104" s="508"/>
      <c r="BN104" s="508"/>
      <c r="BO104" s="508"/>
      <c r="BP104" s="508"/>
      <c r="BQ104" s="508"/>
      <c r="BR104" s="508"/>
      <c r="BS104" s="508"/>
      <c r="BT104" s="508"/>
      <c r="BU104" s="508"/>
      <c r="BV104" s="508"/>
      <c r="BW104" s="508"/>
      <c r="BX104" s="508"/>
      <c r="BY104" s="508"/>
      <c r="BZ104" s="508"/>
      <c r="CA104" s="508"/>
      <c r="CB104" s="508"/>
      <c r="CC104" s="508"/>
      <c r="CD104" s="508"/>
    </row>
    <row r="105" spans="1:82" s="530" customFormat="1" ht="15.75" customHeight="1" x14ac:dyDescent="0.3">
      <c r="A105" s="508"/>
      <c r="B105" s="509"/>
      <c r="C105" s="510"/>
      <c r="D105" s="511">
        <f>EC_2!D105+FS_2!D105+GT_2!D105+KZN_2!D105+LIM_2!D105+MPU_2!D105+NC_2!D105+NW_2!D105+WC_2!D105</f>
        <v>0</v>
      </c>
      <c r="E105" s="512">
        <f>EC_2!E105+FS_2!E105+GT_2!E105+KZN_2!E105+LIM_2!E105+MPU_2!E105+NC_2!E105+NW_2!E105+WC_2!E105</f>
        <v>0</v>
      </c>
      <c r="F105" s="513">
        <f>EC_2!F105+FS_2!F105+GT_2!F105+KZN_2!F105+LIM_2!F105+MPU_2!F105+NC_2!F105+NW_2!F105+WC_2!F105</f>
        <v>0</v>
      </c>
      <c r="G105" s="513">
        <f>EC_2!G105+FS_2!G105+GT_2!G105+KZN_2!G105+LIM_2!G105+MPU_2!G105+NC_2!G105+NW_2!G105+WC_2!G105</f>
        <v>0</v>
      </c>
      <c r="H105" s="511">
        <f>EC_2!H105+FS_2!H105+GT_2!H105+KZN_2!H105+LIM_2!H105+MPU_2!H105+NC_2!H105+NW_2!H105+WC_2!H105</f>
        <v>0</v>
      </c>
      <c r="I105" s="514">
        <f>EC_2!I105+FS_2!I105+GT_2!I105+KZN_2!I105+LIM_2!I105+MPU_2!I105+NC_2!I105+NW_2!I105+WC_2!I105</f>
        <v>0</v>
      </c>
      <c r="J105" s="515">
        <f>EC_2!J105+FS_2!J105+GT_2!J105+KZN_2!J105+LIM_2!J105+MPU_2!J105+NC_2!J105+NW_2!J105+WC_2!J105</f>
        <v>0</v>
      </c>
      <c r="K105" s="513">
        <f>EC_2!K105+FS_2!K105+GT_2!K105+KZN_2!K105+LIM_2!K105+MPU_2!K105+NC_2!K105+NW_2!K105+WC_2!K105</f>
        <v>0</v>
      </c>
      <c r="L105" s="513">
        <f>EC_2!L105+FS_2!L105+GT_2!L105+KZN_2!L105+LIM_2!L105+MPU_2!L105+NC_2!L105+NW_2!L105+WC_2!L105</f>
        <v>0</v>
      </c>
      <c r="M105" s="513">
        <f>EC_2!M105+FS_2!M105+GT_2!M105+KZN_2!M105+LIM_2!M105+MPU_2!M105+NC_2!M105+NW_2!M105+WC_2!M105</f>
        <v>0</v>
      </c>
      <c r="N105" s="516"/>
      <c r="O105" s="517"/>
      <c r="R105" s="508"/>
      <c r="S105" s="509"/>
      <c r="T105" s="510">
        <f t="shared" si="150"/>
        <v>0</v>
      </c>
      <c r="U105" s="511">
        <v>0</v>
      </c>
      <c r="V105" s="512">
        <v>0</v>
      </c>
      <c r="W105" s="513">
        <v>0</v>
      </c>
      <c r="X105" s="513">
        <v>0</v>
      </c>
      <c r="Y105" s="511">
        <v>0</v>
      </c>
      <c r="Z105" s="514"/>
      <c r="AA105" s="515">
        <v>0</v>
      </c>
      <c r="AB105" s="513">
        <v>0</v>
      </c>
      <c r="AC105" s="513"/>
      <c r="AD105" s="513"/>
      <c r="AE105" s="513"/>
      <c r="AF105" s="517"/>
      <c r="AG105" s="519"/>
      <c r="AH105" s="519"/>
      <c r="AI105" s="508"/>
      <c r="AJ105" s="520"/>
      <c r="AK105" s="521">
        <f t="shared" si="151"/>
        <v>0</v>
      </c>
      <c r="AL105" s="522">
        <f t="shared" si="152"/>
        <v>0</v>
      </c>
      <c r="AM105" s="523">
        <f t="shared" si="142"/>
        <v>0</v>
      </c>
      <c r="AN105" s="524">
        <f t="shared" si="142"/>
        <v>0</v>
      </c>
      <c r="AO105" s="524">
        <f t="shared" si="142"/>
        <v>0</v>
      </c>
      <c r="AP105" s="522">
        <f t="shared" si="142"/>
        <v>0</v>
      </c>
      <c r="AQ105" s="525"/>
      <c r="AR105" s="526">
        <f t="shared" si="149"/>
        <v>0</v>
      </c>
      <c r="AS105" s="524">
        <f t="shared" si="149"/>
        <v>0</v>
      </c>
      <c r="AT105" s="524"/>
      <c r="AU105" s="524">
        <f t="shared" si="153"/>
        <v>0</v>
      </c>
      <c r="AV105" s="524"/>
      <c r="AW105" s="528"/>
      <c r="AX105" s="508"/>
      <c r="AY105" s="508"/>
      <c r="AZ105" s="508"/>
      <c r="BA105" s="508"/>
      <c r="BB105" s="508"/>
      <c r="BC105" s="508"/>
      <c r="BD105" s="508"/>
      <c r="BE105" s="508"/>
      <c r="BF105" s="508"/>
      <c r="BG105" s="508"/>
      <c r="BH105" s="508"/>
      <c r="BI105" s="508"/>
      <c r="BJ105" s="508"/>
      <c r="BK105" s="508"/>
      <c r="BL105" s="508"/>
      <c r="BM105" s="508"/>
      <c r="BN105" s="508"/>
      <c r="BO105" s="508"/>
      <c r="BP105" s="508"/>
      <c r="BQ105" s="508"/>
      <c r="BR105" s="508"/>
      <c r="BS105" s="508"/>
      <c r="BT105" s="508"/>
      <c r="BU105" s="508"/>
      <c r="BV105" s="508"/>
      <c r="BW105" s="508"/>
      <c r="BX105" s="508"/>
      <c r="BY105" s="508"/>
      <c r="BZ105" s="508"/>
      <c r="CA105" s="508"/>
      <c r="CB105" s="508"/>
      <c r="CC105" s="508"/>
      <c r="CD105" s="508"/>
    </row>
    <row r="106" spans="1:82" s="565" customFormat="1" ht="15.75" customHeight="1" x14ac:dyDescent="0.3">
      <c r="A106" s="508"/>
      <c r="B106" s="509"/>
      <c r="C106" s="510"/>
      <c r="D106" s="511">
        <f>EC_2!D106+FS_2!D106+GT_2!D106+KZN_2!D106+LIM_2!D106+MPU_2!D106+NC_2!D106+NW_2!D106+WC_2!D106</f>
        <v>0</v>
      </c>
      <c r="E106" s="512">
        <f>EC_2!E106+FS_2!E106+GT_2!E106+KZN_2!E106+LIM_2!E106+MPU_2!E106+NC_2!E106+NW_2!E106+WC_2!E106</f>
        <v>0</v>
      </c>
      <c r="F106" s="513">
        <f>EC_2!F106+FS_2!F106+GT_2!F106+KZN_2!F106+LIM_2!F106+MPU_2!F106+NC_2!F106+NW_2!F106+WC_2!F106</f>
        <v>0</v>
      </c>
      <c r="G106" s="513">
        <f>EC_2!G106+FS_2!G106+GT_2!G106+KZN_2!G106+LIM_2!G106+MPU_2!G106+NC_2!G106+NW_2!G106+WC_2!G106</f>
        <v>0</v>
      </c>
      <c r="H106" s="511">
        <f>EC_2!H106+FS_2!H106+GT_2!H106+KZN_2!H106+LIM_2!H106+MPU_2!H106+NC_2!H106+NW_2!H106+WC_2!H106</f>
        <v>0</v>
      </c>
      <c r="I106" s="514">
        <f>EC_2!I106+FS_2!I106+GT_2!I106+KZN_2!I106+LIM_2!I106+MPU_2!I106+NC_2!I106+NW_2!I106+WC_2!I106</f>
        <v>0</v>
      </c>
      <c r="J106" s="515">
        <f>EC_2!J106+FS_2!J106+GT_2!J106+KZN_2!J106+LIM_2!J106+MPU_2!J106+NC_2!J106+NW_2!J106+WC_2!J106</f>
        <v>0</v>
      </c>
      <c r="K106" s="513">
        <f>EC_2!K106+FS_2!K106+GT_2!K106+KZN_2!K106+LIM_2!K106+MPU_2!K106+NC_2!K106+NW_2!K106+WC_2!K106</f>
        <v>0</v>
      </c>
      <c r="L106" s="513">
        <f>EC_2!L106+FS_2!L106+GT_2!L106+KZN_2!L106+LIM_2!L106+MPU_2!L106+NC_2!L106+NW_2!L106+WC_2!L106</f>
        <v>0</v>
      </c>
      <c r="M106" s="513">
        <f>EC_2!M106+FS_2!M106+GT_2!M106+KZN_2!M106+LIM_2!M106+MPU_2!M106+NC_2!M106+NW_2!M106+WC_2!M106</f>
        <v>0</v>
      </c>
      <c r="N106" s="516"/>
      <c r="O106" s="517"/>
      <c r="P106" s="530"/>
      <c r="Q106" s="530"/>
      <c r="R106" s="508"/>
      <c r="S106" s="509"/>
      <c r="T106" s="510">
        <f t="shared" si="150"/>
        <v>0</v>
      </c>
      <c r="U106" s="511">
        <v>0</v>
      </c>
      <c r="V106" s="512">
        <v>0</v>
      </c>
      <c r="W106" s="513">
        <v>0</v>
      </c>
      <c r="X106" s="513">
        <v>0</v>
      </c>
      <c r="Y106" s="511">
        <v>0</v>
      </c>
      <c r="Z106" s="514"/>
      <c r="AA106" s="515">
        <v>0</v>
      </c>
      <c r="AB106" s="513">
        <v>0</v>
      </c>
      <c r="AC106" s="513"/>
      <c r="AD106" s="513"/>
      <c r="AE106" s="513"/>
      <c r="AF106" s="517"/>
      <c r="AG106" s="519"/>
      <c r="AH106" s="519"/>
      <c r="AI106" s="508"/>
      <c r="AJ106" s="520"/>
      <c r="AK106" s="521">
        <f t="shared" si="151"/>
        <v>0</v>
      </c>
      <c r="AL106" s="522">
        <f t="shared" si="152"/>
        <v>0</v>
      </c>
      <c r="AM106" s="523">
        <f t="shared" si="142"/>
        <v>0</v>
      </c>
      <c r="AN106" s="524">
        <f t="shared" si="142"/>
        <v>0</v>
      </c>
      <c r="AO106" s="524">
        <f t="shared" si="142"/>
        <v>0</v>
      </c>
      <c r="AP106" s="522">
        <f t="shared" si="142"/>
        <v>0</v>
      </c>
      <c r="AQ106" s="525"/>
      <c r="AR106" s="526">
        <f t="shared" si="149"/>
        <v>0</v>
      </c>
      <c r="AS106" s="524">
        <f t="shared" si="149"/>
        <v>0</v>
      </c>
      <c r="AT106" s="524"/>
      <c r="AU106" s="524">
        <f t="shared" si="153"/>
        <v>0</v>
      </c>
      <c r="AV106" s="524"/>
      <c r="AW106" s="528"/>
      <c r="AX106" s="508"/>
      <c r="AY106" s="508"/>
      <c r="AZ106" s="508"/>
      <c r="BA106" s="508"/>
      <c r="BB106" s="508"/>
      <c r="BC106" s="508"/>
      <c r="BD106" s="508"/>
      <c r="BE106" s="508"/>
      <c r="BF106" s="508"/>
      <c r="BG106" s="508"/>
      <c r="BH106" s="508"/>
      <c r="BI106" s="508"/>
      <c r="BJ106" s="508"/>
      <c r="BK106" s="508"/>
      <c r="BL106" s="508"/>
      <c r="BM106" s="508"/>
      <c r="BN106" s="508"/>
      <c r="BO106" s="508"/>
      <c r="BP106" s="508"/>
      <c r="BQ106" s="508"/>
      <c r="BR106" s="508"/>
      <c r="BS106" s="508"/>
      <c r="BT106" s="508"/>
      <c r="BU106" s="508"/>
      <c r="BV106" s="508"/>
      <c r="BW106" s="508"/>
      <c r="BX106" s="508"/>
      <c r="BY106" s="508"/>
      <c r="BZ106" s="508"/>
      <c r="CA106" s="508"/>
      <c r="CB106" s="508"/>
      <c r="CC106" s="508"/>
      <c r="CD106" s="508"/>
    </row>
    <row r="107" spans="1:82" s="530" customFormat="1" ht="8.25" customHeight="1" x14ac:dyDescent="0.3">
      <c r="A107" s="508"/>
      <c r="B107" s="509"/>
      <c r="C107" s="533"/>
      <c r="D107" s="511">
        <f>EC_2!D107+FS_2!D107+GT_2!D107+KZN_2!D107+LIM_2!D107+MPU_2!D107+NC_2!D107+NW_2!D107+WC_2!D107</f>
        <v>0</v>
      </c>
      <c r="E107" s="512">
        <f>EC_2!E107+FS_2!E107+GT_2!E107+KZN_2!E107+LIM_2!E107+MPU_2!E107+NC_2!E107+NW_2!E107+WC_2!E107</f>
        <v>0</v>
      </c>
      <c r="F107" s="513">
        <f>EC_2!F107+FS_2!F107+GT_2!F107+KZN_2!F107+LIM_2!F107+MPU_2!F107+NC_2!F107+NW_2!F107+WC_2!F107</f>
        <v>0</v>
      </c>
      <c r="G107" s="513">
        <f>EC_2!G107+FS_2!G107+GT_2!G107+KZN_2!G107+LIM_2!G107+MPU_2!G107+NC_2!G107+NW_2!G107+WC_2!G107</f>
        <v>0</v>
      </c>
      <c r="H107" s="511">
        <f>EC_2!H107+FS_2!H107+GT_2!H107+KZN_2!H107+LIM_2!H107+MPU_2!H107+NC_2!H107+NW_2!H107+WC_2!H107</f>
        <v>0</v>
      </c>
      <c r="I107" s="514">
        <f>EC_2!I107+FS_2!I107+GT_2!I107+KZN_2!I107+LIM_2!I107+MPU_2!I107+NC_2!I107+NW_2!I107+WC_2!I107</f>
        <v>0</v>
      </c>
      <c r="J107" s="515">
        <f>EC_2!J107+FS_2!J107+GT_2!J107+KZN_2!J107+LIM_2!J107+MPU_2!J107+NC_2!J107+NW_2!J107+WC_2!J107</f>
        <v>0</v>
      </c>
      <c r="K107" s="513">
        <f>EC_2!K107+FS_2!K107+GT_2!K107+KZN_2!K107+LIM_2!K107+MPU_2!K107+NC_2!K107+NW_2!K107+WC_2!K107</f>
        <v>0</v>
      </c>
      <c r="L107" s="513">
        <f>EC_2!L107+FS_2!L107+GT_2!L107+KZN_2!L107+LIM_2!L107+MPU_2!L107+NC_2!L107+NW_2!L107+WC_2!L107</f>
        <v>0</v>
      </c>
      <c r="M107" s="513">
        <f>EC_2!M107+FS_2!M107+GT_2!M107+KZN_2!M107+LIM_2!M107+MPU_2!M107+NC_2!M107+NW_2!M107+WC_2!M107</f>
        <v>0</v>
      </c>
      <c r="N107" s="513"/>
      <c r="O107" s="517"/>
      <c r="P107" s="518"/>
      <c r="Q107" s="518"/>
      <c r="R107" s="508"/>
      <c r="S107" s="509"/>
      <c r="T107" s="533"/>
      <c r="U107" s="511"/>
      <c r="V107" s="512"/>
      <c r="W107" s="513"/>
      <c r="X107" s="513"/>
      <c r="Y107" s="511"/>
      <c r="Z107" s="514"/>
      <c r="AA107" s="515"/>
      <c r="AB107" s="513"/>
      <c r="AC107" s="513"/>
      <c r="AD107" s="513"/>
      <c r="AE107" s="513"/>
      <c r="AF107" s="517"/>
      <c r="AG107" s="519"/>
      <c r="AH107" s="519"/>
      <c r="AI107" s="508"/>
      <c r="AJ107" s="520"/>
      <c r="AK107" s="521">
        <f t="shared" si="122"/>
        <v>0</v>
      </c>
      <c r="AL107" s="522">
        <f t="shared" si="142"/>
        <v>0</v>
      </c>
      <c r="AM107" s="523">
        <f t="shared" si="142"/>
        <v>0</v>
      </c>
      <c r="AN107" s="524">
        <f t="shared" si="142"/>
        <v>0</v>
      </c>
      <c r="AO107" s="524">
        <f t="shared" si="142"/>
        <v>0</v>
      </c>
      <c r="AP107" s="522">
        <f t="shared" si="142"/>
        <v>0</v>
      </c>
      <c r="AQ107" s="525"/>
      <c r="AR107" s="526">
        <f t="shared" si="149"/>
        <v>0</v>
      </c>
      <c r="AS107" s="524">
        <f t="shared" si="149"/>
        <v>0</v>
      </c>
      <c r="AT107" s="524"/>
      <c r="AU107" s="524">
        <f t="shared" si="123"/>
        <v>0</v>
      </c>
      <c r="AV107" s="524"/>
      <c r="AW107" s="528"/>
      <c r="AX107" s="508"/>
      <c r="AY107" s="508"/>
      <c r="AZ107" s="508"/>
      <c r="BA107" s="508"/>
      <c r="BB107" s="508"/>
      <c r="BC107" s="508"/>
      <c r="BD107" s="508"/>
      <c r="BE107" s="508"/>
      <c r="BF107" s="508"/>
      <c r="BG107" s="508"/>
      <c r="BH107" s="508"/>
      <c r="BI107" s="508"/>
      <c r="BJ107" s="508"/>
      <c r="BK107" s="508"/>
      <c r="BL107" s="508"/>
      <c r="BM107" s="508"/>
      <c r="BN107" s="508"/>
      <c r="BO107" s="508"/>
      <c r="BP107" s="508"/>
      <c r="BQ107" s="508"/>
      <c r="BR107" s="508"/>
      <c r="BS107" s="508"/>
      <c r="BT107" s="508"/>
      <c r="BU107" s="508"/>
      <c r="BV107" s="508"/>
      <c r="BW107" s="508"/>
      <c r="BX107" s="508"/>
      <c r="BY107" s="508"/>
      <c r="BZ107" s="508"/>
      <c r="CA107" s="508"/>
      <c r="CB107" s="508"/>
      <c r="CC107" s="508"/>
      <c r="CD107" s="508"/>
    </row>
    <row r="108" spans="1:82" ht="15.75" customHeight="1" x14ac:dyDescent="0.3">
      <c r="B108" s="53"/>
      <c r="C108" s="74" t="s">
        <v>37</v>
      </c>
      <c r="D108" s="98">
        <f>EC_2!D108+FS_2!D108+GT_2!D108+KZN_2!D108+LIM_2!D108+MPU_2!D108+NC_2!D108+NW_2!D108+WC_2!D108</f>
        <v>44347854</v>
      </c>
      <c r="E108" s="201">
        <f>EC_2!E108+FS_2!E108+GT_2!E108+KZN_2!E108+LIM_2!E108+MPU_2!E108+NC_2!E108+NW_2!E108+WC_2!E108</f>
        <v>60733</v>
      </c>
      <c r="F108" s="75">
        <f>EC_2!F108+FS_2!F108+GT_2!F108+KZN_2!F108+LIM_2!F108+MPU_2!F108+NC_2!F108+NW_2!F108+WC_2!F108</f>
        <v>44408587</v>
      </c>
      <c r="G108" s="75">
        <f>EC_2!G108+FS_2!G108+GT_2!G108+KZN_2!G108+LIM_2!G108+MPU_2!G108+NC_2!G108+NW_2!G108+WC_2!G108</f>
        <v>1096781</v>
      </c>
      <c r="H108" s="98">
        <f>EC_2!H108+FS_2!H108+GT_2!H108+KZN_2!H108+LIM_2!H108+MPU_2!H108+NC_2!H108+NW_2!H108+WC_2!H108</f>
        <v>45505368</v>
      </c>
      <c r="I108" s="219">
        <f>EC_2!I108+FS_2!I108+GT_2!I108+KZN_2!I108+LIM_2!I108+MPU_2!I108+NC_2!I108+NW_2!I108+WC_2!I108</f>
        <v>0</v>
      </c>
      <c r="J108" s="104">
        <f>EC_2!J108+FS_2!J108+GT_2!J108+KZN_2!J108+LIM_2!J108+MPU_2!J108+NC_2!J108+NW_2!J108+WC_2!J108</f>
        <v>44408587</v>
      </c>
      <c r="K108" s="75">
        <f>EC_2!K108+FS_2!K108+GT_2!K108+KZN_2!K108+LIM_2!K108+MPU_2!K108+NC_2!K108+NW_2!K108+WC_2!K108</f>
        <v>44408587</v>
      </c>
      <c r="L108" s="59">
        <f>EC_2!L108+FS_2!L108+GT_2!L108+KZN_2!L108+LIM_2!L108+MPU_2!L108+NC_2!L108+NW_2!L108+WC_2!L108</f>
        <v>0</v>
      </c>
      <c r="M108" s="77">
        <f>SUM(M80+M87+M101)</f>
        <v>44066196.559890002</v>
      </c>
      <c r="N108" s="440">
        <f>IFERROR(M108/H108,0)</f>
        <v>0.96837358968045273</v>
      </c>
      <c r="O108" s="55"/>
      <c r="P108" s="66"/>
      <c r="Q108" s="66"/>
      <c r="S108" s="53"/>
      <c r="T108" s="74" t="s">
        <v>37</v>
      </c>
      <c r="U108" s="98">
        <v>44347854</v>
      </c>
      <c r="V108" s="201">
        <v>0</v>
      </c>
      <c r="W108" s="75">
        <v>44347854</v>
      </c>
      <c r="X108" s="75">
        <v>0</v>
      </c>
      <c r="Y108" s="98">
        <v>44347854</v>
      </c>
      <c r="Z108" s="219"/>
      <c r="AA108" s="104">
        <v>24002288</v>
      </c>
      <c r="AB108" s="75">
        <v>23776998</v>
      </c>
      <c r="AC108" s="59"/>
      <c r="AD108" s="77"/>
      <c r="AE108" s="77"/>
      <c r="AF108" s="55"/>
      <c r="AG108" s="442"/>
      <c r="AH108" s="442"/>
      <c r="AJ108" s="387"/>
      <c r="AK108" s="411" t="str">
        <f t="shared" si="122"/>
        <v>Sub-Total</v>
      </c>
      <c r="AL108" s="412">
        <f t="shared" si="142"/>
        <v>0</v>
      </c>
      <c r="AM108" s="413">
        <f t="shared" si="142"/>
        <v>-60733</v>
      </c>
      <c r="AN108" s="414">
        <f t="shared" si="142"/>
        <v>-60733</v>
      </c>
      <c r="AO108" s="414">
        <f t="shared" si="142"/>
        <v>-1096781</v>
      </c>
      <c r="AP108" s="412">
        <f t="shared" si="142"/>
        <v>-1157514</v>
      </c>
      <c r="AQ108" s="415"/>
      <c r="AR108" s="416">
        <f t="shared" si="149"/>
        <v>-20406299</v>
      </c>
      <c r="AS108" s="414">
        <f t="shared" si="149"/>
        <v>-20631589</v>
      </c>
      <c r="AT108" s="398"/>
      <c r="AU108" s="418">
        <f t="shared" si="123"/>
        <v>-44066196.559890002</v>
      </c>
      <c r="AV108" s="418"/>
      <c r="AW108" s="393"/>
    </row>
    <row r="109" spans="1:82" s="530" customFormat="1" ht="8.25" customHeight="1" x14ac:dyDescent="0.3">
      <c r="A109" s="508"/>
      <c r="B109" s="550"/>
      <c r="C109" s="563"/>
      <c r="D109" s="551">
        <f>EC_2!D109+FS_2!D109+GT_2!D109+KZN_2!D109+LIM_2!D109+MPU_2!D109+NC_2!D109+NW_2!D109+WC_2!D109</f>
        <v>0</v>
      </c>
      <c r="E109" s="552">
        <f>EC_2!E109+FS_2!E109+GT_2!E109+KZN_2!E109+LIM_2!E109+MPU_2!E109+NC_2!E109+NW_2!E109+WC_2!E109</f>
        <v>0</v>
      </c>
      <c r="F109" s="553">
        <f>EC_2!F109+FS_2!F109+GT_2!F109+KZN_2!F109+LIM_2!F109+MPU_2!F109+NC_2!F109+NW_2!F109+WC_2!F109</f>
        <v>0</v>
      </c>
      <c r="G109" s="553">
        <f>EC_2!G109+FS_2!G109+GT_2!G109+KZN_2!G109+LIM_2!G109+MPU_2!G109+NC_2!G109+NW_2!G109+WC_2!G109</f>
        <v>0</v>
      </c>
      <c r="H109" s="551">
        <f>EC_2!H109+FS_2!H109+GT_2!H109+KZN_2!H109+LIM_2!H109+MPU_2!H109+NC_2!H109+NW_2!H109+WC_2!H109</f>
        <v>0</v>
      </c>
      <c r="I109" s="554">
        <f>EC_2!I109+FS_2!I109+GT_2!I109+KZN_2!I109+LIM_2!I109+MPU_2!I109+NC_2!I109+NW_2!I109+WC_2!I109</f>
        <v>0</v>
      </c>
      <c r="J109" s="550">
        <f>EC_2!J109+FS_2!J109+GT_2!J109+KZN_2!J109+LIM_2!J109+MPU_2!J109+NC_2!J109+NW_2!J109+WC_2!J109</f>
        <v>0</v>
      </c>
      <c r="K109" s="553">
        <f>EC_2!K109+FS_2!K109+GT_2!K109+KZN_2!K109+LIM_2!K109+MPU_2!K109+NC_2!K109+NW_2!K109+WC_2!K109</f>
        <v>0</v>
      </c>
      <c r="L109" s="513">
        <f>EC_2!L109+FS_2!L109+GT_2!L109+KZN_2!L109+LIM_2!L109+MPU_2!L109+NC_2!L109+NW_2!L109+WC_2!L109</f>
        <v>0</v>
      </c>
      <c r="M109" s="555">
        <f>EC_2!M109+FS_2!M109+GT_2!M109+KZN_2!M109+LIM_2!M109+MPU_2!M109+NC_2!M109+NW_2!M109+WC_2!M109</f>
        <v>0</v>
      </c>
      <c r="N109" s="555"/>
      <c r="O109" s="517"/>
      <c r="P109" s="518"/>
      <c r="Q109" s="518"/>
      <c r="R109" s="508"/>
      <c r="S109" s="550"/>
      <c r="T109" s="563"/>
      <c r="U109" s="551"/>
      <c r="V109" s="552"/>
      <c r="W109" s="553"/>
      <c r="X109" s="553"/>
      <c r="Y109" s="551"/>
      <c r="Z109" s="554"/>
      <c r="AA109" s="550"/>
      <c r="AB109" s="553"/>
      <c r="AC109" s="513"/>
      <c r="AD109" s="555"/>
      <c r="AE109" s="555"/>
      <c r="AF109" s="517"/>
      <c r="AG109" s="519"/>
      <c r="AH109" s="519"/>
      <c r="AI109" s="508"/>
      <c r="AJ109" s="556"/>
      <c r="AK109" s="564"/>
      <c r="AL109" s="558">
        <f t="shared" si="142"/>
        <v>0</v>
      </c>
      <c r="AM109" s="559">
        <f t="shared" si="142"/>
        <v>0</v>
      </c>
      <c r="AN109" s="560">
        <f t="shared" si="142"/>
        <v>0</v>
      </c>
      <c r="AO109" s="560">
        <f t="shared" si="142"/>
        <v>0</v>
      </c>
      <c r="AP109" s="558">
        <f t="shared" si="142"/>
        <v>0</v>
      </c>
      <c r="AQ109" s="561"/>
      <c r="AR109" s="556">
        <f t="shared" si="149"/>
        <v>0</v>
      </c>
      <c r="AS109" s="560">
        <f t="shared" si="149"/>
        <v>0</v>
      </c>
      <c r="AT109" s="524"/>
      <c r="AU109" s="562">
        <f t="shared" si="123"/>
        <v>0</v>
      </c>
      <c r="AV109" s="562"/>
      <c r="AW109" s="528"/>
      <c r="AX109" s="508"/>
      <c r="AY109" s="508"/>
      <c r="AZ109" s="508"/>
      <c r="BA109" s="508"/>
      <c r="BB109" s="508"/>
      <c r="BC109" s="508"/>
      <c r="BD109" s="508"/>
      <c r="BE109" s="508"/>
      <c r="BF109" s="508"/>
      <c r="BG109" s="508"/>
      <c r="BH109" s="508"/>
      <c r="BI109" s="508"/>
      <c r="BJ109" s="508"/>
      <c r="BK109" s="508"/>
      <c r="BL109" s="508"/>
      <c r="BM109" s="508"/>
      <c r="BN109" s="508"/>
      <c r="BO109" s="508"/>
      <c r="BP109" s="508"/>
      <c r="BQ109" s="508"/>
      <c r="BR109" s="508"/>
      <c r="BS109" s="508"/>
      <c r="BT109" s="508"/>
      <c r="BU109" s="508"/>
      <c r="BV109" s="508"/>
      <c r="BW109" s="508"/>
      <c r="BX109" s="508"/>
      <c r="BY109" s="508"/>
      <c r="BZ109" s="508"/>
      <c r="CA109" s="508"/>
      <c r="CB109" s="508"/>
      <c r="CC109" s="508"/>
      <c r="CD109" s="508"/>
    </row>
    <row r="110" spans="1:82" ht="15.75" customHeight="1" x14ac:dyDescent="0.35">
      <c r="B110" s="46"/>
      <c r="C110" s="50" t="s">
        <v>45</v>
      </c>
      <c r="D110" s="94">
        <f>EC_2!D110+FS_2!D110+GT_2!D110+KZN_2!D110+LIM_2!D110+MPU_2!D110+NC_2!D110+NW_2!D110+WC_2!D110</f>
        <v>0</v>
      </c>
      <c r="E110" s="197">
        <f>EC_2!E110+FS_2!E110+GT_2!E110+KZN_2!E110+LIM_2!E110+MPU_2!E110+NC_2!E110+NW_2!E110+WC_2!E110</f>
        <v>0</v>
      </c>
      <c r="F110" s="48">
        <f>EC_2!F110+FS_2!F110+GT_2!F110+KZN_2!F110+LIM_2!F110+MPU_2!F110+NC_2!F110+NW_2!F110+WC_2!F110</f>
        <v>0</v>
      </c>
      <c r="G110" s="48">
        <f>EC_2!G110+FS_2!G110+GT_2!G110+KZN_2!G110+LIM_2!G110+MPU_2!G110+NC_2!G110+NW_2!G110+WC_2!G110</f>
        <v>0</v>
      </c>
      <c r="H110" s="94">
        <f>EC_2!H110+FS_2!H110+GT_2!H110+KZN_2!H110+LIM_2!H110+MPU_2!H110+NC_2!H110+NW_2!H110+WC_2!H110</f>
        <v>0</v>
      </c>
      <c r="I110" s="215">
        <f>EC_2!I110+FS_2!I110+GT_2!I110+KZN_2!I110+LIM_2!I110+MPU_2!I110+NC_2!I110+NW_2!I110+WC_2!I110</f>
        <v>0</v>
      </c>
      <c r="J110" s="46">
        <f>EC_2!J110+FS_2!J110+GT_2!J110+KZN_2!J110+LIM_2!J110+MPU_2!J110+NC_2!J110+NW_2!J110+WC_2!J110</f>
        <v>0</v>
      </c>
      <c r="K110" s="48">
        <f>EC_2!K110+FS_2!K110+GT_2!K110+KZN_2!K110+LIM_2!K110+MPU_2!K110+NC_2!K110+NW_2!K110+WC_2!K110</f>
        <v>0</v>
      </c>
      <c r="L110" s="59">
        <f>EC_2!L110+FS_2!L110+GT_2!L110+KZN_2!L110+LIM_2!L110+MPU_2!L110+NC_2!L110+NW_2!L110+WC_2!L110</f>
        <v>0</v>
      </c>
      <c r="M110" s="49">
        <f>EC_2!M110+FS_2!M110+GT_2!M110+KZN_2!M110+LIM_2!M110+MPU_2!M110+NC_2!M110+NW_2!M110+WC_2!M110</f>
        <v>0</v>
      </c>
      <c r="N110" s="49"/>
      <c r="O110" s="33"/>
      <c r="P110" s="35"/>
      <c r="Q110" s="35"/>
      <c r="S110" s="46"/>
      <c r="T110" s="50" t="s">
        <v>45</v>
      </c>
      <c r="U110" s="94"/>
      <c r="V110" s="197"/>
      <c r="W110" s="48"/>
      <c r="X110" s="48"/>
      <c r="Y110" s="94"/>
      <c r="Z110" s="215"/>
      <c r="AA110" s="46"/>
      <c r="AB110" s="48"/>
      <c r="AC110" s="59"/>
      <c r="AD110" s="49"/>
      <c r="AE110" s="49"/>
      <c r="AF110" s="33"/>
      <c r="AG110" s="441"/>
      <c r="AH110" s="441"/>
      <c r="AJ110" s="378"/>
      <c r="AK110" s="385" t="str">
        <f t="shared" si="122"/>
        <v>Schedule 7, Part A Grants3.</v>
      </c>
      <c r="AL110" s="380">
        <f t="shared" si="142"/>
        <v>0</v>
      </c>
      <c r="AM110" s="381">
        <f t="shared" si="142"/>
        <v>0</v>
      </c>
      <c r="AN110" s="382">
        <f t="shared" si="142"/>
        <v>0</v>
      </c>
      <c r="AO110" s="382">
        <f t="shared" si="142"/>
        <v>0</v>
      </c>
      <c r="AP110" s="380">
        <f t="shared" si="142"/>
        <v>0</v>
      </c>
      <c r="AQ110" s="383"/>
      <c r="AR110" s="378">
        <f t="shared" si="149"/>
        <v>0</v>
      </c>
      <c r="AS110" s="382">
        <f t="shared" si="149"/>
        <v>0</v>
      </c>
      <c r="AT110" s="398"/>
      <c r="AU110" s="384">
        <f t="shared" si="123"/>
        <v>0</v>
      </c>
      <c r="AV110" s="384"/>
      <c r="AW110" s="347"/>
    </row>
    <row r="111" spans="1:82" s="530" customFormat="1" ht="8.25" customHeight="1" x14ac:dyDescent="0.3">
      <c r="A111" s="508"/>
      <c r="B111" s="550"/>
      <c r="C111" s="533"/>
      <c r="D111" s="551">
        <f>EC_2!D111+FS_2!D111+GT_2!D111+KZN_2!D111+LIM_2!D111+MPU_2!D111+NC_2!D111+NW_2!D111+WC_2!D111</f>
        <v>0</v>
      </c>
      <c r="E111" s="552">
        <f>EC_2!E111+FS_2!E111+GT_2!E111+KZN_2!E111+LIM_2!E111+MPU_2!E111+NC_2!E111+NW_2!E111+WC_2!E111</f>
        <v>0</v>
      </c>
      <c r="F111" s="553">
        <f>EC_2!F111+FS_2!F111+GT_2!F111+KZN_2!F111+LIM_2!F111+MPU_2!F111+NC_2!F111+NW_2!F111+WC_2!F111</f>
        <v>0</v>
      </c>
      <c r="G111" s="553">
        <f>EC_2!G111+FS_2!G111+GT_2!G111+KZN_2!G111+LIM_2!G111+MPU_2!G111+NC_2!G111+NW_2!G111+WC_2!G111</f>
        <v>0</v>
      </c>
      <c r="H111" s="551">
        <f>EC_2!H111+FS_2!H111+GT_2!H111+KZN_2!H111+LIM_2!H111+MPU_2!H111+NC_2!H111+NW_2!H111+WC_2!H111</f>
        <v>0</v>
      </c>
      <c r="I111" s="554">
        <f>EC_2!I111+FS_2!I111+GT_2!I111+KZN_2!I111+LIM_2!I111+MPU_2!I111+NC_2!I111+NW_2!I111+WC_2!I111</f>
        <v>0</v>
      </c>
      <c r="J111" s="550">
        <f>EC_2!J111+FS_2!J111+GT_2!J111+KZN_2!J111+LIM_2!J111+MPU_2!J111+NC_2!J111+NW_2!J111+WC_2!J111</f>
        <v>0</v>
      </c>
      <c r="K111" s="553">
        <f>EC_2!K111+FS_2!K111+GT_2!K111+KZN_2!K111+LIM_2!K111+MPU_2!K111+NC_2!K111+NW_2!K111+WC_2!K111</f>
        <v>0</v>
      </c>
      <c r="L111" s="513">
        <f>EC_2!L111+FS_2!L111+GT_2!L111+KZN_2!L111+LIM_2!L111+MPU_2!L111+NC_2!L111+NW_2!L111+WC_2!L111</f>
        <v>0</v>
      </c>
      <c r="M111" s="555">
        <f>EC_2!M111+FS_2!M111+GT_2!M111+KZN_2!M111+LIM_2!M111+MPU_2!M111+NC_2!M111+NW_2!M111+WC_2!M111</f>
        <v>0</v>
      </c>
      <c r="N111" s="555"/>
      <c r="O111" s="517"/>
      <c r="P111" s="518"/>
      <c r="Q111" s="518"/>
      <c r="R111" s="508"/>
      <c r="S111" s="550"/>
      <c r="T111" s="533"/>
      <c r="U111" s="551"/>
      <c r="V111" s="552"/>
      <c r="W111" s="553"/>
      <c r="X111" s="553"/>
      <c r="Y111" s="551"/>
      <c r="Z111" s="554"/>
      <c r="AA111" s="550"/>
      <c r="AB111" s="553"/>
      <c r="AC111" s="513"/>
      <c r="AD111" s="555"/>
      <c r="AE111" s="555"/>
      <c r="AF111" s="517"/>
      <c r="AG111" s="519"/>
      <c r="AH111" s="519"/>
      <c r="AI111" s="508"/>
      <c r="AJ111" s="556"/>
      <c r="AK111" s="521">
        <f t="shared" si="122"/>
        <v>0</v>
      </c>
      <c r="AL111" s="558">
        <f t="shared" si="142"/>
        <v>0</v>
      </c>
      <c r="AM111" s="559">
        <f t="shared" si="142"/>
        <v>0</v>
      </c>
      <c r="AN111" s="560">
        <f t="shared" si="142"/>
        <v>0</v>
      </c>
      <c r="AO111" s="560">
        <f t="shared" si="142"/>
        <v>0</v>
      </c>
      <c r="AP111" s="558">
        <f t="shared" si="142"/>
        <v>0</v>
      </c>
      <c r="AQ111" s="561"/>
      <c r="AR111" s="556">
        <f t="shared" si="149"/>
        <v>0</v>
      </c>
      <c r="AS111" s="560">
        <f t="shared" si="149"/>
        <v>0</v>
      </c>
      <c r="AT111" s="524"/>
      <c r="AU111" s="562">
        <f t="shared" si="123"/>
        <v>0</v>
      </c>
      <c r="AV111" s="562"/>
      <c r="AW111" s="528"/>
      <c r="AX111" s="508"/>
      <c r="AY111" s="508"/>
      <c r="AZ111" s="508"/>
      <c r="BA111" s="508"/>
      <c r="BB111" s="508"/>
      <c r="BC111" s="508"/>
      <c r="BD111" s="508"/>
      <c r="BE111" s="508"/>
      <c r="BF111" s="508"/>
      <c r="BG111" s="508"/>
      <c r="BH111" s="508"/>
      <c r="BI111" s="508"/>
      <c r="BJ111" s="508"/>
      <c r="BK111" s="508"/>
      <c r="BL111" s="508"/>
      <c r="BM111" s="508"/>
      <c r="BN111" s="508"/>
      <c r="BO111" s="508"/>
      <c r="BP111" s="508"/>
      <c r="BQ111" s="508"/>
      <c r="BR111" s="508"/>
      <c r="BS111" s="508"/>
      <c r="BT111" s="508"/>
      <c r="BU111" s="508"/>
      <c r="BV111" s="508"/>
      <c r="BW111" s="508"/>
      <c r="BX111" s="508"/>
      <c r="BY111" s="508"/>
      <c r="BZ111" s="508"/>
      <c r="CA111" s="508"/>
      <c r="CB111" s="508"/>
      <c r="CC111" s="508"/>
      <c r="CD111" s="508"/>
    </row>
    <row r="112" spans="1:82" ht="15.75" customHeight="1" x14ac:dyDescent="0.3">
      <c r="B112" s="62"/>
      <c r="C112" s="51" t="s">
        <v>46</v>
      </c>
      <c r="D112" s="95">
        <f>EC_2!D112+FS_2!D112+GT_2!D112+KZN_2!D112+LIM_2!D112+MPU_2!D112+NC_2!D112+NW_2!D112+WC_2!D112</f>
        <v>0</v>
      </c>
      <c r="E112" s="198">
        <f>EC_2!E112+FS_2!E112+GT_2!E112+KZN_2!E112+LIM_2!E112+MPU_2!E112+NC_2!E112+NW_2!E112+WC_2!E112</f>
        <v>0</v>
      </c>
      <c r="F112" s="54">
        <f>EC_2!F112+FS_2!F112+GT_2!F112+KZN_2!F112+LIM_2!F112+MPU_2!F112+NC_2!F112+NW_2!F112+WC_2!F112</f>
        <v>0</v>
      </c>
      <c r="G112" s="54">
        <f>EC_2!G112+FS_2!G112+GT_2!G112+KZN_2!G112+LIM_2!G112+MPU_2!G112+NC_2!G112+NW_2!G112+WC_2!G112</f>
        <v>145</v>
      </c>
      <c r="H112" s="95">
        <f>EC_2!H112+FS_2!H112+GT_2!H112+KZN_2!H112+LIM_2!H112+MPU_2!H112+NC_2!H112+NW_2!H112+WC_2!H112</f>
        <v>145</v>
      </c>
      <c r="I112" s="216">
        <f>EC_2!I112+FS_2!I112+GT_2!I112+KZN_2!I112+LIM_2!I112+MPU_2!I112+NC_2!I112+NW_2!I112+WC_2!I112</f>
        <v>0</v>
      </c>
      <c r="J112" s="105">
        <f>EC_2!J112+FS_2!J112+GT_2!J112+KZN_2!J112+LIM_2!J112+MPU_2!J112+NC_2!J112+NW_2!J112+WC_2!J112</f>
        <v>0</v>
      </c>
      <c r="K112" s="54">
        <f>EC_2!K112+FS_2!K112+GT_2!K112+KZN_2!K112+LIM_2!K112+MPU_2!K112+NC_2!K112+NW_2!K112+WC_2!K112</f>
        <v>0</v>
      </c>
      <c r="L112" s="54">
        <f>EC_2!L112+FS_2!L112+GT_2!L112+KZN_2!L112+LIM_2!L112+MPU_2!L112+NC_2!L112+NW_2!L112+WC_2!L112</f>
        <v>0</v>
      </c>
      <c r="M112" s="589">
        <f>SUM(M113)</f>
        <v>532</v>
      </c>
      <c r="N112" s="590">
        <f t="shared" ref="N112:N113" si="154">IFERROR(M112/H112,0)</f>
        <v>3.6689655172413791</v>
      </c>
      <c r="O112" s="55"/>
      <c r="P112" s="66"/>
      <c r="Q112" s="66"/>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J112" s="402"/>
      <c r="AK112" s="480" t="str">
        <f t="shared" si="122"/>
        <v>Cooperative Governance and Traditional Affairs (Vote 4)</v>
      </c>
      <c r="AL112" s="388">
        <f t="shared" si="142"/>
        <v>0</v>
      </c>
      <c r="AM112" s="389">
        <f t="shared" si="142"/>
        <v>0</v>
      </c>
      <c r="AN112" s="390">
        <f t="shared" si="142"/>
        <v>0</v>
      </c>
      <c r="AO112" s="390">
        <f t="shared" si="142"/>
        <v>-145</v>
      </c>
      <c r="AP112" s="388">
        <f t="shared" si="142"/>
        <v>-145</v>
      </c>
      <c r="AQ112" s="391"/>
      <c r="AR112" s="392">
        <f t="shared" si="149"/>
        <v>0</v>
      </c>
      <c r="AS112" s="390">
        <f t="shared" si="149"/>
        <v>0</v>
      </c>
      <c r="AT112" s="398"/>
      <c r="AU112" s="390">
        <f t="shared" si="123"/>
        <v>-532</v>
      </c>
      <c r="AV112" s="390"/>
      <c r="AW112" s="393"/>
    </row>
    <row r="113" spans="1:82" ht="15.75" customHeight="1" x14ac:dyDescent="0.3">
      <c r="B113" s="57"/>
      <c r="C113" s="58" t="s">
        <v>188</v>
      </c>
      <c r="D113" s="505">
        <f>EC_2!D113+FS_2!D113+GT_2!D113+KZN_2!D113+LIM_2!D113+MPU_2!D113+NC_2!D113+NW_2!D113+WC_2!D113</f>
        <v>0</v>
      </c>
      <c r="E113" s="199">
        <f>EC_2!E113+FS_2!E113+GT_2!E113+KZN_2!E113+LIM_2!E113+MPU_2!E113+NC_2!E113+NW_2!E113+WC_2!E113</f>
        <v>0</v>
      </c>
      <c r="F113" s="504">
        <f>EC_2!F113+FS_2!F113+GT_2!F113+KZN_2!F113+LIM_2!F113+MPU_2!F113+NC_2!F113+NW_2!F113+WC_2!F113</f>
        <v>0</v>
      </c>
      <c r="G113" s="59">
        <f>EC_2!G113+FS_2!G113+GT_2!G113+KZN_2!G113+LIM_2!G113+MPU_2!G113+NC_2!G113+NW_2!G113+WC_2!G113</f>
        <v>145</v>
      </c>
      <c r="H113" s="505">
        <f>EC_2!H113+FS_2!H113+GT_2!H113+KZN_2!H113+LIM_2!H113+MPU_2!H113+NC_2!H113+NW_2!H113+WC_2!H113</f>
        <v>145</v>
      </c>
      <c r="I113" s="217">
        <f>EC_2!I113+FS_2!I113+GT_2!I113+KZN_2!I113+LIM_2!I113+MPU_2!I113+NC_2!I113+NW_2!I113+WC_2!I113</f>
        <v>0</v>
      </c>
      <c r="J113" s="105">
        <f>EC_2!J113+FS_2!J113+GT_2!J113+KZN_2!J113+LIM_2!J113+MPU_2!J113+NC_2!J113+NW_2!J113+WC_2!J113</f>
        <v>0</v>
      </c>
      <c r="K113" s="59">
        <f>EC_2!K113+FS_2!K113+GT_2!K113+KZN_2!K113+LIM_2!K113+MPU_2!K113+NC_2!K113+NW_2!K113+WC_2!K113</f>
        <v>0</v>
      </c>
      <c r="L113" s="59">
        <f>EC_2!L113+FS_2!L113+GT_2!L113+KZN_2!L113+LIM_2!L113+MPU_2!L113+NC_2!L113+NW_2!L113+WC_2!L113</f>
        <v>0</v>
      </c>
      <c r="M113" s="592">
        <v>532</v>
      </c>
      <c r="N113" s="439">
        <f t="shared" si="154"/>
        <v>3.6689655172413791</v>
      </c>
      <c r="O113" s="33"/>
      <c r="P113" s="35"/>
      <c r="Q113" s="35"/>
      <c r="S113" s="57"/>
      <c r="T113" s="58" t="str">
        <f t="shared" ref="T113:T115" si="155">C113</f>
        <v>Provincial Disaster Relief Grant</v>
      </c>
      <c r="U113" s="96">
        <v>0</v>
      </c>
      <c r="V113" s="199">
        <v>0</v>
      </c>
      <c r="W113" s="59">
        <v>0</v>
      </c>
      <c r="X113" s="59">
        <v>0</v>
      </c>
      <c r="Y113" s="96">
        <v>0</v>
      </c>
      <c r="Z113" s="217"/>
      <c r="AA113" s="105"/>
      <c r="AB113" s="59">
        <v>0</v>
      </c>
      <c r="AC113" s="59"/>
      <c r="AD113" s="76"/>
      <c r="AE113" s="76"/>
      <c r="AF113" s="33"/>
      <c r="AG113" s="441"/>
      <c r="AH113" s="441"/>
      <c r="AJ113" s="394"/>
      <c r="AK113" s="479" t="str">
        <f t="shared" si="122"/>
        <v>Provincial Disaster Relief Grant</v>
      </c>
      <c r="AL113" s="396">
        <f t="shared" si="142"/>
        <v>0</v>
      </c>
      <c r="AM113" s="397">
        <f t="shared" ref="AM113:AM115" si="156">IFERROR(V113-E113,0)</f>
        <v>0</v>
      </c>
      <c r="AN113" s="398">
        <f t="shared" ref="AN113:AN115" si="157">IFERROR(W113-F113,0)</f>
        <v>0</v>
      </c>
      <c r="AO113" s="398">
        <f t="shared" ref="AO113:AO115" si="158">IFERROR(X113-G113,0)</f>
        <v>-145</v>
      </c>
      <c r="AP113" s="396">
        <f t="shared" ref="AP113:AP115" si="159">IFERROR(Y113-H113,0)</f>
        <v>-145</v>
      </c>
      <c r="AQ113" s="399"/>
      <c r="AR113" s="419">
        <f t="shared" ref="AR113:AR115" si="160">IFERROR(AA113-J113,0)</f>
        <v>0</v>
      </c>
      <c r="AS113" s="398">
        <f t="shared" ref="AS113:AS115" si="161">IFERROR(AB113-K113,0)</f>
        <v>0</v>
      </c>
      <c r="AT113" s="398"/>
      <c r="AU113" s="417">
        <f t="shared" si="123"/>
        <v>-532</v>
      </c>
      <c r="AV113" s="417"/>
      <c r="AW113" s="347"/>
    </row>
    <row r="114" spans="1:82" s="530" customFormat="1" ht="15.75" customHeight="1" x14ac:dyDescent="0.3">
      <c r="A114" s="508"/>
      <c r="B114" s="509"/>
      <c r="C114" s="510"/>
      <c r="D114" s="511">
        <f>EC_2!D114+FS_2!D114+GT_2!D114+KZN_2!D114+LIM_2!D114+MPU_2!D114+NC_2!D114+NW_2!D114+WC_2!D114</f>
        <v>0</v>
      </c>
      <c r="E114" s="512">
        <f>EC_2!E114+FS_2!E114+GT_2!E114+KZN_2!E114+LIM_2!E114+MPU_2!E114+NC_2!E114+NW_2!E114+WC_2!E114</f>
        <v>0</v>
      </c>
      <c r="F114" s="513">
        <f>EC_2!F114+FS_2!F114+GT_2!F114+KZN_2!F114+LIM_2!F114+MPU_2!F114+NC_2!F114+NW_2!F114+WC_2!F114</f>
        <v>0</v>
      </c>
      <c r="G114" s="513">
        <f>EC_2!G114+FS_2!G114+GT_2!G114+KZN_2!G114+LIM_2!G114+MPU_2!G114+NC_2!G114+NW_2!G114+WC_2!G114</f>
        <v>0</v>
      </c>
      <c r="H114" s="511">
        <f>EC_2!H114+FS_2!H114+GT_2!H114+KZN_2!H114+LIM_2!H114+MPU_2!H114+NC_2!H114+NW_2!H114+WC_2!H114</f>
        <v>0</v>
      </c>
      <c r="I114" s="514">
        <f>EC_2!I114+FS_2!I114+GT_2!I114+KZN_2!I114+LIM_2!I114+MPU_2!I114+NC_2!I114+NW_2!I114+WC_2!I114</f>
        <v>0</v>
      </c>
      <c r="J114" s="515">
        <f>EC_2!J114+FS_2!J114+GT_2!J114+KZN_2!J114+LIM_2!J114+MPU_2!J114+NC_2!J114+NW_2!J114+WC_2!J114</f>
        <v>0</v>
      </c>
      <c r="K114" s="513">
        <f>EC_2!K114+FS_2!K114+GT_2!K114+KZN_2!K114+LIM_2!K114+MPU_2!K114+NC_2!K114+NW_2!K114+WC_2!K114</f>
        <v>0</v>
      </c>
      <c r="L114" s="513">
        <f>EC_2!L114+FS_2!L114+GT_2!L114+KZN_2!L114+LIM_2!L114+MPU_2!L114+NC_2!L114+NW_2!L114+WC_2!L114</f>
        <v>0</v>
      </c>
      <c r="M114" s="513">
        <f>EC_2!M114+FS_2!M114+GT_2!M114+KZN_2!M114+LIM_2!M114+MPU_2!M114+NC_2!M114+NW_2!M114+WC_2!M114</f>
        <v>0</v>
      </c>
      <c r="N114" s="516"/>
      <c r="O114" s="517"/>
      <c r="P114" s="518"/>
      <c r="Q114" s="518"/>
      <c r="R114" s="508"/>
      <c r="S114" s="509"/>
      <c r="T114" s="510">
        <f t="shared" si="155"/>
        <v>0</v>
      </c>
      <c r="U114" s="511">
        <v>0</v>
      </c>
      <c r="V114" s="512">
        <v>0</v>
      </c>
      <c r="W114" s="513">
        <v>0</v>
      </c>
      <c r="X114" s="513">
        <v>0</v>
      </c>
      <c r="Y114" s="511">
        <v>0</v>
      </c>
      <c r="Z114" s="514"/>
      <c r="AA114" s="515"/>
      <c r="AB114" s="513">
        <v>0</v>
      </c>
      <c r="AC114" s="513"/>
      <c r="AD114" s="513"/>
      <c r="AE114" s="513"/>
      <c r="AF114" s="517"/>
      <c r="AG114" s="519"/>
      <c r="AH114" s="519"/>
      <c r="AI114" s="508"/>
      <c r="AJ114" s="520"/>
      <c r="AK114" s="521">
        <f t="shared" si="122"/>
        <v>0</v>
      </c>
      <c r="AL114" s="522">
        <f t="shared" si="142"/>
        <v>0</v>
      </c>
      <c r="AM114" s="523">
        <f t="shared" si="156"/>
        <v>0</v>
      </c>
      <c r="AN114" s="524">
        <f t="shared" si="157"/>
        <v>0</v>
      </c>
      <c r="AO114" s="524">
        <f t="shared" si="158"/>
        <v>0</v>
      </c>
      <c r="AP114" s="522">
        <f t="shared" si="159"/>
        <v>0</v>
      </c>
      <c r="AQ114" s="525"/>
      <c r="AR114" s="526">
        <f t="shared" si="160"/>
        <v>0</v>
      </c>
      <c r="AS114" s="524">
        <f t="shared" si="161"/>
        <v>0</v>
      </c>
      <c r="AT114" s="524"/>
      <c r="AU114" s="524">
        <f t="shared" si="123"/>
        <v>0</v>
      </c>
      <c r="AV114" s="524"/>
      <c r="AW114" s="528"/>
      <c r="AX114" s="508"/>
      <c r="AY114" s="508"/>
      <c r="AZ114" s="508"/>
      <c r="BA114" s="508"/>
      <c r="BB114" s="508"/>
      <c r="BC114" s="508"/>
      <c r="BD114" s="508"/>
      <c r="BE114" s="508"/>
      <c r="BF114" s="508"/>
      <c r="BG114" s="508"/>
      <c r="BH114" s="508"/>
      <c r="BI114" s="508"/>
      <c r="BJ114" s="508"/>
      <c r="BK114" s="508"/>
      <c r="BL114" s="508"/>
      <c r="BM114" s="508"/>
      <c r="BN114" s="508"/>
      <c r="BO114" s="508"/>
      <c r="BP114" s="508"/>
      <c r="BQ114" s="508"/>
      <c r="BR114" s="508"/>
      <c r="BS114" s="508"/>
      <c r="BT114" s="508"/>
      <c r="BU114" s="508"/>
      <c r="BV114" s="508"/>
      <c r="BW114" s="508"/>
      <c r="BX114" s="508"/>
      <c r="BY114" s="508"/>
      <c r="BZ114" s="508"/>
      <c r="CA114" s="508"/>
      <c r="CB114" s="508"/>
      <c r="CC114" s="508"/>
      <c r="CD114" s="508"/>
    </row>
    <row r="115" spans="1:82" s="530" customFormat="1" ht="15.75" customHeight="1" x14ac:dyDescent="0.3">
      <c r="A115" s="508"/>
      <c r="B115" s="509"/>
      <c r="C115" s="510"/>
      <c r="D115" s="511">
        <f>EC_2!D115+FS_2!D115+GT_2!D115+KZN_2!D115+LIM_2!D115+MPU_2!D115+NC_2!D115+NW_2!D115+WC_2!D115</f>
        <v>0</v>
      </c>
      <c r="E115" s="512">
        <f>EC_2!E115+FS_2!E115+GT_2!E115+KZN_2!E115+LIM_2!E115+MPU_2!E115+NC_2!E115+NW_2!E115+WC_2!E115</f>
        <v>0</v>
      </c>
      <c r="F115" s="513">
        <f>EC_2!F115+FS_2!F115+GT_2!F115+KZN_2!F115+LIM_2!F115+MPU_2!F115+NC_2!F115+NW_2!F115+WC_2!F115</f>
        <v>0</v>
      </c>
      <c r="G115" s="513">
        <f>EC_2!G115+FS_2!G115+GT_2!G115+KZN_2!G115+LIM_2!G115+MPU_2!G115+NC_2!G115+NW_2!G115+WC_2!G115</f>
        <v>0</v>
      </c>
      <c r="H115" s="511">
        <f>EC_2!H115+FS_2!H115+GT_2!H115+KZN_2!H115+LIM_2!H115+MPU_2!H115+NC_2!H115+NW_2!H115+WC_2!H115</f>
        <v>0</v>
      </c>
      <c r="I115" s="514">
        <f>EC_2!I115+FS_2!I115+GT_2!I115+KZN_2!I115+LIM_2!I115+MPU_2!I115+NC_2!I115+NW_2!I115+WC_2!I115</f>
        <v>0</v>
      </c>
      <c r="J115" s="515">
        <f>EC_2!J115+FS_2!J115+GT_2!J115+KZN_2!J115+LIM_2!J115+MPU_2!J115+NC_2!J115+NW_2!J115+WC_2!J115</f>
        <v>0</v>
      </c>
      <c r="K115" s="513">
        <f>EC_2!K115+FS_2!K115+GT_2!K115+KZN_2!K115+LIM_2!K115+MPU_2!K115+NC_2!K115+NW_2!K115+WC_2!K115</f>
        <v>0</v>
      </c>
      <c r="L115" s="513">
        <f>EC_2!L115+FS_2!L115+GT_2!L115+KZN_2!L115+LIM_2!L115+MPU_2!L115+NC_2!L115+NW_2!L115+WC_2!L115</f>
        <v>0</v>
      </c>
      <c r="M115" s="513">
        <f>EC_2!M115+FS_2!M115+GT_2!M115+KZN_2!M115+LIM_2!M115+MPU_2!M115+NC_2!M115+NW_2!M115+WC_2!M115</f>
        <v>0</v>
      </c>
      <c r="N115" s="516"/>
      <c r="O115" s="517"/>
      <c r="P115" s="518"/>
      <c r="Q115" s="518"/>
      <c r="R115" s="508"/>
      <c r="S115" s="509"/>
      <c r="T115" s="510">
        <f t="shared" si="155"/>
        <v>0</v>
      </c>
      <c r="U115" s="511">
        <v>0</v>
      </c>
      <c r="V115" s="512">
        <v>0</v>
      </c>
      <c r="W115" s="513">
        <v>0</v>
      </c>
      <c r="X115" s="513">
        <v>0</v>
      </c>
      <c r="Y115" s="511">
        <v>0</v>
      </c>
      <c r="Z115" s="514"/>
      <c r="AA115" s="515"/>
      <c r="AB115" s="513">
        <v>0</v>
      </c>
      <c r="AC115" s="513"/>
      <c r="AD115" s="513"/>
      <c r="AE115" s="513"/>
      <c r="AF115" s="517"/>
      <c r="AG115" s="519"/>
      <c r="AH115" s="519"/>
      <c r="AI115" s="508"/>
      <c r="AJ115" s="520"/>
      <c r="AK115" s="521">
        <f t="shared" si="122"/>
        <v>0</v>
      </c>
      <c r="AL115" s="522">
        <f t="shared" si="142"/>
        <v>0</v>
      </c>
      <c r="AM115" s="523">
        <f t="shared" si="156"/>
        <v>0</v>
      </c>
      <c r="AN115" s="524">
        <f t="shared" si="157"/>
        <v>0</v>
      </c>
      <c r="AO115" s="524">
        <f t="shared" si="158"/>
        <v>0</v>
      </c>
      <c r="AP115" s="522">
        <f t="shared" si="159"/>
        <v>0</v>
      </c>
      <c r="AQ115" s="525"/>
      <c r="AR115" s="526">
        <f t="shared" si="160"/>
        <v>0</v>
      </c>
      <c r="AS115" s="524">
        <f t="shared" si="161"/>
        <v>0</v>
      </c>
      <c r="AT115" s="524"/>
      <c r="AU115" s="524">
        <f t="shared" si="123"/>
        <v>0</v>
      </c>
      <c r="AV115" s="524"/>
      <c r="AW115" s="528"/>
      <c r="AX115" s="508"/>
      <c r="AY115" s="508"/>
      <c r="AZ115" s="508"/>
      <c r="BA115" s="508"/>
      <c r="BB115" s="508"/>
      <c r="BC115" s="508"/>
      <c r="BD115" s="508"/>
      <c r="BE115" s="508"/>
      <c r="BF115" s="508"/>
      <c r="BG115" s="508"/>
      <c r="BH115" s="508"/>
      <c r="BI115" s="508"/>
      <c r="BJ115" s="508"/>
      <c r="BK115" s="508"/>
      <c r="BL115" s="508"/>
      <c r="BM115" s="508"/>
      <c r="BN115" s="508"/>
      <c r="BO115" s="508"/>
      <c r="BP115" s="508"/>
      <c r="BQ115" s="508"/>
      <c r="BR115" s="508"/>
      <c r="BS115" s="508"/>
      <c r="BT115" s="508"/>
      <c r="BU115" s="508"/>
      <c r="BV115" s="508"/>
      <c r="BW115" s="508"/>
      <c r="BX115" s="508"/>
      <c r="BY115" s="508"/>
      <c r="BZ115" s="508"/>
      <c r="CA115" s="508"/>
      <c r="CB115" s="508"/>
      <c r="CC115" s="508"/>
      <c r="CD115" s="508"/>
    </row>
    <row r="116" spans="1:82" s="508" customFormat="1" ht="8.25" customHeight="1" x14ac:dyDescent="0.3">
      <c r="B116" s="509"/>
      <c r="C116" s="510"/>
      <c r="D116" s="511">
        <f>EC_2!D116+FS_2!D116+GT_2!D116+KZN_2!D116+LIM_2!D116+MPU_2!D116+NC_2!D116+NW_2!D116+WC_2!D116</f>
        <v>0</v>
      </c>
      <c r="E116" s="512">
        <f>EC_2!E116+FS_2!E116+GT_2!E116+KZN_2!E116+LIM_2!E116+MPU_2!E116+NC_2!E116+NW_2!E116+WC_2!E116</f>
        <v>0</v>
      </c>
      <c r="F116" s="513">
        <f>EC_2!F116+FS_2!F116+GT_2!F116+KZN_2!F116+LIM_2!F116+MPU_2!F116+NC_2!F116+NW_2!F116+WC_2!F116</f>
        <v>0</v>
      </c>
      <c r="G116" s="513">
        <f>EC_2!G116+FS_2!G116+GT_2!G116+KZN_2!G116+LIM_2!G116+MPU_2!G116+NC_2!G116+NW_2!G116+WC_2!G116</f>
        <v>0</v>
      </c>
      <c r="H116" s="511">
        <f>EC_2!H116+FS_2!H116+GT_2!H116+KZN_2!H116+LIM_2!H116+MPU_2!H116+NC_2!H116+NW_2!H116+WC_2!H116</f>
        <v>0</v>
      </c>
      <c r="I116" s="514">
        <f>EC_2!I116+FS_2!I116+GT_2!I116+KZN_2!I116+LIM_2!I116+MPU_2!I116+NC_2!I116+NW_2!I116+WC_2!I116</f>
        <v>0</v>
      </c>
      <c r="J116" s="515">
        <f>EC_2!J116+FS_2!J116+GT_2!J116+KZN_2!J116+LIM_2!J116+MPU_2!J116+NC_2!J116+NW_2!J116+WC_2!J116</f>
        <v>0</v>
      </c>
      <c r="K116" s="513">
        <f>EC_2!K116+FS_2!K116+GT_2!K116+KZN_2!K116+LIM_2!K116+MPU_2!K116+NC_2!K116+NW_2!K116+WC_2!K116</f>
        <v>0</v>
      </c>
      <c r="L116" s="513">
        <f>EC_2!L116+FS_2!L116+GT_2!L116+KZN_2!L116+LIM_2!L116+MPU_2!L116+NC_2!L116+NW_2!L116+WC_2!L116</f>
        <v>0</v>
      </c>
      <c r="M116" s="513">
        <f>EC_2!M116+FS_2!M116+GT_2!M116+KZN_2!M116+LIM_2!M116+MPU_2!M116+NC_2!M116+NW_2!M116+WC_2!M116</f>
        <v>0</v>
      </c>
      <c r="N116" s="513"/>
      <c r="O116" s="517"/>
      <c r="P116" s="530"/>
      <c r="Q116" s="530"/>
      <c r="S116" s="509"/>
      <c r="T116" s="510"/>
      <c r="U116" s="511"/>
      <c r="V116" s="512"/>
      <c r="W116" s="513"/>
      <c r="X116" s="513"/>
      <c r="Y116" s="511"/>
      <c r="Z116" s="514"/>
      <c r="AA116" s="515"/>
      <c r="AB116" s="513"/>
      <c r="AC116" s="513"/>
      <c r="AD116" s="513"/>
      <c r="AE116" s="513"/>
      <c r="AF116" s="517"/>
      <c r="AG116" s="519"/>
      <c r="AH116" s="519"/>
      <c r="AJ116" s="520"/>
      <c r="AK116" s="521">
        <f t="shared" si="122"/>
        <v>0</v>
      </c>
      <c r="AL116" s="522">
        <f t="shared" si="142"/>
        <v>0</v>
      </c>
      <c r="AM116" s="523">
        <f t="shared" si="142"/>
        <v>0</v>
      </c>
      <c r="AN116" s="524">
        <f t="shared" si="142"/>
        <v>0</v>
      </c>
      <c r="AO116" s="524">
        <f t="shared" si="142"/>
        <v>0</v>
      </c>
      <c r="AP116" s="522">
        <f t="shared" si="142"/>
        <v>0</v>
      </c>
      <c r="AQ116" s="525"/>
      <c r="AR116" s="526">
        <f t="shared" si="149"/>
        <v>0</v>
      </c>
      <c r="AS116" s="524">
        <f t="shared" si="149"/>
        <v>0</v>
      </c>
      <c r="AT116" s="524"/>
      <c r="AU116" s="524">
        <f t="shared" si="123"/>
        <v>0</v>
      </c>
      <c r="AV116" s="524"/>
      <c r="AW116" s="528"/>
    </row>
    <row r="117" spans="1:82" customFormat="1" ht="15.75" customHeight="1" x14ac:dyDescent="0.3">
      <c r="B117" s="62"/>
      <c r="C117" s="51" t="s">
        <v>30</v>
      </c>
      <c r="D117" s="95">
        <f>EC_2!D117+FS_2!D117+GT_2!D117+KZN_2!D117+LIM_2!D117+MPU_2!D117+NC_2!D117+NW_2!D117+WC_2!D117</f>
        <v>0</v>
      </c>
      <c r="E117" s="198">
        <f>EC_2!E117+FS_2!E117+GT_2!E117+KZN_2!E117+LIM_2!E117+MPU_2!E117+NC_2!E117+NW_2!E117+WC_2!E117</f>
        <v>244811</v>
      </c>
      <c r="F117" s="54">
        <f>EC_2!F117+FS_2!F117+GT_2!F117+KZN_2!F117+LIM_2!F117+MPU_2!F117+NC_2!F117+NW_2!F117+WC_2!F117</f>
        <v>244811</v>
      </c>
      <c r="G117" s="54">
        <f>EC_2!G117+FS_2!G117+GT_2!G117+KZN_2!G117+LIM_2!G117+MPU_2!G117+NC_2!G117+NW_2!G117+WC_2!G117</f>
        <v>137182</v>
      </c>
      <c r="H117" s="95">
        <f>EC_2!H117+FS_2!H117+GT_2!H117+KZN_2!H117+LIM_2!H117+MPU_2!H117+NC_2!H117+NW_2!H117+WC_2!H117</f>
        <v>381993</v>
      </c>
      <c r="I117" s="216">
        <f>EC_2!I117+FS_2!I117+GT_2!I117+KZN_2!I117+LIM_2!I117+MPU_2!I117+NC_2!I117+NW_2!I117+WC_2!I117</f>
        <v>0</v>
      </c>
      <c r="J117" s="105">
        <f>EC_2!J117+FS_2!J117+GT_2!J117+KZN_2!J117+LIM_2!J117+MPU_2!J117+NC_2!J117+NW_2!J117+WC_2!J117</f>
        <v>0</v>
      </c>
      <c r="K117" s="54">
        <f>EC_2!K117+FS_2!K117+GT_2!K117+KZN_2!K117+LIM_2!K117+MPU_2!K117+NC_2!K117+NW_2!K117+WC_2!K117</f>
        <v>244811</v>
      </c>
      <c r="L117" s="54">
        <f>EC_2!L117+FS_2!L117+GT_2!L117+KZN_2!L117+LIM_2!L117+MPU_2!L117+NC_2!L117+NW_2!L117+WC_2!L117</f>
        <v>0</v>
      </c>
      <c r="M117" s="589">
        <f>SUM(M118)</f>
        <v>205667</v>
      </c>
      <c r="N117" s="590">
        <f t="shared" ref="N117:N118" si="162">IFERROR(M117/H117,0)</f>
        <v>0.53840515402114697</v>
      </c>
      <c r="O117" s="55"/>
      <c r="P117" s="66"/>
      <c r="Q117" s="66"/>
      <c r="S117" s="62"/>
      <c r="T117" s="51" t="str">
        <f>C117</f>
        <v>Human Settlements (Vote 38)</v>
      </c>
      <c r="U117" s="95">
        <v>0</v>
      </c>
      <c r="V117" s="198">
        <v>0</v>
      </c>
      <c r="W117" s="54">
        <v>0</v>
      </c>
      <c r="X117" s="54">
        <v>0</v>
      </c>
      <c r="Y117" s="95">
        <v>0</v>
      </c>
      <c r="Z117" s="216"/>
      <c r="AA117" s="101"/>
      <c r="AB117" s="54">
        <v>154658.15700000001</v>
      </c>
      <c r="AC117" s="59"/>
      <c r="AD117" s="54"/>
      <c r="AE117" s="54"/>
      <c r="AF117" s="55"/>
      <c r="AG117" s="442"/>
      <c r="AH117" s="442"/>
      <c r="AJ117" s="402"/>
      <c r="AK117" s="480" t="str">
        <f t="shared" si="122"/>
        <v>Human Settlements (Vote 38)</v>
      </c>
      <c r="AL117" s="388">
        <f t="shared" si="142"/>
        <v>0</v>
      </c>
      <c r="AM117" s="389">
        <f t="shared" si="142"/>
        <v>-244811</v>
      </c>
      <c r="AN117" s="390">
        <f t="shared" si="142"/>
        <v>-244811</v>
      </c>
      <c r="AO117" s="390">
        <f t="shared" si="142"/>
        <v>-137182</v>
      </c>
      <c r="AP117" s="388">
        <f t="shared" si="142"/>
        <v>-381993</v>
      </c>
      <c r="AQ117" s="391"/>
      <c r="AR117" s="392">
        <f t="shared" si="149"/>
        <v>0</v>
      </c>
      <c r="AS117" s="390">
        <f t="shared" si="149"/>
        <v>-90152.842999999993</v>
      </c>
      <c r="AT117" s="398"/>
      <c r="AU117" s="390">
        <f t="shared" si="123"/>
        <v>-205667</v>
      </c>
      <c r="AV117" s="390"/>
      <c r="AW117" s="393"/>
    </row>
    <row r="118" spans="1:82" customFormat="1" ht="15.75" customHeight="1" x14ac:dyDescent="0.3">
      <c r="B118" s="57"/>
      <c r="C118" s="58" t="s">
        <v>94</v>
      </c>
      <c r="D118" s="505">
        <f>EC_2!D118+FS_2!D118+GT_2!D118+KZN_2!D118+LIM_2!D118+MPU_2!D118+NC_2!D118+NW_2!D118+WC_2!D118</f>
        <v>0</v>
      </c>
      <c r="E118" s="199">
        <f>EC_2!E118+FS_2!E118+GT_2!E118+KZN_2!E118+LIM_2!E118+MPU_2!E118+NC_2!E118+NW_2!E118+WC_2!E118</f>
        <v>244811</v>
      </c>
      <c r="F118" s="506">
        <f>EC_2!F118+FS_2!F118+GT_2!F118+KZN_2!F118+LIM_2!F118+MPU_2!F118+NC_2!F118+NW_2!F118+WC_2!F118</f>
        <v>244811</v>
      </c>
      <c r="G118" s="59">
        <f>EC_2!G118+FS_2!G118+GT_2!G118+KZN_2!G118+LIM_2!G118+MPU_2!G118+NC_2!G118+NW_2!G118+WC_2!G118</f>
        <v>137182</v>
      </c>
      <c r="H118" s="96">
        <f>EC_2!H118+FS_2!H118+GT_2!H118+KZN_2!H118+LIM_2!H118+MPU_2!H118+NC_2!H118+NW_2!H118+WC_2!H118</f>
        <v>381993</v>
      </c>
      <c r="I118" s="217">
        <f>EC_2!I118+FS_2!I118+GT_2!I118+KZN_2!I118+LIM_2!I118+MPU_2!I118+NC_2!I118+NW_2!I118+WC_2!I118</f>
        <v>0</v>
      </c>
      <c r="J118" s="105">
        <f>EC_2!J118+FS_2!J118+GT_2!J118+KZN_2!J118+LIM_2!J118+MPU_2!J118+NC_2!J118+NW_2!J118+WC_2!J118</f>
        <v>0</v>
      </c>
      <c r="K118" s="59">
        <f>EC_2!K118+FS_2!K118+GT_2!K118+KZN_2!K118+LIM_2!K118+MPU_2!K118+NC_2!K118+NW_2!K118+WC_2!K118</f>
        <v>244811</v>
      </c>
      <c r="L118" s="59">
        <f>EC_2!L118+FS_2!L118+GT_2!L118+KZN_2!L118+LIM_2!L118+MPU_2!L118+NC_2!L118+NW_2!L118+WC_2!L118</f>
        <v>0</v>
      </c>
      <c r="M118" s="76">
        <v>205667</v>
      </c>
      <c r="N118" s="439">
        <f t="shared" si="162"/>
        <v>0.53840515402114697</v>
      </c>
      <c r="O118" s="33"/>
      <c r="P118" s="35"/>
      <c r="Q118" s="35"/>
      <c r="S118" s="57"/>
      <c r="T118" s="58" t="str">
        <f t="shared" ref="T118:T120" si="163">C118</f>
        <v>Provincial Emergency Housing Grant</v>
      </c>
      <c r="U118" s="96">
        <v>0</v>
      </c>
      <c r="V118" s="199">
        <v>0</v>
      </c>
      <c r="W118" s="59">
        <v>0</v>
      </c>
      <c r="X118" s="59">
        <v>0</v>
      </c>
      <c r="Y118" s="96">
        <v>0</v>
      </c>
      <c r="Z118" s="217"/>
      <c r="AA118" s="105"/>
      <c r="AB118" s="59">
        <v>154658.15700000001</v>
      </c>
      <c r="AC118" s="59"/>
      <c r="AD118" s="76"/>
      <c r="AE118" s="76"/>
      <c r="AF118" s="33"/>
      <c r="AG118" s="441"/>
      <c r="AH118" s="441"/>
      <c r="AJ118" s="394"/>
      <c r="AK118" s="479" t="str">
        <f t="shared" si="122"/>
        <v>Provincial Emergency Housing Grant</v>
      </c>
      <c r="AL118" s="396">
        <f t="shared" si="142"/>
        <v>0</v>
      </c>
      <c r="AM118" s="397">
        <f t="shared" ref="AM118:AM120" si="164">IFERROR(V118-E118,0)</f>
        <v>-244811</v>
      </c>
      <c r="AN118" s="398">
        <f t="shared" ref="AN118:AN120" si="165">IFERROR(W118-F118,0)</f>
        <v>-244811</v>
      </c>
      <c r="AO118" s="398">
        <f t="shared" ref="AO118:AO120" si="166">IFERROR(X118-G118,0)</f>
        <v>-137182</v>
      </c>
      <c r="AP118" s="396">
        <f t="shared" ref="AP118:AP120" si="167">IFERROR(Y118-H118,0)</f>
        <v>-381993</v>
      </c>
      <c r="AQ118" s="399"/>
      <c r="AR118" s="419">
        <f t="shared" ref="AR118:AR120" si="168">IFERROR(AA118-J118,0)</f>
        <v>0</v>
      </c>
      <c r="AS118" s="398">
        <f t="shared" ref="AS118:AS120" si="169">IFERROR(AB118-K118,0)</f>
        <v>-90152.842999999993</v>
      </c>
      <c r="AT118" s="398"/>
      <c r="AU118" s="417">
        <f t="shared" si="123"/>
        <v>-205667</v>
      </c>
      <c r="AV118" s="417"/>
      <c r="AW118" s="347"/>
    </row>
    <row r="119" spans="1:82" s="508" customFormat="1" ht="15.75" customHeight="1" x14ac:dyDescent="0.3">
      <c r="B119" s="509"/>
      <c r="C119" s="510"/>
      <c r="D119" s="511">
        <f>EC_2!D119+FS_2!D119+GT_2!D119+KZN_2!D119+LIM_2!D119+MPU_2!D119+NC_2!D119+NW_2!D119+WC_2!D119</f>
        <v>0</v>
      </c>
      <c r="E119" s="512">
        <f>EC_2!E119+FS_2!E119+GT_2!E119+KZN_2!E119+LIM_2!E119+MPU_2!E119+NC_2!E119+NW_2!E119+WC_2!E119</f>
        <v>0</v>
      </c>
      <c r="F119" s="518">
        <f>EC_2!F119+FS_2!F119+GT_2!F119+KZN_2!F119+LIM_2!F119+MPU_2!F119+NC_2!F119+NW_2!F119+WC_2!F119</f>
        <v>0</v>
      </c>
      <c r="G119" s="513">
        <f>EC_2!G119+FS_2!G119+GT_2!G119+KZN_2!G119+LIM_2!G119+MPU_2!G119+NC_2!G119+NW_2!G119+WC_2!G119</f>
        <v>0</v>
      </c>
      <c r="H119" s="511">
        <f>EC_2!H119+FS_2!H119+GT_2!H119+KZN_2!H119+LIM_2!H119+MPU_2!H119+NC_2!H119+NW_2!H119+WC_2!H119</f>
        <v>0</v>
      </c>
      <c r="I119" s="514">
        <f>EC_2!I119+FS_2!I119+GT_2!I119+KZN_2!I119+LIM_2!I119+MPU_2!I119+NC_2!I119+NW_2!I119+WC_2!I119</f>
        <v>0</v>
      </c>
      <c r="J119" s="515">
        <f>EC_2!J119+FS_2!J119+GT_2!J119+KZN_2!J119+LIM_2!J119+MPU_2!J119+NC_2!J119+NW_2!J119+WC_2!J119</f>
        <v>0</v>
      </c>
      <c r="K119" s="513">
        <f>EC_2!K119+FS_2!K119+GT_2!K119+KZN_2!K119+LIM_2!K119+MPU_2!K119+NC_2!K119+NW_2!K119+WC_2!K119</f>
        <v>0</v>
      </c>
      <c r="L119" s="513">
        <f>EC_2!L119+FS_2!L119+GT_2!L119+KZN_2!L119+LIM_2!L119+MPU_2!L119+NC_2!L119+NW_2!L119+WC_2!L119</f>
        <v>0</v>
      </c>
      <c r="M119" s="513">
        <f>EC_2!M119+FS_2!M119+GT_2!M119+KZN_2!M119+LIM_2!M119+MPU_2!M119+NC_2!M119+NW_2!M119+WC_2!M119</f>
        <v>0</v>
      </c>
      <c r="N119" s="516"/>
      <c r="O119" s="517"/>
      <c r="P119" s="518"/>
      <c r="Q119" s="518"/>
      <c r="S119" s="509"/>
      <c r="T119" s="510">
        <f t="shared" si="163"/>
        <v>0</v>
      </c>
      <c r="U119" s="511">
        <v>0</v>
      </c>
      <c r="V119" s="512">
        <v>0</v>
      </c>
      <c r="W119" s="513">
        <v>0</v>
      </c>
      <c r="X119" s="513">
        <v>0</v>
      </c>
      <c r="Y119" s="511">
        <v>0</v>
      </c>
      <c r="Z119" s="514"/>
      <c r="AA119" s="515"/>
      <c r="AB119" s="513">
        <v>0</v>
      </c>
      <c r="AC119" s="513"/>
      <c r="AD119" s="513"/>
      <c r="AE119" s="513"/>
      <c r="AF119" s="517"/>
      <c r="AG119" s="519"/>
      <c r="AH119" s="519"/>
      <c r="AJ119" s="520"/>
      <c r="AK119" s="521">
        <f t="shared" si="122"/>
        <v>0</v>
      </c>
      <c r="AL119" s="522">
        <f t="shared" si="142"/>
        <v>0</v>
      </c>
      <c r="AM119" s="523">
        <f t="shared" si="164"/>
        <v>0</v>
      </c>
      <c r="AN119" s="524">
        <f t="shared" si="165"/>
        <v>0</v>
      </c>
      <c r="AO119" s="524">
        <f t="shared" si="166"/>
        <v>0</v>
      </c>
      <c r="AP119" s="522">
        <f t="shared" si="167"/>
        <v>0</v>
      </c>
      <c r="AQ119" s="525"/>
      <c r="AR119" s="526">
        <f t="shared" si="168"/>
        <v>0</v>
      </c>
      <c r="AS119" s="524">
        <f t="shared" si="169"/>
        <v>0</v>
      </c>
      <c r="AT119" s="524"/>
      <c r="AU119" s="524">
        <f t="shared" si="123"/>
        <v>0</v>
      </c>
      <c r="AV119" s="524"/>
      <c r="AW119" s="528"/>
    </row>
    <row r="120" spans="1:82" s="508" customFormat="1" ht="15.75" customHeight="1" x14ac:dyDescent="0.3">
      <c r="B120" s="509"/>
      <c r="C120" s="510"/>
      <c r="D120" s="511">
        <f>EC_2!D120+FS_2!D120+GT_2!D120+KZN_2!D120+LIM_2!D120+MPU_2!D120+NC_2!D120+NW_2!D120+WC_2!D120</f>
        <v>0</v>
      </c>
      <c r="E120" s="512">
        <f>EC_2!E120+FS_2!E120+GT_2!E120+KZN_2!E120+LIM_2!E120+MPU_2!E120+NC_2!E120+NW_2!E120+WC_2!E120</f>
        <v>0</v>
      </c>
      <c r="F120" s="518">
        <f>EC_2!F120+FS_2!F120+GT_2!F120+KZN_2!F120+LIM_2!F120+MPU_2!F120+NC_2!F120+NW_2!F120+WC_2!F120</f>
        <v>0</v>
      </c>
      <c r="G120" s="513">
        <f>EC_2!G120+FS_2!G120+GT_2!G120+KZN_2!G120+LIM_2!G120+MPU_2!G120+NC_2!G120+NW_2!G120+WC_2!G120</f>
        <v>0</v>
      </c>
      <c r="H120" s="511">
        <f>EC_2!H120+FS_2!H120+GT_2!H120+KZN_2!H120+LIM_2!H120+MPU_2!H120+NC_2!H120+NW_2!H120+WC_2!H120</f>
        <v>0</v>
      </c>
      <c r="I120" s="514">
        <f>EC_2!I120+FS_2!I120+GT_2!I120+KZN_2!I120+LIM_2!I120+MPU_2!I120+NC_2!I120+NW_2!I120+WC_2!I120</f>
        <v>0</v>
      </c>
      <c r="J120" s="515">
        <f>EC_2!J120+FS_2!J120+GT_2!J120+KZN_2!J120+LIM_2!J120+MPU_2!J120+NC_2!J120+NW_2!J120+WC_2!J120</f>
        <v>0</v>
      </c>
      <c r="K120" s="513">
        <f>EC_2!K120+FS_2!K120+GT_2!K120+KZN_2!K120+LIM_2!K120+MPU_2!K120+NC_2!K120+NW_2!K120+WC_2!K120</f>
        <v>0</v>
      </c>
      <c r="L120" s="513">
        <f>EC_2!L120+FS_2!L120+GT_2!L120+KZN_2!L120+LIM_2!L120+MPU_2!L120+NC_2!L120+NW_2!L120+WC_2!L120</f>
        <v>0</v>
      </c>
      <c r="M120" s="513">
        <f>EC_2!M120+FS_2!M120+GT_2!M120+KZN_2!M120+LIM_2!M120+MPU_2!M120+NC_2!M120+NW_2!M120+WC_2!M120</f>
        <v>0</v>
      </c>
      <c r="N120" s="516"/>
      <c r="O120" s="517"/>
      <c r="P120" s="518"/>
      <c r="Q120" s="518"/>
      <c r="S120" s="509"/>
      <c r="T120" s="510">
        <f t="shared" si="163"/>
        <v>0</v>
      </c>
      <c r="U120" s="511">
        <v>0</v>
      </c>
      <c r="V120" s="512">
        <v>0</v>
      </c>
      <c r="W120" s="513">
        <v>0</v>
      </c>
      <c r="X120" s="513">
        <v>0</v>
      </c>
      <c r="Y120" s="511">
        <v>0</v>
      </c>
      <c r="Z120" s="514"/>
      <c r="AA120" s="515"/>
      <c r="AB120" s="513">
        <v>0</v>
      </c>
      <c r="AC120" s="513"/>
      <c r="AD120" s="513"/>
      <c r="AE120" s="513"/>
      <c r="AF120" s="517"/>
      <c r="AG120" s="519"/>
      <c r="AH120" s="519"/>
      <c r="AJ120" s="520"/>
      <c r="AK120" s="521">
        <f t="shared" si="122"/>
        <v>0</v>
      </c>
      <c r="AL120" s="522">
        <f t="shared" si="142"/>
        <v>0</v>
      </c>
      <c r="AM120" s="523">
        <f t="shared" si="164"/>
        <v>0</v>
      </c>
      <c r="AN120" s="524">
        <f t="shared" si="165"/>
        <v>0</v>
      </c>
      <c r="AO120" s="524">
        <f t="shared" si="166"/>
        <v>0</v>
      </c>
      <c r="AP120" s="522">
        <f t="shared" si="167"/>
        <v>0</v>
      </c>
      <c r="AQ120" s="525"/>
      <c r="AR120" s="526">
        <f t="shared" si="168"/>
        <v>0</v>
      </c>
      <c r="AS120" s="524">
        <f t="shared" si="169"/>
        <v>0</v>
      </c>
      <c r="AT120" s="524"/>
      <c r="AU120" s="524">
        <f t="shared" si="123"/>
        <v>0</v>
      </c>
      <c r="AV120" s="524"/>
      <c r="AW120" s="528"/>
    </row>
    <row r="121" spans="1:82" s="508" customFormat="1" ht="8.25" customHeight="1" x14ac:dyDescent="0.3">
      <c r="B121" s="509"/>
      <c r="C121" s="510"/>
      <c r="D121" s="511">
        <f>EC_2!D121+FS_2!D121+GT_2!D121+KZN_2!D121+LIM_2!D121+MPU_2!D121+NC_2!D121+NW_2!D121+WC_2!D121</f>
        <v>0</v>
      </c>
      <c r="E121" s="512">
        <f>EC_2!E121+FS_2!E121+GT_2!E121+KZN_2!E121+LIM_2!E121+MPU_2!E121+NC_2!E121+NW_2!E121+WC_2!E121</f>
        <v>0</v>
      </c>
      <c r="F121" s="513">
        <f>EC_2!F121+FS_2!F121+GT_2!F121+KZN_2!F121+LIM_2!F121+MPU_2!F121+NC_2!F121+NW_2!F121+WC_2!F121</f>
        <v>0</v>
      </c>
      <c r="G121" s="513">
        <f>EC_2!G121+FS_2!G121+GT_2!G121+KZN_2!G121+LIM_2!G121+MPU_2!G121+NC_2!G121+NW_2!G121+WC_2!G121</f>
        <v>0</v>
      </c>
      <c r="H121" s="511">
        <f>EC_2!H121+FS_2!H121+GT_2!H121+KZN_2!H121+LIM_2!H121+MPU_2!H121+NC_2!H121+NW_2!H121+WC_2!H121</f>
        <v>0</v>
      </c>
      <c r="I121" s="514">
        <f>EC_2!I121+FS_2!I121+GT_2!I121+KZN_2!I121+LIM_2!I121+MPU_2!I121+NC_2!I121+NW_2!I121+WC_2!I121</f>
        <v>0</v>
      </c>
      <c r="J121" s="515">
        <f>EC_2!J121+FS_2!J121+GT_2!J121+KZN_2!J121+LIM_2!J121+MPU_2!J121+NC_2!J121+NW_2!J121+WC_2!J121</f>
        <v>0</v>
      </c>
      <c r="K121" s="513">
        <f>EC_2!K121+FS_2!K121+GT_2!K121+KZN_2!K121+LIM_2!K121+MPU_2!K121+NC_2!K121+NW_2!K121+WC_2!K121</f>
        <v>0</v>
      </c>
      <c r="L121" s="513">
        <f>EC_2!L121+FS_2!L121+GT_2!L121+KZN_2!L121+LIM_2!L121+MPU_2!L121+NC_2!L121+NW_2!L121+WC_2!L121</f>
        <v>0</v>
      </c>
      <c r="M121" s="513">
        <f>EC_2!M121+FS_2!M121+GT_2!M121+KZN_2!M121+LIM_2!M121+MPU_2!M121+NC_2!M121+NW_2!M121+WC_2!M121</f>
        <v>0</v>
      </c>
      <c r="N121" s="513"/>
      <c r="O121" s="517"/>
      <c r="P121" s="530"/>
      <c r="Q121" s="530"/>
      <c r="S121" s="509"/>
      <c r="T121" s="510"/>
      <c r="U121" s="511"/>
      <c r="V121" s="512"/>
      <c r="W121" s="513"/>
      <c r="X121" s="513"/>
      <c r="Y121" s="511"/>
      <c r="Z121" s="514"/>
      <c r="AA121" s="515"/>
      <c r="AB121" s="513"/>
      <c r="AC121" s="513"/>
      <c r="AD121" s="513"/>
      <c r="AE121" s="513"/>
      <c r="AF121" s="517"/>
      <c r="AG121" s="519"/>
      <c r="AH121" s="519"/>
      <c r="AJ121" s="520"/>
      <c r="AK121" s="521">
        <f t="shared" si="122"/>
        <v>0</v>
      </c>
      <c r="AL121" s="522">
        <f t="shared" si="142"/>
        <v>0</v>
      </c>
      <c r="AM121" s="523">
        <f t="shared" si="142"/>
        <v>0</v>
      </c>
      <c r="AN121" s="524">
        <f t="shared" si="142"/>
        <v>0</v>
      </c>
      <c r="AO121" s="524">
        <f t="shared" si="142"/>
        <v>0</v>
      </c>
      <c r="AP121" s="522">
        <f t="shared" si="142"/>
        <v>0</v>
      </c>
      <c r="AQ121" s="525"/>
      <c r="AR121" s="526">
        <f t="shared" si="149"/>
        <v>0</v>
      </c>
      <c r="AS121" s="524">
        <f t="shared" si="149"/>
        <v>0</v>
      </c>
      <c r="AT121" s="524"/>
      <c r="AU121" s="524">
        <f t="shared" si="123"/>
        <v>0</v>
      </c>
      <c r="AV121" s="524"/>
      <c r="AW121" s="528"/>
    </row>
    <row r="122" spans="1:82" customFormat="1" ht="15.75" customHeight="1" x14ac:dyDescent="0.3">
      <c r="B122" s="53"/>
      <c r="C122" s="74" t="s">
        <v>37</v>
      </c>
      <c r="D122" s="98">
        <f>EC_2!D122+FS_2!D122+GT_2!D122+KZN_2!D122+LIM_2!D122+MPU_2!D122+NC_2!D122+NW_2!D122+WC_2!D122</f>
        <v>0</v>
      </c>
      <c r="E122" s="201">
        <f>EC_2!E122+FS_2!E122+GT_2!E122+KZN_2!E122+LIM_2!E122+MPU_2!E122+NC_2!E122+NW_2!E122+WC_2!E122</f>
        <v>244811</v>
      </c>
      <c r="F122" s="75">
        <f>EC_2!F122+FS_2!F122+GT_2!F122+KZN_2!F122+LIM_2!F122+MPU_2!F122+NC_2!F122+NW_2!F122+WC_2!F122</f>
        <v>244811</v>
      </c>
      <c r="G122" s="75">
        <f>EC_2!G122+FS_2!G122+GT_2!G122+KZN_2!G122+LIM_2!G122+MPU_2!G122+NC_2!G122+NW_2!G122+WC_2!G122</f>
        <v>137327</v>
      </c>
      <c r="H122" s="98">
        <f>EC_2!H122+FS_2!H122+GT_2!H122+KZN_2!H122+LIM_2!H122+MPU_2!H122+NC_2!H122+NW_2!H122+WC_2!H122</f>
        <v>382138</v>
      </c>
      <c r="I122" s="433">
        <f>EC_2!I122+FS_2!I122+GT_2!I122+KZN_2!I122+LIM_2!I122+MPU_2!I122+NC_2!I122+NW_2!I122+WC_2!I122</f>
        <v>0</v>
      </c>
      <c r="J122" s="432">
        <f>EC_2!J122+FS_2!J122+GT_2!J122+KZN_2!J122+LIM_2!J122+MPU_2!J122+NC_2!J122+NW_2!J122+WC_2!J122</f>
        <v>0</v>
      </c>
      <c r="K122" s="75">
        <f>EC_2!K122+FS_2!K122+GT_2!K122+KZN_2!K122+LIM_2!K122+MPU_2!K122+NC_2!K122+NW_2!K122+WC_2!K122</f>
        <v>244811</v>
      </c>
      <c r="L122" s="59">
        <f>EC_2!L122+FS_2!L122+GT_2!L122+KZN_2!L122+LIM_2!L122+MPU_2!L122+NC_2!L122+NW_2!L122+WC_2!L122</f>
        <v>0</v>
      </c>
      <c r="M122" s="77">
        <f>SUM(M112+M117)</f>
        <v>206199</v>
      </c>
      <c r="N122" s="440">
        <f>IFERROR(M122/H122,0)</f>
        <v>0.53959302660295494</v>
      </c>
      <c r="O122" s="33"/>
      <c r="P122" s="66"/>
      <c r="Q122" s="66"/>
      <c r="S122" s="53"/>
      <c r="T122" s="74" t="s">
        <v>37</v>
      </c>
      <c r="U122" s="98">
        <v>0</v>
      </c>
      <c r="V122" s="201">
        <v>0</v>
      </c>
      <c r="W122" s="75">
        <v>0</v>
      </c>
      <c r="X122" s="75">
        <v>0</v>
      </c>
      <c r="Y122" s="98">
        <v>0</v>
      </c>
      <c r="Z122" s="433"/>
      <c r="AA122" s="432"/>
      <c r="AB122" s="75">
        <v>154658.15700000001</v>
      </c>
      <c r="AC122" s="59"/>
      <c r="AD122" s="77"/>
      <c r="AE122" s="77"/>
      <c r="AF122" s="33"/>
      <c r="AG122" s="441"/>
      <c r="AH122" s="441"/>
      <c r="AJ122" s="387"/>
      <c r="AK122" s="411" t="str">
        <f t="shared" si="122"/>
        <v>Sub-Total</v>
      </c>
      <c r="AL122" s="412">
        <f t="shared" si="142"/>
        <v>0</v>
      </c>
      <c r="AM122" s="413">
        <f t="shared" si="142"/>
        <v>-244811</v>
      </c>
      <c r="AN122" s="414">
        <f t="shared" si="142"/>
        <v>-244811</v>
      </c>
      <c r="AO122" s="414">
        <f t="shared" si="142"/>
        <v>-137327</v>
      </c>
      <c r="AP122" s="412">
        <f t="shared" si="142"/>
        <v>-382138</v>
      </c>
      <c r="AQ122" s="434"/>
      <c r="AR122" s="432">
        <f t="shared" si="149"/>
        <v>0</v>
      </c>
      <c r="AS122" s="414">
        <f t="shared" si="149"/>
        <v>-90152.842999999993</v>
      </c>
      <c r="AT122" s="398"/>
      <c r="AU122" s="418">
        <f t="shared" si="123"/>
        <v>-206199</v>
      </c>
      <c r="AV122" s="418"/>
      <c r="AW122" s="347"/>
    </row>
    <row r="123" spans="1:82" s="508" customFormat="1" ht="15.75" customHeight="1" x14ac:dyDescent="0.3">
      <c r="B123" s="566"/>
      <c r="C123" s="567"/>
      <c r="D123" s="568">
        <f>EC_2!D123+FS_2!D123+GT_2!D123+KZN_2!D123+LIM_2!D123+MPU_2!D123+NC_2!D123+NW_2!D123+WC_2!D123</f>
        <v>0</v>
      </c>
      <c r="E123" s="569">
        <f>EC_2!E123+FS_2!E123+GT_2!E123+KZN_2!E123+LIM_2!E123+MPU_2!E123+NC_2!E123+NW_2!E123+WC_2!E123</f>
        <v>0</v>
      </c>
      <c r="F123" s="570">
        <f>EC_2!F123+FS_2!F123+GT_2!F123+KZN_2!F123+LIM_2!F123+MPU_2!F123+NC_2!F123+NW_2!F123+WC_2!F123</f>
        <v>0</v>
      </c>
      <c r="G123" s="570">
        <f>EC_2!G123+FS_2!G123+GT_2!G123+KZN_2!G123+LIM_2!G123+MPU_2!G123+NC_2!G123+NW_2!G123+WC_2!G123</f>
        <v>0</v>
      </c>
      <c r="H123" s="568">
        <f>EC_2!H123+FS_2!H123+GT_2!H123+KZN_2!H123+LIM_2!H123+MPU_2!H123+NC_2!H123+NW_2!H123+WC_2!H123</f>
        <v>0</v>
      </c>
      <c r="I123" s="571">
        <f>EC_2!I123+FS_2!I123+GT_2!I123+KZN_2!I123+LIM_2!I123+MPU_2!I123+NC_2!I123+NW_2!I123+WC_2!I123</f>
        <v>0</v>
      </c>
      <c r="J123" s="572">
        <f>EC_2!J123+FS_2!J123+GT_2!J123+KZN_2!J123+LIM_2!J123+MPU_2!J123+NC_2!J123+NW_2!J123+WC_2!J123</f>
        <v>0</v>
      </c>
      <c r="K123" s="570">
        <f>EC_2!K123+FS_2!K123+GT_2!K123+KZN_2!K123+LIM_2!K123+MPU_2!K123+NC_2!K123+NW_2!K123+WC_2!K123</f>
        <v>0</v>
      </c>
      <c r="L123" s="513">
        <f>EC_2!L123+FS_2!L123+GT_2!L123+KZN_2!L123+LIM_2!L123+MPU_2!L123+NC_2!L123+NW_2!L123+WC_2!L123</f>
        <v>0</v>
      </c>
      <c r="M123" s="570">
        <f>EC_2!M123+FS_2!M123+GT_2!M123+KZN_2!M123+LIM_2!M123+MPU_2!M123+NC_2!M123+NW_2!M123+WC_2!M123</f>
        <v>0</v>
      </c>
      <c r="N123" s="570"/>
      <c r="O123" s="517"/>
      <c r="P123" s="549"/>
      <c r="Q123" s="549"/>
      <c r="S123" s="566"/>
      <c r="T123" s="567"/>
      <c r="U123" s="568"/>
      <c r="V123" s="569"/>
      <c r="W123" s="570"/>
      <c r="X123" s="570"/>
      <c r="Y123" s="568"/>
      <c r="Z123" s="571"/>
      <c r="AA123" s="572"/>
      <c r="AB123" s="570"/>
      <c r="AC123" s="513"/>
      <c r="AD123" s="570"/>
      <c r="AE123" s="570"/>
      <c r="AF123" s="517"/>
      <c r="AG123" s="519"/>
      <c r="AH123" s="519"/>
      <c r="AJ123" s="573"/>
      <c r="AK123" s="574"/>
      <c r="AL123" s="575">
        <f t="shared" si="142"/>
        <v>0</v>
      </c>
      <c r="AM123" s="576">
        <f t="shared" si="142"/>
        <v>0</v>
      </c>
      <c r="AN123" s="577">
        <f t="shared" si="142"/>
        <v>0</v>
      </c>
      <c r="AO123" s="577">
        <f t="shared" si="142"/>
        <v>0</v>
      </c>
      <c r="AP123" s="575">
        <f t="shared" si="142"/>
        <v>0</v>
      </c>
      <c r="AQ123" s="578"/>
      <c r="AR123" s="579">
        <f t="shared" si="149"/>
        <v>0</v>
      </c>
      <c r="AS123" s="577">
        <f t="shared" si="149"/>
        <v>0</v>
      </c>
      <c r="AT123" s="524"/>
      <c r="AU123" s="577">
        <f t="shared" si="123"/>
        <v>0</v>
      </c>
      <c r="AV123" s="577"/>
      <c r="AW123" s="528"/>
    </row>
    <row r="124" spans="1:82" customFormat="1" ht="15.75" customHeight="1" x14ac:dyDescent="0.3">
      <c r="B124" s="78"/>
      <c r="C124" s="79" t="s">
        <v>4</v>
      </c>
      <c r="D124" s="80">
        <f>EC_2!D124+FS_2!D124+GT_2!D124+KZN_2!D124+LIM_2!D124+MPU_2!D124+NC_2!D124+NW_2!D124+WC_2!D124</f>
        <v>106304528.19</v>
      </c>
      <c r="E124" s="202">
        <f>EC_2!E124+FS_2!E124+GT_2!E124+KZN_2!E124+LIM_2!E124+MPU_2!E124+NC_2!E124+NW_2!E124+WC_2!E124</f>
        <v>1134864</v>
      </c>
      <c r="F124" s="81">
        <f>EC_2!F124+FS_2!F124+GT_2!F124+KZN_2!F124+LIM_2!F124+MPU_2!F124+NC_2!F124+NW_2!F124+WC_2!F124</f>
        <v>107439392.19</v>
      </c>
      <c r="G124" s="81">
        <f>EC_2!G124+FS_2!G124+GT_2!G124+KZN_2!G124+LIM_2!G124+MPU_2!G124+NC_2!G124+NW_2!G124+WC_2!G124</f>
        <v>2014032</v>
      </c>
      <c r="H124" s="80">
        <f>EC_2!H124+FS_2!H124+GT_2!H124+KZN_2!H124+LIM_2!H124+MPU_2!H124+NC_2!H124+NW_2!H124+WC_2!H124</f>
        <v>109453424.19</v>
      </c>
      <c r="I124" s="220">
        <f>EC_2!I124+FS_2!I124+GT_2!I124+KZN_2!I124+LIM_2!I124+MPU_2!I124+NC_2!I124+NW_2!I124+WC_2!I124</f>
        <v>0</v>
      </c>
      <c r="J124" s="106">
        <f>EC_2!J124+FS_2!J124+GT_2!J124+KZN_2!J124+LIM_2!J124+MPU_2!J124+NC_2!J124+NW_2!J124+WC_2!J124</f>
        <v>107194581</v>
      </c>
      <c r="K124" s="81">
        <f>EC_2!K124+FS_2!K124+GT_2!K124+KZN_2!K124+LIM_2!K124+MPU_2!K124+NC_2!K124+NW_2!K124+WC_2!K124</f>
        <v>107429797.00018001</v>
      </c>
      <c r="L124" s="59">
        <f>EC_2!L124+FS_2!L124+GT_2!L124+KZN_2!L124+LIM_2!L124+MPU_2!L124+NC_2!L124+NW_2!L124+WC_2!L124</f>
        <v>0</v>
      </c>
      <c r="M124" s="82">
        <f>SUM(M76+M108+M122)</f>
        <v>106058666.42072999</v>
      </c>
      <c r="N124" s="440">
        <f>IFERROR(M124/H124,0)</f>
        <v>0.96898445348427797</v>
      </c>
      <c r="O124" s="55"/>
      <c r="P124" s="66"/>
      <c r="Q124" s="66"/>
      <c r="S124" s="78"/>
      <c r="T124" s="79" t="s">
        <v>4</v>
      </c>
      <c r="U124" s="80">
        <v>106304528.19</v>
      </c>
      <c r="V124" s="202">
        <v>0</v>
      </c>
      <c r="W124" s="81">
        <v>106304528.19</v>
      </c>
      <c r="X124" s="81">
        <v>0</v>
      </c>
      <c r="Y124" s="80">
        <v>106304528.19</v>
      </c>
      <c r="Z124" s="220"/>
      <c r="AA124" s="106">
        <v>55551990</v>
      </c>
      <c r="AB124" s="81">
        <v>55441235.331999995</v>
      </c>
      <c r="AC124" s="59"/>
      <c r="AD124" s="82"/>
      <c r="AE124" s="82"/>
      <c r="AF124" s="55"/>
      <c r="AG124" s="442"/>
      <c r="AH124" s="442"/>
      <c r="AJ124" s="420"/>
      <c r="AK124" s="421" t="str">
        <f t="shared" si="122"/>
        <v>Total</v>
      </c>
      <c r="AL124" s="422">
        <f t="shared" si="142"/>
        <v>0</v>
      </c>
      <c r="AM124" s="423">
        <f t="shared" si="142"/>
        <v>-1134864</v>
      </c>
      <c r="AN124" s="424">
        <f t="shared" si="142"/>
        <v>-1134864</v>
      </c>
      <c r="AO124" s="424">
        <f t="shared" si="142"/>
        <v>-2014032</v>
      </c>
      <c r="AP124" s="422">
        <f t="shared" si="142"/>
        <v>-3148896</v>
      </c>
      <c r="AQ124" s="425"/>
      <c r="AR124" s="426">
        <f t="shared" si="149"/>
        <v>-51642591</v>
      </c>
      <c r="AS124" s="424">
        <f t="shared" si="149"/>
        <v>-51988561.668180011</v>
      </c>
      <c r="AT124" s="398"/>
      <c r="AU124" s="427">
        <f t="shared" si="123"/>
        <v>-106058666.42072999</v>
      </c>
      <c r="AV124" s="427"/>
      <c r="AW124" s="393"/>
    </row>
    <row r="125" spans="1:82" ht="15.75" customHeight="1" thickBot="1" x14ac:dyDescent="0.35">
      <c r="B125" s="83"/>
      <c r="C125" s="84"/>
      <c r="D125" s="84">
        <f>EC_2!D125+FS_2!D125+GT_2!D125+KZN_2!D125+LIM_2!D125+MPU_2!D125+NC_2!D125+NW_2!D125+WC_2!D125</f>
        <v>0</v>
      </c>
      <c r="E125" s="84">
        <f>EC_2!E125+FS_2!E125+GT_2!E125+KZN_2!E125+LIM_2!E125+MPU_2!E125+NC_2!E125+NW_2!E125+WC_2!E125</f>
        <v>0</v>
      </c>
      <c r="F125" s="84">
        <f>EC_2!F125+FS_2!F125+GT_2!F125+KZN_2!F125+LIM_2!F125+MPU_2!F125+NC_2!F125+NW_2!F125+WC_2!F125</f>
        <v>0</v>
      </c>
      <c r="G125" s="84">
        <f>EC_2!G125+FS_2!G125+GT_2!G125+KZN_2!G125+LIM_2!G125+MPU_2!G125+NC_2!G125+NW_2!G125+WC_2!G125</f>
        <v>0</v>
      </c>
      <c r="H125" s="84">
        <f>EC_2!H125+FS_2!H125+GT_2!H125+KZN_2!H125+LIM_2!H125+MPU_2!H125+NC_2!H125+NW_2!H125+WC_2!H125</f>
        <v>0</v>
      </c>
      <c r="I125" s="84">
        <f>EC_2!I125+FS_2!I125+GT_2!I125+KZN_2!I125+LIM_2!I125+MPU_2!I125+NC_2!I125+NW_2!I125+WC_2!I125</f>
        <v>0</v>
      </c>
      <c r="J125" s="84">
        <f>EC_2!J125+FS_2!J125+GT_2!J125+KZN_2!J125+LIM_2!J125+MPU_2!J125+NC_2!J125+NW_2!J125+WC_2!J125</f>
        <v>0</v>
      </c>
      <c r="K125" s="84">
        <f>EC_2!K125+FS_2!K125+GT_2!K125+KZN_2!K125+LIM_2!K125+MPU_2!K125+NC_2!K125+NW_2!K125+WC_2!K125</f>
        <v>0</v>
      </c>
      <c r="L125" s="222">
        <f>EC_2!L125+FS_2!L125+GT_2!L125+KZN_2!L125+LIM_2!L125+MPU_2!L125+NC_2!L125+NW_2!L125+WC_2!L125</f>
        <v>0</v>
      </c>
      <c r="M125" s="84">
        <f>EC_2!M125+FS_2!M125+GT_2!M125+KZN_2!M125+LIM_2!M125+MPU_2!M125+NC_2!M125+NW_2!M125+WC_2!M125</f>
        <v>0</v>
      </c>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ht="15.75" customHeight="1" thickTop="1" x14ac:dyDescent="0.35">
      <c r="B126" s="86" t="s">
        <v>13</v>
      </c>
      <c r="C126" s="87" t="s">
        <v>47</v>
      </c>
      <c r="D126" s="203"/>
      <c r="E126" s="88"/>
      <c r="F126" s="88"/>
      <c r="G126" s="88"/>
      <c r="H126" s="88"/>
      <c r="I126" s="88"/>
      <c r="J126" s="88"/>
      <c r="K126" s="88"/>
      <c r="L126" s="88"/>
      <c r="M126" s="88"/>
      <c r="N126" s="88"/>
      <c r="O126" s="89"/>
      <c r="P126" s="90"/>
      <c r="Q126" s="90"/>
      <c r="S126" s="86"/>
      <c r="T126" s="87"/>
      <c r="U126" s="203"/>
      <c r="V126" s="88"/>
      <c r="W126" s="88"/>
      <c r="X126" s="88"/>
      <c r="Y126" s="88"/>
      <c r="Z126" s="88"/>
      <c r="AA126" s="88"/>
      <c r="AB126" s="88"/>
      <c r="AC126" s="88"/>
      <c r="AD126" s="88"/>
      <c r="AE126" s="88"/>
      <c r="AF126" s="89"/>
      <c r="AG126" s="89"/>
      <c r="AH126" s="89"/>
      <c r="AJ126" s="86"/>
      <c r="AK126" s="87"/>
      <c r="AL126" s="203"/>
      <c r="AM126" s="88"/>
      <c r="AN126" s="88"/>
      <c r="AO126" s="88"/>
      <c r="AP126" s="88"/>
      <c r="AQ126" s="88"/>
      <c r="AR126" s="88"/>
      <c r="AS126" s="88"/>
      <c r="AT126" s="88"/>
      <c r="AU126" s="88"/>
      <c r="AV126" s="88"/>
      <c r="AW126" s="89"/>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2:48" ht="15.75" customHeight="1" x14ac:dyDescent="0.3">
      <c r="D129" s="56"/>
      <c r="J129" s="22"/>
      <c r="K129" s="22"/>
      <c r="L129" s="22"/>
      <c r="M129" s="22"/>
      <c r="N129" s="22"/>
      <c r="U129" s="56"/>
      <c r="AA129" s="22"/>
      <c r="AB129" s="22"/>
      <c r="AC129" s="22"/>
      <c r="AD129" s="22"/>
      <c r="AE129" s="22"/>
      <c r="AL129" s="56"/>
      <c r="AR129" s="22"/>
      <c r="AS129" s="22"/>
      <c r="AT129" s="22"/>
      <c r="AU129" s="22"/>
      <c r="AV129" s="22"/>
    </row>
    <row r="130" spans="2:48" ht="15.75" customHeight="1" x14ac:dyDescent="0.3">
      <c r="B130" s="395"/>
      <c r="C130" s="507"/>
      <c r="D130" s="580">
        <v>0</v>
      </c>
      <c r="E130" s="581">
        <v>0</v>
      </c>
      <c r="F130" s="581">
        <v>0</v>
      </c>
      <c r="G130" s="582">
        <v>0</v>
      </c>
      <c r="H130" s="583">
        <v>0</v>
      </c>
      <c r="I130" s="584"/>
      <c r="J130" s="581">
        <v>0</v>
      </c>
      <c r="K130" s="585">
        <v>0</v>
      </c>
      <c r="L130" s="581"/>
      <c r="M130" s="586">
        <v>-27433.999999985099</v>
      </c>
      <c r="N130" s="587"/>
      <c r="O130" s="588"/>
      <c r="S130" s="1"/>
      <c r="T130" s="91"/>
      <c r="U130" s="204"/>
      <c r="V130" s="91"/>
      <c r="W130" s="91"/>
      <c r="AA130" s="22"/>
      <c r="AB130" s="22"/>
      <c r="AC130" s="22"/>
      <c r="AD130" s="22"/>
      <c r="AE130" s="22"/>
      <c r="AJ130" s="1"/>
      <c r="AK130" s="91"/>
      <c r="AL130" s="204"/>
      <c r="AM130" s="91"/>
      <c r="AN130" s="91"/>
      <c r="AR130" s="22"/>
      <c r="AS130" s="22"/>
      <c r="AT130" s="22"/>
      <c r="AU130" s="22"/>
      <c r="AV130" s="22"/>
    </row>
    <row r="131" spans="2:48" ht="15.75" customHeight="1" x14ac:dyDescent="0.3">
      <c r="B131" s="469"/>
      <c r="C131" s="469"/>
      <c r="D131" s="204"/>
      <c r="E131" s="91"/>
      <c r="F131" s="91"/>
      <c r="J131" s="22"/>
      <c r="K131" s="22"/>
      <c r="L131" s="22"/>
      <c r="M131" s="22"/>
      <c r="N131" s="22"/>
      <c r="S131" s="13"/>
      <c r="T131" s="13"/>
      <c r="U131" s="204"/>
      <c r="V131" s="91"/>
      <c r="W131" s="91"/>
      <c r="AA131" s="22"/>
      <c r="AB131" s="22"/>
      <c r="AC131" s="22"/>
      <c r="AD131" s="22"/>
      <c r="AE131" s="22"/>
      <c r="AJ131" s="13"/>
      <c r="AK131" s="13"/>
      <c r="AL131" s="204"/>
      <c r="AM131" s="91"/>
      <c r="AN131" s="91"/>
      <c r="AR131" s="22"/>
      <c r="AS131" s="22"/>
      <c r="AT131" s="22"/>
      <c r="AU131" s="22"/>
      <c r="AV131" s="22"/>
    </row>
    <row r="132" spans="2:48" ht="15.75" customHeight="1" x14ac:dyDescent="0.3">
      <c r="B132" s="468"/>
      <c r="D132" s="204"/>
      <c r="E132" s="91"/>
      <c r="F132" s="91"/>
      <c r="J132" s="22"/>
      <c r="K132" s="22"/>
      <c r="L132" s="22"/>
      <c r="M132" s="22"/>
      <c r="N132" s="22"/>
      <c r="S132" s="18"/>
      <c r="T132" s="91"/>
      <c r="U132" s="204"/>
      <c r="V132" s="91"/>
      <c r="W132" s="91"/>
      <c r="AA132" s="22"/>
      <c r="AB132" s="22"/>
      <c r="AC132" s="22"/>
      <c r="AD132" s="22"/>
      <c r="AE132" s="22"/>
      <c r="AJ132" s="18"/>
      <c r="AK132" s="91"/>
      <c r="AL132" s="204"/>
      <c r="AM132" s="91"/>
      <c r="AN132" s="91"/>
      <c r="AR132" s="22"/>
      <c r="AS132" s="22"/>
      <c r="AT132" s="22"/>
      <c r="AU132" s="22"/>
      <c r="AV132" s="22"/>
    </row>
    <row r="133" spans="2:48" ht="15.75" customHeight="1" x14ac:dyDescent="0.3">
      <c r="B133" s="468"/>
      <c r="D133" s="204"/>
      <c r="E133" s="91"/>
      <c r="F133" s="91"/>
      <c r="J133" s="22"/>
      <c r="K133" s="22"/>
      <c r="L133" s="22"/>
      <c r="M133" s="22"/>
      <c r="N133" s="22"/>
      <c r="S133" s="18"/>
      <c r="T133" s="91"/>
      <c r="U133" s="204"/>
      <c r="V133" s="91"/>
      <c r="W133" s="91"/>
      <c r="AA133" s="22"/>
      <c r="AB133" s="22"/>
      <c r="AC133" s="22"/>
      <c r="AD133" s="22"/>
      <c r="AE133" s="22"/>
      <c r="AJ133" s="18"/>
      <c r="AK133" s="91"/>
      <c r="AL133" s="204"/>
      <c r="AM133" s="91"/>
      <c r="AN133" s="91"/>
      <c r="AR133" s="22"/>
      <c r="AS133" s="22"/>
      <c r="AT133" s="22"/>
      <c r="AU133" s="22"/>
      <c r="AV133" s="22"/>
    </row>
    <row r="134" spans="2:48" ht="15.75" customHeight="1" x14ac:dyDescent="0.3">
      <c r="D134" s="56"/>
      <c r="J134" s="22"/>
      <c r="K134" s="22"/>
      <c r="L134" s="22"/>
      <c r="M134" s="22"/>
      <c r="N134" s="22"/>
      <c r="U134" s="56"/>
      <c r="AA134" s="22"/>
      <c r="AB134" s="22"/>
      <c r="AC134" s="22"/>
      <c r="AD134" s="22"/>
      <c r="AE134" s="22"/>
      <c r="AL134" s="56"/>
      <c r="AR134" s="22"/>
      <c r="AS134" s="22"/>
      <c r="AT134" s="22"/>
      <c r="AU134" s="22"/>
      <c r="AV134" s="22"/>
    </row>
    <row r="135" spans="2:48" ht="15.75" customHeight="1" x14ac:dyDescent="0.3">
      <c r="D135" s="56"/>
      <c r="J135" s="22"/>
      <c r="K135" s="22"/>
      <c r="L135" s="22"/>
      <c r="M135" s="22"/>
      <c r="N135" s="22"/>
      <c r="U135" s="56"/>
      <c r="AA135" s="22"/>
      <c r="AB135" s="22"/>
      <c r="AC135" s="22"/>
      <c r="AD135" s="22"/>
      <c r="AE135" s="22"/>
      <c r="AL135" s="56"/>
      <c r="AR135" s="22"/>
      <c r="AS135" s="22"/>
      <c r="AT135" s="22"/>
      <c r="AU135" s="22"/>
      <c r="AV135" s="22"/>
    </row>
  </sheetData>
  <sheetProtection algorithmName="SHA-512" hashValue="YfCX6dMjeWForx8PeG4qNIaviXC0QOjZYXqx0ZHFH2wugqVDzeXT3gmovWkeKbbKY1YTCLa0pXdgnL8m/9vmlA==" saltValue="KYusO0VKXP0Vwi3l3qS/Ig=="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173</v>
      </c>
      <c r="D4" s="8"/>
      <c r="E4" s="8"/>
      <c r="F4" s="8"/>
      <c r="G4" s="8"/>
      <c r="H4" s="8"/>
      <c r="I4" s="8"/>
      <c r="J4" s="8"/>
      <c r="K4" s="8"/>
      <c r="L4" s="8"/>
      <c r="M4" s="8"/>
      <c r="N4" s="8"/>
      <c r="O4" s="11"/>
      <c r="P4"/>
      <c r="Q4"/>
      <c r="R4"/>
      <c r="S4" s="6"/>
      <c r="T4" s="10" t="str">
        <f>C4</f>
        <v>EASTERN CAPE PROVINCE</v>
      </c>
      <c r="U4" s="8"/>
      <c r="V4" s="8"/>
      <c r="W4" s="8"/>
      <c r="X4" s="8"/>
      <c r="Y4" s="8"/>
      <c r="Z4" s="8"/>
      <c r="AA4" s="8"/>
      <c r="AB4" s="8"/>
      <c r="AC4" s="8"/>
      <c r="AD4" s="8"/>
      <c r="AE4" s="8"/>
      <c r="AF4" s="11"/>
      <c r="AG4"/>
      <c r="AH4"/>
      <c r="AI4"/>
      <c r="AJ4" s="234"/>
      <c r="AK4" s="238" t="str">
        <f>C4</f>
        <v>EASTERN CAPE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80903186</v>
      </c>
      <c r="E12" s="152">
        <f>SUM(E13:E14)</f>
        <v>654202</v>
      </c>
      <c r="F12" s="153">
        <f>SUM(F13:F14)</f>
        <v>81557388</v>
      </c>
      <c r="G12" s="152"/>
      <c r="H12" s="154">
        <f>SUM(H13:H14)</f>
        <v>20808702</v>
      </c>
      <c r="I12" s="155">
        <f>SUM(I13:I14)</f>
        <v>20466958</v>
      </c>
      <c r="J12" s="155">
        <f>SUM(J13:J14)</f>
        <v>20327494</v>
      </c>
      <c r="K12" s="155">
        <f>SUM(K13:K14)</f>
        <v>19954234</v>
      </c>
      <c r="L12" s="156"/>
      <c r="M12" s="155">
        <f t="shared" ref="M12" si="0">SUM(M13:M14)</f>
        <v>81557388</v>
      </c>
      <c r="N12" s="183">
        <f>IFERROR(M12/F12,0)</f>
        <v>1</v>
      </c>
      <c r="O12" s="158"/>
      <c r="P12" s="594"/>
      <c r="Q12"/>
      <c r="R12"/>
      <c r="S12" s="119"/>
      <c r="T12" s="151" t="str">
        <f>C12</f>
        <v>Transfers from National Revenue Fund</v>
      </c>
      <c r="U12" s="152">
        <v>80903186</v>
      </c>
      <c r="V12" s="152">
        <v>0</v>
      </c>
      <c r="W12" s="153">
        <v>80903186</v>
      </c>
      <c r="X12" s="152"/>
      <c r="Y12" s="154">
        <v>20808702</v>
      </c>
      <c r="Z12" s="155">
        <v>20464609</v>
      </c>
      <c r="AA12" s="155">
        <v>0</v>
      </c>
      <c r="AB12" s="155">
        <v>0</v>
      </c>
      <c r="AC12" s="156"/>
      <c r="AD12" s="155">
        <v>41273311</v>
      </c>
      <c r="AE12" s="172">
        <v>0.51015680643281469</v>
      </c>
      <c r="AF12" s="144"/>
      <c r="AG12" s="118"/>
      <c r="AH12"/>
      <c r="AI12"/>
      <c r="AJ12" s="248"/>
      <c r="AK12" s="284" t="s">
        <v>8</v>
      </c>
      <c r="AL12" s="285">
        <f>SUM(AL13:AL14)</f>
        <v>0</v>
      </c>
      <c r="AM12" s="285">
        <f>SUM(AM13:AM14)</f>
        <v>-654202</v>
      </c>
      <c r="AN12" s="286">
        <f>SUM(AN13:AN14)</f>
        <v>-654202</v>
      </c>
      <c r="AO12" s="285"/>
      <c r="AP12" s="287">
        <f>SUM(AP13:AP14)</f>
        <v>0</v>
      </c>
      <c r="AQ12" s="288">
        <f t="shared" ref="AQ12:AS12" si="1">SUM(AQ13:AQ14)</f>
        <v>-2349</v>
      </c>
      <c r="AR12" s="288">
        <f t="shared" si="1"/>
        <v>-20327494</v>
      </c>
      <c r="AS12" s="288">
        <f t="shared" si="1"/>
        <v>-19954234</v>
      </c>
      <c r="AT12" s="289"/>
      <c r="AU12" s="288">
        <f t="shared" ref="AU12" si="2">SUM(AU13:AU14)</f>
        <v>-40284077</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68824353</v>
      </c>
      <c r="E13" s="482">
        <f>F13-D13</f>
        <v>0</v>
      </c>
      <c r="F13" s="483">
        <v>68824353</v>
      </c>
      <c r="G13" s="482"/>
      <c r="H13" s="484">
        <v>17206089</v>
      </c>
      <c r="I13" s="485">
        <v>17206089</v>
      </c>
      <c r="J13" s="485">
        <v>17206089</v>
      </c>
      <c r="K13" s="485">
        <v>17206086</v>
      </c>
      <c r="L13" s="150"/>
      <c r="M13" s="147">
        <f>SUM(H13:K13)</f>
        <v>68824353</v>
      </c>
      <c r="N13" s="172">
        <f t="shared" ref="N13:N14" si="3">IFERROR(M13/F13,0)</f>
        <v>1</v>
      </c>
      <c r="O13" s="158"/>
      <c r="P13" s="118"/>
      <c r="Q13"/>
      <c r="R13"/>
      <c r="S13" s="119"/>
      <c r="T13" s="157" t="str">
        <f t="shared" ref="T13:T15" si="4">C13</f>
        <v>Equitable share of revenue</v>
      </c>
      <c r="U13" s="146">
        <v>68824353</v>
      </c>
      <c r="V13" s="146">
        <v>0</v>
      </c>
      <c r="W13" s="148">
        <v>68824353</v>
      </c>
      <c r="X13" s="146"/>
      <c r="Y13" s="149">
        <v>17206089</v>
      </c>
      <c r="Z13" s="224">
        <v>17206089</v>
      </c>
      <c r="AA13" s="224"/>
      <c r="AB13" s="224"/>
      <c r="AC13" s="150"/>
      <c r="AD13" s="147">
        <v>34412178</v>
      </c>
      <c r="AE13" s="172">
        <v>0.500000021794611</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-17206089</v>
      </c>
      <c r="AS13" s="283">
        <f t="shared" si="6"/>
        <v>-17206086</v>
      </c>
      <c r="AT13" s="280"/>
      <c r="AU13" s="283">
        <f t="shared" ref="AU13:AU15" si="7">IFERROR(AD13-M13,0)</f>
        <v>-34412175</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12078833</v>
      </c>
      <c r="E14" s="482">
        <f t="shared" ref="E14:E15" si="8">F14-D14</f>
        <v>654202</v>
      </c>
      <c r="F14" s="483">
        <v>12733035</v>
      </c>
      <c r="G14" s="486"/>
      <c r="H14" s="484">
        <v>3602613</v>
      </c>
      <c r="I14" s="485">
        <v>3260869</v>
      </c>
      <c r="J14" s="485">
        <v>3121405</v>
      </c>
      <c r="K14" s="485">
        <v>2748148</v>
      </c>
      <c r="L14" s="162"/>
      <c r="M14" s="147">
        <f t="shared" ref="M14:M15" si="9">SUM(H14:K14)</f>
        <v>12733035</v>
      </c>
      <c r="N14" s="172">
        <f t="shared" si="3"/>
        <v>1</v>
      </c>
      <c r="O14" s="163"/>
      <c r="P14" s="118"/>
      <c r="Q14"/>
      <c r="R14"/>
      <c r="S14" s="159"/>
      <c r="T14" s="160" t="str">
        <f t="shared" si="4"/>
        <v>Conditional grants</v>
      </c>
      <c r="U14" s="146">
        <v>12078833</v>
      </c>
      <c r="V14" s="146">
        <v>0</v>
      </c>
      <c r="W14" s="148">
        <v>12078833</v>
      </c>
      <c r="X14" s="161"/>
      <c r="Y14" s="149">
        <v>3602613</v>
      </c>
      <c r="Z14" s="224">
        <v>3258520</v>
      </c>
      <c r="AA14" s="224"/>
      <c r="AB14" s="224"/>
      <c r="AC14" s="162"/>
      <c r="AD14" s="147">
        <v>6861133</v>
      </c>
      <c r="AE14" s="172">
        <v>0.56802946112426589</v>
      </c>
      <c r="AF14" s="163"/>
      <c r="AG14" s="118"/>
      <c r="AH14" s="61"/>
      <c r="AI14"/>
      <c r="AJ14" s="293"/>
      <c r="AK14" s="294" t="s">
        <v>72</v>
      </c>
      <c r="AL14" s="279">
        <f t="shared" si="5"/>
        <v>0</v>
      </c>
      <c r="AM14" s="279">
        <f t="shared" si="5"/>
        <v>-654202</v>
      </c>
      <c r="AN14" s="281">
        <f t="shared" si="5"/>
        <v>-654202</v>
      </c>
      <c r="AO14" s="295"/>
      <c r="AP14" s="282">
        <f t="shared" ref="AP14:AP15" si="10">IFERROR(Y14-H14,0)</f>
        <v>0</v>
      </c>
      <c r="AQ14" s="283">
        <f t="shared" si="6"/>
        <v>-2349</v>
      </c>
      <c r="AR14" s="283">
        <f t="shared" si="6"/>
        <v>-3121405</v>
      </c>
      <c r="AS14" s="283">
        <f t="shared" si="6"/>
        <v>-2748148</v>
      </c>
      <c r="AT14" s="296"/>
      <c r="AU14" s="283">
        <f t="shared" si="7"/>
        <v>-5871902</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1453671</v>
      </c>
      <c r="E15" s="487">
        <f t="shared" si="8"/>
        <v>0</v>
      </c>
      <c r="F15" s="488">
        <v>1453671</v>
      </c>
      <c r="G15" s="487"/>
      <c r="H15" s="489">
        <v>394958</v>
      </c>
      <c r="I15" s="490">
        <v>701366.20000000007</v>
      </c>
      <c r="J15" s="490">
        <v>479169.3</v>
      </c>
      <c r="K15" s="490">
        <v>438162</v>
      </c>
      <c r="L15" s="156"/>
      <c r="M15" s="155">
        <f t="shared" si="9"/>
        <v>2013655.5000000002</v>
      </c>
      <c r="N15" s="183">
        <f>IFERROR(M15/F15,0)</f>
        <v>1.3852209337601151</v>
      </c>
      <c r="O15" s="158"/>
      <c r="P15" s="594"/>
      <c r="Q15"/>
      <c r="R15"/>
      <c r="S15" s="119"/>
      <c r="T15" s="151" t="str">
        <f t="shared" si="4"/>
        <v>Provincial own receipts</v>
      </c>
      <c r="U15" s="152">
        <v>1453671</v>
      </c>
      <c r="V15" s="152">
        <v>0</v>
      </c>
      <c r="W15" s="153">
        <v>1453671</v>
      </c>
      <c r="X15" s="152"/>
      <c r="Y15" s="154">
        <v>394957</v>
      </c>
      <c r="Z15" s="225">
        <v>712433.8</v>
      </c>
      <c r="AA15" s="225"/>
      <c r="AB15" s="225"/>
      <c r="AC15" s="156"/>
      <c r="AD15" s="155">
        <v>1107390.8</v>
      </c>
      <c r="AE15" s="172">
        <v>0.7617891531164892</v>
      </c>
      <c r="AF15" s="158"/>
      <c r="AG15" s="118"/>
      <c r="AH15"/>
      <c r="AI15"/>
      <c r="AJ15" s="248"/>
      <c r="AK15" s="284" t="s">
        <v>9</v>
      </c>
      <c r="AL15" s="285">
        <f t="shared" si="5"/>
        <v>0</v>
      </c>
      <c r="AM15" s="285">
        <f t="shared" si="5"/>
        <v>0</v>
      </c>
      <c r="AN15" s="286">
        <f t="shared" si="5"/>
        <v>0</v>
      </c>
      <c r="AO15" s="285"/>
      <c r="AP15" s="287">
        <f t="shared" si="10"/>
        <v>-1</v>
      </c>
      <c r="AQ15" s="288">
        <f t="shared" si="6"/>
        <v>11067.599999999977</v>
      </c>
      <c r="AR15" s="288">
        <f t="shared" si="6"/>
        <v>-479169.3</v>
      </c>
      <c r="AS15" s="288">
        <f t="shared" si="6"/>
        <v>-438162</v>
      </c>
      <c r="AT15" s="289"/>
      <c r="AU15" s="288">
        <f t="shared" si="7"/>
        <v>-906264.70000000019</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82356857</v>
      </c>
      <c r="E17" s="165">
        <f>E12+E15</f>
        <v>654202</v>
      </c>
      <c r="F17" s="166">
        <f t="shared" ref="F17:H17" si="12">F12+F15</f>
        <v>83011059</v>
      </c>
      <c r="G17" s="165">
        <f t="shared" si="12"/>
        <v>0</v>
      </c>
      <c r="H17" s="167">
        <f t="shared" si="12"/>
        <v>21203660</v>
      </c>
      <c r="I17" s="437">
        <f t="shared" ref="I17" si="13">I12+I15</f>
        <v>21168324.199999999</v>
      </c>
      <c r="J17" s="437">
        <f t="shared" ref="J17:K17" si="14">J12+J15</f>
        <v>20806663.300000001</v>
      </c>
      <c r="K17" s="437">
        <f t="shared" si="14"/>
        <v>20392396</v>
      </c>
      <c r="L17" s="156"/>
      <c r="M17" s="168">
        <f t="shared" ref="M17" si="15">M12+M15</f>
        <v>83571043.5</v>
      </c>
      <c r="N17" s="180">
        <f>IFERROR(M17/F17,0)</f>
        <v>1.0067459023742849</v>
      </c>
      <c r="O17" s="158"/>
      <c r="P17" s="594"/>
      <c r="Q17"/>
      <c r="R17"/>
      <c r="S17" s="119"/>
      <c r="T17" s="164" t="s">
        <v>10</v>
      </c>
      <c r="U17" s="165">
        <v>82356857</v>
      </c>
      <c r="V17" s="165">
        <v>0</v>
      </c>
      <c r="W17" s="166">
        <v>82356857</v>
      </c>
      <c r="X17" s="165">
        <v>0</v>
      </c>
      <c r="Y17" s="167">
        <v>21203659</v>
      </c>
      <c r="Z17" s="437">
        <v>21177042.800000001</v>
      </c>
      <c r="AA17" s="437">
        <v>0</v>
      </c>
      <c r="AB17" s="437" t="s">
        <v>52</v>
      </c>
      <c r="AC17" s="156"/>
      <c r="AD17" s="168">
        <v>42380701.799999997</v>
      </c>
      <c r="AE17" s="180">
        <v>0.51459833878798944</v>
      </c>
      <c r="AF17" s="158"/>
      <c r="AG17" s="118"/>
      <c r="AH17"/>
      <c r="AI17"/>
      <c r="AJ17" s="248"/>
      <c r="AK17" s="298" t="s">
        <v>10</v>
      </c>
      <c r="AL17" s="299">
        <f t="shared" ref="AL17:AS17" si="16">AL12+AL15</f>
        <v>0</v>
      </c>
      <c r="AM17" s="299">
        <f>AM12+AM15</f>
        <v>-654202</v>
      </c>
      <c r="AN17" s="300">
        <f t="shared" si="16"/>
        <v>-654202</v>
      </c>
      <c r="AO17" s="299">
        <f t="shared" si="16"/>
        <v>0</v>
      </c>
      <c r="AP17" s="301">
        <f t="shared" si="16"/>
        <v>-1</v>
      </c>
      <c r="AQ17" s="302">
        <f t="shared" si="16"/>
        <v>8718.5999999999767</v>
      </c>
      <c r="AR17" s="302">
        <f t="shared" si="16"/>
        <v>-20806663.300000001</v>
      </c>
      <c r="AS17" s="302">
        <f t="shared" si="16"/>
        <v>-20392396</v>
      </c>
      <c r="AT17" s="289"/>
      <c r="AU17" s="302">
        <f t="shared" ref="AU17" si="17">AU12+AU15</f>
        <v>-41190341.700000003</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36328510</v>
      </c>
      <c r="E20" s="491">
        <f t="shared" ref="E20:E39" si="18">F20-D20</f>
        <v>136270</v>
      </c>
      <c r="F20" s="483">
        <v>36464780</v>
      </c>
      <c r="G20" s="492"/>
      <c r="H20" s="484">
        <v>10097264</v>
      </c>
      <c r="I20" s="485">
        <v>9310507</v>
      </c>
      <c r="J20" s="485">
        <v>9408624</v>
      </c>
      <c r="K20" s="485">
        <v>8529600</v>
      </c>
      <c r="L20" s="156"/>
      <c r="M20" s="147">
        <f t="shared" ref="M20:M39" si="19">SUM(H20:K20)</f>
        <v>37345995</v>
      </c>
      <c r="N20" s="172">
        <f>IFERROR(M20/F20,0)</f>
        <v>1.0241661954357053</v>
      </c>
      <c r="O20" s="163"/>
      <c r="P20" s="118"/>
      <c r="Q20"/>
      <c r="R20"/>
      <c r="S20" s="159"/>
      <c r="T20" s="170" t="str">
        <f t="shared" ref="T20:T39" si="20">C20</f>
        <v>Education</v>
      </c>
      <c r="U20" s="146">
        <v>36328510.129999995</v>
      </c>
      <c r="V20" s="150">
        <v>0</v>
      </c>
      <c r="W20" s="148">
        <v>36328510.129999995</v>
      </c>
      <c r="X20" s="171"/>
      <c r="Y20" s="149">
        <v>10097264</v>
      </c>
      <c r="Z20" s="224">
        <v>9310507</v>
      </c>
      <c r="AA20" s="224"/>
      <c r="AB20" s="224"/>
      <c r="AC20" s="156"/>
      <c r="AD20" s="147">
        <v>19407771</v>
      </c>
      <c r="AE20" s="172">
        <v>0.53422975317595289</v>
      </c>
      <c r="AF20" s="163"/>
      <c r="AG20" s="118"/>
      <c r="AH20"/>
      <c r="AI20"/>
      <c r="AJ20" s="293"/>
      <c r="AK20" s="305" t="str">
        <f>C20</f>
        <v>Education</v>
      </c>
      <c r="AL20" s="279">
        <f t="shared" ref="AL20:AN33" si="21">IFERROR(U20-D20,0)</f>
        <v>0.12999999523162842</v>
      </c>
      <c r="AM20" s="280">
        <f t="shared" si="21"/>
        <v>-136270</v>
      </c>
      <c r="AN20" s="281">
        <f t="shared" si="21"/>
        <v>-136269.87000000477</v>
      </c>
      <c r="AO20" s="306"/>
      <c r="AP20" s="282">
        <f t="shared" ref="AP20:AS33" si="22">IFERROR(Y20-H20,0)</f>
        <v>0</v>
      </c>
      <c r="AQ20" s="283">
        <f t="shared" si="22"/>
        <v>0</v>
      </c>
      <c r="AR20" s="283">
        <f t="shared" si="22"/>
        <v>-9408624</v>
      </c>
      <c r="AS20" s="283">
        <f t="shared" si="22"/>
        <v>-8529600</v>
      </c>
      <c r="AT20" s="289"/>
      <c r="AU20" s="283">
        <f t="shared" ref="AU20:AU33" si="23">IFERROR(AD20-M20,0)</f>
        <v>-17938224</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25189633</v>
      </c>
      <c r="E21" s="491">
        <f t="shared" si="18"/>
        <v>782754.94000000134</v>
      </c>
      <c r="F21" s="483">
        <v>25972387.940000001</v>
      </c>
      <c r="G21" s="487"/>
      <c r="H21" s="484">
        <v>7451118</v>
      </c>
      <c r="I21" s="485">
        <v>6394842</v>
      </c>
      <c r="J21" s="485">
        <v>6438221</v>
      </c>
      <c r="K21" s="485">
        <v>5948811</v>
      </c>
      <c r="L21" s="156"/>
      <c r="M21" s="147">
        <f t="shared" si="19"/>
        <v>26232992</v>
      </c>
      <c r="N21" s="172">
        <f t="shared" ref="N21:N39" si="25">IFERROR(M21/F21,0)</f>
        <v>1.010033889090292</v>
      </c>
      <c r="O21" s="163"/>
      <c r="P21" s="118"/>
      <c r="Q21"/>
      <c r="R21"/>
      <c r="S21" s="159"/>
      <c r="T21" s="170" t="str">
        <f t="shared" si="20"/>
        <v>Health</v>
      </c>
      <c r="U21" s="146">
        <v>25189631.979999997</v>
      </c>
      <c r="V21" s="150">
        <v>0</v>
      </c>
      <c r="W21" s="148">
        <v>25189631.979999997</v>
      </c>
      <c r="X21" s="152"/>
      <c r="Y21" s="149">
        <v>7451118</v>
      </c>
      <c r="Z21" s="224">
        <v>6394842</v>
      </c>
      <c r="AA21" s="224"/>
      <c r="AB21" s="224"/>
      <c r="AC21" s="156"/>
      <c r="AD21" s="147">
        <v>13845960</v>
      </c>
      <c r="AE21" s="172">
        <v>0.54966900711345767</v>
      </c>
      <c r="AF21" s="163"/>
      <c r="AG21" s="118"/>
      <c r="AH21"/>
      <c r="AI21"/>
      <c r="AJ21" s="293"/>
      <c r="AK21" s="305" t="str">
        <f t="shared" ref="AK21:AK39" si="26">C21</f>
        <v>Health</v>
      </c>
      <c r="AL21" s="279">
        <f t="shared" si="21"/>
        <v>-1.0200000032782555</v>
      </c>
      <c r="AM21" s="280">
        <f t="shared" si="21"/>
        <v>-782754.94000000134</v>
      </c>
      <c r="AN21" s="281">
        <f t="shared" si="21"/>
        <v>-782755.96000000462</v>
      </c>
      <c r="AO21" s="285"/>
      <c r="AP21" s="282">
        <f t="shared" si="22"/>
        <v>0</v>
      </c>
      <c r="AQ21" s="283">
        <f t="shared" si="22"/>
        <v>0</v>
      </c>
      <c r="AR21" s="283">
        <f t="shared" si="22"/>
        <v>-6438221</v>
      </c>
      <c r="AS21" s="283">
        <f t="shared" si="22"/>
        <v>-5948811</v>
      </c>
      <c r="AT21" s="289"/>
      <c r="AU21" s="283">
        <f t="shared" si="23"/>
        <v>-12387032</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 AND SPECIAL PROGRAMMES")</f>
        <v>Social Development And Special Programmes</v>
      </c>
      <c r="D22" s="482">
        <v>3020607</v>
      </c>
      <c r="E22" s="491">
        <f t="shared" si="18"/>
        <v>23389</v>
      </c>
      <c r="F22" s="483">
        <v>3043996</v>
      </c>
      <c r="G22" s="492"/>
      <c r="H22" s="484">
        <v>536172</v>
      </c>
      <c r="I22" s="485">
        <v>889222</v>
      </c>
      <c r="J22" s="485">
        <v>776238</v>
      </c>
      <c r="K22" s="485">
        <v>764934</v>
      </c>
      <c r="L22" s="156"/>
      <c r="M22" s="147">
        <f t="shared" si="19"/>
        <v>2966566</v>
      </c>
      <c r="N22" s="172">
        <f t="shared" si="25"/>
        <v>0.97456304147574435</v>
      </c>
      <c r="O22" s="163"/>
      <c r="P22" s="118"/>
      <c r="S22" s="159"/>
      <c r="T22" s="170" t="str">
        <f t="shared" si="20"/>
        <v>Social Development And Special Programmes</v>
      </c>
      <c r="U22" s="146">
        <v>3020607</v>
      </c>
      <c r="V22" s="150">
        <v>0</v>
      </c>
      <c r="W22" s="148">
        <v>3020607</v>
      </c>
      <c r="X22" s="171"/>
      <c r="Y22" s="149">
        <v>536173</v>
      </c>
      <c r="Z22" s="224">
        <v>889221</v>
      </c>
      <c r="AA22" s="224"/>
      <c r="AB22" s="224"/>
      <c r="AC22" s="156"/>
      <c r="AD22" s="147">
        <v>1425394</v>
      </c>
      <c r="AE22" s="172">
        <v>0.47188992146280534</v>
      </c>
      <c r="AF22" s="163"/>
      <c r="AG22" s="118"/>
      <c r="AJ22" s="293"/>
      <c r="AK22" s="305" t="str">
        <f t="shared" si="26"/>
        <v>Social Development And Special Programmes</v>
      </c>
      <c r="AL22" s="279">
        <f t="shared" si="21"/>
        <v>0</v>
      </c>
      <c r="AM22" s="280">
        <f t="shared" si="21"/>
        <v>-23389</v>
      </c>
      <c r="AN22" s="281">
        <f t="shared" si="21"/>
        <v>-23389</v>
      </c>
      <c r="AO22" s="306"/>
      <c r="AP22" s="282">
        <f t="shared" si="22"/>
        <v>1</v>
      </c>
      <c r="AQ22" s="283">
        <f t="shared" si="22"/>
        <v>-1</v>
      </c>
      <c r="AR22" s="283">
        <f t="shared" si="22"/>
        <v>-776238</v>
      </c>
      <c r="AS22" s="283">
        <f t="shared" si="22"/>
        <v>-764934</v>
      </c>
      <c r="AT22" s="289"/>
      <c r="AU22" s="283">
        <f t="shared" si="23"/>
        <v>-1541172</v>
      </c>
      <c r="AV22" s="290"/>
      <c r="AW22" s="297"/>
      <c r="AX22" s="118"/>
    </row>
    <row r="23" spans="1:79" ht="15.75" customHeight="1" x14ac:dyDescent="0.3">
      <c r="A23" s="446">
        <f t="shared" si="24"/>
        <v>1</v>
      </c>
      <c r="B23" s="159"/>
      <c r="C23" s="500" t="str">
        <f>PROPER("OFFICE OF THE PREMIER")</f>
        <v>Office Of The Premier</v>
      </c>
      <c r="D23" s="482">
        <v>973083</v>
      </c>
      <c r="E23" s="491">
        <f t="shared" si="18"/>
        <v>16926</v>
      </c>
      <c r="F23" s="483">
        <v>990009</v>
      </c>
      <c r="G23" s="493"/>
      <c r="H23" s="484">
        <v>161829</v>
      </c>
      <c r="I23" s="485">
        <v>186798</v>
      </c>
      <c r="J23" s="485">
        <v>195452</v>
      </c>
      <c r="K23" s="485">
        <v>205216</v>
      </c>
      <c r="L23" s="174"/>
      <c r="M23" s="147">
        <f t="shared" si="19"/>
        <v>749295</v>
      </c>
      <c r="N23" s="172">
        <f t="shared" si="25"/>
        <v>0.75685675584767409</v>
      </c>
      <c r="O23" s="163"/>
      <c r="P23" s="118"/>
      <c r="S23" s="159"/>
      <c r="T23" s="170" t="str">
        <f t="shared" si="20"/>
        <v>Office Of The Premier</v>
      </c>
      <c r="U23" s="146">
        <v>973083.46</v>
      </c>
      <c r="V23" s="150">
        <v>0</v>
      </c>
      <c r="W23" s="148">
        <v>973083.46</v>
      </c>
      <c r="X23" s="173"/>
      <c r="Y23" s="149">
        <v>161829</v>
      </c>
      <c r="Z23" s="224">
        <v>186798</v>
      </c>
      <c r="AA23" s="224"/>
      <c r="AB23" s="224"/>
      <c r="AC23" s="174"/>
      <c r="AD23" s="147">
        <v>348627</v>
      </c>
      <c r="AE23" s="172">
        <v>0.35827039954003537</v>
      </c>
      <c r="AF23" s="163"/>
      <c r="AG23" s="118"/>
      <c r="AJ23" s="293"/>
      <c r="AK23" s="305" t="str">
        <f t="shared" si="26"/>
        <v>Office Of The Premier</v>
      </c>
      <c r="AL23" s="279">
        <f t="shared" si="21"/>
        <v>0.4599999999627471</v>
      </c>
      <c r="AM23" s="280">
        <f t="shared" si="21"/>
        <v>-16926</v>
      </c>
      <c r="AN23" s="281">
        <f t="shared" si="21"/>
        <v>-16925.540000000037</v>
      </c>
      <c r="AO23" s="307"/>
      <c r="AP23" s="282">
        <f t="shared" si="22"/>
        <v>0</v>
      </c>
      <c r="AQ23" s="283">
        <f t="shared" si="22"/>
        <v>0</v>
      </c>
      <c r="AR23" s="283">
        <f t="shared" si="22"/>
        <v>-195452</v>
      </c>
      <c r="AS23" s="283">
        <f t="shared" si="22"/>
        <v>-205216</v>
      </c>
      <c r="AT23" s="308"/>
      <c r="AU23" s="283">
        <f t="shared" si="23"/>
        <v>-400668</v>
      </c>
      <c r="AV23" s="290"/>
      <c r="AW23" s="297"/>
      <c r="AX23" s="118"/>
    </row>
    <row r="24" spans="1:79" ht="15.75" customHeight="1" x14ac:dyDescent="0.3">
      <c r="A24" s="446">
        <f t="shared" si="24"/>
        <v>1</v>
      </c>
      <c r="B24" s="159"/>
      <c r="C24" s="500" t="str">
        <f>PROPER("PROVINCIAL LEGISLATURE")</f>
        <v>Provincial Legislature</v>
      </c>
      <c r="D24" s="482">
        <v>541733.9</v>
      </c>
      <c r="E24" s="491">
        <f t="shared" si="18"/>
        <v>35557</v>
      </c>
      <c r="F24" s="483">
        <v>577290.9</v>
      </c>
      <c r="G24" s="487"/>
      <c r="H24" s="484">
        <v>167884</v>
      </c>
      <c r="I24" s="485">
        <v>150198</v>
      </c>
      <c r="J24" s="485">
        <v>143596</v>
      </c>
      <c r="K24" s="485">
        <v>123116</v>
      </c>
      <c r="L24" s="156"/>
      <c r="M24" s="147">
        <f t="shared" si="19"/>
        <v>584794</v>
      </c>
      <c r="N24" s="172">
        <f t="shared" si="25"/>
        <v>1.0129970869106026</v>
      </c>
      <c r="O24" s="163"/>
      <c r="P24" s="118"/>
      <c r="S24" s="159"/>
      <c r="T24" s="170" t="str">
        <f t="shared" si="20"/>
        <v>Provincial Legislature</v>
      </c>
      <c r="U24" s="146">
        <v>541734</v>
      </c>
      <c r="V24" s="150">
        <v>0</v>
      </c>
      <c r="W24" s="148">
        <v>541734</v>
      </c>
      <c r="X24" s="152"/>
      <c r="Y24" s="149">
        <v>167884</v>
      </c>
      <c r="Z24" s="224">
        <v>150198</v>
      </c>
      <c r="AA24" s="224"/>
      <c r="AB24" s="224"/>
      <c r="AC24" s="156"/>
      <c r="AD24" s="147">
        <v>318082</v>
      </c>
      <c r="AE24" s="172">
        <v>0.58715531976948099</v>
      </c>
      <c r="AF24" s="163"/>
      <c r="AG24" s="118"/>
      <c r="AJ24" s="293"/>
      <c r="AK24" s="305" t="str">
        <f t="shared" si="26"/>
        <v>Provincial Legislature</v>
      </c>
      <c r="AL24" s="279">
        <f t="shared" si="21"/>
        <v>9.9999999976716936E-2</v>
      </c>
      <c r="AM24" s="280">
        <f t="shared" si="21"/>
        <v>-35557</v>
      </c>
      <c r="AN24" s="281">
        <f t="shared" si="21"/>
        <v>-35556.900000000023</v>
      </c>
      <c r="AO24" s="285"/>
      <c r="AP24" s="282">
        <f t="shared" si="22"/>
        <v>0</v>
      </c>
      <c r="AQ24" s="283">
        <f t="shared" si="22"/>
        <v>0</v>
      </c>
      <c r="AR24" s="283">
        <f t="shared" si="22"/>
        <v>-143596</v>
      </c>
      <c r="AS24" s="283">
        <f t="shared" si="22"/>
        <v>-123116</v>
      </c>
      <c r="AT24" s="289"/>
      <c r="AU24" s="283">
        <f t="shared" si="23"/>
        <v>-266712</v>
      </c>
      <c r="AV24" s="290"/>
      <c r="AW24" s="297"/>
      <c r="AX24" s="118"/>
    </row>
    <row r="25" spans="1:79" ht="15.75" customHeight="1" x14ac:dyDescent="0.3">
      <c r="A25" s="446">
        <f t="shared" si="24"/>
        <v>1</v>
      </c>
      <c r="B25" s="159"/>
      <c r="C25" s="500" t="str">
        <f>PROPER("PUBLIC WORKS")</f>
        <v>Public Works</v>
      </c>
      <c r="D25" s="482">
        <v>2365265</v>
      </c>
      <c r="E25" s="491">
        <f t="shared" si="18"/>
        <v>117632</v>
      </c>
      <c r="F25" s="483">
        <v>2482897</v>
      </c>
      <c r="G25" s="487"/>
      <c r="H25" s="484">
        <v>451273</v>
      </c>
      <c r="I25" s="485">
        <v>729895</v>
      </c>
      <c r="J25" s="485">
        <v>676936</v>
      </c>
      <c r="K25" s="485">
        <v>610244</v>
      </c>
      <c r="L25" s="156"/>
      <c r="M25" s="147">
        <f t="shared" si="19"/>
        <v>2468348</v>
      </c>
      <c r="N25" s="172">
        <f t="shared" si="25"/>
        <v>0.99414031270729308</v>
      </c>
      <c r="O25" s="163"/>
      <c r="P25" s="118"/>
      <c r="S25" s="159"/>
      <c r="T25" s="170" t="str">
        <f t="shared" si="20"/>
        <v>Public Works</v>
      </c>
      <c r="U25" s="146">
        <v>2365265</v>
      </c>
      <c r="V25" s="150">
        <v>0</v>
      </c>
      <c r="W25" s="148">
        <v>2365265</v>
      </c>
      <c r="X25" s="152"/>
      <c r="Y25" s="149">
        <v>451273</v>
      </c>
      <c r="Z25" s="224">
        <v>729895</v>
      </c>
      <c r="AA25" s="224"/>
      <c r="AB25" s="224"/>
      <c r="AC25" s="156"/>
      <c r="AD25" s="147">
        <v>1181168</v>
      </c>
      <c r="AE25" s="172">
        <v>0.49938083047776888</v>
      </c>
      <c r="AF25" s="163"/>
      <c r="AG25" s="118"/>
      <c r="AJ25" s="293"/>
      <c r="AK25" s="305" t="str">
        <f t="shared" si="26"/>
        <v>Public Works</v>
      </c>
      <c r="AL25" s="279">
        <f t="shared" si="21"/>
        <v>0</v>
      </c>
      <c r="AM25" s="280">
        <f t="shared" si="21"/>
        <v>-117632</v>
      </c>
      <c r="AN25" s="281">
        <f t="shared" si="21"/>
        <v>-117632</v>
      </c>
      <c r="AO25" s="285"/>
      <c r="AP25" s="282">
        <f t="shared" si="22"/>
        <v>0</v>
      </c>
      <c r="AQ25" s="283">
        <f t="shared" si="22"/>
        <v>0</v>
      </c>
      <c r="AR25" s="283">
        <f t="shared" si="22"/>
        <v>-676936</v>
      </c>
      <c r="AS25" s="283">
        <f t="shared" si="22"/>
        <v>-610244</v>
      </c>
      <c r="AT25" s="289"/>
      <c r="AU25" s="283">
        <f t="shared" si="23"/>
        <v>-1287180</v>
      </c>
      <c r="AV25" s="290"/>
      <c r="AW25" s="297"/>
      <c r="AX25" s="118"/>
    </row>
    <row r="26" spans="1:79" ht="15.75" customHeight="1" x14ac:dyDescent="0.3">
      <c r="A26" s="446">
        <f t="shared" si="24"/>
        <v>1</v>
      </c>
      <c r="B26" s="175"/>
      <c r="C26" s="500" t="str">
        <f>PROPER("COOPERATIVE GOVERNANCE AND TRADITIONAL AFFAIRS")</f>
        <v>Cooperative Governance And Traditional Affairs</v>
      </c>
      <c r="D26" s="482">
        <v>1009712</v>
      </c>
      <c r="E26" s="491">
        <f t="shared" si="18"/>
        <v>84064</v>
      </c>
      <c r="F26" s="483">
        <v>1093776</v>
      </c>
      <c r="G26" s="494"/>
      <c r="H26" s="484">
        <v>227048</v>
      </c>
      <c r="I26" s="485">
        <v>245101</v>
      </c>
      <c r="J26" s="485">
        <v>238105</v>
      </c>
      <c r="K26" s="485">
        <v>283637</v>
      </c>
      <c r="L26" s="174"/>
      <c r="M26" s="147">
        <f t="shared" si="19"/>
        <v>993891</v>
      </c>
      <c r="N26" s="172">
        <f t="shared" si="25"/>
        <v>0.90867874226532674</v>
      </c>
      <c r="O26" s="177"/>
      <c r="P26" s="118"/>
      <c r="S26" s="175"/>
      <c r="T26" s="170" t="str">
        <f t="shared" si="20"/>
        <v>Cooperative Governance And Traditional Affairs</v>
      </c>
      <c r="U26" s="146">
        <v>1009712.01</v>
      </c>
      <c r="V26" s="150">
        <v>0</v>
      </c>
      <c r="W26" s="148">
        <v>1009712.01</v>
      </c>
      <c r="X26" s="176"/>
      <c r="Y26" s="149">
        <v>227049</v>
      </c>
      <c r="Z26" s="224">
        <v>245101</v>
      </c>
      <c r="AA26" s="224"/>
      <c r="AB26" s="224"/>
      <c r="AC26" s="174"/>
      <c r="AD26" s="147">
        <v>472150</v>
      </c>
      <c r="AE26" s="172">
        <v>0.46760858078730788</v>
      </c>
      <c r="AF26" s="177"/>
      <c r="AG26" s="118"/>
      <c r="AJ26" s="309"/>
      <c r="AK26" s="305" t="str">
        <f t="shared" si="26"/>
        <v>Cooperative Governance And Traditional Affairs</v>
      </c>
      <c r="AL26" s="279">
        <f t="shared" si="21"/>
        <v>1.0000000009313226E-2</v>
      </c>
      <c r="AM26" s="280">
        <f t="shared" si="21"/>
        <v>-84064</v>
      </c>
      <c r="AN26" s="281">
        <f t="shared" si="21"/>
        <v>-84063.989999999991</v>
      </c>
      <c r="AO26" s="310"/>
      <c r="AP26" s="282">
        <f t="shared" si="22"/>
        <v>1</v>
      </c>
      <c r="AQ26" s="283">
        <f t="shared" si="22"/>
        <v>0</v>
      </c>
      <c r="AR26" s="283">
        <f t="shared" si="22"/>
        <v>-238105</v>
      </c>
      <c r="AS26" s="283">
        <f t="shared" si="22"/>
        <v>-283637</v>
      </c>
      <c r="AT26" s="308"/>
      <c r="AU26" s="283">
        <f t="shared" si="23"/>
        <v>-521741</v>
      </c>
      <c r="AV26" s="290"/>
      <c r="AW26" s="311"/>
      <c r="AX26" s="118"/>
    </row>
    <row r="27" spans="1:79" s="22" customFormat="1" ht="15.75" customHeight="1" x14ac:dyDescent="0.3">
      <c r="A27" s="446">
        <f t="shared" si="24"/>
        <v>1</v>
      </c>
      <c r="B27" s="159"/>
      <c r="C27" s="500" t="str">
        <f>PROPER("RURAL DEVELOPMENT AND AGRARIAN REFORM")</f>
        <v>Rural Development And Agrarian Reform</v>
      </c>
      <c r="D27" s="482">
        <v>2340324</v>
      </c>
      <c r="E27" s="491">
        <f t="shared" si="18"/>
        <v>66968</v>
      </c>
      <c r="F27" s="483">
        <v>2407292</v>
      </c>
      <c r="G27" s="487"/>
      <c r="H27" s="484">
        <v>493092</v>
      </c>
      <c r="I27" s="485">
        <v>517165</v>
      </c>
      <c r="J27" s="485">
        <v>622002.19999999995</v>
      </c>
      <c r="K27" s="485">
        <v>750606</v>
      </c>
      <c r="L27" s="156"/>
      <c r="M27" s="147">
        <f t="shared" si="19"/>
        <v>2382865.2000000002</v>
      </c>
      <c r="N27" s="172">
        <f t="shared" si="25"/>
        <v>0.98985299664519311</v>
      </c>
      <c r="O27" s="163"/>
      <c r="P27" s="118"/>
      <c r="Q27"/>
      <c r="R27"/>
      <c r="S27" s="159"/>
      <c r="T27" s="170" t="str">
        <f t="shared" si="20"/>
        <v>Rural Development And Agrarian Reform</v>
      </c>
      <c r="U27" s="146">
        <v>2340324</v>
      </c>
      <c r="V27" s="150">
        <v>0</v>
      </c>
      <c r="W27" s="148">
        <v>2340324</v>
      </c>
      <c r="X27" s="152"/>
      <c r="Y27" s="149">
        <v>493092</v>
      </c>
      <c r="Z27" s="224">
        <v>517165</v>
      </c>
      <c r="AA27" s="224"/>
      <c r="AB27" s="224"/>
      <c r="AC27" s="156"/>
      <c r="AD27" s="147">
        <v>1010257</v>
      </c>
      <c r="AE27" s="172">
        <v>0.43167399043893068</v>
      </c>
      <c r="AF27" s="163"/>
      <c r="AG27" s="118"/>
      <c r="AH27" s="61"/>
      <c r="AI27"/>
      <c r="AJ27" s="293"/>
      <c r="AK27" s="305" t="str">
        <f t="shared" si="26"/>
        <v>Rural Development And Agrarian Reform</v>
      </c>
      <c r="AL27" s="279">
        <f t="shared" si="21"/>
        <v>0</v>
      </c>
      <c r="AM27" s="280">
        <f t="shared" si="21"/>
        <v>-66968</v>
      </c>
      <c r="AN27" s="281">
        <f t="shared" si="21"/>
        <v>-66968</v>
      </c>
      <c r="AO27" s="285"/>
      <c r="AP27" s="282">
        <f t="shared" si="22"/>
        <v>0</v>
      </c>
      <c r="AQ27" s="283">
        <f t="shared" si="22"/>
        <v>0</v>
      </c>
      <c r="AR27" s="283">
        <f t="shared" si="22"/>
        <v>-622002.19999999995</v>
      </c>
      <c r="AS27" s="283">
        <f t="shared" si="22"/>
        <v>-750606</v>
      </c>
      <c r="AT27" s="289"/>
      <c r="AU27" s="283">
        <f t="shared" si="23"/>
        <v>-1372608.2000000002</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PROPER("ECONOMIC DEVELOPMENT, ENVIRONMENTAL AFFAIRS AND TOURISM")</f>
        <v>Economic Development, Environmental Affairs And Tourism</v>
      </c>
      <c r="D28" s="482">
        <v>1481960</v>
      </c>
      <c r="E28" s="491">
        <f t="shared" si="18"/>
        <v>-77271</v>
      </c>
      <c r="F28" s="483">
        <v>1404689</v>
      </c>
      <c r="G28" s="487"/>
      <c r="H28" s="484">
        <v>395425</v>
      </c>
      <c r="I28" s="485">
        <v>332243</v>
      </c>
      <c r="J28" s="485">
        <v>493243</v>
      </c>
      <c r="K28" s="485">
        <v>130805</v>
      </c>
      <c r="L28" s="156"/>
      <c r="M28" s="147">
        <f t="shared" si="19"/>
        <v>1351716</v>
      </c>
      <c r="N28" s="172">
        <f t="shared" si="25"/>
        <v>0.96228844961411386</v>
      </c>
      <c r="O28" s="163"/>
      <c r="P28" s="118"/>
      <c r="Q28"/>
      <c r="R28"/>
      <c r="S28" s="159"/>
      <c r="T28" s="170" t="str">
        <f t="shared" si="20"/>
        <v>Economic Development, Environmental Affairs And Tourism</v>
      </c>
      <c r="U28" s="146">
        <v>1481960.31</v>
      </c>
      <c r="V28" s="150">
        <v>0</v>
      </c>
      <c r="W28" s="148">
        <v>1481960.31</v>
      </c>
      <c r="X28" s="152"/>
      <c r="Y28" s="149">
        <v>395425</v>
      </c>
      <c r="Z28" s="224">
        <v>332243</v>
      </c>
      <c r="AA28" s="224"/>
      <c r="AB28" s="224"/>
      <c r="AC28" s="156"/>
      <c r="AD28" s="147">
        <v>727668</v>
      </c>
      <c r="AE28" s="172">
        <v>0.49101719869947125</v>
      </c>
      <c r="AF28" s="163"/>
      <c r="AG28" s="118"/>
      <c r="AH28" s="61"/>
      <c r="AI28"/>
      <c r="AJ28" s="293"/>
      <c r="AK28" s="305" t="str">
        <f t="shared" si="26"/>
        <v>Economic Development, Environmental Affairs And Tourism</v>
      </c>
      <c r="AL28" s="279">
        <f t="shared" si="21"/>
        <v>0.31000000005587935</v>
      </c>
      <c r="AM28" s="280">
        <f t="shared" si="21"/>
        <v>77271</v>
      </c>
      <c r="AN28" s="281">
        <f t="shared" si="21"/>
        <v>77271.310000000056</v>
      </c>
      <c r="AO28" s="285"/>
      <c r="AP28" s="282">
        <f t="shared" si="22"/>
        <v>0</v>
      </c>
      <c r="AQ28" s="283">
        <f t="shared" si="22"/>
        <v>0</v>
      </c>
      <c r="AR28" s="283">
        <f t="shared" si="22"/>
        <v>-493243</v>
      </c>
      <c r="AS28" s="283">
        <f t="shared" si="22"/>
        <v>-130805</v>
      </c>
      <c r="AT28" s="289"/>
      <c r="AU28" s="283">
        <f t="shared" si="23"/>
        <v>-624048</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PROPER("TRANSPORT")</f>
        <v>Transport</v>
      </c>
      <c r="D29" s="482">
        <v>4974537.2520900005</v>
      </c>
      <c r="E29" s="491">
        <f t="shared" si="18"/>
        <v>40232.700000000186</v>
      </c>
      <c r="F29" s="483">
        <v>5014769.9520900007</v>
      </c>
      <c r="G29" s="487"/>
      <c r="H29" s="484">
        <v>915381.03956999991</v>
      </c>
      <c r="I29" s="485">
        <v>1047463.96871</v>
      </c>
      <c r="J29" s="485">
        <v>1300283.608</v>
      </c>
      <c r="K29" s="485">
        <v>1660813.5919999999</v>
      </c>
      <c r="L29" s="156"/>
      <c r="M29" s="147">
        <f t="shared" si="19"/>
        <v>4923942.2082799999</v>
      </c>
      <c r="N29" s="172">
        <f t="shared" si="25"/>
        <v>0.98188795404819185</v>
      </c>
      <c r="O29" s="163"/>
      <c r="P29" s="118"/>
      <c r="Q29"/>
      <c r="R29"/>
      <c r="S29" s="159"/>
      <c r="T29" s="170" t="str">
        <f t="shared" si="20"/>
        <v>Transport</v>
      </c>
      <c r="U29" s="146">
        <v>4974537.3800000008</v>
      </c>
      <c r="V29" s="150">
        <v>0</v>
      </c>
      <c r="W29" s="148">
        <v>4974537.3800000008</v>
      </c>
      <c r="X29" s="152"/>
      <c r="Y29" s="149">
        <v>915381.03956999991</v>
      </c>
      <c r="Z29" s="224">
        <v>1047823.56671</v>
      </c>
      <c r="AA29" s="224"/>
      <c r="AB29" s="224"/>
      <c r="AC29" s="156"/>
      <c r="AD29" s="147">
        <v>1963204.6062799999</v>
      </c>
      <c r="AE29" s="172">
        <v>0.39465068936319858</v>
      </c>
      <c r="AF29" s="163"/>
      <c r="AG29" s="118"/>
      <c r="AH29" s="61"/>
      <c r="AI29"/>
      <c r="AJ29" s="293"/>
      <c r="AK29" s="305" t="str">
        <f t="shared" si="26"/>
        <v>Transport</v>
      </c>
      <c r="AL29" s="279">
        <f t="shared" si="21"/>
        <v>0.1279100002720952</v>
      </c>
      <c r="AM29" s="280">
        <f t="shared" si="21"/>
        <v>-40232.700000000186</v>
      </c>
      <c r="AN29" s="281">
        <f t="shared" si="21"/>
        <v>-40232.572089999914</v>
      </c>
      <c r="AO29" s="285"/>
      <c r="AP29" s="282">
        <f t="shared" si="22"/>
        <v>0</v>
      </c>
      <c r="AQ29" s="283">
        <f t="shared" si="22"/>
        <v>359.59799999999814</v>
      </c>
      <c r="AR29" s="283">
        <f t="shared" si="22"/>
        <v>-1300283.608</v>
      </c>
      <c r="AS29" s="283">
        <f t="shared" si="22"/>
        <v>-1660813.5919999999</v>
      </c>
      <c r="AT29" s="289"/>
      <c r="AU29" s="283">
        <f t="shared" si="23"/>
        <v>-2960737.602</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PROPER("HUMAN SETTLEMENTS")</f>
        <v>Human Settlements</v>
      </c>
      <c r="D30" s="482">
        <v>2443382</v>
      </c>
      <c r="E30" s="491">
        <f t="shared" si="18"/>
        <v>245627</v>
      </c>
      <c r="F30" s="483">
        <v>2689009</v>
      </c>
      <c r="G30" s="492"/>
      <c r="H30" s="484">
        <v>568049</v>
      </c>
      <c r="I30" s="485">
        <v>601934</v>
      </c>
      <c r="J30" s="485">
        <v>535014</v>
      </c>
      <c r="K30" s="485">
        <v>610871</v>
      </c>
      <c r="L30" s="156"/>
      <c r="M30" s="147">
        <f t="shared" si="19"/>
        <v>2315868</v>
      </c>
      <c r="N30" s="172">
        <f t="shared" si="25"/>
        <v>0.86123475228234636</v>
      </c>
      <c r="O30" s="177"/>
      <c r="P30" s="118"/>
      <c r="Q30"/>
      <c r="R30"/>
      <c r="S30" s="175"/>
      <c r="T30" s="170" t="str">
        <f t="shared" si="20"/>
        <v>Human Settlements</v>
      </c>
      <c r="U30" s="146">
        <v>2443382</v>
      </c>
      <c r="V30" s="150">
        <v>0</v>
      </c>
      <c r="W30" s="148">
        <v>2443382</v>
      </c>
      <c r="X30" s="171"/>
      <c r="Y30" s="149">
        <v>568047</v>
      </c>
      <c r="Z30" s="224">
        <v>601938</v>
      </c>
      <c r="AA30" s="224"/>
      <c r="AB30" s="224"/>
      <c r="AC30" s="156"/>
      <c r="AD30" s="147">
        <v>1169985</v>
      </c>
      <c r="AE30" s="172">
        <v>0.47883834783099816</v>
      </c>
      <c r="AF30" s="177"/>
      <c r="AG30" s="118"/>
      <c r="AH30"/>
      <c r="AI30"/>
      <c r="AJ30" s="309"/>
      <c r="AK30" s="305" t="str">
        <f t="shared" si="26"/>
        <v>Human Settlements</v>
      </c>
      <c r="AL30" s="279">
        <f t="shared" si="21"/>
        <v>0</v>
      </c>
      <c r="AM30" s="280">
        <f t="shared" si="21"/>
        <v>-245627</v>
      </c>
      <c r="AN30" s="281">
        <f t="shared" si="21"/>
        <v>-245627</v>
      </c>
      <c r="AO30" s="306"/>
      <c r="AP30" s="282">
        <f t="shared" si="22"/>
        <v>-2</v>
      </c>
      <c r="AQ30" s="283">
        <f t="shared" si="22"/>
        <v>4</v>
      </c>
      <c r="AR30" s="283">
        <f t="shared" si="22"/>
        <v>-535014</v>
      </c>
      <c r="AS30" s="283">
        <f t="shared" si="22"/>
        <v>-610871</v>
      </c>
      <c r="AT30" s="289"/>
      <c r="AU30" s="283">
        <f t="shared" si="23"/>
        <v>-1145883</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PROPER("PROVINCIAL TREASURY")</f>
        <v>Provincial Treasury</v>
      </c>
      <c r="D31" s="482">
        <v>440930</v>
      </c>
      <c r="E31" s="491">
        <f t="shared" si="18"/>
        <v>8127</v>
      </c>
      <c r="F31" s="483">
        <v>449057</v>
      </c>
      <c r="G31" s="487"/>
      <c r="H31" s="484">
        <v>96175</v>
      </c>
      <c r="I31" s="485">
        <v>106759</v>
      </c>
      <c r="J31" s="485">
        <v>113781</v>
      </c>
      <c r="K31" s="485">
        <v>104204</v>
      </c>
      <c r="L31" s="156"/>
      <c r="M31" s="147">
        <f t="shared" si="19"/>
        <v>420919</v>
      </c>
      <c r="N31" s="172">
        <f t="shared" si="25"/>
        <v>0.9373398031875686</v>
      </c>
      <c r="O31" s="163"/>
      <c r="P31" s="118"/>
      <c r="Q31"/>
      <c r="R31"/>
      <c r="S31" s="159"/>
      <c r="T31" s="170" t="str">
        <f t="shared" si="20"/>
        <v>Provincial Treasury</v>
      </c>
      <c r="U31" s="146">
        <v>440930</v>
      </c>
      <c r="V31" s="150">
        <v>0</v>
      </c>
      <c r="W31" s="148">
        <v>440930</v>
      </c>
      <c r="X31" s="152"/>
      <c r="Y31" s="149">
        <v>96175</v>
      </c>
      <c r="Z31" s="224">
        <v>106759</v>
      </c>
      <c r="AA31" s="224"/>
      <c r="AB31" s="224"/>
      <c r="AC31" s="156"/>
      <c r="AD31" s="147">
        <v>202934</v>
      </c>
      <c r="AE31" s="172">
        <v>0.46024085455741276</v>
      </c>
      <c r="AF31" s="163"/>
      <c r="AG31" s="118"/>
      <c r="AH31"/>
      <c r="AI31"/>
      <c r="AJ31" s="293"/>
      <c r="AK31" s="305" t="str">
        <f t="shared" si="26"/>
        <v>Provincial Treasury</v>
      </c>
      <c r="AL31" s="279">
        <f t="shared" si="21"/>
        <v>0</v>
      </c>
      <c r="AM31" s="280">
        <f t="shared" si="21"/>
        <v>-8127</v>
      </c>
      <c r="AN31" s="281">
        <f t="shared" si="21"/>
        <v>-8127</v>
      </c>
      <c r="AO31" s="285"/>
      <c r="AP31" s="282">
        <f t="shared" si="22"/>
        <v>0</v>
      </c>
      <c r="AQ31" s="283">
        <f t="shared" si="22"/>
        <v>0</v>
      </c>
      <c r="AR31" s="283">
        <f t="shared" si="22"/>
        <v>-113781</v>
      </c>
      <c r="AS31" s="283">
        <f t="shared" si="22"/>
        <v>-104204</v>
      </c>
      <c r="AT31" s="289"/>
      <c r="AU31" s="283">
        <f t="shared" si="23"/>
        <v>-217985</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PROPER("SPORT, RECREATION, ARTS AND CULTURE")</f>
        <v>Sport, Recreation, Arts And Culture</v>
      </c>
      <c r="D32" s="482">
        <v>983069</v>
      </c>
      <c r="E32" s="491">
        <f t="shared" si="18"/>
        <v>11243</v>
      </c>
      <c r="F32" s="483">
        <v>994312</v>
      </c>
      <c r="G32" s="487"/>
      <c r="H32" s="484">
        <v>206375</v>
      </c>
      <c r="I32" s="485">
        <v>260736</v>
      </c>
      <c r="J32" s="485">
        <v>254534</v>
      </c>
      <c r="K32" s="485">
        <v>253793</v>
      </c>
      <c r="L32" s="156"/>
      <c r="M32" s="147">
        <f t="shared" si="19"/>
        <v>975438</v>
      </c>
      <c r="N32" s="172">
        <f t="shared" si="25"/>
        <v>0.98101803055781289</v>
      </c>
      <c r="O32" s="163"/>
      <c r="P32" s="118"/>
      <c r="S32" s="159"/>
      <c r="T32" s="170" t="str">
        <f t="shared" si="20"/>
        <v>Sport, Recreation, Arts And Culture</v>
      </c>
      <c r="U32" s="146">
        <v>983069</v>
      </c>
      <c r="V32" s="150">
        <v>0</v>
      </c>
      <c r="W32" s="148">
        <v>983069</v>
      </c>
      <c r="X32" s="152"/>
      <c r="Y32" s="149">
        <v>206375</v>
      </c>
      <c r="Z32" s="224">
        <v>260736</v>
      </c>
      <c r="AA32" s="224"/>
      <c r="AB32" s="224"/>
      <c r="AC32" s="156"/>
      <c r="AD32" s="147">
        <v>467111</v>
      </c>
      <c r="AE32" s="172">
        <v>0.47515586393223669</v>
      </c>
      <c r="AF32" s="163"/>
      <c r="AG32" s="118"/>
      <c r="AJ32" s="293"/>
      <c r="AK32" s="305" t="str">
        <f t="shared" si="26"/>
        <v>Sport, Recreation, Arts And Culture</v>
      </c>
      <c r="AL32" s="279">
        <f t="shared" si="21"/>
        <v>0</v>
      </c>
      <c r="AM32" s="280">
        <f t="shared" si="21"/>
        <v>-11243</v>
      </c>
      <c r="AN32" s="281">
        <f t="shared" si="21"/>
        <v>-11243</v>
      </c>
      <c r="AO32" s="285"/>
      <c r="AP32" s="282">
        <f t="shared" si="22"/>
        <v>0</v>
      </c>
      <c r="AQ32" s="283">
        <f t="shared" si="22"/>
        <v>0</v>
      </c>
      <c r="AR32" s="283">
        <f t="shared" si="22"/>
        <v>-254534</v>
      </c>
      <c r="AS32" s="283">
        <f t="shared" si="22"/>
        <v>-253793</v>
      </c>
      <c r="AT32" s="289"/>
      <c r="AU32" s="283">
        <f t="shared" si="23"/>
        <v>-508327</v>
      </c>
      <c r="AV32" s="290"/>
      <c r="AW32" s="297"/>
      <c r="AX32" s="118"/>
    </row>
    <row r="33" spans="1:79" s="35" customFormat="1" ht="15.75" customHeight="1" x14ac:dyDescent="0.3">
      <c r="A33" s="446">
        <f t="shared" si="24"/>
        <v>1</v>
      </c>
      <c r="B33" s="159"/>
      <c r="C33" s="500" t="str">
        <f>PROPER("SAFETY AND LIAISON")</f>
        <v>Safety And Liaison</v>
      </c>
      <c r="D33" s="482">
        <v>105499</v>
      </c>
      <c r="E33" s="491">
        <f t="shared" si="18"/>
        <v>0</v>
      </c>
      <c r="F33" s="483">
        <v>105499</v>
      </c>
      <c r="G33" s="487"/>
      <c r="H33" s="484">
        <v>22274</v>
      </c>
      <c r="I33" s="485">
        <v>25927</v>
      </c>
      <c r="J33" s="485">
        <v>27678</v>
      </c>
      <c r="K33" s="485">
        <v>28848</v>
      </c>
      <c r="L33" s="156"/>
      <c r="M33" s="147">
        <f t="shared" si="19"/>
        <v>104727</v>
      </c>
      <c r="N33" s="172">
        <f t="shared" si="25"/>
        <v>0.99268239509379241</v>
      </c>
      <c r="O33" s="163"/>
      <c r="P33" s="118"/>
      <c r="Q33"/>
      <c r="R33"/>
      <c r="S33" s="159"/>
      <c r="T33" s="170" t="str">
        <f t="shared" si="20"/>
        <v>Safety And Liaison</v>
      </c>
      <c r="U33" s="146">
        <v>105499</v>
      </c>
      <c r="V33" s="150">
        <v>0</v>
      </c>
      <c r="W33" s="148">
        <v>105499</v>
      </c>
      <c r="X33" s="152"/>
      <c r="Y33" s="149">
        <v>22274</v>
      </c>
      <c r="Z33" s="224">
        <v>25927</v>
      </c>
      <c r="AA33" s="224"/>
      <c r="AB33" s="224"/>
      <c r="AC33" s="156"/>
      <c r="AD33" s="147">
        <v>48201</v>
      </c>
      <c r="AE33" s="172">
        <v>0.45688584725921572</v>
      </c>
      <c r="AF33" s="163"/>
      <c r="AG33" s="118"/>
      <c r="AH33"/>
      <c r="AI33"/>
      <c r="AJ33" s="293"/>
      <c r="AK33" s="305" t="str">
        <f t="shared" si="26"/>
        <v>Safety And Liaison</v>
      </c>
      <c r="AL33" s="279">
        <f t="shared" si="21"/>
        <v>0</v>
      </c>
      <c r="AM33" s="280">
        <f t="shared" si="21"/>
        <v>0</v>
      </c>
      <c r="AN33" s="281">
        <f t="shared" si="21"/>
        <v>0</v>
      </c>
      <c r="AO33" s="285"/>
      <c r="AP33" s="282">
        <f t="shared" si="22"/>
        <v>0</v>
      </c>
      <c r="AQ33" s="283">
        <f t="shared" si="22"/>
        <v>0</v>
      </c>
      <c r="AR33" s="283">
        <f t="shared" si="22"/>
        <v>-27678</v>
      </c>
      <c r="AS33" s="283">
        <f t="shared" si="22"/>
        <v>-28848</v>
      </c>
      <c r="AT33" s="289"/>
      <c r="AU33" s="283">
        <f t="shared" si="23"/>
        <v>-56526</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ref="C34:C39" si="27">PROPER("")</f>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82198245.152090013</v>
      </c>
      <c r="E41" s="179">
        <f t="shared" ref="E41:F41" si="31">SUM(E20:E39)</f>
        <v>1491519.6400000015</v>
      </c>
      <c r="F41" s="166">
        <f t="shared" si="31"/>
        <v>83689764.792089999</v>
      </c>
      <c r="G41" s="165"/>
      <c r="H41" s="436">
        <f t="shared" ref="H41:I41" si="32">SUM(H20:H39)</f>
        <v>21789359.03957</v>
      </c>
      <c r="I41" s="437">
        <f t="shared" si="32"/>
        <v>20798790.968710002</v>
      </c>
      <c r="J41" s="437">
        <f t="shared" ref="J41:K41" si="33">SUM(J20:J39)</f>
        <v>21223707.807999998</v>
      </c>
      <c r="K41" s="438">
        <f t="shared" si="33"/>
        <v>20005498.592</v>
      </c>
      <c r="L41" s="156"/>
      <c r="M41" s="168">
        <f>SUM(M20:M39)</f>
        <v>83817356.40828</v>
      </c>
      <c r="N41" s="180">
        <f>IFERROR(M41/F41,0)</f>
        <v>1.0015245785014091</v>
      </c>
      <c r="O41" s="595"/>
      <c r="P41" s="594"/>
      <c r="Q41"/>
      <c r="R41"/>
      <c r="S41" s="119"/>
      <c r="T41" s="164" t="s">
        <v>12</v>
      </c>
      <c r="U41" s="165">
        <v>82198245.269999996</v>
      </c>
      <c r="V41" s="179">
        <v>0</v>
      </c>
      <c r="W41" s="166">
        <v>82198245.269999996</v>
      </c>
      <c r="X41" s="165"/>
      <c r="Y41" s="436">
        <v>21789359.03957</v>
      </c>
      <c r="Z41" s="437">
        <v>20799153.566709999</v>
      </c>
      <c r="AA41" s="437">
        <v>0</v>
      </c>
      <c r="AB41" s="438" t="s">
        <v>52</v>
      </c>
      <c r="AC41" s="156"/>
      <c r="AD41" s="168">
        <v>42588512.606279999</v>
      </c>
      <c r="AE41" s="180">
        <v>0.51811948620542614</v>
      </c>
      <c r="AF41" s="163"/>
      <c r="AG41" s="118"/>
      <c r="AH41"/>
      <c r="AI41"/>
      <c r="AJ41" s="248"/>
      <c r="AK41" s="298" t="s">
        <v>12</v>
      </c>
      <c r="AL41" s="299">
        <f>SUM(AL20:AL39)</f>
        <v>0.11790999223012477</v>
      </c>
      <c r="AM41" s="313">
        <f t="shared" ref="AM41" si="34">SUM(AM20:AM39)</f>
        <v>-1491519.6400000015</v>
      </c>
      <c r="AN41" s="300">
        <f>SUM(AN20:AN39)</f>
        <v>-1491519.5220900092</v>
      </c>
      <c r="AO41" s="299"/>
      <c r="AP41" s="301">
        <f>SUM(AP20:AP39)</f>
        <v>0</v>
      </c>
      <c r="AQ41" s="302">
        <f t="shared" ref="AQ41:AS41" si="35">SUM(AQ20:AQ39)</f>
        <v>362.59799999999814</v>
      </c>
      <c r="AR41" s="302">
        <f t="shared" si="35"/>
        <v>-21223707.807999998</v>
      </c>
      <c r="AS41" s="302">
        <f t="shared" si="35"/>
        <v>-20005498.592</v>
      </c>
      <c r="AT41" s="289"/>
      <c r="AU41" s="302">
        <f>SUM(AU20:AU39)</f>
        <v>-41228843.802000001</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68611110.233333334</v>
      </c>
      <c r="E44" s="156">
        <f t="shared" ref="E44:M44" si="36">SUM(E45:E47)</f>
        <v>968588.31000000052</v>
      </c>
      <c r="F44" s="153">
        <f t="shared" si="36"/>
        <v>69579698.543333337</v>
      </c>
      <c r="G44" s="152">
        <f t="shared" si="36"/>
        <v>0</v>
      </c>
      <c r="H44" s="154">
        <f t="shared" si="36"/>
        <v>17881433.789210003</v>
      </c>
      <c r="I44" s="155">
        <f t="shared" ref="I44" si="37">SUM(I45:I47)</f>
        <v>17346165.476380002</v>
      </c>
      <c r="J44" s="155">
        <f t="shared" ref="J44:K44" si="38">SUM(J45:J47)</f>
        <v>17908133.397999998</v>
      </c>
      <c r="K44" s="155">
        <f t="shared" si="38"/>
        <v>16920259.061999999</v>
      </c>
      <c r="L44" s="156"/>
      <c r="M44" s="155">
        <f t="shared" si="36"/>
        <v>70055991.725589991</v>
      </c>
      <c r="N44" s="183">
        <f t="shared" ref="N44:N64" si="39">IFERROR(M44/F44,0)</f>
        <v>1.0068452895345619</v>
      </c>
      <c r="O44" s="595"/>
      <c r="P44" s="478"/>
      <c r="Q44"/>
      <c r="R44"/>
      <c r="S44" s="159"/>
      <c r="T44" s="182" t="str">
        <f t="shared" ref="T44:T64" si="40">C44</f>
        <v>Current payments</v>
      </c>
      <c r="U44" s="152">
        <v>68611109.570000008</v>
      </c>
      <c r="V44" s="156">
        <v>0</v>
      </c>
      <c r="W44" s="153">
        <v>68611109.570000008</v>
      </c>
      <c r="X44" s="152">
        <v>0</v>
      </c>
      <c r="Y44" s="154">
        <v>17881432.789210003</v>
      </c>
      <c r="Z44" s="155">
        <v>17346527.074379999</v>
      </c>
      <c r="AA44" s="155">
        <v>0</v>
      </c>
      <c r="AB44" s="155">
        <v>0</v>
      </c>
      <c r="AC44" s="156"/>
      <c r="AD44" s="155">
        <v>35227959.863590002</v>
      </c>
      <c r="AE44" s="172">
        <v>0.5134439609615834</v>
      </c>
      <c r="AF44" s="163"/>
      <c r="AG44" s="181"/>
      <c r="AH44"/>
      <c r="AI44"/>
      <c r="AJ44" s="293"/>
      <c r="AK44" s="314" t="s">
        <v>0</v>
      </c>
      <c r="AL44" s="285">
        <f>SUM(AL45:AL47)</f>
        <v>-0.66333332471549511</v>
      </c>
      <c r="AM44" s="289">
        <f t="shared" ref="AM44:AO44" si="41">SUM(AM45:AM47)</f>
        <v>-968588.31000000052</v>
      </c>
      <c r="AN44" s="286">
        <f>SUM(AN45:AN47)</f>
        <v>-968588.97333332524</v>
      </c>
      <c r="AO44" s="285">
        <f t="shared" si="41"/>
        <v>0</v>
      </c>
      <c r="AP44" s="287">
        <f>SUM(AP45:AP47)</f>
        <v>-1</v>
      </c>
      <c r="AQ44" s="288">
        <f t="shared" ref="AQ44:AS44" si="42">SUM(AQ45:AQ47)</f>
        <v>361.59800000023097</v>
      </c>
      <c r="AR44" s="288">
        <f t="shared" si="42"/>
        <v>-17908133.397999998</v>
      </c>
      <c r="AS44" s="288">
        <f t="shared" si="42"/>
        <v>-16920259.061999999</v>
      </c>
      <c r="AT44" s="289"/>
      <c r="AU44" s="288">
        <f t="shared" ref="AU44" si="43">SUM(AU45:AU47)</f>
        <v>-34828031.861999996</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54152699.899999999</v>
      </c>
      <c r="E45" s="491">
        <f t="shared" ref="E45:E47" si="44">F45-D45</f>
        <v>-63968.460000000894</v>
      </c>
      <c r="F45" s="483">
        <v>54088731.439999998</v>
      </c>
      <c r="G45" s="482"/>
      <c r="H45" s="484">
        <v>13341109.730500001</v>
      </c>
      <c r="I45" s="485">
        <v>13672432.37119</v>
      </c>
      <c r="J45" s="485">
        <v>13917023.669999998</v>
      </c>
      <c r="K45" s="485">
        <v>13418090.140000001</v>
      </c>
      <c r="L45" s="156"/>
      <c r="M45" s="147">
        <f t="shared" ref="M45:M47" si="45">SUM(H45:K45)</f>
        <v>54348655.911689997</v>
      </c>
      <c r="N45" s="172">
        <f t="shared" si="39"/>
        <v>1.0048055198332453</v>
      </c>
      <c r="O45" s="163"/>
      <c r="P45" s="181"/>
      <c r="Q45"/>
      <c r="R45"/>
      <c r="S45" s="159"/>
      <c r="T45" s="157" t="str">
        <f t="shared" si="40"/>
        <v>Compensation of employees</v>
      </c>
      <c r="U45" s="146">
        <v>54152698.940000005</v>
      </c>
      <c r="V45" s="150">
        <v>0</v>
      </c>
      <c r="W45" s="148">
        <v>54152698.940000005</v>
      </c>
      <c r="X45" s="146"/>
      <c r="Y45" s="149">
        <v>13341110.730500001</v>
      </c>
      <c r="Z45" s="224">
        <v>13672432.37119</v>
      </c>
      <c r="AA45" s="224"/>
      <c r="AB45" s="224"/>
      <c r="AC45" s="156"/>
      <c r="AD45" s="147">
        <v>27013543.101690002</v>
      </c>
      <c r="AE45" s="172">
        <v>0.49884019874282559</v>
      </c>
      <c r="AF45" s="163"/>
      <c r="AG45" s="181"/>
      <c r="AH45"/>
      <c r="AI45"/>
      <c r="AJ45" s="293"/>
      <c r="AK45" s="291" t="s">
        <v>54</v>
      </c>
      <c r="AL45" s="279">
        <f t="shared" ref="AL45:AN47" si="46">IFERROR(U45-D45,0)</f>
        <v>-0.95999999344348907</v>
      </c>
      <c r="AM45" s="280">
        <f t="shared" si="46"/>
        <v>63968.460000000894</v>
      </c>
      <c r="AN45" s="281">
        <f t="shared" si="46"/>
        <v>63967.500000007451</v>
      </c>
      <c r="AO45" s="279"/>
      <c r="AP45" s="282">
        <f t="shared" ref="AP45:AS47" si="47">IFERROR(Y45-H45,0)</f>
        <v>1</v>
      </c>
      <c r="AQ45" s="283">
        <f t="shared" si="47"/>
        <v>0</v>
      </c>
      <c r="AR45" s="283">
        <f t="shared" si="47"/>
        <v>-13917023.669999998</v>
      </c>
      <c r="AS45" s="283">
        <f t="shared" si="47"/>
        <v>-13418090.140000001</v>
      </c>
      <c r="AT45" s="289"/>
      <c r="AU45" s="283">
        <f t="shared" ref="AU45:AU47" si="48">IFERROR(AD45-M45,0)</f>
        <v>-27335112.809999995</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14458410.333333334</v>
      </c>
      <c r="E46" s="491">
        <f t="shared" si="44"/>
        <v>1032556.7700000014</v>
      </c>
      <c r="F46" s="483">
        <v>15490967.103333335</v>
      </c>
      <c r="G46" s="482"/>
      <c r="H46" s="484">
        <v>4528732.0587100005</v>
      </c>
      <c r="I46" s="485">
        <v>3660373.9051900003</v>
      </c>
      <c r="J46" s="485">
        <v>3996178.7280000001</v>
      </c>
      <c r="K46" s="485">
        <v>3501485.5219999999</v>
      </c>
      <c r="L46" s="156"/>
      <c r="M46" s="147">
        <f t="shared" si="45"/>
        <v>15686770.2139</v>
      </c>
      <c r="N46" s="172">
        <f t="shared" si="39"/>
        <v>1.0126398248256903</v>
      </c>
      <c r="O46" s="163"/>
      <c r="P46" s="181"/>
      <c r="Q46"/>
      <c r="R46"/>
      <c r="S46" s="159"/>
      <c r="T46" s="157" t="str">
        <f t="shared" si="40"/>
        <v>Goods and services</v>
      </c>
      <c r="U46" s="146">
        <v>14458410.630000003</v>
      </c>
      <c r="V46" s="150">
        <v>0</v>
      </c>
      <c r="W46" s="148">
        <v>14458410.630000003</v>
      </c>
      <c r="X46" s="146"/>
      <c r="Y46" s="149">
        <v>4528730.0587100005</v>
      </c>
      <c r="Z46" s="224">
        <v>3660735.5031900005</v>
      </c>
      <c r="AA46" s="224"/>
      <c r="AB46" s="224"/>
      <c r="AC46" s="156"/>
      <c r="AD46" s="147">
        <v>8189465.561900001</v>
      </c>
      <c r="AE46" s="172">
        <v>0.56641533924258169</v>
      </c>
      <c r="AF46" s="163"/>
      <c r="AG46" s="181"/>
      <c r="AH46"/>
      <c r="AI46"/>
      <c r="AJ46" s="293"/>
      <c r="AK46" s="291" t="s">
        <v>55</v>
      </c>
      <c r="AL46" s="279">
        <f t="shared" si="46"/>
        <v>0.29666666872799397</v>
      </c>
      <c r="AM46" s="280">
        <f t="shared" si="46"/>
        <v>-1032556.7700000014</v>
      </c>
      <c r="AN46" s="281">
        <f t="shared" si="46"/>
        <v>-1032556.4733333327</v>
      </c>
      <c r="AO46" s="279"/>
      <c r="AP46" s="282">
        <f t="shared" si="47"/>
        <v>-2</v>
      </c>
      <c r="AQ46" s="283">
        <f t="shared" si="47"/>
        <v>361.59800000023097</v>
      </c>
      <c r="AR46" s="283">
        <f t="shared" si="47"/>
        <v>-3996178.7280000001</v>
      </c>
      <c r="AS46" s="283">
        <f t="shared" si="47"/>
        <v>-3501485.5219999999</v>
      </c>
      <c r="AT46" s="289"/>
      <c r="AU46" s="283">
        <f t="shared" si="48"/>
        <v>-7497304.6519999988</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0</v>
      </c>
      <c r="E47" s="491">
        <f t="shared" si="44"/>
        <v>0</v>
      </c>
      <c r="F47" s="483">
        <v>0</v>
      </c>
      <c r="G47" s="482"/>
      <c r="H47" s="484">
        <v>11592</v>
      </c>
      <c r="I47" s="485">
        <v>13359.2</v>
      </c>
      <c r="J47" s="485">
        <v>-5069</v>
      </c>
      <c r="K47" s="485">
        <v>683.4</v>
      </c>
      <c r="L47" s="156"/>
      <c r="M47" s="147">
        <f t="shared" si="45"/>
        <v>20565.600000000002</v>
      </c>
      <c r="N47" s="172">
        <f t="shared" si="39"/>
        <v>0</v>
      </c>
      <c r="O47" s="163"/>
      <c r="P47" s="181"/>
      <c r="Q47"/>
      <c r="R47"/>
      <c r="S47" s="159"/>
      <c r="T47" s="157" t="str">
        <f t="shared" si="40"/>
        <v>Interest and rent on land</v>
      </c>
      <c r="U47" s="146">
        <v>0</v>
      </c>
      <c r="V47" s="150">
        <v>0</v>
      </c>
      <c r="W47" s="148">
        <v>0</v>
      </c>
      <c r="X47" s="146"/>
      <c r="Y47" s="149">
        <v>11592</v>
      </c>
      <c r="Z47" s="224">
        <v>13359.2</v>
      </c>
      <c r="AA47" s="224"/>
      <c r="AB47" s="224"/>
      <c r="AC47" s="156"/>
      <c r="AD47" s="147">
        <v>24951.200000000001</v>
      </c>
      <c r="AE47" s="172">
        <v>0</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5069</v>
      </c>
      <c r="AS47" s="283">
        <f t="shared" si="47"/>
        <v>-683.4</v>
      </c>
      <c r="AT47" s="289"/>
      <c r="AU47" s="283">
        <f t="shared" si="48"/>
        <v>4385.5999999999985</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8844684.9000000004</v>
      </c>
      <c r="E48" s="156">
        <f t="shared" ref="E48:M48" si="49">SUM(E49:E55)</f>
        <v>529819.80000000028</v>
      </c>
      <c r="F48" s="153">
        <f t="shared" si="49"/>
        <v>9374504.6999999993</v>
      </c>
      <c r="G48" s="152">
        <f t="shared" si="49"/>
        <v>0</v>
      </c>
      <c r="H48" s="154">
        <f t="shared" si="49"/>
        <v>2859223.3858399997</v>
      </c>
      <c r="I48" s="155">
        <f t="shared" ref="I48" si="50">SUM(I49:I55)</f>
        <v>2528167.0638600001</v>
      </c>
      <c r="J48" s="155">
        <f t="shared" ref="J48:K48" si="51">SUM(J49:J55)</f>
        <v>2362756.5499999998</v>
      </c>
      <c r="K48" s="155">
        <f t="shared" si="51"/>
        <v>1716250.33</v>
      </c>
      <c r="L48" s="156"/>
      <c r="M48" s="155">
        <f t="shared" si="49"/>
        <v>9466397.3297000006</v>
      </c>
      <c r="N48" s="183">
        <f t="shared" si="39"/>
        <v>1.0098023983816449</v>
      </c>
      <c r="O48" s="595"/>
      <c r="P48" s="478"/>
      <c r="Q48"/>
      <c r="R48"/>
      <c r="S48" s="159"/>
      <c r="T48" s="182" t="str">
        <f t="shared" si="40"/>
        <v>Transfers and subsidies</v>
      </c>
      <c r="U48" s="152">
        <v>8844684.8300000001</v>
      </c>
      <c r="V48" s="156">
        <v>0</v>
      </c>
      <c r="W48" s="153">
        <v>8844684.8300000001</v>
      </c>
      <c r="X48" s="152">
        <v>0</v>
      </c>
      <c r="Y48" s="154">
        <v>2859224.3858399997</v>
      </c>
      <c r="Z48" s="155">
        <v>2528167.0638600001</v>
      </c>
      <c r="AA48" s="155">
        <v>0</v>
      </c>
      <c r="AB48" s="155">
        <v>0</v>
      </c>
      <c r="AC48" s="156"/>
      <c r="AD48" s="155">
        <v>5387391.4496999998</v>
      </c>
      <c r="AE48" s="183">
        <v>0.60911061877826123</v>
      </c>
      <c r="AF48" s="163"/>
      <c r="AG48" s="181"/>
      <c r="AH48"/>
      <c r="AI48"/>
      <c r="AJ48" s="293"/>
      <c r="AK48" s="314" t="s">
        <v>1</v>
      </c>
      <c r="AL48" s="285">
        <f>SUM(AL49:AL55)</f>
        <v>-6.9999999832361937E-2</v>
      </c>
      <c r="AM48" s="289">
        <f t="shared" ref="AM48:AO48" si="52">SUM(AM49:AM55)</f>
        <v>-529819.80000000028</v>
      </c>
      <c r="AN48" s="286">
        <f>SUM(AN49:AN55)</f>
        <v>-529819.87000000011</v>
      </c>
      <c r="AO48" s="285">
        <f t="shared" si="52"/>
        <v>0</v>
      </c>
      <c r="AP48" s="287">
        <f>SUM(AP49:AP55)</f>
        <v>1</v>
      </c>
      <c r="AQ48" s="288">
        <f t="shared" ref="AQ48:AS48" si="53">SUM(AQ49:AQ55)</f>
        <v>0</v>
      </c>
      <c r="AR48" s="288">
        <f t="shared" si="53"/>
        <v>-2362756.5499999998</v>
      </c>
      <c r="AS48" s="288">
        <f t="shared" si="53"/>
        <v>-1716250.33</v>
      </c>
      <c r="AT48" s="289"/>
      <c r="AU48" s="288">
        <f t="shared" ref="AU48" si="54">SUM(AU49:AU55)</f>
        <v>-4079005.8800000004</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662586</v>
      </c>
      <c r="E49" s="491">
        <f t="shared" ref="E49:E55" si="55">F49-D49</f>
        <v>176657</v>
      </c>
      <c r="F49" s="483">
        <v>839243</v>
      </c>
      <c r="G49" s="482"/>
      <c r="H49" s="484">
        <v>63574.093399999998</v>
      </c>
      <c r="I49" s="485">
        <v>355413</v>
      </c>
      <c r="J49" s="485">
        <v>271928</v>
      </c>
      <c r="K49" s="485">
        <v>123756</v>
      </c>
      <c r="L49" s="156"/>
      <c r="M49" s="147">
        <f t="shared" ref="M49:M55" si="56">SUM(H49:K49)</f>
        <v>814671.09340000001</v>
      </c>
      <c r="N49" s="172">
        <f t="shared" si="39"/>
        <v>0.97072134459268655</v>
      </c>
      <c r="O49" s="163"/>
      <c r="P49" s="181"/>
      <c r="Q49"/>
      <c r="R49"/>
      <c r="S49" s="159"/>
      <c r="T49" s="157" t="str">
        <f t="shared" si="40"/>
        <v>Provinces and municipalities</v>
      </c>
      <c r="U49" s="146">
        <v>662586</v>
      </c>
      <c r="V49" s="150">
        <v>0</v>
      </c>
      <c r="W49" s="148">
        <v>662586</v>
      </c>
      <c r="X49" s="146"/>
      <c r="Y49" s="149">
        <v>63574.093399999998</v>
      </c>
      <c r="Z49" s="224">
        <v>355413</v>
      </c>
      <c r="AA49" s="224"/>
      <c r="AB49" s="224"/>
      <c r="AC49" s="156"/>
      <c r="AD49" s="147">
        <v>418987.09340000001</v>
      </c>
      <c r="AE49" s="172">
        <v>0.63235126217577797</v>
      </c>
      <c r="AF49" s="163"/>
      <c r="AG49" s="181"/>
      <c r="AH49"/>
      <c r="AI49"/>
      <c r="AJ49" s="293"/>
      <c r="AK49" s="291" t="s">
        <v>57</v>
      </c>
      <c r="AL49" s="279">
        <f t="shared" ref="AL49:AN55" si="57">IFERROR(U49-D49,0)</f>
        <v>0</v>
      </c>
      <c r="AM49" s="280">
        <f t="shared" si="57"/>
        <v>-176657</v>
      </c>
      <c r="AN49" s="281">
        <f t="shared" si="57"/>
        <v>-176657</v>
      </c>
      <c r="AO49" s="279"/>
      <c r="AP49" s="282">
        <f t="shared" ref="AP49:AS55" si="58">IFERROR(Y49-H49,0)</f>
        <v>0</v>
      </c>
      <c r="AQ49" s="283">
        <f t="shared" si="58"/>
        <v>0</v>
      </c>
      <c r="AR49" s="283">
        <f t="shared" si="58"/>
        <v>-271928</v>
      </c>
      <c r="AS49" s="283">
        <f t="shared" si="58"/>
        <v>-123756</v>
      </c>
      <c r="AT49" s="289"/>
      <c r="AU49" s="283">
        <f t="shared" ref="AU49:AU55" si="59">IFERROR(AD49-M49,0)</f>
        <v>-395684</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1331833.5</v>
      </c>
      <c r="E50" s="491">
        <f t="shared" si="55"/>
        <v>36010</v>
      </c>
      <c r="F50" s="483">
        <v>1367843.5</v>
      </c>
      <c r="G50" s="482"/>
      <c r="H50" s="484">
        <v>475203.60041999997</v>
      </c>
      <c r="I50" s="485">
        <v>272154.90580000001</v>
      </c>
      <c r="J50" s="485">
        <v>523408</v>
      </c>
      <c r="K50" s="485">
        <v>92673.390000000014</v>
      </c>
      <c r="L50" s="156"/>
      <c r="M50" s="147">
        <f t="shared" si="56"/>
        <v>1363439.89622</v>
      </c>
      <c r="N50" s="172">
        <f t="shared" si="39"/>
        <v>0.9967806230902877</v>
      </c>
      <c r="O50" s="163"/>
      <c r="P50" s="181"/>
      <c r="Q50"/>
      <c r="R50"/>
      <c r="S50" s="159"/>
      <c r="T50" s="157" t="str">
        <f t="shared" si="40"/>
        <v>Departmental agencies and accounts</v>
      </c>
      <c r="U50" s="146">
        <v>1331834</v>
      </c>
      <c r="V50" s="150">
        <v>0</v>
      </c>
      <c r="W50" s="148">
        <v>1331834</v>
      </c>
      <c r="X50" s="146"/>
      <c r="Y50" s="149">
        <v>475203.60041999997</v>
      </c>
      <c r="Z50" s="224">
        <v>272154.90580000001</v>
      </c>
      <c r="AA50" s="224"/>
      <c r="AB50" s="224"/>
      <c r="AC50" s="156"/>
      <c r="AD50" s="147">
        <v>747358.50621999998</v>
      </c>
      <c r="AE50" s="172">
        <v>0.56114989271936289</v>
      </c>
      <c r="AF50" s="163"/>
      <c r="AG50" s="181"/>
      <c r="AH50"/>
      <c r="AI50"/>
      <c r="AJ50" s="293"/>
      <c r="AK50" s="291" t="s">
        <v>58</v>
      </c>
      <c r="AL50" s="279">
        <f t="shared" si="57"/>
        <v>0.5</v>
      </c>
      <c r="AM50" s="280">
        <f t="shared" si="57"/>
        <v>-36010</v>
      </c>
      <c r="AN50" s="281">
        <f t="shared" si="57"/>
        <v>-36009.5</v>
      </c>
      <c r="AO50" s="279"/>
      <c r="AP50" s="282">
        <f t="shared" si="58"/>
        <v>0</v>
      </c>
      <c r="AQ50" s="283">
        <f t="shared" si="58"/>
        <v>0</v>
      </c>
      <c r="AR50" s="283">
        <f t="shared" si="58"/>
        <v>-523408</v>
      </c>
      <c r="AS50" s="283">
        <f t="shared" si="58"/>
        <v>-92673.390000000014</v>
      </c>
      <c r="AT50" s="289"/>
      <c r="AU50" s="283">
        <f t="shared" si="59"/>
        <v>-616081.39</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55904</v>
      </c>
      <c r="E51" s="491">
        <f t="shared" si="55"/>
        <v>2800</v>
      </c>
      <c r="F51" s="483">
        <v>58704</v>
      </c>
      <c r="G51" s="482"/>
      <c r="H51" s="484">
        <v>13826</v>
      </c>
      <c r="I51" s="485">
        <v>13826</v>
      </c>
      <c r="J51" s="485">
        <v>17226</v>
      </c>
      <c r="K51" s="485">
        <v>13826</v>
      </c>
      <c r="L51" s="156"/>
      <c r="M51" s="147">
        <f t="shared" si="56"/>
        <v>58704</v>
      </c>
      <c r="N51" s="172">
        <f t="shared" si="39"/>
        <v>1</v>
      </c>
      <c r="O51" s="163"/>
      <c r="P51" s="181"/>
      <c r="Q51"/>
      <c r="R51"/>
      <c r="S51" s="159"/>
      <c r="T51" s="157" t="str">
        <f t="shared" si="40"/>
        <v>Higher education and institutions</v>
      </c>
      <c r="U51" s="146">
        <v>55904</v>
      </c>
      <c r="V51" s="150">
        <v>0</v>
      </c>
      <c r="W51" s="148">
        <v>55904</v>
      </c>
      <c r="X51" s="146"/>
      <c r="Y51" s="149">
        <v>13826</v>
      </c>
      <c r="Z51" s="224">
        <v>13826</v>
      </c>
      <c r="AA51" s="224"/>
      <c r="AB51" s="224"/>
      <c r="AC51" s="156"/>
      <c r="AD51" s="147">
        <v>27652</v>
      </c>
      <c r="AE51" s="172">
        <v>0.49463365769891243</v>
      </c>
      <c r="AF51" s="163"/>
      <c r="AG51" s="181"/>
      <c r="AH51"/>
      <c r="AI51"/>
      <c r="AJ51" s="293"/>
      <c r="AK51" s="291" t="s">
        <v>59</v>
      </c>
      <c r="AL51" s="279">
        <f t="shared" si="57"/>
        <v>0</v>
      </c>
      <c r="AM51" s="280">
        <f t="shared" si="57"/>
        <v>-2800</v>
      </c>
      <c r="AN51" s="281">
        <f t="shared" si="57"/>
        <v>-2800</v>
      </c>
      <c r="AO51" s="279"/>
      <c r="AP51" s="282">
        <f t="shared" si="58"/>
        <v>0</v>
      </c>
      <c r="AQ51" s="283">
        <f t="shared" si="58"/>
        <v>0</v>
      </c>
      <c r="AR51" s="283">
        <f t="shared" si="58"/>
        <v>-17226</v>
      </c>
      <c r="AS51" s="283">
        <f t="shared" si="58"/>
        <v>-13826</v>
      </c>
      <c r="AT51" s="289"/>
      <c r="AU51" s="283">
        <f t="shared" si="59"/>
        <v>-31052</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554665</v>
      </c>
      <c r="E53" s="491">
        <f t="shared" si="55"/>
        <v>29131</v>
      </c>
      <c r="F53" s="483">
        <v>583796</v>
      </c>
      <c r="G53" s="482"/>
      <c r="H53" s="484">
        <v>109998.52124999999</v>
      </c>
      <c r="I53" s="485">
        <v>133780.93167000002</v>
      </c>
      <c r="J53" s="485">
        <v>141727</v>
      </c>
      <c r="K53" s="485">
        <v>161136.45000000001</v>
      </c>
      <c r="L53" s="156"/>
      <c r="M53" s="147">
        <f t="shared" si="56"/>
        <v>546642.90292000002</v>
      </c>
      <c r="N53" s="172">
        <f t="shared" si="39"/>
        <v>0.93635945247997587</v>
      </c>
      <c r="O53" s="163"/>
      <c r="P53" s="181"/>
      <c r="Q53"/>
      <c r="R53"/>
      <c r="S53" s="159"/>
      <c r="T53" s="157" t="str">
        <f t="shared" si="40"/>
        <v>Public corporations and private enterprises</v>
      </c>
      <c r="U53" s="146">
        <v>554665</v>
      </c>
      <c r="V53" s="150">
        <v>0</v>
      </c>
      <c r="W53" s="148">
        <v>554665</v>
      </c>
      <c r="X53" s="146"/>
      <c r="Y53" s="149">
        <v>109998.52124999999</v>
      </c>
      <c r="Z53" s="224">
        <v>133780.93167000002</v>
      </c>
      <c r="AA53" s="224"/>
      <c r="AB53" s="224"/>
      <c r="AC53" s="156"/>
      <c r="AD53" s="147">
        <v>243779.45292000001</v>
      </c>
      <c r="AE53" s="172">
        <v>0.4395075458520008</v>
      </c>
      <c r="AF53" s="163"/>
      <c r="AG53" s="181"/>
      <c r="AH53" s="61"/>
      <c r="AI53"/>
      <c r="AJ53" s="293"/>
      <c r="AK53" s="291" t="s">
        <v>61</v>
      </c>
      <c r="AL53" s="279">
        <f t="shared" si="57"/>
        <v>0</v>
      </c>
      <c r="AM53" s="280">
        <f t="shared" si="57"/>
        <v>-29131</v>
      </c>
      <c r="AN53" s="281">
        <f t="shared" si="57"/>
        <v>-29131</v>
      </c>
      <c r="AO53" s="279"/>
      <c r="AP53" s="282">
        <f t="shared" si="58"/>
        <v>0</v>
      </c>
      <c r="AQ53" s="283">
        <f t="shared" si="58"/>
        <v>0</v>
      </c>
      <c r="AR53" s="283">
        <f t="shared" si="58"/>
        <v>-141727</v>
      </c>
      <c r="AS53" s="283">
        <f t="shared" si="58"/>
        <v>-161136.45000000001</v>
      </c>
      <c r="AT53" s="289"/>
      <c r="AU53" s="283">
        <f t="shared" si="59"/>
        <v>-302863.45</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3573035</v>
      </c>
      <c r="E54" s="491">
        <f t="shared" si="55"/>
        <v>32</v>
      </c>
      <c r="F54" s="483">
        <v>3573067</v>
      </c>
      <c r="G54" s="482"/>
      <c r="H54" s="484">
        <v>1116276</v>
      </c>
      <c r="I54" s="485">
        <v>1037745</v>
      </c>
      <c r="J54" s="485">
        <v>714846</v>
      </c>
      <c r="K54" s="485">
        <v>595127</v>
      </c>
      <c r="L54" s="156"/>
      <c r="M54" s="147">
        <f t="shared" si="56"/>
        <v>3463994</v>
      </c>
      <c r="N54" s="172">
        <f t="shared" si="39"/>
        <v>0.9694735643076382</v>
      </c>
      <c r="O54" s="163"/>
      <c r="P54" s="181"/>
      <c r="Q54"/>
      <c r="R54"/>
      <c r="S54" s="159"/>
      <c r="T54" s="157" t="str">
        <f t="shared" si="40"/>
        <v>Non profit institutions</v>
      </c>
      <c r="U54" s="146">
        <v>3573034.73</v>
      </c>
      <c r="V54" s="150">
        <v>0</v>
      </c>
      <c r="W54" s="148">
        <v>3573034.73</v>
      </c>
      <c r="X54" s="146"/>
      <c r="Y54" s="149">
        <v>1116276</v>
      </c>
      <c r="Z54" s="224">
        <v>1037745</v>
      </c>
      <c r="AA54" s="224"/>
      <c r="AB54" s="224"/>
      <c r="AC54" s="156"/>
      <c r="AD54" s="147">
        <v>2154021</v>
      </c>
      <c r="AE54" s="172">
        <v>0.60285476150409545</v>
      </c>
      <c r="AF54" s="163"/>
      <c r="AG54" s="181"/>
      <c r="AH54" s="61"/>
      <c r="AI54"/>
      <c r="AJ54" s="293"/>
      <c r="AK54" s="291" t="s">
        <v>62</v>
      </c>
      <c r="AL54" s="279">
        <f t="shared" si="57"/>
        <v>-0.27000000001862645</v>
      </c>
      <c r="AM54" s="280">
        <f t="shared" si="57"/>
        <v>-32</v>
      </c>
      <c r="AN54" s="281">
        <f t="shared" si="57"/>
        <v>-32.270000000018626</v>
      </c>
      <c r="AO54" s="279"/>
      <c r="AP54" s="282">
        <f t="shared" si="58"/>
        <v>0</v>
      </c>
      <c r="AQ54" s="283">
        <f t="shared" si="58"/>
        <v>0</v>
      </c>
      <c r="AR54" s="283">
        <f t="shared" si="58"/>
        <v>-714846</v>
      </c>
      <c r="AS54" s="283">
        <f t="shared" si="58"/>
        <v>-595127</v>
      </c>
      <c r="AT54" s="289"/>
      <c r="AU54" s="283">
        <f t="shared" si="59"/>
        <v>-1309973</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2666661.4</v>
      </c>
      <c r="E55" s="491">
        <f t="shared" si="55"/>
        <v>285189.80000000028</v>
      </c>
      <c r="F55" s="483">
        <v>2951851.2</v>
      </c>
      <c r="G55" s="482"/>
      <c r="H55" s="484">
        <v>1080345.1707699997</v>
      </c>
      <c r="I55" s="485">
        <v>715247.22638999997</v>
      </c>
      <c r="J55" s="485">
        <v>693621.55</v>
      </c>
      <c r="K55" s="485">
        <v>729731.49</v>
      </c>
      <c r="L55" s="156"/>
      <c r="M55" s="147">
        <f t="shared" si="56"/>
        <v>3218945.4371600002</v>
      </c>
      <c r="N55" s="172">
        <f t="shared" si="39"/>
        <v>1.0904836385926229</v>
      </c>
      <c r="O55" s="163"/>
      <c r="P55" s="181"/>
      <c r="Q55"/>
      <c r="R55"/>
      <c r="S55" s="159"/>
      <c r="T55" s="157" t="str">
        <f t="shared" si="40"/>
        <v>Households</v>
      </c>
      <c r="U55" s="146">
        <v>2666661.1</v>
      </c>
      <c r="V55" s="150">
        <v>0</v>
      </c>
      <c r="W55" s="148">
        <v>2666661.1</v>
      </c>
      <c r="X55" s="146"/>
      <c r="Y55" s="149">
        <v>1080346.1707699997</v>
      </c>
      <c r="Z55" s="224">
        <v>715247.22638999997</v>
      </c>
      <c r="AA55" s="224"/>
      <c r="AB55" s="224"/>
      <c r="AC55" s="156"/>
      <c r="AD55" s="147">
        <v>1795593.3971599997</v>
      </c>
      <c r="AE55" s="172">
        <v>0.67334892955089032</v>
      </c>
      <c r="AF55" s="163"/>
      <c r="AG55" s="181"/>
      <c r="AH55"/>
      <c r="AI55"/>
      <c r="AJ55" s="293"/>
      <c r="AK55" s="291" t="s">
        <v>63</v>
      </c>
      <c r="AL55" s="279">
        <f t="shared" si="57"/>
        <v>-0.29999999981373549</v>
      </c>
      <c r="AM55" s="280">
        <f t="shared" si="57"/>
        <v>-285189.80000000028</v>
      </c>
      <c r="AN55" s="281">
        <f t="shared" si="57"/>
        <v>-285190.10000000009</v>
      </c>
      <c r="AO55" s="279"/>
      <c r="AP55" s="282">
        <f t="shared" si="58"/>
        <v>1</v>
      </c>
      <c r="AQ55" s="283">
        <f t="shared" si="58"/>
        <v>0</v>
      </c>
      <c r="AR55" s="283">
        <f t="shared" si="58"/>
        <v>-693621.55</v>
      </c>
      <c r="AS55" s="283">
        <f t="shared" si="58"/>
        <v>-729731.49</v>
      </c>
      <c r="AT55" s="289"/>
      <c r="AU55" s="283">
        <f t="shared" si="59"/>
        <v>-1423352.0400000005</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4742449.5999999996</v>
      </c>
      <c r="E56" s="156">
        <f t="shared" ref="E56:M56" si="60">SUM(E57:E63)</f>
        <v>-6888.200000000048</v>
      </c>
      <c r="F56" s="153">
        <f t="shared" si="60"/>
        <v>4735561.3999999994</v>
      </c>
      <c r="G56" s="152">
        <f t="shared" si="60"/>
        <v>0</v>
      </c>
      <c r="H56" s="154">
        <f t="shared" si="60"/>
        <v>1048442.9845199999</v>
      </c>
      <c r="I56" s="155">
        <f t="shared" ref="I56" si="61">SUM(I57:I63)</f>
        <v>924458.42847000004</v>
      </c>
      <c r="J56" s="155">
        <f t="shared" ref="J56:K56" si="62">SUM(J57:J63)</f>
        <v>952813.26</v>
      </c>
      <c r="K56" s="155">
        <f t="shared" si="62"/>
        <v>1367419.51</v>
      </c>
      <c r="L56" s="156"/>
      <c r="M56" s="155">
        <f t="shared" si="60"/>
        <v>4293134.1829900006</v>
      </c>
      <c r="N56" s="183">
        <f t="shared" si="39"/>
        <v>0.90657343878806029</v>
      </c>
      <c r="O56" s="595"/>
      <c r="P56" s="478"/>
      <c r="Q56"/>
      <c r="R56"/>
      <c r="S56" s="159"/>
      <c r="T56" s="182" t="str">
        <f t="shared" si="40"/>
        <v>Payments for capital assets</v>
      </c>
      <c r="U56" s="152">
        <v>4742450.959999999</v>
      </c>
      <c r="V56" s="156">
        <v>0</v>
      </c>
      <c r="W56" s="153">
        <v>4742450.959999999</v>
      </c>
      <c r="X56" s="152">
        <v>0</v>
      </c>
      <c r="Y56" s="154">
        <v>1048442.9845199999</v>
      </c>
      <c r="Z56" s="155">
        <v>924459.42847000004</v>
      </c>
      <c r="AA56" s="155">
        <v>0</v>
      </c>
      <c r="AB56" s="155">
        <v>0</v>
      </c>
      <c r="AC56" s="156"/>
      <c r="AD56" s="155">
        <v>1972902.4129899999</v>
      </c>
      <c r="AE56" s="183">
        <v>0.41600902774332543</v>
      </c>
      <c r="AF56" s="163"/>
      <c r="AG56" s="181"/>
      <c r="AH56"/>
      <c r="AI56"/>
      <c r="AJ56" s="293"/>
      <c r="AK56" s="314" t="s">
        <v>2</v>
      </c>
      <c r="AL56" s="285">
        <f>SUM(AL57:AL63)</f>
        <v>1.3600000000842556</v>
      </c>
      <c r="AM56" s="289">
        <f t="shared" ref="AM56:AO56" si="63">SUM(AM57:AM63)</f>
        <v>6888.200000000048</v>
      </c>
      <c r="AN56" s="286">
        <f>SUM(AN57:AN63)</f>
        <v>6889.5600000001323</v>
      </c>
      <c r="AO56" s="285">
        <f t="shared" si="63"/>
        <v>0</v>
      </c>
      <c r="AP56" s="287">
        <f>SUM(AP57:AP63)</f>
        <v>0</v>
      </c>
      <c r="AQ56" s="288">
        <f t="shared" ref="AQ56:AS56" si="64">SUM(AQ57:AQ63)</f>
        <v>1.0000000000291038</v>
      </c>
      <c r="AR56" s="288">
        <f t="shared" si="64"/>
        <v>-952813.26</v>
      </c>
      <c r="AS56" s="288">
        <f t="shared" si="64"/>
        <v>-1367419.51</v>
      </c>
      <c r="AT56" s="289"/>
      <c r="AU56" s="288">
        <f t="shared" ref="AU56" si="65">SUM(AU57:AU63)</f>
        <v>-2320231.7700000005</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3635517.4</v>
      </c>
      <c r="E57" s="491">
        <f t="shared" ref="E57:E64" si="66">F57-D57</f>
        <v>-37429</v>
      </c>
      <c r="F57" s="483">
        <v>3598088.4</v>
      </c>
      <c r="G57" s="482"/>
      <c r="H57" s="484">
        <v>907397.96353999991</v>
      </c>
      <c r="I57" s="485">
        <v>734847.48540999996</v>
      </c>
      <c r="J57" s="485">
        <v>751772</v>
      </c>
      <c r="K57" s="485">
        <v>1006788.56</v>
      </c>
      <c r="L57" s="156"/>
      <c r="M57" s="147">
        <f t="shared" ref="M57:M64" si="67">SUM(H57:K57)</f>
        <v>3400806.0089500002</v>
      </c>
      <c r="N57" s="172">
        <f t="shared" si="39"/>
        <v>0.94517022120690541</v>
      </c>
      <c r="O57" s="163"/>
      <c r="P57" s="181"/>
      <c r="Q57"/>
      <c r="R57"/>
      <c r="S57" s="159"/>
      <c r="T57" s="157" t="str">
        <f t="shared" si="40"/>
        <v>Buildings and other fixed structures</v>
      </c>
      <c r="U57" s="146">
        <v>3635517</v>
      </c>
      <c r="V57" s="150">
        <v>0</v>
      </c>
      <c r="W57" s="148">
        <v>3635517</v>
      </c>
      <c r="X57" s="146"/>
      <c r="Y57" s="149">
        <v>907397.96353999991</v>
      </c>
      <c r="Z57" s="224">
        <v>734847.48540999996</v>
      </c>
      <c r="AA57" s="224"/>
      <c r="AB57" s="224"/>
      <c r="AC57" s="156"/>
      <c r="AD57" s="147">
        <v>1642245.4489499999</v>
      </c>
      <c r="AE57" s="172">
        <v>0.45172267079207712</v>
      </c>
      <c r="AF57" s="163"/>
      <c r="AG57" s="181"/>
      <c r="AH57"/>
      <c r="AI57"/>
      <c r="AJ57" s="293"/>
      <c r="AK57" s="291" t="s">
        <v>64</v>
      </c>
      <c r="AL57" s="279">
        <f t="shared" ref="AL57:AN64" si="68">IFERROR(U57-D57,0)</f>
        <v>-0.39999999990686774</v>
      </c>
      <c r="AM57" s="280">
        <f t="shared" si="68"/>
        <v>37429</v>
      </c>
      <c r="AN57" s="281">
        <f t="shared" si="68"/>
        <v>37428.600000000093</v>
      </c>
      <c r="AO57" s="279"/>
      <c r="AP57" s="282">
        <f t="shared" ref="AP57:AS64" si="69">IFERROR(Y57-H57,0)</f>
        <v>0</v>
      </c>
      <c r="AQ57" s="283">
        <f t="shared" si="69"/>
        <v>0</v>
      </c>
      <c r="AR57" s="283">
        <f t="shared" si="69"/>
        <v>-751772</v>
      </c>
      <c r="AS57" s="283">
        <f t="shared" si="69"/>
        <v>-1006788.56</v>
      </c>
      <c r="AT57" s="289"/>
      <c r="AU57" s="283">
        <f t="shared" ref="AU57:AU64" si="70">IFERROR(AD57-M57,0)</f>
        <v>-1758560.5600000003</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1073000.2</v>
      </c>
      <c r="E58" s="491">
        <f t="shared" si="66"/>
        <v>31662.199999999953</v>
      </c>
      <c r="F58" s="483">
        <v>1104662.3999999999</v>
      </c>
      <c r="G58" s="482"/>
      <c r="H58" s="484">
        <v>129562.02098</v>
      </c>
      <c r="I58" s="485">
        <v>182904.54882</v>
      </c>
      <c r="J58" s="485">
        <v>200761.26</v>
      </c>
      <c r="K58" s="485">
        <v>347942.95</v>
      </c>
      <c r="L58" s="156"/>
      <c r="M58" s="147">
        <f t="shared" si="67"/>
        <v>861170.77980000002</v>
      </c>
      <c r="N58" s="172">
        <f t="shared" si="39"/>
        <v>0.77957824924610464</v>
      </c>
      <c r="O58" s="163"/>
      <c r="P58" s="181"/>
      <c r="Q58"/>
      <c r="R58"/>
      <c r="S58" s="159"/>
      <c r="T58" s="157" t="str">
        <f t="shared" si="40"/>
        <v>Machinery and equipment</v>
      </c>
      <c r="U58" s="146">
        <v>1073001.94</v>
      </c>
      <c r="V58" s="150">
        <v>0</v>
      </c>
      <c r="W58" s="148">
        <v>1073001.94</v>
      </c>
      <c r="X58" s="146"/>
      <c r="Y58" s="149">
        <v>129562.02098</v>
      </c>
      <c r="Z58" s="224">
        <v>182905.54882000003</v>
      </c>
      <c r="AA58" s="224"/>
      <c r="AB58" s="224"/>
      <c r="AC58" s="156"/>
      <c r="AD58" s="147">
        <v>312467.56980000006</v>
      </c>
      <c r="AE58" s="172">
        <v>0.29120876500931592</v>
      </c>
      <c r="AF58" s="163"/>
      <c r="AG58" s="181"/>
      <c r="AH58"/>
      <c r="AI58"/>
      <c r="AJ58" s="293"/>
      <c r="AK58" s="291" t="s">
        <v>65</v>
      </c>
      <c r="AL58" s="279">
        <f t="shared" si="68"/>
        <v>1.7399999999906868</v>
      </c>
      <c r="AM58" s="280">
        <f t="shared" si="68"/>
        <v>-31662.199999999953</v>
      </c>
      <c r="AN58" s="281">
        <f t="shared" si="68"/>
        <v>-31660.459999999963</v>
      </c>
      <c r="AO58" s="279"/>
      <c r="AP58" s="282">
        <f t="shared" si="69"/>
        <v>0</v>
      </c>
      <c r="AQ58" s="283">
        <f t="shared" si="69"/>
        <v>1.0000000000291038</v>
      </c>
      <c r="AR58" s="283">
        <f t="shared" si="69"/>
        <v>-200761.26</v>
      </c>
      <c r="AS58" s="283">
        <f t="shared" si="69"/>
        <v>-347942.95</v>
      </c>
      <c r="AT58" s="289"/>
      <c r="AU58" s="283">
        <f t="shared" si="70"/>
        <v>-548703.21</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500</v>
      </c>
      <c r="E59" s="491">
        <f t="shared" si="66"/>
        <v>0</v>
      </c>
      <c r="F59" s="483">
        <v>500</v>
      </c>
      <c r="G59" s="482"/>
      <c r="H59" s="484">
        <v>155</v>
      </c>
      <c r="I59" s="485">
        <v>0</v>
      </c>
      <c r="J59" s="485">
        <v>190</v>
      </c>
      <c r="K59" s="485">
        <v>0</v>
      </c>
      <c r="L59" s="156"/>
      <c r="M59" s="147">
        <f t="shared" si="67"/>
        <v>345</v>
      </c>
      <c r="N59" s="172">
        <f t="shared" si="39"/>
        <v>0.69</v>
      </c>
      <c r="O59" s="163"/>
      <c r="P59" s="181"/>
      <c r="Q59"/>
      <c r="R59"/>
      <c r="S59" s="159"/>
      <c r="T59" s="157" t="str">
        <f t="shared" si="40"/>
        <v>Heritage assets</v>
      </c>
      <c r="U59" s="146">
        <v>500</v>
      </c>
      <c r="V59" s="150">
        <v>0</v>
      </c>
      <c r="W59" s="148">
        <v>500</v>
      </c>
      <c r="X59" s="146"/>
      <c r="Y59" s="149">
        <v>155</v>
      </c>
      <c r="Z59" s="224">
        <v>0</v>
      </c>
      <c r="AA59" s="224"/>
      <c r="AB59" s="224"/>
      <c r="AC59" s="156"/>
      <c r="AD59" s="147">
        <v>155</v>
      </c>
      <c r="AE59" s="172">
        <v>0.31</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-190</v>
      </c>
      <c r="AS59" s="283">
        <f t="shared" si="69"/>
        <v>0</v>
      </c>
      <c r="AT59" s="289"/>
      <c r="AU59" s="283">
        <f t="shared" si="70"/>
        <v>-190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16500</v>
      </c>
      <c r="E61" s="491">
        <f t="shared" si="66"/>
        <v>-7050</v>
      </c>
      <c r="F61" s="483">
        <v>9450</v>
      </c>
      <c r="G61" s="482"/>
      <c r="H61" s="484">
        <v>0</v>
      </c>
      <c r="I61" s="485">
        <v>87</v>
      </c>
      <c r="J61" s="485">
        <v>90</v>
      </c>
      <c r="K61" s="485">
        <v>9711</v>
      </c>
      <c r="L61" s="156"/>
      <c r="M61" s="147">
        <f t="shared" si="67"/>
        <v>9888</v>
      </c>
      <c r="N61" s="172">
        <f t="shared" si="39"/>
        <v>1.0463492063492064</v>
      </c>
      <c r="O61" s="163"/>
      <c r="P61" s="181"/>
      <c r="Q61"/>
      <c r="R61"/>
      <c r="S61" s="159"/>
      <c r="T61" s="157" t="str">
        <f t="shared" si="40"/>
        <v>Biological assets</v>
      </c>
      <c r="U61" s="146">
        <v>16500</v>
      </c>
      <c r="V61" s="150">
        <v>0</v>
      </c>
      <c r="W61" s="148">
        <v>16500</v>
      </c>
      <c r="X61" s="146"/>
      <c r="Y61" s="149">
        <v>0</v>
      </c>
      <c r="Z61" s="224">
        <v>87</v>
      </c>
      <c r="AA61" s="224"/>
      <c r="AB61" s="224"/>
      <c r="AC61" s="156"/>
      <c r="AD61" s="147">
        <v>87</v>
      </c>
      <c r="AE61" s="172">
        <v>5.2727272727272727E-3</v>
      </c>
      <c r="AF61" s="163"/>
      <c r="AG61" s="181"/>
      <c r="AH61"/>
      <c r="AI61"/>
      <c r="AJ61" s="293"/>
      <c r="AK61" s="291" t="s">
        <v>68</v>
      </c>
      <c r="AL61" s="279">
        <f t="shared" si="68"/>
        <v>0</v>
      </c>
      <c r="AM61" s="280">
        <f t="shared" si="68"/>
        <v>7050</v>
      </c>
      <c r="AN61" s="281">
        <f t="shared" si="68"/>
        <v>7050</v>
      </c>
      <c r="AO61" s="279"/>
      <c r="AP61" s="282">
        <f t="shared" si="69"/>
        <v>0</v>
      </c>
      <c r="AQ61" s="283">
        <f t="shared" si="69"/>
        <v>0</v>
      </c>
      <c r="AR61" s="283">
        <f t="shared" si="69"/>
        <v>-90</v>
      </c>
      <c r="AS61" s="283">
        <f t="shared" si="69"/>
        <v>-9711</v>
      </c>
      <c r="AT61" s="289"/>
      <c r="AU61" s="283">
        <f t="shared" si="70"/>
        <v>-9801</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16932</v>
      </c>
      <c r="E63" s="491">
        <f t="shared" si="66"/>
        <v>5928.5999999999985</v>
      </c>
      <c r="F63" s="483">
        <v>22860.6</v>
      </c>
      <c r="G63" s="482"/>
      <c r="H63" s="484">
        <v>11328</v>
      </c>
      <c r="I63" s="485">
        <v>6619.3942399999996</v>
      </c>
      <c r="J63" s="485">
        <v>0</v>
      </c>
      <c r="K63" s="485">
        <v>2977</v>
      </c>
      <c r="L63" s="156"/>
      <c r="M63" s="147">
        <f t="shared" si="67"/>
        <v>20924.394240000001</v>
      </c>
      <c r="N63" s="172">
        <f t="shared" si="39"/>
        <v>0.91530380829899494</v>
      </c>
      <c r="O63" s="163"/>
      <c r="P63" s="181"/>
      <c r="Q63"/>
      <c r="R63"/>
      <c r="S63" s="159"/>
      <c r="T63" s="157" t="str">
        <f t="shared" si="40"/>
        <v>Software and other intangible assets</v>
      </c>
      <c r="U63" s="146">
        <v>16932.02</v>
      </c>
      <c r="V63" s="150">
        <v>0</v>
      </c>
      <c r="W63" s="148">
        <v>16932.02</v>
      </c>
      <c r="X63" s="146"/>
      <c r="Y63" s="149">
        <v>11328</v>
      </c>
      <c r="Z63" s="224">
        <v>6619.3942399999996</v>
      </c>
      <c r="AA63" s="224"/>
      <c r="AB63" s="224"/>
      <c r="AC63" s="156"/>
      <c r="AD63" s="147">
        <v>17947.394240000001</v>
      </c>
      <c r="AE63" s="172">
        <v>1.0599676967071856</v>
      </c>
      <c r="AF63" s="163"/>
      <c r="AG63" s="181"/>
      <c r="AH63"/>
      <c r="AI63"/>
      <c r="AJ63" s="293"/>
      <c r="AK63" s="291" t="s">
        <v>70</v>
      </c>
      <c r="AL63" s="279">
        <f t="shared" si="68"/>
        <v>2.0000000000436557E-2</v>
      </c>
      <c r="AM63" s="280">
        <f t="shared" si="68"/>
        <v>-5928.5999999999985</v>
      </c>
      <c r="AN63" s="281">
        <f t="shared" si="68"/>
        <v>-5928.5799999999981</v>
      </c>
      <c r="AO63" s="279"/>
      <c r="AP63" s="282">
        <f t="shared" si="69"/>
        <v>0</v>
      </c>
      <c r="AQ63" s="283">
        <f t="shared" si="69"/>
        <v>0</v>
      </c>
      <c r="AR63" s="283">
        <f t="shared" si="69"/>
        <v>0</v>
      </c>
      <c r="AS63" s="283">
        <f t="shared" si="69"/>
        <v>-2977</v>
      </c>
      <c r="AT63" s="289"/>
      <c r="AU63" s="283">
        <f t="shared" si="70"/>
        <v>-2977</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259</v>
      </c>
      <c r="I64" s="490">
        <v>0</v>
      </c>
      <c r="J64" s="490">
        <v>5</v>
      </c>
      <c r="K64" s="490">
        <v>1569</v>
      </c>
      <c r="L64" s="156"/>
      <c r="M64" s="155">
        <f t="shared" si="67"/>
        <v>1833</v>
      </c>
      <c r="N64" s="183">
        <f t="shared" si="39"/>
        <v>0</v>
      </c>
      <c r="O64" s="595"/>
      <c r="P64" s="478"/>
      <c r="Q64"/>
      <c r="R64"/>
      <c r="S64" s="159"/>
      <c r="T64" s="182" t="str">
        <f t="shared" si="40"/>
        <v>Payments for financial assets</v>
      </c>
      <c r="U64" s="152">
        <v>0</v>
      </c>
      <c r="V64" s="156">
        <v>0</v>
      </c>
      <c r="W64" s="153">
        <v>0</v>
      </c>
      <c r="X64" s="152"/>
      <c r="Y64" s="154">
        <v>259</v>
      </c>
      <c r="Z64" s="224">
        <v>0</v>
      </c>
      <c r="AA64" s="224"/>
      <c r="AB64" s="224"/>
      <c r="AC64" s="156"/>
      <c r="AD64" s="155">
        <v>259</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-5</v>
      </c>
      <c r="AS64" s="288">
        <f t="shared" si="69"/>
        <v>-1569</v>
      </c>
      <c r="AT64" s="289"/>
      <c r="AU64" s="288">
        <f t="shared" si="70"/>
        <v>-1574</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82198244.733333334</v>
      </c>
      <c r="E66" s="179">
        <f t="shared" ref="E66:F66" si="71">E44+E48+E56+E64</f>
        <v>1491519.9100000008</v>
      </c>
      <c r="F66" s="166">
        <f t="shared" si="71"/>
        <v>83689764.643333346</v>
      </c>
      <c r="G66" s="165"/>
      <c r="H66" s="167">
        <f t="shared" ref="H66:I66" si="72">H44+H48+H56+H64</f>
        <v>21789359.159570001</v>
      </c>
      <c r="I66" s="437">
        <f t="shared" si="72"/>
        <v>20798790.968710002</v>
      </c>
      <c r="J66" s="437">
        <f t="shared" ref="J66" si="73">J44+J48+J56+J64</f>
        <v>21223708.208000001</v>
      </c>
      <c r="K66" s="437">
        <f>K44+K48+K56+K64+0.69</f>
        <v>20005498.592</v>
      </c>
      <c r="L66" s="156"/>
      <c r="M66" s="168">
        <f>M44+M48+M56+M64</f>
        <v>83817356.238279983</v>
      </c>
      <c r="N66" s="180">
        <f>IFERROR(M66/F66,0)</f>
        <v>1.0015245782502844</v>
      </c>
      <c r="O66" s="595"/>
      <c r="P66" s="594"/>
      <c r="Q66"/>
      <c r="R66"/>
      <c r="S66" s="119"/>
      <c r="T66" s="164" t="s">
        <v>12</v>
      </c>
      <c r="U66" s="165">
        <v>82198245.359999999</v>
      </c>
      <c r="V66" s="179">
        <v>0</v>
      </c>
      <c r="W66" s="166">
        <v>82198245.359999999</v>
      </c>
      <c r="X66" s="165"/>
      <c r="Y66" s="167">
        <v>21789359.159570001</v>
      </c>
      <c r="Z66" s="437">
        <v>20799153.566709999</v>
      </c>
      <c r="AA66" s="437" t="s">
        <v>52</v>
      </c>
      <c r="AB66" s="437" t="s">
        <v>52</v>
      </c>
      <c r="AC66" s="156"/>
      <c r="AD66" s="168">
        <v>42588512.726279996</v>
      </c>
      <c r="AE66" s="180">
        <v>0.51811948709801503</v>
      </c>
      <c r="AF66" s="163"/>
      <c r="AG66" s="118"/>
      <c r="AH66"/>
      <c r="AI66"/>
      <c r="AJ66" s="248"/>
      <c r="AK66" s="298" t="s">
        <v>12</v>
      </c>
      <c r="AL66" s="299">
        <f>AL44+AL48+AL56+AL64</f>
        <v>0.62666667553639854</v>
      </c>
      <c r="AM66" s="313">
        <f t="shared" ref="AM66" si="74">AM44+AM48+AM56+AM64</f>
        <v>-1491519.9100000008</v>
      </c>
      <c r="AN66" s="300">
        <f>AN44+AN48+AN56+AN64</f>
        <v>-1491519.2833333253</v>
      </c>
      <c r="AO66" s="299"/>
      <c r="AP66" s="301">
        <f>AP44+AP48+AP56+AP64</f>
        <v>0</v>
      </c>
      <c r="AQ66" s="302">
        <f t="shared" ref="AQ66:AS66" si="75">AQ44+AQ48+AQ56+AQ64</f>
        <v>362.59800000026007</v>
      </c>
      <c r="AR66" s="302">
        <f t="shared" si="75"/>
        <v>-21223708.208000001</v>
      </c>
      <c r="AS66" s="302">
        <f t="shared" si="75"/>
        <v>-20005497.901999999</v>
      </c>
      <c r="AT66" s="289"/>
      <c r="AU66" s="302">
        <f>AU44+AU48+AU56+AU64</f>
        <v>-41228843.512000002</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Settings!$X$8 &amp; "    " &amp; Settings!$Z$8 &amp; ": Provincial Treasury Eastern Cape     Tel No:  " &amp; Settings!$AB$8</f>
        <v>Information submitted by:  Daluhlanga Majeke    Head Official: Provincial Treasury Eastern Cape     Tel No:  (040) 609-5612</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td6XuWAbhxzLJVDXzMu1dhv6xDmVPnIzOGhgRoCRcCSJJfafa+iBJyscXEaitxx2Q2RTAFYzoDNX3ILmgj2YeQ==" saltValue="DFPrgAZrDsZY1GjYWDPndQ==" spinCount="100000" sheet="1" objects="1" scenarios="1"/>
  <autoFilter ref="A9:A226" xr:uid="{CCD31A24-F43B-4480-8024-985A2DFB710B}">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5" id="{C5D12CA6-FC55-4C18-8131-3FBCF36A5099}">
            <xm:f>General!$BE$1&gt;=2</xm:f>
            <x14:dxf>
              <fill>
                <patternFill patternType="none">
                  <bgColor auto="1"/>
                </patternFill>
              </fill>
            </x14:dxf>
          </x14:cfRule>
          <xm:sqref>I13:I15 I17 I20:I39 I41 I45:I47 I49:I55 I57:I64 I66</xm:sqref>
        </x14:conditionalFormatting>
        <x14:conditionalFormatting xmlns:xm="http://schemas.microsoft.com/office/excel/2006/main">
          <x14:cfRule type="expression" priority="14" id="{1FF6B37C-9BFA-480F-A35B-73C98FA09E98}">
            <xm:f>General!$BE$1&gt;=3</xm:f>
            <x14:dxf>
              <fill>
                <patternFill patternType="none">
                  <bgColor auto="1"/>
                </patternFill>
              </fill>
            </x14:dxf>
          </x14:cfRule>
          <xm:sqref>J13:J15 J17 J20:J39 J41 J45:J47 J49:J55 J57:J64 J66</xm:sqref>
        </x14:conditionalFormatting>
        <x14:conditionalFormatting xmlns:xm="http://schemas.microsoft.com/office/excel/2006/main">
          <x14:cfRule type="expression" priority="13" id="{17260505-98D7-480E-8A20-40CE2352AE36}">
            <xm:f>General!$BE$1=4</xm:f>
            <x14:dxf>
              <fill>
                <patternFill patternType="none">
                  <bgColor auto="1"/>
                </patternFill>
              </fill>
            </x14:dxf>
          </x14:cfRule>
          <xm:sqref>K13:K15 K17 K20:K39 K41 K45:K47 K49:K55 K57:K64 K66</xm:sqref>
        </x14:conditionalFormatting>
        <x14:conditionalFormatting xmlns:xm="http://schemas.microsoft.com/office/excel/2006/main">
          <x14:cfRule type="expression" priority="12" id="{53A846CD-3884-4ED1-A6AF-CA9E6B831623}">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1" id="{40ECB424-1ECB-4F51-9A70-DD58F26E2724}">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0" id="{4C725109-9F2C-4EE0-A6D0-672D53EED16F}">
            <xm:f>General!$BE$1=4</xm:f>
            <x14:dxf>
              <fill>
                <patternFill patternType="none">
                  <bgColor auto="1"/>
                </patternFill>
              </fill>
            </x14:dxf>
          </x14:cfRule>
          <xm:sqref>AB13:AB15 AB17 AB20:AB39 AB41 AB45:AB47 AB49:AB55 AB57:AB64 AB66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173</v>
      </c>
      <c r="D4" s="37"/>
      <c r="E4" s="37"/>
      <c r="F4" s="37"/>
      <c r="G4" s="37"/>
      <c r="H4" s="37"/>
      <c r="I4" s="37"/>
      <c r="J4" s="38"/>
      <c r="K4" s="38"/>
      <c r="L4" s="38"/>
      <c r="M4" s="38"/>
      <c r="N4" s="38"/>
      <c r="O4" s="33"/>
      <c r="R4"/>
      <c r="S4" s="36"/>
      <c r="T4" s="34" t="str">
        <f>C4</f>
        <v>EASTERN CAPE PROVINCE</v>
      </c>
      <c r="U4" s="37"/>
      <c r="V4" s="37"/>
      <c r="W4" s="37"/>
      <c r="X4" s="37"/>
      <c r="Y4" s="37"/>
      <c r="Z4" s="37"/>
      <c r="AA4" s="38"/>
      <c r="AB4" s="38"/>
      <c r="AC4" s="38"/>
      <c r="AD4" s="38"/>
      <c r="AE4" s="38"/>
      <c r="AF4" s="33"/>
      <c r="AG4" s="441"/>
      <c r="AH4" s="441"/>
      <c r="AI4"/>
      <c r="AJ4" s="348"/>
      <c r="AK4" s="349" t="str">
        <f>C4</f>
        <v>EASTERN CAPE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EC_1!D6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330418</v>
      </c>
      <c r="E13" s="198">
        <f t="shared" ref="E13:K13" si="2">SUM(E14+E15+E16)</f>
        <v>-8627</v>
      </c>
      <c r="F13" s="54">
        <f t="shared" si="2"/>
        <v>321791</v>
      </c>
      <c r="G13" s="54">
        <f t="shared" si="2"/>
        <v>20195</v>
      </c>
      <c r="H13" s="95">
        <f t="shared" si="2"/>
        <v>341986</v>
      </c>
      <c r="I13" s="216">
        <f t="shared" si="2"/>
        <v>0</v>
      </c>
      <c r="J13" s="101">
        <f t="shared" si="2"/>
        <v>321791</v>
      </c>
      <c r="K13" s="54">
        <f t="shared" si="2"/>
        <v>321791</v>
      </c>
      <c r="L13" s="54"/>
      <c r="M13" s="54">
        <f>SUM(M14+M15+M16)</f>
        <v>330642</v>
      </c>
      <c r="N13" s="183">
        <f>IFERROR(M13/H13,0)</f>
        <v>0.96682905148163956</v>
      </c>
      <c r="O13" s="55"/>
      <c r="R13"/>
      <c r="S13" s="53"/>
      <c r="T13" s="51" t="str">
        <f>C13</f>
        <v>Agriculture, Forestry and Fisheries (Vote 24)</v>
      </c>
      <c r="U13" s="95">
        <v>330418</v>
      </c>
      <c r="V13" s="198">
        <v>0</v>
      </c>
      <c r="W13" s="54">
        <v>330418</v>
      </c>
      <c r="X13" s="54">
        <v>0</v>
      </c>
      <c r="Y13" s="95">
        <v>330418</v>
      </c>
      <c r="Z13" s="216"/>
      <c r="AA13" s="101">
        <v>184183</v>
      </c>
      <c r="AB13" s="54">
        <v>184183</v>
      </c>
      <c r="AC13" s="54"/>
      <c r="AD13" s="54">
        <v>86222</v>
      </c>
      <c r="AE13" s="183">
        <v>0.26094825342445022</v>
      </c>
      <c r="AF13" s="55"/>
      <c r="AG13" s="442"/>
      <c r="AH13" s="442"/>
      <c r="AI13"/>
      <c r="AJ13" s="387"/>
      <c r="AK13" s="480" t="str">
        <f t="shared" ref="AK13" si="3">C13</f>
        <v>Agriculture, Forestry and Fisheries (Vote 24)</v>
      </c>
      <c r="AL13" s="388">
        <f>SUM(AL14:AL16)</f>
        <v>0</v>
      </c>
      <c r="AM13" s="389">
        <f t="shared" ref="AM13:AP13" si="4">SUM(AM14:AM16)</f>
        <v>8627</v>
      </c>
      <c r="AN13" s="390">
        <f t="shared" si="4"/>
        <v>8627</v>
      </c>
      <c r="AO13" s="390">
        <f t="shared" si="4"/>
        <v>-20195</v>
      </c>
      <c r="AP13" s="388">
        <f t="shared" si="4"/>
        <v>-11568</v>
      </c>
      <c r="AQ13" s="391"/>
      <c r="AR13" s="392">
        <f t="shared" ref="AR13:AS13" si="5">SUM(AR14:AR16)</f>
        <v>-137608</v>
      </c>
      <c r="AS13" s="390">
        <f t="shared" si="5"/>
        <v>-137608</v>
      </c>
      <c r="AT13" s="390"/>
      <c r="AU13" s="390">
        <f>SUM(AU14:AU16)</f>
        <v>-244420</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244101</v>
      </c>
      <c r="E14" s="199">
        <f>SUM(F14-D14)</f>
        <v>0</v>
      </c>
      <c r="F14" s="497">
        <v>244101</v>
      </c>
      <c r="G14" s="497">
        <v>11395</v>
      </c>
      <c r="H14" s="96">
        <f>SUM(F14:G14)</f>
        <v>255496</v>
      </c>
      <c r="I14" s="217"/>
      <c r="J14" s="499">
        <v>244101</v>
      </c>
      <c r="K14" s="497">
        <v>244101</v>
      </c>
      <c r="L14" s="59"/>
      <c r="M14" s="497">
        <v>243729</v>
      </c>
      <c r="N14" s="172">
        <f t="shared" ref="N14:N16" si="6">IFERROR(M14/H14,0)</f>
        <v>0.95394448445376834</v>
      </c>
      <c r="O14" s="60"/>
      <c r="R14"/>
      <c r="S14" s="57"/>
      <c r="T14" s="58" t="str">
        <f t="shared" ref="T14:T18" si="7">C14</f>
        <v>(a) Comprehensive Agricultural Support Programme Grant</v>
      </c>
      <c r="U14" s="96">
        <v>244101</v>
      </c>
      <c r="V14" s="199">
        <v>0</v>
      </c>
      <c r="W14" s="59">
        <v>244101</v>
      </c>
      <c r="X14" s="59">
        <v>0</v>
      </c>
      <c r="Y14" s="96">
        <v>244101</v>
      </c>
      <c r="Z14" s="217"/>
      <c r="AA14" s="102">
        <v>141578</v>
      </c>
      <c r="AB14" s="59">
        <v>141578</v>
      </c>
      <c r="AC14" s="59"/>
      <c r="AD14" s="59">
        <v>62765</v>
      </c>
      <c r="AE14" s="172">
        <v>0.25712717276864905</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-11395</v>
      </c>
      <c r="AP14" s="396">
        <f t="shared" si="8"/>
        <v>-11395</v>
      </c>
      <c r="AQ14" s="399"/>
      <c r="AR14" s="400">
        <f t="shared" ref="AR14:AS15" si="9">IFERROR(AA14-J14,0)</f>
        <v>-102523</v>
      </c>
      <c r="AS14" s="398">
        <f t="shared" si="9"/>
        <v>-102523</v>
      </c>
      <c r="AT14" s="398"/>
      <c r="AU14" s="398">
        <f>IFERROR(AD14-M14,0)</f>
        <v>-180964</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75254</v>
      </c>
      <c r="E15" s="199">
        <f t="shared" ref="E15:E16" si="10">SUM(F15-D15)</f>
        <v>-8627</v>
      </c>
      <c r="F15" s="497">
        <v>66627</v>
      </c>
      <c r="G15" s="497">
        <v>0</v>
      </c>
      <c r="H15" s="96">
        <f t="shared" ref="H15:H16" si="11">SUM(F15:G15)</f>
        <v>66627</v>
      </c>
      <c r="I15" s="217"/>
      <c r="J15" s="499">
        <v>66627</v>
      </c>
      <c r="K15" s="497">
        <v>66627</v>
      </c>
      <c r="L15" s="59"/>
      <c r="M15" s="497">
        <v>65236</v>
      </c>
      <c r="N15" s="172">
        <f t="shared" si="6"/>
        <v>0.9791225779338707</v>
      </c>
      <c r="O15" s="60"/>
      <c r="P15" s="56"/>
      <c r="Q15" s="56"/>
      <c r="R15"/>
      <c r="S15" s="57"/>
      <c r="T15" s="58" t="str">
        <f t="shared" si="7"/>
        <v>(b) Ilima/Letsema Projects Grant</v>
      </c>
      <c r="U15" s="96">
        <v>75254</v>
      </c>
      <c r="V15" s="199">
        <v>0</v>
      </c>
      <c r="W15" s="59">
        <v>75254</v>
      </c>
      <c r="X15" s="59">
        <v>0</v>
      </c>
      <c r="Y15" s="96">
        <v>75254</v>
      </c>
      <c r="Z15" s="217"/>
      <c r="AA15" s="102">
        <v>37627</v>
      </c>
      <c r="AB15" s="59">
        <v>37627</v>
      </c>
      <c r="AC15" s="59"/>
      <c r="AD15" s="59">
        <v>12015</v>
      </c>
      <c r="AE15" s="172">
        <v>0.15965928721396869</v>
      </c>
      <c r="AF15" s="60"/>
      <c r="AG15" s="443"/>
      <c r="AH15" s="443"/>
      <c r="AI15"/>
      <c r="AJ15" s="394"/>
      <c r="AK15" s="479" t="str">
        <f t="shared" ref="AK15" si="12">C15</f>
        <v>(b) Ilima/Letsema Projects Grant</v>
      </c>
      <c r="AL15" s="396">
        <f t="shared" ref="AL15" si="13">IFERROR(U15-D15,0)</f>
        <v>0</v>
      </c>
      <c r="AM15" s="397">
        <f t="shared" si="8"/>
        <v>8627</v>
      </c>
      <c r="AN15" s="398">
        <f t="shared" si="8"/>
        <v>8627</v>
      </c>
      <c r="AO15" s="398">
        <f t="shared" si="8"/>
        <v>0</v>
      </c>
      <c r="AP15" s="396">
        <f t="shared" si="8"/>
        <v>8627</v>
      </c>
      <c r="AQ15" s="399"/>
      <c r="AR15" s="400">
        <f t="shared" si="9"/>
        <v>-29000</v>
      </c>
      <c r="AS15" s="398">
        <f t="shared" si="9"/>
        <v>-29000</v>
      </c>
      <c r="AT15" s="398"/>
      <c r="AU15" s="398">
        <f t="shared" ref="AU15" si="14">IFERROR(AD15-M15,0)</f>
        <v>-53221</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11063</v>
      </c>
      <c r="E16" s="199">
        <f t="shared" si="10"/>
        <v>0</v>
      </c>
      <c r="F16" s="497">
        <v>11063</v>
      </c>
      <c r="G16" s="497">
        <v>8800</v>
      </c>
      <c r="H16" s="96">
        <f t="shared" si="11"/>
        <v>19863</v>
      </c>
      <c r="I16" s="217"/>
      <c r="J16" s="499">
        <v>11063</v>
      </c>
      <c r="K16" s="497">
        <v>11063</v>
      </c>
      <c r="L16" s="59"/>
      <c r="M16" s="497">
        <v>21677</v>
      </c>
      <c r="N16" s="172">
        <f t="shared" si="6"/>
        <v>1.0913255802245381</v>
      </c>
      <c r="O16" s="60"/>
      <c r="P16" s="56"/>
      <c r="Q16" s="56"/>
      <c r="R16"/>
      <c r="S16" s="57"/>
      <c r="T16" s="58" t="str">
        <f t="shared" si="7"/>
        <v>(c) Land Care Programme Grant: Poverty Relief and Infrastructure Development</v>
      </c>
      <c r="U16" s="96">
        <v>11063</v>
      </c>
      <c r="V16" s="199">
        <v>0</v>
      </c>
      <c r="W16" s="59">
        <v>11063</v>
      </c>
      <c r="X16" s="59">
        <v>0</v>
      </c>
      <c r="Y16" s="96">
        <v>11063</v>
      </c>
      <c r="Z16" s="217"/>
      <c r="AA16" s="102">
        <v>4978</v>
      </c>
      <c r="AB16" s="59">
        <v>4978</v>
      </c>
      <c r="AC16" s="59"/>
      <c r="AD16" s="59">
        <v>11442</v>
      </c>
      <c r="AE16" s="172">
        <v>1.0342583386061648</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-8800</v>
      </c>
      <c r="AP16" s="396">
        <f t="shared" ref="AP16:AP83" si="20">IFERROR(Y16-H16,0)</f>
        <v>-8800</v>
      </c>
      <c r="AQ16" s="399"/>
      <c r="AR16" s="400">
        <f t="shared" ref="AR16:AR83" si="21">IFERROR(AA16-J16,0)</f>
        <v>-6085</v>
      </c>
      <c r="AS16" s="398">
        <f t="shared" ref="AS16:AS83" si="22">IFERROR(AB16-K16,0)</f>
        <v>-6085</v>
      </c>
      <c r="AT16" s="398"/>
      <c r="AU16" s="398">
        <f t="shared" ref="AU16:AU83" si="23">IFERROR(AD16-M16,0)</f>
        <v>-10235</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169824</v>
      </c>
      <c r="E20" s="198">
        <f t="shared" ref="E20:K20" si="27">SUM(E21)</f>
        <v>0</v>
      </c>
      <c r="F20" s="54">
        <f t="shared" si="27"/>
        <v>169824</v>
      </c>
      <c r="G20" s="54">
        <f t="shared" si="27"/>
        <v>3650</v>
      </c>
      <c r="H20" s="95">
        <f t="shared" si="27"/>
        <v>173474</v>
      </c>
      <c r="I20" s="216">
        <f t="shared" si="27"/>
        <v>0</v>
      </c>
      <c r="J20" s="101">
        <f t="shared" si="27"/>
        <v>169824</v>
      </c>
      <c r="K20" s="54">
        <f t="shared" si="27"/>
        <v>169824</v>
      </c>
      <c r="L20" s="54"/>
      <c r="M20" s="54">
        <f>SUM(M21)</f>
        <v>153148</v>
      </c>
      <c r="N20" s="183">
        <f t="shared" ref="N20:N21" si="28">IFERROR(M20/H20,0)</f>
        <v>0.88282970358670465</v>
      </c>
      <c r="O20" s="63"/>
      <c r="P20" s="64"/>
      <c r="Q20" s="64"/>
      <c r="R20"/>
      <c r="S20" s="62"/>
      <c r="T20" s="51" t="str">
        <f>C20</f>
        <v>Arts and Culture (Vote 37)</v>
      </c>
      <c r="U20" s="95">
        <v>169824</v>
      </c>
      <c r="V20" s="198">
        <v>0</v>
      </c>
      <c r="W20" s="54">
        <v>169824</v>
      </c>
      <c r="X20" s="54">
        <v>0</v>
      </c>
      <c r="Y20" s="95">
        <v>169824</v>
      </c>
      <c r="Z20" s="216"/>
      <c r="AA20" s="101">
        <v>79231</v>
      </c>
      <c r="AB20" s="54">
        <v>79231</v>
      </c>
      <c r="AC20" s="54"/>
      <c r="AD20" s="54">
        <v>82181</v>
      </c>
      <c r="AE20" s="172">
        <v>0.4839186451856039</v>
      </c>
      <c r="AF20" s="63"/>
      <c r="AG20" s="444"/>
      <c r="AH20" s="444"/>
      <c r="AI20"/>
      <c r="AJ20" s="402"/>
      <c r="AK20" s="480" t="str">
        <f t="shared" si="15"/>
        <v>Arts and Culture (Vote 37)</v>
      </c>
      <c r="AL20" s="388">
        <f t="shared" si="16"/>
        <v>0</v>
      </c>
      <c r="AM20" s="389">
        <f t="shared" si="17"/>
        <v>0</v>
      </c>
      <c r="AN20" s="390">
        <f t="shared" si="18"/>
        <v>0</v>
      </c>
      <c r="AO20" s="390">
        <f t="shared" si="19"/>
        <v>-3650</v>
      </c>
      <c r="AP20" s="388">
        <f t="shared" si="20"/>
        <v>-3650</v>
      </c>
      <c r="AQ20" s="391"/>
      <c r="AR20" s="392">
        <f t="shared" si="21"/>
        <v>-90593</v>
      </c>
      <c r="AS20" s="390">
        <f t="shared" si="22"/>
        <v>-90593</v>
      </c>
      <c r="AT20" s="390"/>
      <c r="AU20" s="390">
        <f t="shared" si="23"/>
        <v>-70967</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169824</v>
      </c>
      <c r="E21" s="199">
        <f>SUM(F21-D21)</f>
        <v>0</v>
      </c>
      <c r="F21" s="497">
        <v>169824</v>
      </c>
      <c r="G21" s="497">
        <v>3650</v>
      </c>
      <c r="H21" s="96">
        <f>SUM(F21:G21)</f>
        <v>173474</v>
      </c>
      <c r="I21" s="217"/>
      <c r="J21" s="499">
        <v>169824</v>
      </c>
      <c r="K21" s="497">
        <v>169824</v>
      </c>
      <c r="L21" s="59"/>
      <c r="M21" s="497">
        <v>153148</v>
      </c>
      <c r="N21" s="172">
        <f t="shared" si="28"/>
        <v>0.88282970358670465</v>
      </c>
      <c r="O21" s="60"/>
      <c r="P21" s="56"/>
      <c r="Q21" s="56"/>
      <c r="R21"/>
      <c r="S21" s="57"/>
      <c r="T21" s="58" t="str">
        <f t="shared" ref="T21:T25" si="29">C21</f>
        <v>Community Library Services Grant</v>
      </c>
      <c r="U21" s="96">
        <v>169824</v>
      </c>
      <c r="V21" s="199">
        <v>0</v>
      </c>
      <c r="W21" s="59">
        <v>169824</v>
      </c>
      <c r="X21" s="59">
        <v>0</v>
      </c>
      <c r="Y21" s="96">
        <v>169824</v>
      </c>
      <c r="Z21" s="217"/>
      <c r="AA21" s="102">
        <v>79231</v>
      </c>
      <c r="AB21" s="59">
        <v>79231</v>
      </c>
      <c r="AC21" s="59"/>
      <c r="AD21" s="59">
        <v>82181</v>
      </c>
      <c r="AE21" s="172">
        <v>0.4839186451856039</v>
      </c>
      <c r="AF21" s="60"/>
      <c r="AG21" s="443"/>
      <c r="AH21" s="443"/>
      <c r="AI21"/>
      <c r="AJ21" s="394"/>
      <c r="AK21" s="479" t="str">
        <f t="shared" si="15"/>
        <v>Community Library Services Grant</v>
      </c>
      <c r="AL21" s="396">
        <f t="shared" si="16"/>
        <v>0</v>
      </c>
      <c r="AM21" s="397">
        <f t="shared" si="17"/>
        <v>0</v>
      </c>
      <c r="AN21" s="398">
        <f t="shared" si="18"/>
        <v>0</v>
      </c>
      <c r="AO21" s="398">
        <f t="shared" si="19"/>
        <v>-3650</v>
      </c>
      <c r="AP21" s="396">
        <f t="shared" si="20"/>
        <v>-3650</v>
      </c>
      <c r="AQ21" s="399"/>
      <c r="AR21" s="400">
        <f t="shared" si="21"/>
        <v>-90593</v>
      </c>
      <c r="AS21" s="398">
        <f t="shared" si="22"/>
        <v>-90593</v>
      </c>
      <c r="AT21" s="398"/>
      <c r="AU21" s="398">
        <f t="shared" si="23"/>
        <v>-70967</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1398706</v>
      </c>
      <c r="E27" s="198">
        <f t="shared" ref="E27:K27" si="33">SUM(E28+E29+E30+E31)</f>
        <v>0</v>
      </c>
      <c r="F27" s="54">
        <f t="shared" si="33"/>
        <v>1398706</v>
      </c>
      <c r="G27" s="54">
        <f t="shared" si="33"/>
        <v>8375</v>
      </c>
      <c r="H27" s="95">
        <f t="shared" si="33"/>
        <v>1407081</v>
      </c>
      <c r="I27" s="216">
        <f t="shared" si="33"/>
        <v>0</v>
      </c>
      <c r="J27" s="101">
        <f t="shared" si="33"/>
        <v>1398706</v>
      </c>
      <c r="K27" s="54">
        <f t="shared" si="33"/>
        <v>1398706</v>
      </c>
      <c r="L27" s="54"/>
      <c r="M27" s="54">
        <f>SUM(M28+M29+M30+M31)</f>
        <v>1372211</v>
      </c>
      <c r="N27" s="183">
        <f t="shared" ref="N27:N31" si="34">IFERROR(M27/H27,0)</f>
        <v>0.97521819994726677</v>
      </c>
      <c r="O27" s="63"/>
      <c r="P27" s="65"/>
      <c r="Q27" s="65"/>
      <c r="R27"/>
      <c r="S27" s="62"/>
      <c r="T27" s="51" t="str">
        <f>C27</f>
        <v>Basic Education (Vote 14)</v>
      </c>
      <c r="U27" s="95">
        <v>1398706</v>
      </c>
      <c r="V27" s="198">
        <v>0</v>
      </c>
      <c r="W27" s="54">
        <v>1398706</v>
      </c>
      <c r="X27" s="54">
        <v>0</v>
      </c>
      <c r="Y27" s="95">
        <v>1398706</v>
      </c>
      <c r="Z27" s="216"/>
      <c r="AA27" s="101">
        <v>1022190</v>
      </c>
      <c r="AB27" s="54">
        <v>1022190</v>
      </c>
      <c r="AC27" s="54"/>
      <c r="AD27" s="54">
        <v>986310</v>
      </c>
      <c r="AE27" s="183">
        <v>0.70515891116503393</v>
      </c>
      <c r="AF27" s="63"/>
      <c r="AG27" s="444"/>
      <c r="AH27" s="444"/>
      <c r="AI27"/>
      <c r="AJ27" s="402"/>
      <c r="AK27" s="480" t="str">
        <f t="shared" si="15"/>
        <v>Basic Education (Vote 14)</v>
      </c>
      <c r="AL27" s="388">
        <f t="shared" si="16"/>
        <v>0</v>
      </c>
      <c r="AM27" s="389">
        <f t="shared" si="17"/>
        <v>0</v>
      </c>
      <c r="AN27" s="390">
        <f t="shared" si="18"/>
        <v>0</v>
      </c>
      <c r="AO27" s="390">
        <f t="shared" si="19"/>
        <v>-8375</v>
      </c>
      <c r="AP27" s="388">
        <f t="shared" si="20"/>
        <v>-8375</v>
      </c>
      <c r="AQ27" s="391"/>
      <c r="AR27" s="392">
        <f t="shared" si="21"/>
        <v>-376516</v>
      </c>
      <c r="AS27" s="390">
        <f t="shared" si="22"/>
        <v>-376516</v>
      </c>
      <c r="AT27" s="390"/>
      <c r="AU27" s="390">
        <f t="shared" si="23"/>
        <v>-385901</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45455</v>
      </c>
      <c r="E28" s="199">
        <f t="shared" ref="E28:E31" si="35">SUM(F28-D28)</f>
        <v>0</v>
      </c>
      <c r="F28" s="497">
        <v>45455</v>
      </c>
      <c r="G28" s="497">
        <v>1427</v>
      </c>
      <c r="H28" s="96">
        <f t="shared" ref="H28:H31" si="36">SUM(F28:G28)</f>
        <v>46882</v>
      </c>
      <c r="I28" s="217"/>
      <c r="J28" s="499">
        <v>45455</v>
      </c>
      <c r="K28" s="497">
        <v>45455</v>
      </c>
      <c r="L28" s="59"/>
      <c r="M28" s="497">
        <v>46061</v>
      </c>
      <c r="N28" s="172">
        <f t="shared" si="34"/>
        <v>0.98248794846636234</v>
      </c>
      <c r="O28" s="60"/>
      <c r="P28" s="22"/>
      <c r="Q28" s="22"/>
      <c r="S28" s="57"/>
      <c r="T28" s="58" t="str">
        <f t="shared" ref="T28:T32" si="37">C28</f>
        <v>(a) HIV and AIDS (Life Skills Education) Grant</v>
      </c>
      <c r="U28" s="96">
        <v>45455</v>
      </c>
      <c r="V28" s="199">
        <v>0</v>
      </c>
      <c r="W28" s="59">
        <v>45455</v>
      </c>
      <c r="X28" s="59">
        <v>0</v>
      </c>
      <c r="Y28" s="96">
        <v>45455</v>
      </c>
      <c r="Z28" s="217"/>
      <c r="AA28" s="102">
        <v>18182</v>
      </c>
      <c r="AB28" s="59">
        <v>18182</v>
      </c>
      <c r="AC28" s="59"/>
      <c r="AD28" s="59">
        <v>24690</v>
      </c>
      <c r="AE28" s="172">
        <v>0.54317456825431742</v>
      </c>
      <c r="AF28" s="60"/>
      <c r="AG28" s="443"/>
      <c r="AH28" s="443"/>
      <c r="AJ28" s="394"/>
      <c r="AK28" s="479" t="str">
        <f t="shared" si="15"/>
        <v>(a) HIV and AIDS (Life Skills Education) Grant</v>
      </c>
      <c r="AL28" s="396">
        <f t="shared" si="16"/>
        <v>0</v>
      </c>
      <c r="AM28" s="397">
        <f t="shared" si="17"/>
        <v>0</v>
      </c>
      <c r="AN28" s="398">
        <f t="shared" si="18"/>
        <v>0</v>
      </c>
      <c r="AO28" s="398">
        <f t="shared" si="19"/>
        <v>-1427</v>
      </c>
      <c r="AP28" s="396">
        <f t="shared" si="20"/>
        <v>-1427</v>
      </c>
      <c r="AQ28" s="399"/>
      <c r="AR28" s="400">
        <f t="shared" si="21"/>
        <v>-27273</v>
      </c>
      <c r="AS28" s="398">
        <f t="shared" si="22"/>
        <v>-27273</v>
      </c>
      <c r="AT28" s="398"/>
      <c r="AU28" s="398">
        <f t="shared" si="23"/>
        <v>-21371</v>
      </c>
      <c r="AV28" s="290"/>
      <c r="AW28" s="401"/>
    </row>
    <row r="29" spans="1:82" ht="15.75" customHeight="1" x14ac:dyDescent="0.3">
      <c r="B29" s="57"/>
      <c r="C29" s="58" t="s">
        <v>24</v>
      </c>
      <c r="D29" s="496">
        <v>25182</v>
      </c>
      <c r="E29" s="199">
        <f t="shared" si="35"/>
        <v>0</v>
      </c>
      <c r="F29" s="497">
        <v>25182</v>
      </c>
      <c r="G29" s="497">
        <v>2637</v>
      </c>
      <c r="H29" s="96">
        <f t="shared" si="36"/>
        <v>27819</v>
      </c>
      <c r="I29" s="217"/>
      <c r="J29" s="499">
        <v>25182</v>
      </c>
      <c r="K29" s="497">
        <v>25182</v>
      </c>
      <c r="L29" s="59"/>
      <c r="M29" s="497">
        <v>18101</v>
      </c>
      <c r="N29" s="172">
        <f t="shared" si="34"/>
        <v>0.6506704051188037</v>
      </c>
      <c r="O29" s="60"/>
      <c r="P29" s="22"/>
      <c r="Q29" s="22"/>
      <c r="S29" s="57"/>
      <c r="T29" s="58" t="str">
        <f t="shared" si="37"/>
        <v>(b) Learners with Profound Intellectual Disabilities Grant</v>
      </c>
      <c r="U29" s="96">
        <v>25182</v>
      </c>
      <c r="V29" s="199">
        <v>0</v>
      </c>
      <c r="W29" s="59">
        <v>25182</v>
      </c>
      <c r="X29" s="59">
        <v>0</v>
      </c>
      <c r="Y29" s="96">
        <v>25182</v>
      </c>
      <c r="Z29" s="217"/>
      <c r="AA29" s="102">
        <v>16785</v>
      </c>
      <c r="AB29" s="59">
        <v>16785</v>
      </c>
      <c r="AC29" s="59"/>
      <c r="AD29" s="59">
        <v>8389</v>
      </c>
      <c r="AE29" s="172">
        <v>0.33313477881026132</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-2637</v>
      </c>
      <c r="AP29" s="396">
        <f t="shared" si="20"/>
        <v>-2637</v>
      </c>
      <c r="AQ29" s="399"/>
      <c r="AR29" s="400">
        <f t="shared" si="21"/>
        <v>-8397</v>
      </c>
      <c r="AS29" s="398">
        <f t="shared" si="22"/>
        <v>-8397</v>
      </c>
      <c r="AT29" s="398"/>
      <c r="AU29" s="398">
        <f t="shared" si="23"/>
        <v>-9712</v>
      </c>
      <c r="AV29" s="290"/>
      <c r="AW29" s="401"/>
    </row>
    <row r="30" spans="1:82" ht="15.75" customHeight="1" x14ac:dyDescent="0.3">
      <c r="B30" s="57"/>
      <c r="C30" s="58" t="s">
        <v>25</v>
      </c>
      <c r="D30" s="496">
        <v>49434</v>
      </c>
      <c r="E30" s="199">
        <f t="shared" si="35"/>
        <v>0</v>
      </c>
      <c r="F30" s="497">
        <v>49434</v>
      </c>
      <c r="G30" s="497">
        <v>1436</v>
      </c>
      <c r="H30" s="96">
        <f t="shared" si="36"/>
        <v>50870</v>
      </c>
      <c r="I30" s="217"/>
      <c r="J30" s="499">
        <v>49434</v>
      </c>
      <c r="K30" s="497">
        <v>49434</v>
      </c>
      <c r="L30" s="59"/>
      <c r="M30" s="497">
        <v>28010</v>
      </c>
      <c r="N30" s="172">
        <f t="shared" si="34"/>
        <v>0.55061922547670528</v>
      </c>
      <c r="O30" s="60"/>
      <c r="P30" s="22"/>
      <c r="Q30" s="22"/>
      <c r="S30" s="57"/>
      <c r="T30" s="58" t="str">
        <f t="shared" si="37"/>
        <v>(c) Maths, Science and Technology Grant</v>
      </c>
      <c r="U30" s="96">
        <v>49434</v>
      </c>
      <c r="V30" s="199">
        <v>0</v>
      </c>
      <c r="W30" s="59">
        <v>49434</v>
      </c>
      <c r="X30" s="59">
        <v>0</v>
      </c>
      <c r="Y30" s="96">
        <v>49434</v>
      </c>
      <c r="Z30" s="217"/>
      <c r="AA30" s="102">
        <v>24717</v>
      </c>
      <c r="AB30" s="59">
        <v>24717</v>
      </c>
      <c r="AC30" s="59"/>
      <c r="AD30" s="59">
        <v>9816</v>
      </c>
      <c r="AE30" s="172">
        <v>0.19856778735283409</v>
      </c>
      <c r="AF30" s="60"/>
      <c r="AG30" s="443"/>
      <c r="AH30" s="443"/>
      <c r="AJ30" s="394"/>
      <c r="AK30" s="479" t="str">
        <f t="shared" si="15"/>
        <v>(c) Maths, Science and Technology Grant</v>
      </c>
      <c r="AL30" s="396">
        <f t="shared" si="16"/>
        <v>0</v>
      </c>
      <c r="AM30" s="397">
        <f t="shared" si="17"/>
        <v>0</v>
      </c>
      <c r="AN30" s="398">
        <f t="shared" si="18"/>
        <v>0</v>
      </c>
      <c r="AO30" s="398">
        <f t="shared" si="19"/>
        <v>-1436</v>
      </c>
      <c r="AP30" s="396">
        <f t="shared" si="20"/>
        <v>-1436</v>
      </c>
      <c r="AQ30" s="399"/>
      <c r="AR30" s="400">
        <f t="shared" si="21"/>
        <v>-24717</v>
      </c>
      <c r="AS30" s="398">
        <f t="shared" si="22"/>
        <v>-24717</v>
      </c>
      <c r="AT30" s="398"/>
      <c r="AU30" s="398">
        <f t="shared" si="23"/>
        <v>-18194</v>
      </c>
      <c r="AV30" s="290"/>
      <c r="AW30" s="401"/>
    </row>
    <row r="31" spans="1:82" ht="15.75" customHeight="1" x14ac:dyDescent="0.3">
      <c r="B31" s="57"/>
      <c r="C31" s="58" t="s">
        <v>26</v>
      </c>
      <c r="D31" s="496">
        <v>1278635</v>
      </c>
      <c r="E31" s="199">
        <f t="shared" si="35"/>
        <v>0</v>
      </c>
      <c r="F31" s="497">
        <v>1278635</v>
      </c>
      <c r="G31" s="497">
        <v>2875</v>
      </c>
      <c r="H31" s="96">
        <f t="shared" si="36"/>
        <v>1281510</v>
      </c>
      <c r="I31" s="217"/>
      <c r="J31" s="499">
        <v>1278635</v>
      </c>
      <c r="K31" s="497">
        <v>1278635</v>
      </c>
      <c r="L31" s="59"/>
      <c r="M31" s="497">
        <v>1280039</v>
      </c>
      <c r="N31" s="172">
        <f t="shared" si="34"/>
        <v>0.99885213537155382</v>
      </c>
      <c r="O31" s="60"/>
      <c r="P31" s="22"/>
      <c r="Q31" s="22"/>
      <c r="S31" s="57"/>
      <c r="T31" s="58" t="str">
        <f t="shared" si="37"/>
        <v>(d) National School Nutrition Programme Grant</v>
      </c>
      <c r="U31" s="96">
        <v>1278635</v>
      </c>
      <c r="V31" s="199">
        <v>0</v>
      </c>
      <c r="W31" s="59">
        <v>1278635</v>
      </c>
      <c r="X31" s="59">
        <v>0</v>
      </c>
      <c r="Y31" s="96">
        <v>1278635</v>
      </c>
      <c r="Z31" s="217"/>
      <c r="AA31" s="102">
        <v>962506</v>
      </c>
      <c r="AB31" s="59">
        <v>962506</v>
      </c>
      <c r="AC31" s="59"/>
      <c r="AD31" s="59">
        <v>943415</v>
      </c>
      <c r="AE31" s="172">
        <v>0.73782979505488278</v>
      </c>
      <c r="AF31" s="60"/>
      <c r="AG31" s="443"/>
      <c r="AH31" s="443"/>
      <c r="AJ31" s="394"/>
      <c r="AK31" s="479" t="str">
        <f t="shared" si="15"/>
        <v>(d) National School Nutrition Programme Grant</v>
      </c>
      <c r="AL31" s="396">
        <f t="shared" si="16"/>
        <v>0</v>
      </c>
      <c r="AM31" s="397">
        <f t="shared" si="17"/>
        <v>0</v>
      </c>
      <c r="AN31" s="398">
        <f t="shared" si="18"/>
        <v>0</v>
      </c>
      <c r="AO31" s="398">
        <f t="shared" si="19"/>
        <v>-2875</v>
      </c>
      <c r="AP31" s="396">
        <f t="shared" si="20"/>
        <v>-2875</v>
      </c>
      <c r="AQ31" s="399"/>
      <c r="AR31" s="400">
        <f t="shared" si="21"/>
        <v>-316129</v>
      </c>
      <c r="AS31" s="398">
        <f t="shared" si="22"/>
        <v>-316129</v>
      </c>
      <c r="AT31" s="398"/>
      <c r="AU31" s="398">
        <f t="shared" si="23"/>
        <v>-336624</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0"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3276289.0000000005</v>
      </c>
      <c r="E41" s="198">
        <f t="shared" ref="E41:K41" si="58">SUM(E42+E43+E44+E45+E46)</f>
        <v>285548</v>
      </c>
      <c r="F41" s="54">
        <f t="shared" si="58"/>
        <v>3561837.0000000005</v>
      </c>
      <c r="G41" s="54">
        <f t="shared" si="58"/>
        <v>1990</v>
      </c>
      <c r="H41" s="95">
        <f t="shared" si="58"/>
        <v>3563827.0000000005</v>
      </c>
      <c r="I41" s="216">
        <f t="shared" si="58"/>
        <v>0</v>
      </c>
      <c r="J41" s="101">
        <f t="shared" si="58"/>
        <v>3561837</v>
      </c>
      <c r="K41" s="54">
        <f t="shared" si="58"/>
        <v>3561837</v>
      </c>
      <c r="L41" s="54"/>
      <c r="M41" s="54">
        <f>SUM(M42+M43+M44+M45+M46)</f>
        <v>3559593</v>
      </c>
      <c r="N41" s="183">
        <f t="shared" ref="N41:N45" si="59">IFERROR(M41/H41,0)</f>
        <v>0.9988119513096454</v>
      </c>
      <c r="O41" s="63"/>
      <c r="P41" s="65"/>
      <c r="Q41" s="65"/>
      <c r="R41"/>
      <c r="S41" s="62"/>
      <c r="T41" s="51" t="str">
        <f>C41</f>
        <v>Health (Vote 16)</v>
      </c>
      <c r="U41" s="95">
        <v>3276289.0000000005</v>
      </c>
      <c r="V41" s="198">
        <v>0</v>
      </c>
      <c r="W41" s="54">
        <v>3276289.0000000005</v>
      </c>
      <c r="X41" s="54">
        <v>0</v>
      </c>
      <c r="Y41" s="95">
        <v>3276289.0000000005</v>
      </c>
      <c r="Z41" s="216"/>
      <c r="AA41" s="101">
        <v>1777697</v>
      </c>
      <c r="AB41" s="54">
        <v>1777700</v>
      </c>
      <c r="AC41" s="54"/>
      <c r="AD41" s="54">
        <v>1686271</v>
      </c>
      <c r="AE41" s="183">
        <v>0.51468933296177466</v>
      </c>
      <c r="AF41" s="63"/>
      <c r="AG41" s="444"/>
      <c r="AH41" s="444"/>
      <c r="AI41"/>
      <c r="AJ41" s="402"/>
      <c r="AK41" s="480" t="str">
        <f t="shared" si="15"/>
        <v>Health (Vote 16)</v>
      </c>
      <c r="AL41" s="388">
        <f t="shared" si="16"/>
        <v>0</v>
      </c>
      <c r="AM41" s="389">
        <f t="shared" si="17"/>
        <v>-285548</v>
      </c>
      <c r="AN41" s="390">
        <f t="shared" si="18"/>
        <v>-285548</v>
      </c>
      <c r="AO41" s="390">
        <f t="shared" si="19"/>
        <v>-1990</v>
      </c>
      <c r="AP41" s="388">
        <f t="shared" si="20"/>
        <v>-287538</v>
      </c>
      <c r="AQ41" s="391"/>
      <c r="AR41" s="392">
        <f t="shared" si="21"/>
        <v>-1784140</v>
      </c>
      <c r="AS41" s="390">
        <f t="shared" si="22"/>
        <v>-1784137</v>
      </c>
      <c r="AT41" s="390"/>
      <c r="AU41" s="390">
        <f t="shared" si="23"/>
        <v>-1873322</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2397703.0000000005</v>
      </c>
      <c r="E42" s="199">
        <f t="shared" ref="E42:E46" si="60">SUM(F42-D42)</f>
        <v>0</v>
      </c>
      <c r="F42" s="497">
        <v>2397703.0000000005</v>
      </c>
      <c r="G42" s="497">
        <v>1990</v>
      </c>
      <c r="H42" s="96">
        <f t="shared" ref="H42:H45" si="61">SUM(F42:G42)</f>
        <v>2399693.0000000005</v>
      </c>
      <c r="I42" s="217"/>
      <c r="J42" s="499">
        <v>2397703</v>
      </c>
      <c r="K42" s="497">
        <v>2397703</v>
      </c>
      <c r="L42" s="59"/>
      <c r="M42" s="497">
        <v>2393309</v>
      </c>
      <c r="N42" s="172">
        <f t="shared" si="59"/>
        <v>0.99733965969813621</v>
      </c>
      <c r="O42" s="60"/>
      <c r="P42" s="56"/>
      <c r="Q42" s="56"/>
      <c r="S42" s="57"/>
      <c r="T42" s="58" t="str">
        <f t="shared" ref="T42:T46" si="62">C42</f>
        <v>(a) HIV, TB, Malaria and Community Outreach Grant</v>
      </c>
      <c r="U42" s="96">
        <v>2397703.0000000005</v>
      </c>
      <c r="V42" s="199">
        <v>0</v>
      </c>
      <c r="W42" s="59">
        <v>2397703.0000000005</v>
      </c>
      <c r="X42" s="59">
        <v>0</v>
      </c>
      <c r="Y42" s="96">
        <v>2397703.0000000005</v>
      </c>
      <c r="Z42" s="217"/>
      <c r="AA42" s="102">
        <v>1198848</v>
      </c>
      <c r="AB42" s="59">
        <v>1198851</v>
      </c>
      <c r="AC42" s="59"/>
      <c r="AD42" s="59">
        <v>1104098</v>
      </c>
      <c r="AE42" s="172">
        <v>0.46048155255258877</v>
      </c>
      <c r="AF42" s="60"/>
      <c r="AG42" s="443"/>
      <c r="AH42" s="443"/>
      <c r="AJ42" s="394"/>
      <c r="AK42" s="479" t="str">
        <f t="shared" si="15"/>
        <v>(a) HIV, TB, Malaria and Community Outreach Grant</v>
      </c>
      <c r="AL42" s="396">
        <f t="shared" si="16"/>
        <v>0</v>
      </c>
      <c r="AM42" s="397">
        <f t="shared" si="17"/>
        <v>0</v>
      </c>
      <c r="AN42" s="398">
        <f t="shared" si="18"/>
        <v>0</v>
      </c>
      <c r="AO42" s="398">
        <f t="shared" si="19"/>
        <v>-1990</v>
      </c>
      <c r="AP42" s="396">
        <f t="shared" si="20"/>
        <v>-1990</v>
      </c>
      <c r="AQ42" s="399"/>
      <c r="AR42" s="400">
        <f t="shared" si="21"/>
        <v>-1198855</v>
      </c>
      <c r="AS42" s="398">
        <f t="shared" si="22"/>
        <v>-1198852</v>
      </c>
      <c r="AT42" s="398"/>
      <c r="AU42" s="398">
        <f t="shared" si="23"/>
        <v>-1289211</v>
      </c>
      <c r="AV42" s="290"/>
      <c r="AW42" s="401"/>
    </row>
    <row r="43" spans="1:82" s="35" customFormat="1" ht="15.75" customHeight="1" x14ac:dyDescent="0.3">
      <c r="A43"/>
      <c r="B43" s="57"/>
      <c r="C43" s="58" t="s">
        <v>28</v>
      </c>
      <c r="D43" s="496">
        <v>784988</v>
      </c>
      <c r="E43" s="199">
        <f t="shared" si="60"/>
        <v>206000</v>
      </c>
      <c r="F43" s="497">
        <v>990988</v>
      </c>
      <c r="G43" s="497">
        <v>0</v>
      </c>
      <c r="H43" s="96">
        <f t="shared" si="61"/>
        <v>990988</v>
      </c>
      <c r="I43" s="217"/>
      <c r="J43" s="499">
        <v>990988</v>
      </c>
      <c r="K43" s="497">
        <v>990988</v>
      </c>
      <c r="L43" s="59"/>
      <c r="M43" s="497">
        <v>964339</v>
      </c>
      <c r="N43" s="172">
        <f t="shared" si="59"/>
        <v>0.97310865520066847</v>
      </c>
      <c r="O43" s="60"/>
      <c r="P43" s="56"/>
      <c r="Q43" s="56"/>
      <c r="R43"/>
      <c r="S43" s="57"/>
      <c r="T43" s="58" t="str">
        <f t="shared" si="62"/>
        <v>(b) Health Facility Revitalisation Grant</v>
      </c>
      <c r="U43" s="96">
        <v>784988</v>
      </c>
      <c r="V43" s="199">
        <v>0</v>
      </c>
      <c r="W43" s="59">
        <v>784988</v>
      </c>
      <c r="X43" s="59">
        <v>0</v>
      </c>
      <c r="Y43" s="96">
        <v>784988</v>
      </c>
      <c r="Z43" s="217"/>
      <c r="AA43" s="102">
        <v>532055</v>
      </c>
      <c r="AB43" s="59">
        <v>532055</v>
      </c>
      <c r="AC43" s="59"/>
      <c r="AD43" s="59">
        <v>515189</v>
      </c>
      <c r="AE43" s="172">
        <v>0.65630175238347588</v>
      </c>
      <c r="AF43" s="60"/>
      <c r="AG43" s="443"/>
      <c r="AH43" s="443"/>
      <c r="AI43"/>
      <c r="AJ43" s="394"/>
      <c r="AK43" s="479" t="str">
        <f t="shared" si="15"/>
        <v>(b) Health Facility Revitalisation Grant</v>
      </c>
      <c r="AL43" s="396">
        <f t="shared" si="16"/>
        <v>0</v>
      </c>
      <c r="AM43" s="397">
        <f t="shared" si="17"/>
        <v>-206000</v>
      </c>
      <c r="AN43" s="398">
        <f t="shared" si="18"/>
        <v>-206000</v>
      </c>
      <c r="AO43" s="398">
        <f t="shared" si="19"/>
        <v>0</v>
      </c>
      <c r="AP43" s="396">
        <f t="shared" si="20"/>
        <v>-206000</v>
      </c>
      <c r="AQ43" s="399"/>
      <c r="AR43" s="400">
        <f t="shared" si="21"/>
        <v>-458933</v>
      </c>
      <c r="AS43" s="398">
        <f t="shared" si="22"/>
        <v>-458933</v>
      </c>
      <c r="AT43" s="398"/>
      <c r="AU43" s="398">
        <f t="shared" si="23"/>
        <v>-449150</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35345</v>
      </c>
      <c r="E44" s="199">
        <f t="shared" si="60"/>
        <v>-2940</v>
      </c>
      <c r="F44" s="497">
        <v>32405</v>
      </c>
      <c r="G44" s="497">
        <v>0</v>
      </c>
      <c r="H44" s="96">
        <f t="shared" si="61"/>
        <v>32405</v>
      </c>
      <c r="I44" s="217"/>
      <c r="J44" s="499">
        <v>32405</v>
      </c>
      <c r="K44" s="497">
        <v>32405</v>
      </c>
      <c r="L44" s="59"/>
      <c r="M44" s="497">
        <v>28238</v>
      </c>
      <c r="N44" s="172">
        <f t="shared" si="59"/>
        <v>0.87140873322018209</v>
      </c>
      <c r="O44" s="69"/>
      <c r="P44" s="70"/>
      <c r="Q44" s="70"/>
      <c r="R44"/>
      <c r="S44" s="67"/>
      <c r="T44" s="58" t="str">
        <f t="shared" si="62"/>
        <v>(c) Human Papillomavirus Vaccine Grant</v>
      </c>
      <c r="U44" s="97">
        <v>35345</v>
      </c>
      <c r="V44" s="200">
        <v>0</v>
      </c>
      <c r="W44" s="68">
        <v>35345</v>
      </c>
      <c r="X44" s="68">
        <v>0</v>
      </c>
      <c r="Y44" s="97">
        <v>35345</v>
      </c>
      <c r="Z44" s="218"/>
      <c r="AA44" s="103">
        <v>17670</v>
      </c>
      <c r="AB44" s="68">
        <v>17670</v>
      </c>
      <c r="AC44" s="68"/>
      <c r="AD44" s="68">
        <v>17524</v>
      </c>
      <c r="AE44" s="172">
        <v>0.49579855708020937</v>
      </c>
      <c r="AF44" s="69"/>
      <c r="AG44" s="445"/>
      <c r="AH44" s="445"/>
      <c r="AI44" s="71"/>
      <c r="AJ44" s="404"/>
      <c r="AK44" s="479" t="str">
        <f t="shared" si="15"/>
        <v>(c) Human Papillomavirus Vaccine Grant</v>
      </c>
      <c r="AL44" s="405">
        <f t="shared" si="16"/>
        <v>0</v>
      </c>
      <c r="AM44" s="406">
        <f t="shared" si="17"/>
        <v>2940</v>
      </c>
      <c r="AN44" s="407">
        <f t="shared" si="18"/>
        <v>2940</v>
      </c>
      <c r="AO44" s="407">
        <f t="shared" si="19"/>
        <v>0</v>
      </c>
      <c r="AP44" s="405">
        <f t="shared" si="20"/>
        <v>2940</v>
      </c>
      <c r="AQ44" s="408"/>
      <c r="AR44" s="409">
        <f t="shared" si="21"/>
        <v>-14735</v>
      </c>
      <c r="AS44" s="407">
        <f t="shared" si="22"/>
        <v>-14735</v>
      </c>
      <c r="AT44" s="407"/>
      <c r="AU44" s="407">
        <f t="shared" si="23"/>
        <v>-10714</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58253</v>
      </c>
      <c r="E45" s="199">
        <f t="shared" si="60"/>
        <v>37155</v>
      </c>
      <c r="F45" s="497">
        <v>95408</v>
      </c>
      <c r="G45" s="497">
        <v>0</v>
      </c>
      <c r="H45" s="96">
        <f t="shared" si="61"/>
        <v>95408</v>
      </c>
      <c r="I45" s="217"/>
      <c r="J45" s="499">
        <v>95408</v>
      </c>
      <c r="K45" s="497">
        <v>95408</v>
      </c>
      <c r="L45" s="59"/>
      <c r="M45" s="497">
        <v>134264</v>
      </c>
      <c r="N45" s="172">
        <f t="shared" si="59"/>
        <v>1.4072614455810832</v>
      </c>
      <c r="O45" s="60"/>
      <c r="P45" s="56"/>
      <c r="Q45" s="56"/>
      <c r="R45"/>
      <c r="S45" s="57"/>
      <c r="T45" s="58" t="str">
        <f t="shared" si="62"/>
        <v>(d) Human Resources Capacitation Grant</v>
      </c>
      <c r="U45" s="96">
        <v>58253</v>
      </c>
      <c r="V45" s="199">
        <v>0</v>
      </c>
      <c r="W45" s="59">
        <v>58253</v>
      </c>
      <c r="X45" s="59">
        <v>0</v>
      </c>
      <c r="Y45" s="96">
        <v>58253</v>
      </c>
      <c r="Z45" s="217"/>
      <c r="AA45" s="102">
        <v>29124</v>
      </c>
      <c r="AB45" s="59">
        <v>29124</v>
      </c>
      <c r="AC45" s="59"/>
      <c r="AD45" s="59">
        <v>49460</v>
      </c>
      <c r="AE45" s="172">
        <v>0.84905498429265447</v>
      </c>
      <c r="AF45" s="60"/>
      <c r="AG45" s="443"/>
      <c r="AH45" s="443"/>
      <c r="AI45"/>
      <c r="AJ45" s="394"/>
      <c r="AK45" s="479" t="str">
        <f t="shared" si="15"/>
        <v>(d) Human Resources Capacitation Grant</v>
      </c>
      <c r="AL45" s="396">
        <f t="shared" si="16"/>
        <v>0</v>
      </c>
      <c r="AM45" s="397">
        <f t="shared" si="17"/>
        <v>-37155</v>
      </c>
      <c r="AN45" s="398">
        <f t="shared" si="18"/>
        <v>-37155</v>
      </c>
      <c r="AO45" s="398">
        <f t="shared" si="19"/>
        <v>0</v>
      </c>
      <c r="AP45" s="396">
        <f t="shared" si="20"/>
        <v>-37155</v>
      </c>
      <c r="AQ45" s="399"/>
      <c r="AR45" s="400">
        <f t="shared" si="21"/>
        <v>-66284</v>
      </c>
      <c r="AS45" s="398">
        <f t="shared" si="22"/>
        <v>-66284</v>
      </c>
      <c r="AT45" s="398"/>
      <c r="AU45" s="398">
        <f t="shared" si="23"/>
        <v>-84804</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45333</v>
      </c>
      <c r="F46" s="497">
        <v>45333</v>
      </c>
      <c r="G46" s="497">
        <v>0</v>
      </c>
      <c r="H46" s="96">
        <f t="shared" ref="H46" si="63">SUM(F46:G46)</f>
        <v>45333</v>
      </c>
      <c r="I46" s="217"/>
      <c r="J46" s="499">
        <v>45333</v>
      </c>
      <c r="K46" s="497">
        <v>45333</v>
      </c>
      <c r="L46" s="59"/>
      <c r="M46" s="497">
        <v>39443</v>
      </c>
      <c r="N46" s="172">
        <f>IFERROR(M46/H46,0)</f>
        <v>0.87007257406304461</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-45333</v>
      </c>
      <c r="AN46" s="398">
        <f t="shared" si="18"/>
        <v>-45333</v>
      </c>
      <c r="AO46" s="398">
        <f t="shared" si="19"/>
        <v>0</v>
      </c>
      <c r="AP46" s="396">
        <f t="shared" si="20"/>
        <v>-45333</v>
      </c>
      <c r="AQ46" s="399"/>
      <c r="AR46" s="400">
        <f t="shared" si="21"/>
        <v>-45333</v>
      </c>
      <c r="AS46" s="398">
        <f t="shared" si="22"/>
        <v>-45333</v>
      </c>
      <c r="AT46" s="398"/>
      <c r="AU46" s="398">
        <f t="shared" si="23"/>
        <v>-39443</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2021182</v>
      </c>
      <c r="E48" s="198">
        <f t="shared" ref="E48:K48" si="64">SUM(E49+E50)</f>
        <v>98500</v>
      </c>
      <c r="F48" s="54">
        <f t="shared" si="64"/>
        <v>2119682</v>
      </c>
      <c r="G48" s="54">
        <f t="shared" si="64"/>
        <v>53974</v>
      </c>
      <c r="H48" s="95">
        <f t="shared" si="64"/>
        <v>2173656</v>
      </c>
      <c r="I48" s="216">
        <f t="shared" si="64"/>
        <v>0</v>
      </c>
      <c r="J48" s="101">
        <f t="shared" si="64"/>
        <v>2119682</v>
      </c>
      <c r="K48" s="54">
        <f t="shared" si="64"/>
        <v>2119682</v>
      </c>
      <c r="L48" s="54"/>
      <c r="M48" s="54">
        <f>SUM(M49+M50)</f>
        <v>1897429</v>
      </c>
      <c r="N48" s="183">
        <f t="shared" ref="N48:N50" si="65">IFERROR(M48/H48,0)</f>
        <v>0.87292055412631986</v>
      </c>
      <c r="O48" s="63"/>
      <c r="P48" s="64"/>
      <c r="Q48" s="64"/>
      <c r="R48"/>
      <c r="S48" s="62"/>
      <c r="T48" s="51" t="str">
        <f>C48</f>
        <v>Human Settlements (Vote 38)</v>
      </c>
      <c r="U48" s="95">
        <v>2021182</v>
      </c>
      <c r="V48" s="198">
        <v>0</v>
      </c>
      <c r="W48" s="54">
        <v>2021182</v>
      </c>
      <c r="X48" s="54">
        <v>0</v>
      </c>
      <c r="Y48" s="95">
        <v>2021182</v>
      </c>
      <c r="Z48" s="216"/>
      <c r="AA48" s="101">
        <v>969157</v>
      </c>
      <c r="AB48" s="54">
        <v>979307</v>
      </c>
      <c r="AC48" s="54"/>
      <c r="AD48" s="54">
        <v>959607</v>
      </c>
      <c r="AE48" s="183">
        <v>0.47477515631942102</v>
      </c>
      <c r="AF48" s="63"/>
      <c r="AG48" s="444"/>
      <c r="AH48" s="444"/>
      <c r="AI48" s="73"/>
      <c r="AJ48" s="402"/>
      <c r="AK48" s="480" t="str">
        <f t="shared" si="15"/>
        <v>Human Settlements (Vote 38)</v>
      </c>
      <c r="AL48" s="388">
        <f t="shared" si="16"/>
        <v>0</v>
      </c>
      <c r="AM48" s="389">
        <f t="shared" si="17"/>
        <v>-98500</v>
      </c>
      <c r="AN48" s="390">
        <f t="shared" si="18"/>
        <v>-98500</v>
      </c>
      <c r="AO48" s="390">
        <f t="shared" si="19"/>
        <v>-53974</v>
      </c>
      <c r="AP48" s="388">
        <f t="shared" si="20"/>
        <v>-152474</v>
      </c>
      <c r="AQ48" s="391"/>
      <c r="AR48" s="392">
        <f t="shared" si="21"/>
        <v>-1150525</v>
      </c>
      <c r="AS48" s="390">
        <f t="shared" si="22"/>
        <v>-1140375</v>
      </c>
      <c r="AT48" s="390"/>
      <c r="AU48" s="390">
        <f t="shared" si="23"/>
        <v>-937822</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1960278</v>
      </c>
      <c r="E49" s="199">
        <f t="shared" ref="E49:E50" si="66">SUM(F49-D49)</f>
        <v>98500</v>
      </c>
      <c r="F49" s="497">
        <v>2058778</v>
      </c>
      <c r="G49" s="497">
        <v>0</v>
      </c>
      <c r="H49" s="96">
        <f t="shared" ref="H49:H50" si="67">SUM(F49:G49)</f>
        <v>2058778</v>
      </c>
      <c r="I49" s="217"/>
      <c r="J49" s="499">
        <v>2058778</v>
      </c>
      <c r="K49" s="497">
        <v>2058778</v>
      </c>
      <c r="L49" s="59"/>
      <c r="M49" s="497">
        <v>1853454</v>
      </c>
      <c r="N49" s="172">
        <f t="shared" si="65"/>
        <v>0.90026899452005027</v>
      </c>
      <c r="O49" s="60"/>
      <c r="R49"/>
      <c r="S49" s="57"/>
      <c r="T49" s="58" t="str">
        <f t="shared" ref="T49:T53" si="68">C49</f>
        <v>(a) Human Settlements Development Grant</v>
      </c>
      <c r="U49" s="96">
        <v>1960278</v>
      </c>
      <c r="V49" s="199">
        <v>0</v>
      </c>
      <c r="W49" s="59">
        <v>1960278</v>
      </c>
      <c r="X49" s="59">
        <v>0</v>
      </c>
      <c r="Y49" s="96">
        <v>1960278</v>
      </c>
      <c r="Z49" s="217"/>
      <c r="AA49" s="102">
        <v>953931</v>
      </c>
      <c r="AB49" s="59">
        <v>953931</v>
      </c>
      <c r="AC49" s="59"/>
      <c r="AD49" s="59">
        <v>939260</v>
      </c>
      <c r="AE49" s="172">
        <v>0.4791463251640839</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0</v>
      </c>
      <c r="AP49" s="396">
        <f t="shared" si="20"/>
        <v>-98500</v>
      </c>
      <c r="AQ49" s="399"/>
      <c r="AR49" s="400">
        <f t="shared" si="21"/>
        <v>-1104847</v>
      </c>
      <c r="AS49" s="398">
        <f t="shared" si="22"/>
        <v>-1104847</v>
      </c>
      <c r="AT49" s="398"/>
      <c r="AU49" s="398">
        <f t="shared" si="23"/>
        <v>-914194</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60904</v>
      </c>
      <c r="E50" s="199">
        <f t="shared" si="66"/>
        <v>0</v>
      </c>
      <c r="F50" s="497">
        <v>60904</v>
      </c>
      <c r="G50" s="497">
        <v>53974</v>
      </c>
      <c r="H50" s="96">
        <f t="shared" si="67"/>
        <v>114878</v>
      </c>
      <c r="I50" s="217"/>
      <c r="J50" s="499">
        <v>60904</v>
      </c>
      <c r="K50" s="497">
        <v>60904</v>
      </c>
      <c r="L50" s="59"/>
      <c r="M50" s="497">
        <v>43975</v>
      </c>
      <c r="N50" s="172">
        <f t="shared" si="65"/>
        <v>0.38279740246174204</v>
      </c>
      <c r="O50" s="60"/>
      <c r="P50" s="56"/>
      <c r="Q50" s="56"/>
      <c r="R50"/>
      <c r="S50" s="57"/>
      <c r="T50" s="58" t="str">
        <f t="shared" si="68"/>
        <v>(b) Title Deeds Restoriation Grant</v>
      </c>
      <c r="U50" s="96">
        <v>60904</v>
      </c>
      <c r="V50" s="199">
        <v>0</v>
      </c>
      <c r="W50" s="59">
        <v>60904</v>
      </c>
      <c r="X50" s="59">
        <v>0</v>
      </c>
      <c r="Y50" s="96">
        <v>60904</v>
      </c>
      <c r="Z50" s="217"/>
      <c r="AA50" s="102">
        <v>15226</v>
      </c>
      <c r="AB50" s="59">
        <v>25376</v>
      </c>
      <c r="AC50" s="59"/>
      <c r="AD50" s="59">
        <v>20347</v>
      </c>
      <c r="AE50" s="172">
        <v>0.33408314724812821</v>
      </c>
      <c r="AF50" s="60"/>
      <c r="AG50" s="443"/>
      <c r="AH50" s="443"/>
      <c r="AI50"/>
      <c r="AJ50" s="394"/>
      <c r="AK50" s="479" t="str">
        <f t="shared" si="15"/>
        <v>(b) Title Deeds Restoriation Grant</v>
      </c>
      <c r="AL50" s="396">
        <f t="shared" si="16"/>
        <v>0</v>
      </c>
      <c r="AM50" s="397">
        <f t="shared" si="17"/>
        <v>0</v>
      </c>
      <c r="AN50" s="398">
        <f t="shared" si="18"/>
        <v>0</v>
      </c>
      <c r="AO50" s="398">
        <f t="shared" si="19"/>
        <v>-53974</v>
      </c>
      <c r="AP50" s="396">
        <f t="shared" si="20"/>
        <v>-53974</v>
      </c>
      <c r="AQ50" s="399"/>
      <c r="AR50" s="400">
        <f t="shared" si="21"/>
        <v>-45678</v>
      </c>
      <c r="AS50" s="398">
        <f t="shared" si="22"/>
        <v>-35528</v>
      </c>
      <c r="AT50" s="398"/>
      <c r="AU50" s="398">
        <f t="shared" si="23"/>
        <v>-23628</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157225</v>
      </c>
      <c r="E55" s="198">
        <f t="shared" ref="E55:K55" si="72">SUM(E56+E57)</f>
        <v>0</v>
      </c>
      <c r="F55" s="54">
        <f t="shared" si="72"/>
        <v>157225</v>
      </c>
      <c r="G55" s="54">
        <f t="shared" si="72"/>
        <v>0</v>
      </c>
      <c r="H55" s="95">
        <f t="shared" si="72"/>
        <v>157225</v>
      </c>
      <c r="I55" s="216">
        <f t="shared" si="72"/>
        <v>0</v>
      </c>
      <c r="J55" s="101">
        <f t="shared" si="72"/>
        <v>157225</v>
      </c>
      <c r="K55" s="54">
        <f t="shared" si="72"/>
        <v>157225</v>
      </c>
      <c r="L55" s="54"/>
      <c r="M55" s="54">
        <f>SUM(M56+M57)</f>
        <v>155900.12760000001</v>
      </c>
      <c r="N55" s="183">
        <f t="shared" ref="N55:N57" si="73">IFERROR(M55/H55,0)</f>
        <v>0.99157339863253302</v>
      </c>
      <c r="O55" s="63"/>
      <c r="P55" s="64"/>
      <c r="Q55" s="64"/>
      <c r="R55"/>
      <c r="S55" s="62"/>
      <c r="T55" s="51" t="str">
        <f>C55</f>
        <v>Public Works (Vote 11)</v>
      </c>
      <c r="U55" s="95">
        <v>157225</v>
      </c>
      <c r="V55" s="198">
        <v>0</v>
      </c>
      <c r="W55" s="54">
        <v>157225</v>
      </c>
      <c r="X55" s="54">
        <v>0</v>
      </c>
      <c r="Y55" s="95">
        <v>157225</v>
      </c>
      <c r="Z55" s="216"/>
      <c r="AA55" s="101">
        <v>110057</v>
      </c>
      <c r="AB55" s="54">
        <v>104823</v>
      </c>
      <c r="AC55" s="54"/>
      <c r="AD55" s="54">
        <v>78040.127599999993</v>
      </c>
      <c r="AE55" s="183">
        <v>0.49635953315312448</v>
      </c>
      <c r="AF55" s="63"/>
      <c r="AG55" s="444"/>
      <c r="AH55" s="444"/>
      <c r="AI55"/>
      <c r="AJ55" s="402"/>
      <c r="AK55" s="480" t="str">
        <f t="shared" si="15"/>
        <v>Public Works (Vote 11)</v>
      </c>
      <c r="AL55" s="388">
        <f t="shared" si="16"/>
        <v>0</v>
      </c>
      <c r="AM55" s="389">
        <f t="shared" si="17"/>
        <v>0</v>
      </c>
      <c r="AN55" s="390">
        <f t="shared" si="18"/>
        <v>0</v>
      </c>
      <c r="AO55" s="390">
        <f t="shared" si="19"/>
        <v>0</v>
      </c>
      <c r="AP55" s="388">
        <f t="shared" si="20"/>
        <v>0</v>
      </c>
      <c r="AQ55" s="391"/>
      <c r="AR55" s="392">
        <f t="shared" si="21"/>
        <v>-47168</v>
      </c>
      <c r="AS55" s="390">
        <f t="shared" si="22"/>
        <v>-52402</v>
      </c>
      <c r="AT55" s="390"/>
      <c r="AU55" s="390">
        <f t="shared" si="23"/>
        <v>-77860.000000000015</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106862</v>
      </c>
      <c r="E56" s="199">
        <f t="shared" ref="E56:E57" si="74">SUM(F56-D56)</f>
        <v>0</v>
      </c>
      <c r="F56" s="497">
        <v>106862</v>
      </c>
      <c r="G56" s="497">
        <v>0</v>
      </c>
      <c r="H56" s="96">
        <f t="shared" ref="H56:H57" si="75">SUM(F56:G56)</f>
        <v>106862</v>
      </c>
      <c r="I56" s="217"/>
      <c r="J56" s="499">
        <v>106862</v>
      </c>
      <c r="K56" s="497">
        <v>106862</v>
      </c>
      <c r="L56" s="59"/>
      <c r="M56" s="497">
        <v>105758.12759999999</v>
      </c>
      <c r="N56" s="172">
        <f t="shared" si="73"/>
        <v>0.98967011285583273</v>
      </c>
      <c r="O56" s="60"/>
      <c r="P56" s="56"/>
      <c r="Q56" s="56"/>
      <c r="R56"/>
      <c r="S56" s="57"/>
      <c r="T56" s="58" t="str">
        <f t="shared" ref="T56:T60" si="76">C56</f>
        <v>(a) Expanded Public Works Programme Integrated Grant for Provinces</v>
      </c>
      <c r="U56" s="96">
        <v>106862</v>
      </c>
      <c r="V56" s="199">
        <v>0</v>
      </c>
      <c r="W56" s="59">
        <v>106862</v>
      </c>
      <c r="X56" s="59">
        <v>0</v>
      </c>
      <c r="Y56" s="96">
        <v>106862</v>
      </c>
      <c r="Z56" s="217"/>
      <c r="AA56" s="102">
        <v>74804</v>
      </c>
      <c r="AB56" s="59">
        <v>69570</v>
      </c>
      <c r="AC56" s="59"/>
      <c r="AD56" s="59">
        <v>51083.127599999993</v>
      </c>
      <c r="AE56" s="172">
        <v>0.47802893077052638</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-32058</v>
      </c>
      <c r="AS56" s="398">
        <f t="shared" si="22"/>
        <v>-37292</v>
      </c>
      <c r="AT56" s="398"/>
      <c r="AU56" s="398">
        <f t="shared" si="23"/>
        <v>-54675</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50363</v>
      </c>
      <c r="E57" s="199">
        <f t="shared" si="74"/>
        <v>0</v>
      </c>
      <c r="F57" s="497">
        <v>50363</v>
      </c>
      <c r="G57" s="497">
        <v>0</v>
      </c>
      <c r="H57" s="96">
        <f t="shared" si="75"/>
        <v>50363</v>
      </c>
      <c r="I57" s="217"/>
      <c r="J57" s="499">
        <v>50363</v>
      </c>
      <c r="K57" s="497">
        <v>50363</v>
      </c>
      <c r="L57" s="59"/>
      <c r="M57" s="497">
        <v>50142</v>
      </c>
      <c r="N57" s="172">
        <f t="shared" si="73"/>
        <v>0.99561185791156204</v>
      </c>
      <c r="O57" s="60"/>
      <c r="P57" s="56"/>
      <c r="Q57" s="56"/>
      <c r="R57"/>
      <c r="S57" s="57"/>
      <c r="T57" s="58" t="str">
        <f t="shared" si="76"/>
        <v>(b) Social Sector Expanded Public Works Programme Incentive Grant for Provinces</v>
      </c>
      <c r="U57" s="96">
        <v>50363</v>
      </c>
      <c r="V57" s="199">
        <v>0</v>
      </c>
      <c r="W57" s="59">
        <v>50363</v>
      </c>
      <c r="X57" s="59">
        <v>0</v>
      </c>
      <c r="Y57" s="96">
        <v>50363</v>
      </c>
      <c r="Z57" s="217"/>
      <c r="AA57" s="102">
        <v>35253</v>
      </c>
      <c r="AB57" s="59">
        <v>35253</v>
      </c>
      <c r="AC57" s="59"/>
      <c r="AD57" s="59">
        <v>26957</v>
      </c>
      <c r="AE57" s="172">
        <v>0.53525405555665861</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-15110</v>
      </c>
      <c r="AS57" s="398">
        <f t="shared" si="22"/>
        <v>-15110</v>
      </c>
      <c r="AT57" s="398"/>
      <c r="AU57" s="398">
        <f t="shared" si="23"/>
        <v>-23185</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85397</v>
      </c>
      <c r="E62" s="198">
        <f t="shared" ref="E62:K62" si="79">SUM(E63)</f>
        <v>0</v>
      </c>
      <c r="F62" s="54">
        <f t="shared" si="79"/>
        <v>85397</v>
      </c>
      <c r="G62" s="54">
        <f t="shared" si="79"/>
        <v>3127</v>
      </c>
      <c r="H62" s="95">
        <f t="shared" si="79"/>
        <v>88524</v>
      </c>
      <c r="I62" s="216">
        <f t="shared" si="79"/>
        <v>0</v>
      </c>
      <c r="J62" s="101">
        <f t="shared" si="79"/>
        <v>85397</v>
      </c>
      <c r="K62" s="54">
        <f t="shared" si="79"/>
        <v>85397</v>
      </c>
      <c r="L62" s="54"/>
      <c r="M62" s="54">
        <f>SUM(M63)</f>
        <v>84898</v>
      </c>
      <c r="N62" s="183">
        <f t="shared" ref="N62:N63" si="80">IFERROR(M62/H62,0)</f>
        <v>0.95903935655867334</v>
      </c>
      <c r="O62" s="63"/>
      <c r="P62" s="64"/>
      <c r="Q62" s="64"/>
      <c r="R62"/>
      <c r="S62" s="62"/>
      <c r="T62" s="51" t="str">
        <f>C62</f>
        <v>Social Development (Vote 17)</v>
      </c>
      <c r="U62" s="95">
        <v>85397</v>
      </c>
      <c r="V62" s="198">
        <v>0</v>
      </c>
      <c r="W62" s="54">
        <v>85397</v>
      </c>
      <c r="X62" s="54">
        <v>0</v>
      </c>
      <c r="Y62" s="95">
        <v>85397</v>
      </c>
      <c r="Z62" s="216"/>
      <c r="AA62" s="101">
        <v>45025</v>
      </c>
      <c r="AB62" s="54">
        <v>45025</v>
      </c>
      <c r="AC62" s="54"/>
      <c r="AD62" s="54">
        <v>33094</v>
      </c>
      <c r="AE62" s="183">
        <v>0.38753117791023106</v>
      </c>
      <c r="AF62" s="63"/>
      <c r="AG62" s="444"/>
      <c r="AH62" s="444"/>
      <c r="AI62"/>
      <c r="AJ62" s="402"/>
      <c r="AK62" s="480" t="str">
        <f t="shared" si="15"/>
        <v>Social Development (Vote 17)</v>
      </c>
      <c r="AL62" s="388">
        <f t="shared" si="16"/>
        <v>0</v>
      </c>
      <c r="AM62" s="389">
        <f t="shared" si="17"/>
        <v>0</v>
      </c>
      <c r="AN62" s="390">
        <f t="shared" si="18"/>
        <v>0</v>
      </c>
      <c r="AO62" s="390">
        <f t="shared" si="19"/>
        <v>-3127</v>
      </c>
      <c r="AP62" s="388">
        <f t="shared" si="20"/>
        <v>-3127</v>
      </c>
      <c r="AQ62" s="391"/>
      <c r="AR62" s="392">
        <f t="shared" si="21"/>
        <v>-40372</v>
      </c>
      <c r="AS62" s="390">
        <f t="shared" si="22"/>
        <v>-40372</v>
      </c>
      <c r="AT62" s="390"/>
      <c r="AU62" s="390">
        <f t="shared" si="23"/>
        <v>-51804</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85397</v>
      </c>
      <c r="E63" s="199">
        <f>SUM(F63-D63)</f>
        <v>0</v>
      </c>
      <c r="F63" s="497">
        <v>85397</v>
      </c>
      <c r="G63" s="497">
        <v>3127</v>
      </c>
      <c r="H63" s="96">
        <f>SUM(F63:G63)</f>
        <v>88524</v>
      </c>
      <c r="I63" s="217"/>
      <c r="J63" s="499">
        <v>85397</v>
      </c>
      <c r="K63" s="497">
        <v>85397</v>
      </c>
      <c r="L63" s="59"/>
      <c r="M63" s="497">
        <v>84898</v>
      </c>
      <c r="N63" s="172">
        <f t="shared" si="80"/>
        <v>0.95903935655867334</v>
      </c>
      <c r="O63" s="33"/>
      <c r="P63" s="21"/>
      <c r="Q63" s="21"/>
      <c r="R63"/>
      <c r="S63" s="57"/>
      <c r="T63" s="58" t="str">
        <f t="shared" ref="T63:T67" si="81">C63</f>
        <v>Early Childhood Development Grant</v>
      </c>
      <c r="U63" s="96">
        <v>85397</v>
      </c>
      <c r="V63" s="199">
        <v>0</v>
      </c>
      <c r="W63" s="59">
        <v>85397</v>
      </c>
      <c r="X63" s="59">
        <v>0</v>
      </c>
      <c r="Y63" s="96">
        <v>85397</v>
      </c>
      <c r="Z63" s="217"/>
      <c r="AA63" s="102">
        <v>45025</v>
      </c>
      <c r="AB63" s="59">
        <v>45025</v>
      </c>
      <c r="AC63" s="59"/>
      <c r="AD63" s="59">
        <v>33094</v>
      </c>
      <c r="AE63" s="172">
        <v>0.38753117791023106</v>
      </c>
      <c r="AF63" s="33"/>
      <c r="AG63" s="441"/>
      <c r="AH63" s="441"/>
      <c r="AI63"/>
      <c r="AJ63" s="394"/>
      <c r="AK63" s="479" t="str">
        <f t="shared" si="15"/>
        <v>Early Childhood Development Grant</v>
      </c>
      <c r="AL63" s="396">
        <f t="shared" si="16"/>
        <v>0</v>
      </c>
      <c r="AM63" s="397">
        <f t="shared" si="17"/>
        <v>0</v>
      </c>
      <c r="AN63" s="398">
        <f t="shared" si="18"/>
        <v>0</v>
      </c>
      <c r="AO63" s="398">
        <f t="shared" si="19"/>
        <v>-3127</v>
      </c>
      <c r="AP63" s="396">
        <f t="shared" si="20"/>
        <v>-3127</v>
      </c>
      <c r="AQ63" s="399"/>
      <c r="AR63" s="400">
        <f t="shared" si="21"/>
        <v>-40372</v>
      </c>
      <c r="AS63" s="398">
        <f t="shared" si="22"/>
        <v>-40372</v>
      </c>
      <c r="AT63" s="398"/>
      <c r="AU63" s="398">
        <f t="shared" si="23"/>
        <v>-51804</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v>0</v>
      </c>
      <c r="V64" s="199">
        <v>0</v>
      </c>
      <c r="W64" s="59">
        <v>0</v>
      </c>
      <c r="X64" s="59">
        <v>0</v>
      </c>
      <c r="Y64" s="96">
        <v>0</v>
      </c>
      <c r="Z64" s="217"/>
      <c r="AA64" s="102">
        <v>0</v>
      </c>
      <c r="AB64" s="59">
        <v>0</v>
      </c>
      <c r="AC64" s="59"/>
      <c r="AD64" s="59">
        <v>0</v>
      </c>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70037</v>
      </c>
      <c r="E69" s="198">
        <f t="shared" ref="E69:K69" si="85">SUM(E70)</f>
        <v>0</v>
      </c>
      <c r="F69" s="54">
        <f t="shared" si="85"/>
        <v>70037</v>
      </c>
      <c r="G69" s="54">
        <f t="shared" si="85"/>
        <v>593</v>
      </c>
      <c r="H69" s="95">
        <f t="shared" si="85"/>
        <v>70630</v>
      </c>
      <c r="I69" s="216">
        <f t="shared" si="85"/>
        <v>0</v>
      </c>
      <c r="J69" s="101">
        <f t="shared" si="85"/>
        <v>70037</v>
      </c>
      <c r="K69" s="54">
        <f t="shared" si="85"/>
        <v>70037</v>
      </c>
      <c r="L69" s="54"/>
      <c r="M69" s="54">
        <f>SUM(M70)</f>
        <v>70042</v>
      </c>
      <c r="N69" s="183">
        <f t="shared" ref="N69:N70" si="86">IFERROR(M69/H69,0)</f>
        <v>0.99167492566897919</v>
      </c>
      <c r="O69" s="63"/>
      <c r="P69" s="64"/>
      <c r="Q69" s="64"/>
      <c r="R69"/>
      <c r="S69" s="62"/>
      <c r="T69" s="51" t="str">
        <f>C69</f>
        <v>Sport and Recreation South Africa (Vote 40)</v>
      </c>
      <c r="U69" s="95">
        <v>70037</v>
      </c>
      <c r="V69" s="198">
        <v>0</v>
      </c>
      <c r="W69" s="54">
        <v>70037</v>
      </c>
      <c r="X69" s="54">
        <v>0</v>
      </c>
      <c r="Y69" s="95">
        <v>70037</v>
      </c>
      <c r="Z69" s="216"/>
      <c r="AA69" s="101">
        <v>35018</v>
      </c>
      <c r="AB69" s="54">
        <v>35018</v>
      </c>
      <c r="AC69" s="59"/>
      <c r="AD69" s="54">
        <v>29735</v>
      </c>
      <c r="AE69" s="172">
        <v>0.42456130331110697</v>
      </c>
      <c r="AF69" s="63"/>
      <c r="AG69" s="444"/>
      <c r="AH69" s="444"/>
      <c r="AI69"/>
      <c r="AJ69" s="402"/>
      <c r="AK69" s="480" t="str">
        <f t="shared" si="15"/>
        <v>Sport and Recreation South Africa (Vote 40)</v>
      </c>
      <c r="AL69" s="388">
        <f t="shared" si="16"/>
        <v>0</v>
      </c>
      <c r="AM69" s="389">
        <f t="shared" si="17"/>
        <v>0</v>
      </c>
      <c r="AN69" s="390">
        <f t="shared" si="18"/>
        <v>0</v>
      </c>
      <c r="AO69" s="390">
        <f t="shared" si="19"/>
        <v>-593</v>
      </c>
      <c r="AP69" s="388">
        <f t="shared" si="20"/>
        <v>-593</v>
      </c>
      <c r="AQ69" s="391"/>
      <c r="AR69" s="392">
        <f t="shared" si="21"/>
        <v>-35019</v>
      </c>
      <c r="AS69" s="390">
        <f t="shared" si="22"/>
        <v>-35019</v>
      </c>
      <c r="AT69" s="398"/>
      <c r="AU69" s="390">
        <f t="shared" si="23"/>
        <v>-40307</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70037</v>
      </c>
      <c r="E70" s="199">
        <f>SUM(F70-D70)</f>
        <v>0</v>
      </c>
      <c r="F70" s="497">
        <v>70037</v>
      </c>
      <c r="G70" s="497">
        <v>593</v>
      </c>
      <c r="H70" s="96">
        <f>SUM(F70:G70)</f>
        <v>70630</v>
      </c>
      <c r="I70" s="217"/>
      <c r="J70" s="499">
        <v>70037</v>
      </c>
      <c r="K70" s="497">
        <v>70037</v>
      </c>
      <c r="L70" s="59"/>
      <c r="M70" s="497">
        <v>70042</v>
      </c>
      <c r="N70" s="172">
        <f t="shared" si="86"/>
        <v>0.99167492566897919</v>
      </c>
      <c r="O70" s="60"/>
      <c r="P70" s="56"/>
      <c r="Q70" s="56"/>
      <c r="R70"/>
      <c r="S70" s="57"/>
      <c r="T70" s="58" t="str">
        <f t="shared" ref="T70:T74" si="87">C70</f>
        <v>Mass Participation and Sport Development Grant</v>
      </c>
      <c r="U70" s="96">
        <v>70037</v>
      </c>
      <c r="V70" s="199">
        <v>0</v>
      </c>
      <c r="W70" s="59">
        <v>70037</v>
      </c>
      <c r="X70" s="59">
        <v>0</v>
      </c>
      <c r="Y70" s="96">
        <v>70037</v>
      </c>
      <c r="Z70" s="217"/>
      <c r="AA70" s="102">
        <v>35018</v>
      </c>
      <c r="AB70" s="59">
        <v>35018</v>
      </c>
      <c r="AC70" s="59"/>
      <c r="AD70" s="59">
        <v>29735</v>
      </c>
      <c r="AE70" s="183">
        <v>0.42456130331110697</v>
      </c>
      <c r="AF70" s="60"/>
      <c r="AG70" s="443"/>
      <c r="AH70" s="443"/>
      <c r="AI70"/>
      <c r="AJ70" s="394"/>
      <c r="AK70" s="479" t="str">
        <f t="shared" si="15"/>
        <v>Mass Participation and Sport Development Grant</v>
      </c>
      <c r="AL70" s="396">
        <f t="shared" si="16"/>
        <v>0</v>
      </c>
      <c r="AM70" s="397">
        <f t="shared" si="17"/>
        <v>0</v>
      </c>
      <c r="AN70" s="398">
        <f t="shared" si="18"/>
        <v>0</v>
      </c>
      <c r="AO70" s="398">
        <f t="shared" si="19"/>
        <v>-593</v>
      </c>
      <c r="AP70" s="396">
        <f t="shared" si="20"/>
        <v>-593</v>
      </c>
      <c r="AQ70" s="399"/>
      <c r="AR70" s="400">
        <f t="shared" si="21"/>
        <v>-35019</v>
      </c>
      <c r="AS70" s="398">
        <f t="shared" si="22"/>
        <v>-35019</v>
      </c>
      <c r="AT70" s="398"/>
      <c r="AU70" s="398">
        <f t="shared" si="23"/>
        <v>-40307</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7509078</v>
      </c>
      <c r="E76" s="201">
        <f t="shared" ref="E76:K76" si="90">SUM(E13+E20+E27+E34+E41+E48+E55+E62+E69)</f>
        <v>375421</v>
      </c>
      <c r="F76" s="75">
        <f t="shared" si="90"/>
        <v>7884499</v>
      </c>
      <c r="G76" s="75">
        <f t="shared" si="90"/>
        <v>91904</v>
      </c>
      <c r="H76" s="98">
        <f t="shared" si="90"/>
        <v>7976403</v>
      </c>
      <c r="I76" s="219">
        <f t="shared" si="90"/>
        <v>0</v>
      </c>
      <c r="J76" s="104">
        <f t="shared" si="90"/>
        <v>7884499</v>
      </c>
      <c r="K76" s="75">
        <f t="shared" si="90"/>
        <v>7884499</v>
      </c>
      <c r="L76" s="59"/>
      <c r="M76" s="75">
        <f>SUM(M13+M20+M27+M34+M41+M48+M55+M62+M69)</f>
        <v>7623863.1276000002</v>
      </c>
      <c r="N76" s="180">
        <f>IFERROR(M76/H76,0)</f>
        <v>0.95580214886334103</v>
      </c>
      <c r="O76" s="60"/>
      <c r="P76" s="65"/>
      <c r="Q76" s="65"/>
      <c r="R76"/>
      <c r="S76" s="53"/>
      <c r="T76" s="74" t="s">
        <v>37</v>
      </c>
      <c r="U76" s="98">
        <v>7509078</v>
      </c>
      <c r="V76" s="201">
        <v>0</v>
      </c>
      <c r="W76" s="75">
        <v>7509078</v>
      </c>
      <c r="X76" s="75">
        <v>0</v>
      </c>
      <c r="Y76" s="98">
        <v>7509078</v>
      </c>
      <c r="Z76" s="219">
        <v>0</v>
      </c>
      <c r="AA76" s="104">
        <v>4222558</v>
      </c>
      <c r="AB76" s="75">
        <v>4227477</v>
      </c>
      <c r="AC76" s="59"/>
      <c r="AD76" s="75">
        <v>3941460.1275999998</v>
      </c>
      <c r="AE76" s="180">
        <v>0.52489268690510338</v>
      </c>
      <c r="AF76" s="60"/>
      <c r="AG76" s="443"/>
      <c r="AH76" s="443"/>
      <c r="AI76"/>
      <c r="AJ76" s="387"/>
      <c r="AK76" s="411" t="str">
        <f t="shared" si="15"/>
        <v>Sub-Total</v>
      </c>
      <c r="AL76" s="412">
        <f t="shared" si="16"/>
        <v>0</v>
      </c>
      <c r="AM76" s="413">
        <f t="shared" si="17"/>
        <v>-375421</v>
      </c>
      <c r="AN76" s="414">
        <f t="shared" si="18"/>
        <v>-375421</v>
      </c>
      <c r="AO76" s="414">
        <f t="shared" si="19"/>
        <v>-91904</v>
      </c>
      <c r="AP76" s="412">
        <f t="shared" si="20"/>
        <v>-467325</v>
      </c>
      <c r="AQ76" s="415"/>
      <c r="AR76" s="416">
        <f t="shared" si="21"/>
        <v>-3661941</v>
      </c>
      <c r="AS76" s="414">
        <f t="shared" si="22"/>
        <v>-3657022</v>
      </c>
      <c r="AT76" s="398"/>
      <c r="AU76" s="414">
        <f t="shared" si="23"/>
        <v>-3682403.0000000005</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1585532</v>
      </c>
      <c r="E80" s="198">
        <f t="shared" ref="E80:K80" si="91">SUM(E81)</f>
        <v>127895</v>
      </c>
      <c r="F80" s="54">
        <f t="shared" si="91"/>
        <v>1713427</v>
      </c>
      <c r="G80" s="54">
        <f t="shared" si="91"/>
        <v>0</v>
      </c>
      <c r="H80" s="95">
        <f t="shared" si="91"/>
        <v>1713427</v>
      </c>
      <c r="I80" s="216">
        <f t="shared" si="91"/>
        <v>0</v>
      </c>
      <c r="J80" s="101">
        <f t="shared" si="91"/>
        <v>1713427</v>
      </c>
      <c r="K80" s="54">
        <f t="shared" si="91"/>
        <v>1713427</v>
      </c>
      <c r="L80" s="54"/>
      <c r="M80" s="76"/>
      <c r="N80" s="439"/>
      <c r="O80" s="55"/>
      <c r="R80"/>
      <c r="S80" s="62"/>
      <c r="T80" s="51" t="str">
        <f>C80</f>
        <v>Basic Education (Vote 14)</v>
      </c>
      <c r="U80" s="95">
        <v>1585532</v>
      </c>
      <c r="V80" s="198">
        <v>0</v>
      </c>
      <c r="W80" s="54">
        <v>1585532</v>
      </c>
      <c r="X80" s="54">
        <v>0</v>
      </c>
      <c r="Y80" s="95">
        <v>1585532</v>
      </c>
      <c r="Z80" s="216"/>
      <c r="AA80" s="101">
        <v>990958</v>
      </c>
      <c r="AB80" s="54">
        <v>990958</v>
      </c>
      <c r="AC80" s="59"/>
      <c r="AD80" s="54"/>
      <c r="AE80" s="54"/>
      <c r="AF80" s="55"/>
      <c r="AG80" s="442"/>
      <c r="AH80" s="442"/>
      <c r="AI80"/>
      <c r="AJ80" s="402"/>
      <c r="AK80" s="480" t="str">
        <f t="shared" si="15"/>
        <v>Basic Education (Vote 14)</v>
      </c>
      <c r="AL80" s="388">
        <f t="shared" si="16"/>
        <v>0</v>
      </c>
      <c r="AM80" s="389">
        <f t="shared" si="17"/>
        <v>-127895</v>
      </c>
      <c r="AN80" s="390">
        <f t="shared" si="18"/>
        <v>-127895</v>
      </c>
      <c r="AO80" s="390">
        <f t="shared" si="19"/>
        <v>0</v>
      </c>
      <c r="AP80" s="388">
        <f t="shared" si="20"/>
        <v>-127895</v>
      </c>
      <c r="AQ80" s="391"/>
      <c r="AR80" s="392">
        <f t="shared" si="21"/>
        <v>-722469</v>
      </c>
      <c r="AS80" s="390">
        <f t="shared" si="22"/>
        <v>-722469</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1585532</v>
      </c>
      <c r="E81" s="199">
        <f>SUM(F81-D81)</f>
        <v>127895</v>
      </c>
      <c r="F81" s="497">
        <v>1713427</v>
      </c>
      <c r="G81" s="497">
        <v>0</v>
      </c>
      <c r="H81" s="96">
        <f>SUM(F81:G81)</f>
        <v>1713427</v>
      </c>
      <c r="I81" s="217"/>
      <c r="J81" s="499">
        <v>1713427</v>
      </c>
      <c r="K81" s="497">
        <v>1713427</v>
      </c>
      <c r="L81" s="59"/>
      <c r="M81" s="76"/>
      <c r="N81" s="439"/>
      <c r="O81" s="33"/>
      <c r="R81"/>
      <c r="S81" s="57"/>
      <c r="T81" s="58" t="str">
        <f t="shared" ref="T81:T85" si="92">C81</f>
        <v>Education Infrastructure Grant</v>
      </c>
      <c r="U81" s="96">
        <v>1585532</v>
      </c>
      <c r="V81" s="199">
        <v>0</v>
      </c>
      <c r="W81" s="59">
        <v>1585532</v>
      </c>
      <c r="X81" s="59">
        <v>0</v>
      </c>
      <c r="Y81" s="96">
        <v>1585532</v>
      </c>
      <c r="Z81" s="217"/>
      <c r="AA81" s="102">
        <v>990958</v>
      </c>
      <c r="AB81" s="59">
        <v>990958</v>
      </c>
      <c r="AC81" s="59"/>
      <c r="AD81" s="76"/>
      <c r="AE81" s="76"/>
      <c r="AF81" s="33"/>
      <c r="AG81" s="441"/>
      <c r="AH81" s="441"/>
      <c r="AI81"/>
      <c r="AJ81" s="394"/>
      <c r="AK81" s="479" t="str">
        <f t="shared" si="15"/>
        <v>Education Infrastructure Grant</v>
      </c>
      <c r="AL81" s="396">
        <f t="shared" si="16"/>
        <v>0</v>
      </c>
      <c r="AM81" s="397">
        <f t="shared" si="17"/>
        <v>-127895</v>
      </c>
      <c r="AN81" s="398">
        <f t="shared" si="18"/>
        <v>-127895</v>
      </c>
      <c r="AO81" s="398">
        <f t="shared" si="19"/>
        <v>0</v>
      </c>
      <c r="AP81" s="396">
        <f t="shared" si="20"/>
        <v>-127895</v>
      </c>
      <c r="AQ81" s="399"/>
      <c r="AR81" s="400">
        <f t="shared" si="21"/>
        <v>-722469</v>
      </c>
      <c r="AS81" s="398">
        <f t="shared" si="22"/>
        <v>-722469</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1248569</v>
      </c>
      <c r="E87" s="198">
        <f t="shared" ref="E87:K87" si="104">SUM(E88+E89)</f>
        <v>0</v>
      </c>
      <c r="F87" s="54">
        <f t="shared" si="104"/>
        <v>1248569</v>
      </c>
      <c r="G87" s="54">
        <f t="shared" si="104"/>
        <v>4218</v>
      </c>
      <c r="H87" s="95">
        <f t="shared" si="104"/>
        <v>1252787</v>
      </c>
      <c r="I87" s="216">
        <f t="shared" si="104"/>
        <v>0</v>
      </c>
      <c r="J87" s="101">
        <f t="shared" si="104"/>
        <v>1248569</v>
      </c>
      <c r="K87" s="54">
        <f t="shared" si="104"/>
        <v>1248569</v>
      </c>
      <c r="L87" s="59"/>
      <c r="M87" s="591"/>
      <c r="N87" s="439"/>
      <c r="O87" s="55"/>
      <c r="R87"/>
      <c r="S87" s="62"/>
      <c r="T87" s="51" t="str">
        <f>C87</f>
        <v>Health (Vote 16)</v>
      </c>
      <c r="U87" s="95">
        <v>1248569</v>
      </c>
      <c r="V87" s="198">
        <v>0</v>
      </c>
      <c r="W87" s="54">
        <v>1248569</v>
      </c>
      <c r="X87" s="54">
        <v>0</v>
      </c>
      <c r="Y87" s="95">
        <v>1248569</v>
      </c>
      <c r="Z87" s="216"/>
      <c r="AA87" s="101">
        <v>624282</v>
      </c>
      <c r="AB87" s="54">
        <v>624282</v>
      </c>
      <c r="AC87" s="59"/>
      <c r="AD87" s="54"/>
      <c r="AE87" s="172"/>
      <c r="AF87" s="55"/>
      <c r="AG87" s="442"/>
      <c r="AH87" s="442"/>
      <c r="AI87"/>
      <c r="AJ87" s="402"/>
      <c r="AK87" s="480" t="str">
        <f t="shared" si="95"/>
        <v>Health (Vote 16)</v>
      </c>
      <c r="AL87" s="388">
        <f t="shared" si="96"/>
        <v>0</v>
      </c>
      <c r="AM87" s="389">
        <f t="shared" si="97"/>
        <v>0</v>
      </c>
      <c r="AN87" s="390">
        <f t="shared" si="98"/>
        <v>0</v>
      </c>
      <c r="AO87" s="390">
        <f t="shared" si="99"/>
        <v>-4218</v>
      </c>
      <c r="AP87" s="388">
        <f t="shared" si="100"/>
        <v>-4218</v>
      </c>
      <c r="AQ87" s="391"/>
      <c r="AR87" s="392">
        <f t="shared" si="101"/>
        <v>-624287</v>
      </c>
      <c r="AS87" s="390">
        <f t="shared" si="102"/>
        <v>-624287</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253131</v>
      </c>
      <c r="E88" s="199">
        <f t="shared" ref="E88:E89" si="105">SUM(F88-D88)</f>
        <v>0</v>
      </c>
      <c r="F88" s="497">
        <v>253131</v>
      </c>
      <c r="G88" s="497">
        <v>201</v>
      </c>
      <c r="H88" s="96">
        <f t="shared" ref="H88:H89" si="106">SUM(F88:G88)</f>
        <v>253332</v>
      </c>
      <c r="I88" s="217"/>
      <c r="J88" s="499">
        <v>253131</v>
      </c>
      <c r="K88" s="497">
        <v>253131</v>
      </c>
      <c r="L88" s="59"/>
      <c r="M88" s="76"/>
      <c r="N88" s="439"/>
      <c r="O88" s="33"/>
      <c r="P88" s="21"/>
      <c r="Q88" s="21"/>
      <c r="R88"/>
      <c r="S88" s="57"/>
      <c r="T88" s="58" t="str">
        <f t="shared" ref="T88:T92" si="107">C88</f>
        <v>(a) Health Professions Training and Development Grant</v>
      </c>
      <c r="U88" s="96">
        <v>253131</v>
      </c>
      <c r="V88" s="199">
        <v>0</v>
      </c>
      <c r="W88" s="59">
        <v>253131</v>
      </c>
      <c r="X88" s="59">
        <v>0</v>
      </c>
      <c r="Y88" s="96">
        <v>253131</v>
      </c>
      <c r="Z88" s="217"/>
      <c r="AA88" s="102">
        <v>126564</v>
      </c>
      <c r="AB88" s="59">
        <v>126564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-201</v>
      </c>
      <c r="AP88" s="396">
        <f t="shared" si="100"/>
        <v>-201</v>
      </c>
      <c r="AQ88" s="399"/>
      <c r="AR88" s="400">
        <f t="shared" si="101"/>
        <v>-126567</v>
      </c>
      <c r="AS88" s="398">
        <f t="shared" si="102"/>
        <v>-126567</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995438</v>
      </c>
      <c r="E89" s="199">
        <f t="shared" si="105"/>
        <v>0</v>
      </c>
      <c r="F89" s="497">
        <v>995438</v>
      </c>
      <c r="G89" s="497">
        <v>4017</v>
      </c>
      <c r="H89" s="96">
        <f t="shared" si="106"/>
        <v>999455</v>
      </c>
      <c r="I89" s="217"/>
      <c r="J89" s="499">
        <v>995438</v>
      </c>
      <c r="K89" s="497">
        <v>995438</v>
      </c>
      <c r="L89" s="59"/>
      <c r="M89" s="76"/>
      <c r="N89" s="439"/>
      <c r="O89" s="33"/>
      <c r="S89" s="57"/>
      <c r="T89" s="58" t="str">
        <f t="shared" si="107"/>
        <v>(b) National Tertiary Services Grant</v>
      </c>
      <c r="U89" s="96">
        <v>995438</v>
      </c>
      <c r="V89" s="199">
        <v>0</v>
      </c>
      <c r="W89" s="59">
        <v>995438</v>
      </c>
      <c r="X89" s="59">
        <v>0</v>
      </c>
      <c r="Y89" s="96">
        <v>995438</v>
      </c>
      <c r="Z89" s="217"/>
      <c r="AA89" s="102">
        <v>497718</v>
      </c>
      <c r="AB89" s="59">
        <v>497718</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-4017</v>
      </c>
      <c r="AP89" s="396">
        <f t="shared" si="100"/>
        <v>-4017</v>
      </c>
      <c r="AQ89" s="399"/>
      <c r="AR89" s="400">
        <f t="shared" si="101"/>
        <v>-497720</v>
      </c>
      <c r="AS89" s="398">
        <f t="shared" si="102"/>
        <v>-497720</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hidden="1"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0">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v>0</v>
      </c>
      <c r="E95" s="199">
        <f>F95-D95</f>
        <v>0</v>
      </c>
      <c r="F95" s="59">
        <v>0</v>
      </c>
      <c r="G95" s="59">
        <v>0</v>
      </c>
      <c r="H95" s="96">
        <f>SUM(F95:G95)</f>
        <v>0</v>
      </c>
      <c r="I95" s="217"/>
      <c r="J95" s="102">
        <v>0</v>
      </c>
      <c r="K95" s="59">
        <v>0</v>
      </c>
      <c r="L95" s="59"/>
      <c r="M95" s="76"/>
      <c r="N95" s="439"/>
      <c r="O95" s="60"/>
      <c r="P95" s="56"/>
      <c r="Q95" s="56"/>
      <c r="R95"/>
      <c r="S95" s="57"/>
      <c r="T95" s="58">
        <f t="shared" ref="T95:T99" si="110">C95</f>
        <v>0</v>
      </c>
      <c r="U95" s="96">
        <v>0</v>
      </c>
      <c r="V95" s="199">
        <v>0</v>
      </c>
      <c r="W95" s="59">
        <v>0</v>
      </c>
      <c r="X95" s="59">
        <v>0</v>
      </c>
      <c r="Y95" s="96">
        <v>0</v>
      </c>
      <c r="Z95" s="217"/>
      <c r="AA95" s="102">
        <v>0</v>
      </c>
      <c r="AB95" s="59">
        <v>0</v>
      </c>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1735654</v>
      </c>
      <c r="E101" s="198">
        <f t="shared" ref="E101:K101" si="113">SUM(E102+E103)</f>
        <v>60733</v>
      </c>
      <c r="F101" s="54">
        <f t="shared" si="113"/>
        <v>1796387</v>
      </c>
      <c r="G101" s="54">
        <f t="shared" si="113"/>
        <v>9500</v>
      </c>
      <c r="H101" s="95">
        <f t="shared" si="113"/>
        <v>1805887</v>
      </c>
      <c r="I101" s="216">
        <f t="shared" si="113"/>
        <v>0</v>
      </c>
      <c r="J101" s="101">
        <f t="shared" si="113"/>
        <v>1796387</v>
      </c>
      <c r="K101" s="54">
        <f t="shared" si="113"/>
        <v>1796387</v>
      </c>
      <c r="L101" s="59"/>
      <c r="M101" s="591"/>
      <c r="N101" s="439"/>
      <c r="O101" s="55"/>
      <c r="R101"/>
      <c r="S101" s="62"/>
      <c r="T101" s="51" t="str">
        <f>C101</f>
        <v>Transport (Vote 35)</v>
      </c>
      <c r="U101" s="95">
        <v>1735654</v>
      </c>
      <c r="V101" s="198">
        <v>0</v>
      </c>
      <c r="W101" s="54">
        <v>1735654</v>
      </c>
      <c r="X101" s="54">
        <v>0</v>
      </c>
      <c r="Y101" s="95">
        <v>1735654</v>
      </c>
      <c r="Z101" s="216"/>
      <c r="AA101" s="101">
        <v>1018416</v>
      </c>
      <c r="AB101" s="54">
        <v>1018416</v>
      </c>
      <c r="AC101" s="59"/>
      <c r="AD101" s="54"/>
      <c r="AE101" s="172"/>
      <c r="AF101" s="55"/>
      <c r="AG101" s="442"/>
      <c r="AH101" s="442"/>
      <c r="AI101"/>
      <c r="AJ101" s="402"/>
      <c r="AK101" s="480" t="str">
        <f t="shared" si="95"/>
        <v>Transport (Vote 35)</v>
      </c>
      <c r="AL101" s="388">
        <f t="shared" si="96"/>
        <v>0</v>
      </c>
      <c r="AM101" s="389">
        <f t="shared" si="97"/>
        <v>-60733</v>
      </c>
      <c r="AN101" s="390">
        <f t="shared" si="98"/>
        <v>-60733</v>
      </c>
      <c r="AO101" s="390">
        <f t="shared" si="99"/>
        <v>-9500</v>
      </c>
      <c r="AP101" s="388">
        <f t="shared" si="100"/>
        <v>-70233</v>
      </c>
      <c r="AQ101" s="391"/>
      <c r="AR101" s="392">
        <f t="shared" si="101"/>
        <v>-777971</v>
      </c>
      <c r="AS101" s="390">
        <f t="shared" si="102"/>
        <v>-777971</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1483539</v>
      </c>
      <c r="E102" s="199">
        <f t="shared" ref="E102:E103" si="114">SUM(F102-D102)</f>
        <v>60733</v>
      </c>
      <c r="F102" s="497">
        <v>1544272</v>
      </c>
      <c r="G102" s="497">
        <v>9500</v>
      </c>
      <c r="H102" s="96">
        <f t="shared" ref="H102:H103" si="115">SUM(F102:G102)</f>
        <v>1553772</v>
      </c>
      <c r="I102" s="217"/>
      <c r="J102" s="499">
        <v>1544272</v>
      </c>
      <c r="K102" s="497">
        <v>1544272</v>
      </c>
      <c r="L102" s="59"/>
      <c r="M102" s="76"/>
      <c r="N102" s="439"/>
      <c r="O102" s="33"/>
      <c r="S102" s="57"/>
      <c r="T102" s="58" t="str">
        <f t="shared" ref="T102:T106" si="116">C102</f>
        <v>(a) Provincial Roads Maintenance Grant</v>
      </c>
      <c r="U102" s="96">
        <v>1483539</v>
      </c>
      <c r="V102" s="199">
        <v>0</v>
      </c>
      <c r="W102" s="59">
        <v>1483539</v>
      </c>
      <c r="X102" s="59">
        <v>0</v>
      </c>
      <c r="Y102" s="96">
        <v>1483539</v>
      </c>
      <c r="Z102" s="217"/>
      <c r="AA102" s="102">
        <v>903816</v>
      </c>
      <c r="AB102" s="59">
        <v>903816</v>
      </c>
      <c r="AC102" s="59"/>
      <c r="AD102" s="76"/>
      <c r="AE102" s="76"/>
      <c r="AF102" s="33"/>
      <c r="AG102" s="441"/>
      <c r="AH102" s="441"/>
      <c r="AJ102" s="394"/>
      <c r="AK102" s="479" t="str">
        <f t="shared" si="95"/>
        <v>(a) Provincial Roads Maintenance Grant</v>
      </c>
      <c r="AL102" s="396">
        <f t="shared" si="96"/>
        <v>0</v>
      </c>
      <c r="AM102" s="397">
        <f t="shared" si="97"/>
        <v>-60733</v>
      </c>
      <c r="AN102" s="398">
        <f t="shared" si="98"/>
        <v>-60733</v>
      </c>
      <c r="AO102" s="398">
        <f t="shared" si="99"/>
        <v>-9500</v>
      </c>
      <c r="AP102" s="396">
        <f t="shared" si="100"/>
        <v>-70233</v>
      </c>
      <c r="AQ102" s="399"/>
      <c r="AR102" s="400">
        <f t="shared" si="101"/>
        <v>-640456</v>
      </c>
      <c r="AS102" s="398">
        <f t="shared" si="102"/>
        <v>-640456</v>
      </c>
      <c r="AT102" s="398"/>
      <c r="AU102" s="417">
        <f t="shared" si="103"/>
        <v>0</v>
      </c>
      <c r="AV102" s="417"/>
      <c r="AW102" s="347"/>
    </row>
    <row r="103" spans="1:82" ht="15.75" customHeight="1" x14ac:dyDescent="0.3">
      <c r="B103" s="57"/>
      <c r="C103" s="58" t="s">
        <v>44</v>
      </c>
      <c r="D103" s="496">
        <v>252115</v>
      </c>
      <c r="E103" s="199">
        <f t="shared" si="114"/>
        <v>0</v>
      </c>
      <c r="F103" s="497">
        <v>252115</v>
      </c>
      <c r="G103" s="497">
        <v>0</v>
      </c>
      <c r="H103" s="96">
        <f t="shared" si="115"/>
        <v>252115</v>
      </c>
      <c r="I103" s="217"/>
      <c r="J103" s="499">
        <v>252115</v>
      </c>
      <c r="K103" s="497">
        <v>252115</v>
      </c>
      <c r="L103" s="59"/>
      <c r="M103" s="76"/>
      <c r="N103" s="439"/>
      <c r="O103" s="33"/>
      <c r="S103" s="57"/>
      <c r="T103" s="58" t="str">
        <f t="shared" si="116"/>
        <v>(b) Public Transport Operations Grant</v>
      </c>
      <c r="U103" s="96">
        <v>252115</v>
      </c>
      <c r="V103" s="199">
        <v>0</v>
      </c>
      <c r="W103" s="59">
        <v>252115</v>
      </c>
      <c r="X103" s="59">
        <v>0</v>
      </c>
      <c r="Y103" s="96">
        <v>252115</v>
      </c>
      <c r="Z103" s="217"/>
      <c r="AA103" s="102">
        <v>114600</v>
      </c>
      <c r="AB103" s="59">
        <v>114600</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-137515</v>
      </c>
      <c r="AS103" s="398">
        <f t="shared" si="102"/>
        <v>-137515</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4569755</v>
      </c>
      <c r="E108" s="201">
        <f t="shared" ref="E108:K108" si="119">SUM(E80+E87+E101)</f>
        <v>188628</v>
      </c>
      <c r="F108" s="75">
        <f t="shared" si="119"/>
        <v>4758383</v>
      </c>
      <c r="G108" s="75">
        <f t="shared" si="119"/>
        <v>13718</v>
      </c>
      <c r="H108" s="98">
        <f t="shared" si="119"/>
        <v>4772101</v>
      </c>
      <c r="I108" s="219">
        <f t="shared" si="119"/>
        <v>0</v>
      </c>
      <c r="J108" s="104">
        <f t="shared" si="119"/>
        <v>4758383</v>
      </c>
      <c r="K108" s="75">
        <f t="shared" si="119"/>
        <v>4758383</v>
      </c>
      <c r="L108" s="59"/>
      <c r="M108" s="77"/>
      <c r="N108" s="440"/>
      <c r="O108" s="55"/>
      <c r="R108"/>
      <c r="S108" s="53"/>
      <c r="T108" s="74" t="s">
        <v>37</v>
      </c>
      <c r="U108" s="98">
        <v>4569755</v>
      </c>
      <c r="V108" s="201">
        <v>0</v>
      </c>
      <c r="W108" s="75">
        <v>4569755</v>
      </c>
      <c r="X108" s="75">
        <v>0</v>
      </c>
      <c r="Y108" s="98">
        <v>4569755</v>
      </c>
      <c r="Z108" s="219"/>
      <c r="AA108" s="104">
        <v>2633656</v>
      </c>
      <c r="AB108" s="75">
        <v>2633656</v>
      </c>
      <c r="AC108" s="59"/>
      <c r="AD108" s="77"/>
      <c r="AE108" s="77"/>
      <c r="AF108" s="55"/>
      <c r="AG108" s="442"/>
      <c r="AH108" s="442"/>
      <c r="AI108"/>
      <c r="AJ108" s="387"/>
      <c r="AK108" s="411" t="str">
        <f t="shared" si="95"/>
        <v>Sub-Total</v>
      </c>
      <c r="AL108" s="412">
        <f t="shared" si="96"/>
        <v>0</v>
      </c>
      <c r="AM108" s="413">
        <f t="shared" si="97"/>
        <v>-188628</v>
      </c>
      <c r="AN108" s="414">
        <f t="shared" si="98"/>
        <v>-188628</v>
      </c>
      <c r="AO108" s="414">
        <f t="shared" si="99"/>
        <v>-13718</v>
      </c>
      <c r="AP108" s="412">
        <f t="shared" si="100"/>
        <v>-202346</v>
      </c>
      <c r="AQ108" s="415"/>
      <c r="AR108" s="416">
        <f t="shared" si="101"/>
        <v>-2124727</v>
      </c>
      <c r="AS108" s="414">
        <f t="shared" si="102"/>
        <v>-2124727</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0"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90153</v>
      </c>
      <c r="F117" s="54">
        <f t="shared" si="124"/>
        <v>90153</v>
      </c>
      <c r="G117" s="54">
        <f t="shared" si="124"/>
        <v>0</v>
      </c>
      <c r="H117" s="95">
        <f t="shared" si="124"/>
        <v>90153</v>
      </c>
      <c r="I117" s="216"/>
      <c r="J117" s="105"/>
      <c r="K117" s="54">
        <f>SUM(K118)</f>
        <v>90153</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0" t="str">
        <f t="shared" si="95"/>
        <v>Human Settlements (Vote 38)</v>
      </c>
      <c r="AL117" s="388">
        <f t="shared" si="96"/>
        <v>0</v>
      </c>
      <c r="AM117" s="389">
        <f t="shared" si="97"/>
        <v>-90153</v>
      </c>
      <c r="AN117" s="390">
        <f t="shared" si="98"/>
        <v>-90153</v>
      </c>
      <c r="AO117" s="390">
        <f t="shared" si="99"/>
        <v>0</v>
      </c>
      <c r="AP117" s="388">
        <f t="shared" si="100"/>
        <v>-90153</v>
      </c>
      <c r="AQ117" s="391"/>
      <c r="AR117" s="392">
        <f t="shared" si="101"/>
        <v>0</v>
      </c>
      <c r="AS117" s="390">
        <f t="shared" si="102"/>
        <v>-90153</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90153</v>
      </c>
      <c r="F118" s="501">
        <v>90153</v>
      </c>
      <c r="G118" s="503">
        <v>0</v>
      </c>
      <c r="H118" s="96">
        <f>SUM(F118:G118)</f>
        <v>90153</v>
      </c>
      <c r="I118" s="217"/>
      <c r="J118" s="105"/>
      <c r="K118" s="497">
        <v>90153</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-90153</v>
      </c>
      <c r="AN118" s="398">
        <f t="shared" si="98"/>
        <v>-90153</v>
      </c>
      <c r="AO118" s="398">
        <f t="shared" si="99"/>
        <v>0</v>
      </c>
      <c r="AP118" s="396">
        <f t="shared" si="100"/>
        <v>-90153</v>
      </c>
      <c r="AQ118" s="399"/>
      <c r="AR118" s="419">
        <f t="shared" si="101"/>
        <v>0</v>
      </c>
      <c r="AS118" s="398">
        <f t="shared" si="102"/>
        <v>-90153</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90153</v>
      </c>
      <c r="F122" s="75">
        <f t="shared" si="126"/>
        <v>90153</v>
      </c>
      <c r="G122" s="75">
        <f t="shared" si="126"/>
        <v>0</v>
      </c>
      <c r="H122" s="98">
        <f t="shared" si="126"/>
        <v>90153</v>
      </c>
      <c r="I122" s="433"/>
      <c r="J122" s="432"/>
      <c r="K122" s="75">
        <f>SUM(K112+K117)</f>
        <v>90153</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-90153</v>
      </c>
      <c r="AN122" s="414">
        <f t="shared" si="98"/>
        <v>-90153</v>
      </c>
      <c r="AO122" s="414">
        <f t="shared" si="99"/>
        <v>0</v>
      </c>
      <c r="AP122" s="412">
        <f t="shared" si="100"/>
        <v>-90153</v>
      </c>
      <c r="AQ122" s="434"/>
      <c r="AR122" s="432">
        <f t="shared" si="101"/>
        <v>0</v>
      </c>
      <c r="AS122" s="414">
        <f t="shared" si="102"/>
        <v>-90153</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12078833</v>
      </c>
      <c r="E124" s="202">
        <f t="shared" ref="E124:K124" si="127">SUM(E76+E108+E122)</f>
        <v>654202</v>
      </c>
      <c r="F124" s="81">
        <f t="shared" si="127"/>
        <v>12733035</v>
      </c>
      <c r="G124" s="81">
        <f t="shared" si="127"/>
        <v>105622</v>
      </c>
      <c r="H124" s="80">
        <f t="shared" si="127"/>
        <v>12838657</v>
      </c>
      <c r="I124" s="220">
        <f t="shared" si="127"/>
        <v>0</v>
      </c>
      <c r="J124" s="106">
        <f t="shared" si="127"/>
        <v>12642882</v>
      </c>
      <c r="K124" s="81">
        <f t="shared" si="127"/>
        <v>12733035</v>
      </c>
      <c r="L124" s="59"/>
      <c r="M124" s="82"/>
      <c r="N124" s="440"/>
      <c r="O124" s="55"/>
      <c r="R124"/>
      <c r="S124" s="78"/>
      <c r="T124" s="79" t="s">
        <v>4</v>
      </c>
      <c r="U124" s="80">
        <v>12078833</v>
      </c>
      <c r="V124" s="202">
        <v>0</v>
      </c>
      <c r="W124" s="81">
        <v>12078833</v>
      </c>
      <c r="X124" s="81">
        <v>0</v>
      </c>
      <c r="Y124" s="80">
        <v>12078833</v>
      </c>
      <c r="Z124" s="220"/>
      <c r="AA124" s="106">
        <v>6856214</v>
      </c>
      <c r="AB124" s="81">
        <v>6861133</v>
      </c>
      <c r="AC124" s="59"/>
      <c r="AD124" s="82"/>
      <c r="AE124" s="82"/>
      <c r="AF124" s="55"/>
      <c r="AG124" s="442"/>
      <c r="AH124" s="442"/>
      <c r="AI124"/>
      <c r="AJ124" s="420"/>
      <c r="AK124" s="421" t="str">
        <f t="shared" si="95"/>
        <v>Total</v>
      </c>
      <c r="AL124" s="422">
        <f t="shared" si="96"/>
        <v>0</v>
      </c>
      <c r="AM124" s="423">
        <f t="shared" si="97"/>
        <v>-654202</v>
      </c>
      <c r="AN124" s="424">
        <f t="shared" si="98"/>
        <v>-654202</v>
      </c>
      <c r="AO124" s="424">
        <f t="shared" si="99"/>
        <v>-105622</v>
      </c>
      <c r="AP124" s="422">
        <f t="shared" si="100"/>
        <v>-759824</v>
      </c>
      <c r="AQ124" s="425"/>
      <c r="AR124" s="426">
        <f t="shared" si="101"/>
        <v>-5786668</v>
      </c>
      <c r="AS124" s="424">
        <f t="shared" si="102"/>
        <v>-5871902</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qaDfps3TfO867twD7N/uUadyKXsjEGDlb8fPRvRnwLvFlPs+CG4jfX7hRXvXfqvDwG0n3R5aPFGnsFWCwLAi7Q==" saltValue="M94+Fc5c31uwcLWqaVUvkA=="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172</v>
      </c>
      <c r="D4" s="8"/>
      <c r="E4" s="8"/>
      <c r="F4" s="8"/>
      <c r="G4" s="8"/>
      <c r="H4" s="8"/>
      <c r="I4" s="8"/>
      <c r="J4" s="8"/>
      <c r="K4" s="8"/>
      <c r="L4" s="8"/>
      <c r="M4" s="8"/>
      <c r="N4" s="8"/>
      <c r="O4" s="11"/>
      <c r="P4"/>
      <c r="Q4"/>
      <c r="R4"/>
      <c r="S4" s="6"/>
      <c r="T4" s="10" t="str">
        <f>C4</f>
        <v>FREE STATE PROVINCE</v>
      </c>
      <c r="U4" s="8"/>
      <c r="V4" s="8"/>
      <c r="W4" s="8"/>
      <c r="X4" s="8"/>
      <c r="Y4" s="8"/>
      <c r="Z4" s="8"/>
      <c r="AA4" s="8"/>
      <c r="AB4" s="8"/>
      <c r="AC4" s="8"/>
      <c r="AD4" s="8"/>
      <c r="AE4" s="8"/>
      <c r="AF4" s="11"/>
      <c r="AG4"/>
      <c r="AH4"/>
      <c r="AI4"/>
      <c r="AJ4" s="234"/>
      <c r="AK4" s="238" t="str">
        <f>C4</f>
        <v>FREE STATE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36049396</v>
      </c>
      <c r="E12" s="152">
        <f>SUM(E13:E14)</f>
        <v>-88864</v>
      </c>
      <c r="F12" s="153">
        <f>SUM(F13:F14)</f>
        <v>35960532</v>
      </c>
      <c r="G12" s="152"/>
      <c r="H12" s="154">
        <f>SUM(H13:H14)</f>
        <v>9078705</v>
      </c>
      <c r="I12" s="155">
        <f>SUM(I13:I14)</f>
        <v>9249793</v>
      </c>
      <c r="J12" s="155">
        <f>SUM(J13:J14)</f>
        <v>8947601</v>
      </c>
      <c r="K12" s="155">
        <f>SUM(K13:K14)</f>
        <v>8675973</v>
      </c>
      <c r="L12" s="156"/>
      <c r="M12" s="155">
        <f t="shared" ref="M12" si="0">SUM(M13:M14)</f>
        <v>35952072</v>
      </c>
      <c r="N12" s="183">
        <f>IFERROR(M12/F12,0)</f>
        <v>0.9997647420788992</v>
      </c>
      <c r="O12" s="158"/>
      <c r="P12" s="594"/>
      <c r="Q12"/>
      <c r="R12"/>
      <c r="S12" s="119"/>
      <c r="T12" s="151" t="str">
        <f>C12</f>
        <v>Transfers from National Revenue Fund</v>
      </c>
      <c r="U12" s="152">
        <v>36049396</v>
      </c>
      <c r="V12" s="152">
        <v>0</v>
      </c>
      <c r="W12" s="153">
        <v>36049396</v>
      </c>
      <c r="X12" s="152"/>
      <c r="Y12" s="154">
        <v>9078705</v>
      </c>
      <c r="Z12" s="155">
        <v>9249793</v>
      </c>
      <c r="AA12" s="155">
        <v>0</v>
      </c>
      <c r="AB12" s="155">
        <v>0</v>
      </c>
      <c r="AC12" s="156"/>
      <c r="AD12" s="155">
        <v>18328498</v>
      </c>
      <c r="AE12" s="172">
        <v>0.50842732566171145</v>
      </c>
      <c r="AF12" s="144"/>
      <c r="AG12" s="118"/>
      <c r="AH12"/>
      <c r="AI12"/>
      <c r="AJ12" s="248"/>
      <c r="AK12" s="284" t="s">
        <v>8</v>
      </c>
      <c r="AL12" s="285">
        <f>SUM(AL13:AL14)</f>
        <v>0</v>
      </c>
      <c r="AM12" s="285">
        <f>SUM(AM13:AM14)</f>
        <v>88864</v>
      </c>
      <c r="AN12" s="286">
        <f>SUM(AN13:AN14)</f>
        <v>88864</v>
      </c>
      <c r="AO12" s="285"/>
      <c r="AP12" s="287">
        <f>SUM(AP13:AP14)</f>
        <v>0</v>
      </c>
      <c r="AQ12" s="288">
        <f t="shared" ref="AQ12:AS12" si="1">SUM(AQ13:AQ14)</f>
        <v>0</v>
      </c>
      <c r="AR12" s="288">
        <f t="shared" si="1"/>
        <v>-8947601</v>
      </c>
      <c r="AS12" s="288">
        <f t="shared" si="1"/>
        <v>-8675973</v>
      </c>
      <c r="AT12" s="289"/>
      <c r="AU12" s="288">
        <f t="shared" ref="AU12" si="2">SUM(AU13:AU14)</f>
        <v>-17623574</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28186642</v>
      </c>
      <c r="E13" s="482">
        <f>F13-D13</f>
        <v>0</v>
      </c>
      <c r="F13" s="483">
        <v>28186642</v>
      </c>
      <c r="G13" s="482"/>
      <c r="H13" s="484">
        <v>7046661</v>
      </c>
      <c r="I13" s="485">
        <v>7046661</v>
      </c>
      <c r="J13" s="485">
        <v>7046661</v>
      </c>
      <c r="K13" s="485">
        <v>7046659</v>
      </c>
      <c r="L13" s="150"/>
      <c r="M13" s="147">
        <f>SUM(H13:K13)</f>
        <v>28186642</v>
      </c>
      <c r="N13" s="172">
        <f t="shared" ref="N13:N14" si="3">IFERROR(M13/F13,0)</f>
        <v>1</v>
      </c>
      <c r="O13" s="158"/>
      <c r="P13" s="118"/>
      <c r="Q13"/>
      <c r="R13"/>
      <c r="S13" s="119"/>
      <c r="T13" s="157" t="str">
        <f t="shared" ref="T13:T15" si="4">C13</f>
        <v>Equitable share of revenue</v>
      </c>
      <c r="U13" s="146">
        <v>28186642</v>
      </c>
      <c r="V13" s="146">
        <v>0</v>
      </c>
      <c r="W13" s="148">
        <v>28186642</v>
      </c>
      <c r="X13" s="146"/>
      <c r="Y13" s="149">
        <v>7046661</v>
      </c>
      <c r="Z13" s="224">
        <v>7046661</v>
      </c>
      <c r="AA13" s="224"/>
      <c r="AB13" s="224"/>
      <c r="AC13" s="150"/>
      <c r="AD13" s="147">
        <v>14093322</v>
      </c>
      <c r="AE13" s="172">
        <v>0.50000003547779837</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-7046661</v>
      </c>
      <c r="AS13" s="283">
        <f t="shared" si="6"/>
        <v>-7046659</v>
      </c>
      <c r="AT13" s="280"/>
      <c r="AU13" s="283">
        <f t="shared" ref="AU13:AU15" si="7">IFERROR(AD13-M13,0)</f>
        <v>-14093320</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7862754</v>
      </c>
      <c r="E14" s="482">
        <f t="shared" ref="E14:E15" si="8">F14-D14</f>
        <v>-88864</v>
      </c>
      <c r="F14" s="483">
        <v>7773890</v>
      </c>
      <c r="G14" s="486"/>
      <c r="H14" s="484">
        <v>2032044</v>
      </c>
      <c r="I14" s="485">
        <v>2203132</v>
      </c>
      <c r="J14" s="485">
        <v>1900940</v>
      </c>
      <c r="K14" s="485">
        <v>1629314</v>
      </c>
      <c r="L14" s="162"/>
      <c r="M14" s="147">
        <f t="shared" ref="M14:M15" si="9">SUM(H14:K14)</f>
        <v>7765430</v>
      </c>
      <c r="N14" s="172">
        <f t="shared" si="3"/>
        <v>0.99891174174062147</v>
      </c>
      <c r="O14" s="163"/>
      <c r="P14" s="118"/>
      <c r="Q14"/>
      <c r="R14"/>
      <c r="S14" s="159"/>
      <c r="T14" s="160" t="str">
        <f t="shared" si="4"/>
        <v>Conditional grants</v>
      </c>
      <c r="U14" s="146">
        <v>7862754</v>
      </c>
      <c r="V14" s="146">
        <v>0</v>
      </c>
      <c r="W14" s="148">
        <v>7862754</v>
      </c>
      <c r="X14" s="161"/>
      <c r="Y14" s="149">
        <v>2032044</v>
      </c>
      <c r="Z14" s="224">
        <v>2203132</v>
      </c>
      <c r="AA14" s="224"/>
      <c r="AB14" s="224"/>
      <c r="AC14" s="162"/>
      <c r="AD14" s="147">
        <v>4235176</v>
      </c>
      <c r="AE14" s="172">
        <v>0.53863773431039552</v>
      </c>
      <c r="AF14" s="163"/>
      <c r="AG14" s="118"/>
      <c r="AH14" s="61"/>
      <c r="AI14"/>
      <c r="AJ14" s="293"/>
      <c r="AK14" s="294" t="s">
        <v>72</v>
      </c>
      <c r="AL14" s="279">
        <f t="shared" si="5"/>
        <v>0</v>
      </c>
      <c r="AM14" s="279">
        <f t="shared" si="5"/>
        <v>88864</v>
      </c>
      <c r="AN14" s="281">
        <f t="shared" si="5"/>
        <v>88864</v>
      </c>
      <c r="AO14" s="295"/>
      <c r="AP14" s="282">
        <f t="shared" ref="AP14:AP15" si="10">IFERROR(Y14-H14,0)</f>
        <v>0</v>
      </c>
      <c r="AQ14" s="283">
        <f t="shared" si="6"/>
        <v>0</v>
      </c>
      <c r="AR14" s="283">
        <f t="shared" si="6"/>
        <v>-1900940</v>
      </c>
      <c r="AS14" s="283">
        <f t="shared" si="6"/>
        <v>-1629314</v>
      </c>
      <c r="AT14" s="296"/>
      <c r="AU14" s="283">
        <f t="shared" si="7"/>
        <v>-3530254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502" t="s">
        <v>197</v>
      </c>
      <c r="D15" s="487">
        <v>1224621</v>
      </c>
      <c r="E15" s="487">
        <f t="shared" si="8"/>
        <v>22506</v>
      </c>
      <c r="F15" s="488">
        <v>1247127</v>
      </c>
      <c r="G15" s="487"/>
      <c r="H15" s="489">
        <v>286613</v>
      </c>
      <c r="I15" s="596">
        <v>283469</v>
      </c>
      <c r="J15" s="596">
        <v>277389</v>
      </c>
      <c r="K15" s="596">
        <v>331784</v>
      </c>
      <c r="L15" s="156"/>
      <c r="M15" s="155">
        <f t="shared" si="9"/>
        <v>1179255</v>
      </c>
      <c r="N15" s="183">
        <f>IFERROR(M15/F15,0)</f>
        <v>0.94557731490056751</v>
      </c>
      <c r="O15" s="158"/>
      <c r="P15" s="594"/>
      <c r="Q15"/>
      <c r="R15"/>
      <c r="S15" s="119"/>
      <c r="T15" s="151" t="str">
        <f t="shared" si="4"/>
        <v xml:space="preserve"> Provincial own receipts2.</v>
      </c>
      <c r="U15" s="152">
        <v>1224621</v>
      </c>
      <c r="V15" s="152">
        <v>0</v>
      </c>
      <c r="W15" s="153">
        <v>1224621</v>
      </c>
      <c r="X15" s="152"/>
      <c r="Y15" s="154">
        <v>286613</v>
      </c>
      <c r="Z15" s="225">
        <v>283469</v>
      </c>
      <c r="AA15" s="225"/>
      <c r="AB15" s="225"/>
      <c r="AC15" s="156"/>
      <c r="AD15" s="155">
        <v>570082</v>
      </c>
      <c r="AE15" s="172">
        <v>0.46551708651084706</v>
      </c>
      <c r="AF15" s="158"/>
      <c r="AG15" s="118"/>
      <c r="AH15"/>
      <c r="AI15"/>
      <c r="AJ15" s="248"/>
      <c r="AK15" s="284" t="s">
        <v>9</v>
      </c>
      <c r="AL15" s="285">
        <f t="shared" si="5"/>
        <v>0</v>
      </c>
      <c r="AM15" s="285">
        <f t="shared" si="5"/>
        <v>-22506</v>
      </c>
      <c r="AN15" s="286">
        <f t="shared" si="5"/>
        <v>-22506</v>
      </c>
      <c r="AO15" s="285"/>
      <c r="AP15" s="287">
        <f t="shared" si="10"/>
        <v>0</v>
      </c>
      <c r="AQ15" s="288">
        <f t="shared" si="6"/>
        <v>0</v>
      </c>
      <c r="AR15" s="288">
        <f t="shared" si="6"/>
        <v>-277389</v>
      </c>
      <c r="AS15" s="288">
        <f t="shared" si="6"/>
        <v>-331784</v>
      </c>
      <c r="AT15" s="289"/>
      <c r="AU15" s="288">
        <f t="shared" si="7"/>
        <v>-609173</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37274017</v>
      </c>
      <c r="E17" s="165">
        <f>E12+E15</f>
        <v>-66358</v>
      </c>
      <c r="F17" s="166">
        <f t="shared" ref="F17:H17" si="12">F12+F15</f>
        <v>37207659</v>
      </c>
      <c r="G17" s="165">
        <f t="shared" si="12"/>
        <v>0</v>
      </c>
      <c r="H17" s="167">
        <f t="shared" si="12"/>
        <v>9365318</v>
      </c>
      <c r="I17" s="437">
        <f t="shared" ref="I17" si="13">I12+I15</f>
        <v>9533262</v>
      </c>
      <c r="J17" s="437">
        <f t="shared" ref="J17:K17" si="14">J12+J15</f>
        <v>9224990</v>
      </c>
      <c r="K17" s="437">
        <f t="shared" si="14"/>
        <v>9007757</v>
      </c>
      <c r="L17" s="156"/>
      <c r="M17" s="168">
        <f t="shared" ref="M17" si="15">M12+M15</f>
        <v>37131327</v>
      </c>
      <c r="N17" s="180">
        <f>IFERROR(M17/F17,0)</f>
        <v>0.99794848689620597</v>
      </c>
      <c r="O17" s="158"/>
      <c r="P17" s="594"/>
      <c r="Q17"/>
      <c r="R17"/>
      <c r="S17" s="119"/>
      <c r="T17" s="164" t="s">
        <v>10</v>
      </c>
      <c r="U17" s="165">
        <v>37274017</v>
      </c>
      <c r="V17" s="165">
        <v>0</v>
      </c>
      <c r="W17" s="166">
        <v>37274017</v>
      </c>
      <c r="X17" s="165">
        <v>0</v>
      </c>
      <c r="Y17" s="167">
        <v>9365318</v>
      </c>
      <c r="Z17" s="437">
        <v>9533262</v>
      </c>
      <c r="AA17" s="437">
        <v>0</v>
      </c>
      <c r="AB17" s="437" t="s">
        <v>52</v>
      </c>
      <c r="AC17" s="156"/>
      <c r="AD17" s="168">
        <v>18898580</v>
      </c>
      <c r="AE17" s="180">
        <v>0.50701752912759579</v>
      </c>
      <c r="AF17" s="158"/>
      <c r="AG17" s="118"/>
      <c r="AH17"/>
      <c r="AI17"/>
      <c r="AJ17" s="248"/>
      <c r="AK17" s="298" t="s">
        <v>10</v>
      </c>
      <c r="AL17" s="299">
        <f t="shared" ref="AL17:AS17" si="16">AL12+AL15</f>
        <v>0</v>
      </c>
      <c r="AM17" s="299">
        <f>AM12+AM15</f>
        <v>66358</v>
      </c>
      <c r="AN17" s="300">
        <f t="shared" si="16"/>
        <v>66358</v>
      </c>
      <c r="AO17" s="299">
        <f t="shared" si="16"/>
        <v>0</v>
      </c>
      <c r="AP17" s="301">
        <f t="shared" si="16"/>
        <v>0</v>
      </c>
      <c r="AQ17" s="302">
        <f t="shared" si="16"/>
        <v>0</v>
      </c>
      <c r="AR17" s="302">
        <f t="shared" si="16"/>
        <v>-9224990</v>
      </c>
      <c r="AS17" s="302">
        <f t="shared" si="16"/>
        <v>-9007757</v>
      </c>
      <c r="AT17" s="289"/>
      <c r="AU17" s="302">
        <f t="shared" ref="AU17" si="17">AU12+AU15</f>
        <v>-18232747</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14733214</v>
      </c>
      <c r="E20" s="491">
        <f t="shared" ref="E20:E39" si="18">F20-D20</f>
        <v>164391</v>
      </c>
      <c r="F20" s="483">
        <v>14897605</v>
      </c>
      <c r="G20" s="492"/>
      <c r="H20" s="484">
        <v>3993156</v>
      </c>
      <c r="I20" s="485">
        <v>3486013</v>
      </c>
      <c r="J20" s="485">
        <v>3955574</v>
      </c>
      <c r="K20" s="485">
        <v>3412754</v>
      </c>
      <c r="L20" s="156"/>
      <c r="M20" s="147">
        <f t="shared" ref="M20:M39" si="19">SUM(H20:K20)</f>
        <v>14847497</v>
      </c>
      <c r="N20" s="172">
        <f>IFERROR(M20/F20,0)</f>
        <v>0.99663650633776368</v>
      </c>
      <c r="O20" s="163"/>
      <c r="P20" s="118"/>
      <c r="Q20"/>
      <c r="R20"/>
      <c r="S20" s="159"/>
      <c r="T20" s="170" t="str">
        <f t="shared" ref="T20:T39" si="20">C20</f>
        <v>Education</v>
      </c>
      <c r="U20" s="146">
        <v>14733214</v>
      </c>
      <c r="V20" s="150">
        <v>0</v>
      </c>
      <c r="W20" s="148">
        <v>14733214</v>
      </c>
      <c r="X20" s="171"/>
      <c r="Y20" s="149">
        <v>3993156</v>
      </c>
      <c r="Z20" s="224">
        <v>3486013</v>
      </c>
      <c r="AA20" s="224"/>
      <c r="AB20" s="224"/>
      <c r="AC20" s="156"/>
      <c r="AD20" s="147">
        <v>7479169</v>
      </c>
      <c r="AE20" s="172">
        <v>0.50764001663180891</v>
      </c>
      <c r="AF20" s="163"/>
      <c r="AG20" s="118"/>
      <c r="AH20"/>
      <c r="AI20"/>
      <c r="AJ20" s="293"/>
      <c r="AK20" s="305" t="str">
        <f>C20</f>
        <v>Education</v>
      </c>
      <c r="AL20" s="279">
        <f t="shared" ref="AL20:AN33" si="21">IFERROR(U20-D20,0)</f>
        <v>0</v>
      </c>
      <c r="AM20" s="280">
        <f t="shared" si="21"/>
        <v>-164391</v>
      </c>
      <c r="AN20" s="281">
        <f t="shared" si="21"/>
        <v>-164391</v>
      </c>
      <c r="AO20" s="306"/>
      <c r="AP20" s="282">
        <f t="shared" ref="AP20:AS33" si="22">IFERROR(Y20-H20,0)</f>
        <v>0</v>
      </c>
      <c r="AQ20" s="283">
        <f t="shared" si="22"/>
        <v>0</v>
      </c>
      <c r="AR20" s="283">
        <f t="shared" si="22"/>
        <v>-3955574</v>
      </c>
      <c r="AS20" s="283">
        <f t="shared" si="22"/>
        <v>-3412754</v>
      </c>
      <c r="AT20" s="289"/>
      <c r="AU20" s="283">
        <f t="shared" ref="AU20:AU33" si="23">IFERROR(AD20-M20,0)</f>
        <v>-7368328</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11142372</v>
      </c>
      <c r="E21" s="491">
        <f t="shared" si="18"/>
        <v>107973</v>
      </c>
      <c r="F21" s="483">
        <v>11250345</v>
      </c>
      <c r="G21" s="487"/>
      <c r="H21" s="484">
        <v>2635156</v>
      </c>
      <c r="I21" s="485">
        <v>2824073</v>
      </c>
      <c r="J21" s="485">
        <v>2898769</v>
      </c>
      <c r="K21" s="485">
        <v>2716143</v>
      </c>
      <c r="L21" s="156"/>
      <c r="M21" s="147">
        <f t="shared" si="19"/>
        <v>11074141</v>
      </c>
      <c r="N21" s="172">
        <f t="shared" ref="N21:N39" si="25">IFERROR(M21/F21,0)</f>
        <v>0.98433790252654474</v>
      </c>
      <c r="O21" s="163"/>
      <c r="P21" s="118"/>
      <c r="Q21"/>
      <c r="R21"/>
      <c r="S21" s="159"/>
      <c r="T21" s="170" t="str">
        <f t="shared" si="20"/>
        <v>Health</v>
      </c>
      <c r="U21" s="146">
        <v>11142372</v>
      </c>
      <c r="V21" s="150">
        <v>0</v>
      </c>
      <c r="W21" s="148">
        <v>11142372</v>
      </c>
      <c r="X21" s="152"/>
      <c r="Y21" s="149">
        <v>2635156</v>
      </c>
      <c r="Z21" s="224">
        <v>2824073</v>
      </c>
      <c r="AA21" s="224"/>
      <c r="AB21" s="224"/>
      <c r="AC21" s="156"/>
      <c r="AD21" s="147">
        <v>5459229</v>
      </c>
      <c r="AE21" s="172">
        <v>0.48995213945468702</v>
      </c>
      <c r="AF21" s="163"/>
      <c r="AG21" s="118"/>
      <c r="AH21"/>
      <c r="AI21"/>
      <c r="AJ21" s="293"/>
      <c r="AK21" s="305" t="str">
        <f t="shared" ref="AK21:AK39" si="26">C21</f>
        <v>Health</v>
      </c>
      <c r="AL21" s="279">
        <f t="shared" si="21"/>
        <v>0</v>
      </c>
      <c r="AM21" s="280">
        <f t="shared" si="21"/>
        <v>-107973</v>
      </c>
      <c r="AN21" s="281">
        <f t="shared" si="21"/>
        <v>-107973</v>
      </c>
      <c r="AO21" s="285"/>
      <c r="AP21" s="282">
        <f t="shared" si="22"/>
        <v>0</v>
      </c>
      <c r="AQ21" s="283">
        <f t="shared" si="22"/>
        <v>0</v>
      </c>
      <c r="AR21" s="283">
        <f t="shared" si="22"/>
        <v>-2898769</v>
      </c>
      <c r="AS21" s="283">
        <f t="shared" si="22"/>
        <v>-2716143</v>
      </c>
      <c r="AT21" s="289"/>
      <c r="AU21" s="283">
        <f t="shared" si="23"/>
        <v>-5614912</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1375324</v>
      </c>
      <c r="E22" s="491">
        <f t="shared" si="18"/>
        <v>36955</v>
      </c>
      <c r="F22" s="483">
        <v>1412279</v>
      </c>
      <c r="G22" s="492"/>
      <c r="H22" s="484">
        <v>294791</v>
      </c>
      <c r="I22" s="485">
        <v>357073</v>
      </c>
      <c r="J22" s="485">
        <v>345920</v>
      </c>
      <c r="K22" s="485">
        <v>368825</v>
      </c>
      <c r="L22" s="156"/>
      <c r="M22" s="147">
        <f t="shared" si="19"/>
        <v>1366609</v>
      </c>
      <c r="N22" s="172">
        <f t="shared" si="25"/>
        <v>0.96766219705879641</v>
      </c>
      <c r="O22" s="163"/>
      <c r="P22" s="118"/>
      <c r="S22" s="159"/>
      <c r="T22" s="170" t="str">
        <f t="shared" si="20"/>
        <v>Social Development</v>
      </c>
      <c r="U22" s="146">
        <v>1375324</v>
      </c>
      <c r="V22" s="150">
        <v>0</v>
      </c>
      <c r="W22" s="148">
        <v>1375324</v>
      </c>
      <c r="X22" s="171"/>
      <c r="Y22" s="149">
        <v>294791</v>
      </c>
      <c r="Z22" s="224">
        <v>357073</v>
      </c>
      <c r="AA22" s="224"/>
      <c r="AB22" s="224"/>
      <c r="AC22" s="156"/>
      <c r="AD22" s="147">
        <v>651864</v>
      </c>
      <c r="AE22" s="172">
        <v>0.47397122423516203</v>
      </c>
      <c r="AF22" s="163"/>
      <c r="AG22" s="118"/>
      <c r="AJ22" s="293"/>
      <c r="AK22" s="305" t="str">
        <f t="shared" si="26"/>
        <v>Social Development</v>
      </c>
      <c r="AL22" s="279">
        <f t="shared" si="21"/>
        <v>0</v>
      </c>
      <c r="AM22" s="280">
        <f t="shared" si="21"/>
        <v>-36955</v>
      </c>
      <c r="AN22" s="281">
        <f t="shared" si="21"/>
        <v>-36955</v>
      </c>
      <c r="AO22" s="306"/>
      <c r="AP22" s="282">
        <f t="shared" si="22"/>
        <v>0</v>
      </c>
      <c r="AQ22" s="283">
        <f t="shared" si="22"/>
        <v>0</v>
      </c>
      <c r="AR22" s="283">
        <f t="shared" si="22"/>
        <v>-345920</v>
      </c>
      <c r="AS22" s="283">
        <f t="shared" si="22"/>
        <v>-368825</v>
      </c>
      <c r="AT22" s="289"/>
      <c r="AU22" s="283">
        <f t="shared" si="23"/>
        <v>-714745</v>
      </c>
      <c r="AV22" s="290"/>
      <c r="AW22" s="297"/>
      <c r="AX22" s="118"/>
    </row>
    <row r="23" spans="1:79" ht="15.75" customHeight="1" x14ac:dyDescent="0.3">
      <c r="A23" s="446">
        <f t="shared" si="24"/>
        <v>1</v>
      </c>
      <c r="B23" s="159"/>
      <c r="C23" s="500" t="str">
        <f>PROPER("PREMIER")</f>
        <v>Premier</v>
      </c>
      <c r="D23" s="482">
        <v>625682</v>
      </c>
      <c r="E23" s="491">
        <f t="shared" si="18"/>
        <v>78340</v>
      </c>
      <c r="F23" s="483">
        <v>704022</v>
      </c>
      <c r="G23" s="493"/>
      <c r="H23" s="484">
        <v>240074</v>
      </c>
      <c r="I23" s="485">
        <v>215390</v>
      </c>
      <c r="J23" s="485">
        <v>163617</v>
      </c>
      <c r="K23" s="485">
        <v>148563</v>
      </c>
      <c r="L23" s="174"/>
      <c r="M23" s="147">
        <f t="shared" si="19"/>
        <v>767644</v>
      </c>
      <c r="N23" s="172">
        <f t="shared" si="25"/>
        <v>1.0903693350491888</v>
      </c>
      <c r="O23" s="163"/>
      <c r="P23" s="118"/>
      <c r="S23" s="159"/>
      <c r="T23" s="170" t="str">
        <f t="shared" si="20"/>
        <v>Premier</v>
      </c>
      <c r="U23" s="146">
        <v>625682</v>
      </c>
      <c r="V23" s="150">
        <v>0</v>
      </c>
      <c r="W23" s="148">
        <v>625682</v>
      </c>
      <c r="X23" s="173"/>
      <c r="Y23" s="149">
        <v>240074</v>
      </c>
      <c r="Z23" s="224">
        <v>215390</v>
      </c>
      <c r="AA23" s="224"/>
      <c r="AB23" s="224"/>
      <c r="AC23" s="174"/>
      <c r="AD23" s="147">
        <v>455464</v>
      </c>
      <c r="AE23" s="172">
        <v>0.72794806307357407</v>
      </c>
      <c r="AF23" s="163"/>
      <c r="AG23" s="118"/>
      <c r="AJ23" s="293"/>
      <c r="AK23" s="305" t="str">
        <f t="shared" si="26"/>
        <v>Premier</v>
      </c>
      <c r="AL23" s="279">
        <f t="shared" si="21"/>
        <v>0</v>
      </c>
      <c r="AM23" s="280">
        <f t="shared" si="21"/>
        <v>-78340</v>
      </c>
      <c r="AN23" s="281">
        <f t="shared" si="21"/>
        <v>-78340</v>
      </c>
      <c r="AO23" s="307"/>
      <c r="AP23" s="282">
        <f t="shared" si="22"/>
        <v>0</v>
      </c>
      <c r="AQ23" s="283">
        <f t="shared" si="22"/>
        <v>0</v>
      </c>
      <c r="AR23" s="283">
        <f t="shared" si="22"/>
        <v>-163617</v>
      </c>
      <c r="AS23" s="283">
        <f t="shared" si="22"/>
        <v>-148563</v>
      </c>
      <c r="AT23" s="308"/>
      <c r="AU23" s="283">
        <f t="shared" si="23"/>
        <v>-312180</v>
      </c>
      <c r="AV23" s="290"/>
      <c r="AW23" s="297"/>
      <c r="AX23" s="118"/>
    </row>
    <row r="24" spans="1:79" ht="15.75" customHeight="1" x14ac:dyDescent="0.3">
      <c r="A24" s="446">
        <f t="shared" si="24"/>
        <v>1</v>
      </c>
      <c r="B24" s="159"/>
      <c r="C24" s="500" t="str">
        <f>PROPER("FREE STATE LEGISLATURE")</f>
        <v>Free State Legislature</v>
      </c>
      <c r="D24" s="482">
        <v>266242</v>
      </c>
      <c r="E24" s="491">
        <f t="shared" si="18"/>
        <v>8532</v>
      </c>
      <c r="F24" s="483">
        <v>274774</v>
      </c>
      <c r="G24" s="487"/>
      <c r="H24" s="484">
        <v>56158</v>
      </c>
      <c r="I24" s="485">
        <v>56860</v>
      </c>
      <c r="J24" s="485">
        <v>90381</v>
      </c>
      <c r="K24" s="485">
        <v>56004</v>
      </c>
      <c r="L24" s="156"/>
      <c r="M24" s="147">
        <f t="shared" si="19"/>
        <v>259403</v>
      </c>
      <c r="N24" s="172">
        <f t="shared" si="25"/>
        <v>0.94405948161034159</v>
      </c>
      <c r="O24" s="163"/>
      <c r="P24" s="118"/>
      <c r="S24" s="159"/>
      <c r="T24" s="170" t="str">
        <f t="shared" si="20"/>
        <v>Free State Legislature</v>
      </c>
      <c r="U24" s="146">
        <v>266242</v>
      </c>
      <c r="V24" s="150">
        <v>0</v>
      </c>
      <c r="W24" s="148">
        <v>266242</v>
      </c>
      <c r="X24" s="152"/>
      <c r="Y24" s="149">
        <v>56158</v>
      </c>
      <c r="Z24" s="224">
        <v>56860</v>
      </c>
      <c r="AA24" s="224"/>
      <c r="AB24" s="224"/>
      <c r="AC24" s="156"/>
      <c r="AD24" s="147">
        <v>113018</v>
      </c>
      <c r="AE24" s="172">
        <v>0.42449350590815876</v>
      </c>
      <c r="AF24" s="163"/>
      <c r="AG24" s="118"/>
      <c r="AJ24" s="293"/>
      <c r="AK24" s="305" t="str">
        <f t="shared" si="26"/>
        <v>Free State Legislature</v>
      </c>
      <c r="AL24" s="279">
        <f t="shared" si="21"/>
        <v>0</v>
      </c>
      <c r="AM24" s="280">
        <f t="shared" si="21"/>
        <v>-8532</v>
      </c>
      <c r="AN24" s="281">
        <f t="shared" si="21"/>
        <v>-8532</v>
      </c>
      <c r="AO24" s="285"/>
      <c r="AP24" s="282">
        <f t="shared" si="22"/>
        <v>0</v>
      </c>
      <c r="AQ24" s="283">
        <f t="shared" si="22"/>
        <v>0</v>
      </c>
      <c r="AR24" s="283">
        <f t="shared" si="22"/>
        <v>-90381</v>
      </c>
      <c r="AS24" s="283">
        <f t="shared" si="22"/>
        <v>-56004</v>
      </c>
      <c r="AT24" s="289"/>
      <c r="AU24" s="283">
        <f t="shared" si="23"/>
        <v>-146385</v>
      </c>
      <c r="AV24" s="290"/>
      <c r="AW24" s="297"/>
      <c r="AX24" s="118"/>
    </row>
    <row r="25" spans="1:79" ht="15.75" customHeight="1" x14ac:dyDescent="0.3">
      <c r="A25" s="446">
        <f t="shared" si="24"/>
        <v>1</v>
      </c>
      <c r="B25" s="159"/>
      <c r="C25" s="500" t="str">
        <f>PROPER("ECONOMIC DEVELOPMENT &amp; SMALL BUSINESS DEVELOPMENT, TOURISM &amp; ENVIRONMENTAL AFFAIRS")</f>
        <v>Economic Development &amp; Small Business Development, Tourism &amp; Environmental Affairs</v>
      </c>
      <c r="D25" s="482">
        <v>630925</v>
      </c>
      <c r="E25" s="491">
        <f t="shared" si="18"/>
        <v>14657</v>
      </c>
      <c r="F25" s="483">
        <v>645582</v>
      </c>
      <c r="G25" s="487"/>
      <c r="H25" s="484">
        <v>128077</v>
      </c>
      <c r="I25" s="485">
        <v>142650</v>
      </c>
      <c r="J25" s="485">
        <v>200237</v>
      </c>
      <c r="K25" s="485">
        <v>156451</v>
      </c>
      <c r="L25" s="156"/>
      <c r="M25" s="147">
        <f t="shared" si="19"/>
        <v>627415</v>
      </c>
      <c r="N25" s="172">
        <f t="shared" si="25"/>
        <v>0.97185950041977631</v>
      </c>
      <c r="O25" s="163"/>
      <c r="P25" s="118"/>
      <c r="S25" s="159"/>
      <c r="T25" s="170" t="str">
        <f t="shared" si="20"/>
        <v>Economic Development &amp; Small Business Development, Tourism &amp; Environmental Affairs</v>
      </c>
      <c r="U25" s="146">
        <v>630925</v>
      </c>
      <c r="V25" s="150">
        <v>0</v>
      </c>
      <c r="W25" s="148">
        <v>630925</v>
      </c>
      <c r="X25" s="152"/>
      <c r="Y25" s="149">
        <v>128077</v>
      </c>
      <c r="Z25" s="224">
        <v>142650</v>
      </c>
      <c r="AA25" s="224"/>
      <c r="AB25" s="224"/>
      <c r="AC25" s="156"/>
      <c r="AD25" s="147">
        <v>270727</v>
      </c>
      <c r="AE25" s="172">
        <v>0.42909537583706464</v>
      </c>
      <c r="AF25" s="163"/>
      <c r="AG25" s="118"/>
      <c r="AJ25" s="293"/>
      <c r="AK25" s="305" t="str">
        <f t="shared" si="26"/>
        <v>Economic Development &amp; Small Business Development, Tourism &amp; Environmental Affairs</v>
      </c>
      <c r="AL25" s="279">
        <f t="shared" si="21"/>
        <v>0</v>
      </c>
      <c r="AM25" s="280">
        <f t="shared" si="21"/>
        <v>-14657</v>
      </c>
      <c r="AN25" s="281">
        <f t="shared" si="21"/>
        <v>-14657</v>
      </c>
      <c r="AO25" s="285"/>
      <c r="AP25" s="282">
        <f t="shared" si="22"/>
        <v>0</v>
      </c>
      <c r="AQ25" s="283">
        <f t="shared" si="22"/>
        <v>0</v>
      </c>
      <c r="AR25" s="283">
        <f t="shared" si="22"/>
        <v>-200237</v>
      </c>
      <c r="AS25" s="283">
        <f t="shared" si="22"/>
        <v>-156451</v>
      </c>
      <c r="AT25" s="289"/>
      <c r="AU25" s="283">
        <f t="shared" si="23"/>
        <v>-356688</v>
      </c>
      <c r="AV25" s="290"/>
      <c r="AW25" s="297"/>
      <c r="AX25" s="118"/>
    </row>
    <row r="26" spans="1:79" ht="15.75" customHeight="1" x14ac:dyDescent="0.3">
      <c r="A26" s="446">
        <f t="shared" si="24"/>
        <v>1</v>
      </c>
      <c r="B26" s="175"/>
      <c r="C26" s="500" t="str">
        <f>PROPER("PROVINCIAL TREASURY")</f>
        <v>Provincial Treasury</v>
      </c>
      <c r="D26" s="482">
        <v>367624</v>
      </c>
      <c r="E26" s="491">
        <f t="shared" si="18"/>
        <v>-11461</v>
      </c>
      <c r="F26" s="483">
        <v>356163</v>
      </c>
      <c r="G26" s="494"/>
      <c r="H26" s="484">
        <v>74916</v>
      </c>
      <c r="I26" s="485">
        <v>76507</v>
      </c>
      <c r="J26" s="485">
        <v>90257</v>
      </c>
      <c r="K26" s="485">
        <v>99003</v>
      </c>
      <c r="L26" s="174"/>
      <c r="M26" s="147">
        <f t="shared" si="19"/>
        <v>340683</v>
      </c>
      <c r="N26" s="172">
        <f t="shared" si="25"/>
        <v>0.95653675423892992</v>
      </c>
      <c r="O26" s="177"/>
      <c r="P26" s="118"/>
      <c r="S26" s="175"/>
      <c r="T26" s="170" t="str">
        <f t="shared" si="20"/>
        <v>Provincial Treasury</v>
      </c>
      <c r="U26" s="146">
        <v>367624</v>
      </c>
      <c r="V26" s="150">
        <v>0</v>
      </c>
      <c r="W26" s="148">
        <v>367624</v>
      </c>
      <c r="X26" s="176"/>
      <c r="Y26" s="149">
        <v>74916</v>
      </c>
      <c r="Z26" s="224">
        <v>76507</v>
      </c>
      <c r="AA26" s="224"/>
      <c r="AB26" s="224"/>
      <c r="AC26" s="174"/>
      <c r="AD26" s="147">
        <v>151423</v>
      </c>
      <c r="AE26" s="172">
        <v>0.41189639414184059</v>
      </c>
      <c r="AF26" s="177"/>
      <c r="AG26" s="118"/>
      <c r="AJ26" s="309"/>
      <c r="AK26" s="305" t="str">
        <f t="shared" si="26"/>
        <v>Provincial Treasury</v>
      </c>
      <c r="AL26" s="279">
        <f t="shared" si="21"/>
        <v>0</v>
      </c>
      <c r="AM26" s="280">
        <f t="shared" si="21"/>
        <v>11461</v>
      </c>
      <c r="AN26" s="281">
        <f t="shared" si="21"/>
        <v>11461</v>
      </c>
      <c r="AO26" s="310"/>
      <c r="AP26" s="282">
        <f t="shared" si="22"/>
        <v>0</v>
      </c>
      <c r="AQ26" s="283">
        <f t="shared" si="22"/>
        <v>0</v>
      </c>
      <c r="AR26" s="283">
        <f t="shared" si="22"/>
        <v>-90257</v>
      </c>
      <c r="AS26" s="283">
        <f t="shared" si="22"/>
        <v>-99003</v>
      </c>
      <c r="AT26" s="308"/>
      <c r="AU26" s="283">
        <f t="shared" si="23"/>
        <v>-189260</v>
      </c>
      <c r="AV26" s="290"/>
      <c r="AW26" s="311"/>
      <c r="AX26" s="118"/>
    </row>
    <row r="27" spans="1:79" s="22" customFormat="1" ht="15.75" customHeight="1" x14ac:dyDescent="0.3">
      <c r="A27" s="446">
        <f t="shared" si="24"/>
        <v>1</v>
      </c>
      <c r="B27" s="159"/>
      <c r="C27" s="500" t="str">
        <f>PROPER("COOPERATIVE GOVERNANCE AND TRADITIONAL AFFAIRS")</f>
        <v>Cooperative Governance And Traditional Affairs</v>
      </c>
      <c r="D27" s="482">
        <v>456135</v>
      </c>
      <c r="E27" s="491">
        <f t="shared" si="18"/>
        <v>18150</v>
      </c>
      <c r="F27" s="483">
        <v>474285</v>
      </c>
      <c r="G27" s="487"/>
      <c r="H27" s="484">
        <v>138951</v>
      </c>
      <c r="I27" s="485">
        <v>91864</v>
      </c>
      <c r="J27" s="485">
        <v>97092</v>
      </c>
      <c r="K27" s="485">
        <v>109521</v>
      </c>
      <c r="L27" s="156"/>
      <c r="M27" s="147">
        <f t="shared" si="19"/>
        <v>437428</v>
      </c>
      <c r="N27" s="172">
        <f t="shared" si="25"/>
        <v>0.92228934079720004</v>
      </c>
      <c r="O27" s="163"/>
      <c r="P27" s="118"/>
      <c r="Q27"/>
      <c r="R27"/>
      <c r="S27" s="159"/>
      <c r="T27" s="170" t="str">
        <f t="shared" si="20"/>
        <v>Cooperative Governance And Traditional Affairs</v>
      </c>
      <c r="U27" s="146">
        <v>456135</v>
      </c>
      <c r="V27" s="150">
        <v>0</v>
      </c>
      <c r="W27" s="148">
        <v>456135</v>
      </c>
      <c r="X27" s="152"/>
      <c r="Y27" s="149">
        <v>138951</v>
      </c>
      <c r="Z27" s="224">
        <v>91864</v>
      </c>
      <c r="AA27" s="224"/>
      <c r="AB27" s="224"/>
      <c r="AC27" s="156"/>
      <c r="AD27" s="147">
        <v>230815</v>
      </c>
      <c r="AE27" s="172">
        <v>0.50602343604415356</v>
      </c>
      <c r="AF27" s="163"/>
      <c r="AG27" s="118"/>
      <c r="AH27" s="61"/>
      <c r="AI27"/>
      <c r="AJ27" s="293"/>
      <c r="AK27" s="305" t="str">
        <f t="shared" si="26"/>
        <v>Cooperative Governance And Traditional Affairs</v>
      </c>
      <c r="AL27" s="279">
        <f t="shared" si="21"/>
        <v>0</v>
      </c>
      <c r="AM27" s="280">
        <f t="shared" si="21"/>
        <v>-18150</v>
      </c>
      <c r="AN27" s="281">
        <f t="shared" si="21"/>
        <v>-18150</v>
      </c>
      <c r="AO27" s="285"/>
      <c r="AP27" s="282">
        <f t="shared" si="22"/>
        <v>0</v>
      </c>
      <c r="AQ27" s="283">
        <f t="shared" si="22"/>
        <v>0</v>
      </c>
      <c r="AR27" s="283">
        <f t="shared" si="22"/>
        <v>-97092</v>
      </c>
      <c r="AS27" s="283">
        <f t="shared" si="22"/>
        <v>-109521</v>
      </c>
      <c r="AT27" s="289"/>
      <c r="AU27" s="283">
        <f t="shared" si="23"/>
        <v>-206613</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PROPER("PUBLIC WORKS &amp; INFRASTRUCTURE")</f>
        <v>Public Works &amp; Infrastructure</v>
      </c>
      <c r="D28" s="482">
        <v>1803273</v>
      </c>
      <c r="E28" s="491">
        <f t="shared" si="18"/>
        <v>-434</v>
      </c>
      <c r="F28" s="483">
        <v>1802839</v>
      </c>
      <c r="G28" s="487"/>
      <c r="H28" s="484">
        <v>444784</v>
      </c>
      <c r="I28" s="485">
        <v>438782</v>
      </c>
      <c r="J28" s="485">
        <v>427954</v>
      </c>
      <c r="K28" s="485">
        <v>487990</v>
      </c>
      <c r="L28" s="156"/>
      <c r="M28" s="147">
        <f t="shared" si="19"/>
        <v>1799510</v>
      </c>
      <c r="N28" s="172">
        <f t="shared" si="25"/>
        <v>0.99815346794694371</v>
      </c>
      <c r="O28" s="163"/>
      <c r="P28" s="118"/>
      <c r="Q28"/>
      <c r="R28"/>
      <c r="S28" s="159"/>
      <c r="T28" s="170" t="str">
        <f t="shared" si="20"/>
        <v>Public Works &amp; Infrastructure</v>
      </c>
      <c r="U28" s="146">
        <v>1803273</v>
      </c>
      <c r="V28" s="150">
        <v>0</v>
      </c>
      <c r="W28" s="148">
        <v>1803273</v>
      </c>
      <c r="X28" s="152"/>
      <c r="Y28" s="149">
        <v>444784</v>
      </c>
      <c r="Z28" s="224">
        <v>438782</v>
      </c>
      <c r="AA28" s="224"/>
      <c r="AB28" s="224"/>
      <c r="AC28" s="156"/>
      <c r="AD28" s="147">
        <v>883566</v>
      </c>
      <c r="AE28" s="172">
        <v>0.48997905475210907</v>
      </c>
      <c r="AF28" s="163"/>
      <c r="AG28" s="118"/>
      <c r="AH28" s="61"/>
      <c r="AI28"/>
      <c r="AJ28" s="293"/>
      <c r="AK28" s="305" t="str">
        <f t="shared" si="26"/>
        <v>Public Works &amp; Infrastructure</v>
      </c>
      <c r="AL28" s="279">
        <f t="shared" si="21"/>
        <v>0</v>
      </c>
      <c r="AM28" s="280">
        <f t="shared" si="21"/>
        <v>434</v>
      </c>
      <c r="AN28" s="281">
        <f t="shared" si="21"/>
        <v>434</v>
      </c>
      <c r="AO28" s="285"/>
      <c r="AP28" s="282">
        <f t="shared" si="22"/>
        <v>0</v>
      </c>
      <c r="AQ28" s="283">
        <f t="shared" si="22"/>
        <v>0</v>
      </c>
      <c r="AR28" s="283">
        <f t="shared" si="22"/>
        <v>-427954</v>
      </c>
      <c r="AS28" s="283">
        <f t="shared" si="22"/>
        <v>-487990</v>
      </c>
      <c r="AT28" s="289"/>
      <c r="AU28" s="283">
        <f t="shared" si="23"/>
        <v>-915944</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PROPER("POLICE, ROADS AND TRANSPORT")</f>
        <v>Police, Roads And Transport</v>
      </c>
      <c r="D29" s="482">
        <v>2888688</v>
      </c>
      <c r="E29" s="491">
        <f t="shared" si="18"/>
        <v>54980</v>
      </c>
      <c r="F29" s="483">
        <v>2943668</v>
      </c>
      <c r="G29" s="487"/>
      <c r="H29" s="484">
        <v>524719</v>
      </c>
      <c r="I29" s="485">
        <v>733973</v>
      </c>
      <c r="J29" s="485">
        <v>1035813</v>
      </c>
      <c r="K29" s="485">
        <v>744733</v>
      </c>
      <c r="L29" s="156"/>
      <c r="M29" s="147">
        <f t="shared" si="19"/>
        <v>3039238</v>
      </c>
      <c r="N29" s="172">
        <f t="shared" si="25"/>
        <v>1.032466297150358</v>
      </c>
      <c r="O29" s="163"/>
      <c r="P29" s="118"/>
      <c r="Q29"/>
      <c r="R29"/>
      <c r="S29" s="159"/>
      <c r="T29" s="170" t="str">
        <f t="shared" si="20"/>
        <v>Police, Roads And Transport</v>
      </c>
      <c r="U29" s="146">
        <v>2888688</v>
      </c>
      <c r="V29" s="150">
        <v>0</v>
      </c>
      <c r="W29" s="148">
        <v>2888688</v>
      </c>
      <c r="X29" s="152"/>
      <c r="Y29" s="149">
        <v>524719</v>
      </c>
      <c r="Z29" s="224">
        <v>733973</v>
      </c>
      <c r="AA29" s="224"/>
      <c r="AB29" s="224"/>
      <c r="AC29" s="156"/>
      <c r="AD29" s="147">
        <v>1258692</v>
      </c>
      <c r="AE29" s="172">
        <v>0.43573137701267844</v>
      </c>
      <c r="AF29" s="163"/>
      <c r="AG29" s="118"/>
      <c r="AH29" s="61"/>
      <c r="AI29"/>
      <c r="AJ29" s="293"/>
      <c r="AK29" s="305" t="str">
        <f t="shared" si="26"/>
        <v>Police, Roads And Transport</v>
      </c>
      <c r="AL29" s="279">
        <f t="shared" si="21"/>
        <v>0</v>
      </c>
      <c r="AM29" s="280">
        <f t="shared" si="21"/>
        <v>-54980</v>
      </c>
      <c r="AN29" s="281">
        <f t="shared" si="21"/>
        <v>-54980</v>
      </c>
      <c r="AO29" s="285"/>
      <c r="AP29" s="282">
        <f t="shared" si="22"/>
        <v>0</v>
      </c>
      <c r="AQ29" s="283">
        <f t="shared" si="22"/>
        <v>0</v>
      </c>
      <c r="AR29" s="283">
        <f t="shared" si="22"/>
        <v>-1035813</v>
      </c>
      <c r="AS29" s="283">
        <f t="shared" si="22"/>
        <v>-744733</v>
      </c>
      <c r="AT29" s="289"/>
      <c r="AU29" s="283">
        <f t="shared" si="23"/>
        <v>-1780546</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PROPER("AGRICULTURE AND RURAL DEVELOPMENT")</f>
        <v>Agriculture And Rural Development</v>
      </c>
      <c r="D30" s="482">
        <v>821354</v>
      </c>
      <c r="E30" s="491">
        <f t="shared" si="18"/>
        <v>9979</v>
      </c>
      <c r="F30" s="483">
        <v>831333</v>
      </c>
      <c r="G30" s="492"/>
      <c r="H30" s="484">
        <v>142007</v>
      </c>
      <c r="I30" s="485">
        <v>164028</v>
      </c>
      <c r="J30" s="485">
        <v>208813</v>
      </c>
      <c r="K30" s="485">
        <v>273733</v>
      </c>
      <c r="L30" s="156"/>
      <c r="M30" s="147">
        <f t="shared" si="19"/>
        <v>788581</v>
      </c>
      <c r="N30" s="172">
        <f t="shared" si="25"/>
        <v>0.94857415740744078</v>
      </c>
      <c r="O30" s="177"/>
      <c r="P30" s="118"/>
      <c r="Q30"/>
      <c r="R30"/>
      <c r="S30" s="175"/>
      <c r="T30" s="170" t="str">
        <f t="shared" si="20"/>
        <v>Agriculture And Rural Development</v>
      </c>
      <c r="U30" s="146">
        <v>821354</v>
      </c>
      <c r="V30" s="150">
        <v>0</v>
      </c>
      <c r="W30" s="148">
        <v>821354</v>
      </c>
      <c r="X30" s="171"/>
      <c r="Y30" s="149">
        <v>142007</v>
      </c>
      <c r="Z30" s="224">
        <v>164028</v>
      </c>
      <c r="AA30" s="224"/>
      <c r="AB30" s="224"/>
      <c r="AC30" s="156"/>
      <c r="AD30" s="147">
        <v>306035</v>
      </c>
      <c r="AE30" s="172">
        <v>0.37259817326025074</v>
      </c>
      <c r="AF30" s="177"/>
      <c r="AG30" s="118"/>
      <c r="AH30"/>
      <c r="AI30"/>
      <c r="AJ30" s="309"/>
      <c r="AK30" s="305" t="str">
        <f t="shared" si="26"/>
        <v>Agriculture And Rural Development</v>
      </c>
      <c r="AL30" s="279">
        <f t="shared" si="21"/>
        <v>0</v>
      </c>
      <c r="AM30" s="280">
        <f t="shared" si="21"/>
        <v>-9979</v>
      </c>
      <c r="AN30" s="281">
        <f t="shared" si="21"/>
        <v>-9979</v>
      </c>
      <c r="AO30" s="306"/>
      <c r="AP30" s="282">
        <f t="shared" si="22"/>
        <v>0</v>
      </c>
      <c r="AQ30" s="283">
        <f t="shared" si="22"/>
        <v>0</v>
      </c>
      <c r="AR30" s="283">
        <f t="shared" si="22"/>
        <v>-208813</v>
      </c>
      <c r="AS30" s="283">
        <f t="shared" si="22"/>
        <v>-273733</v>
      </c>
      <c r="AT30" s="289"/>
      <c r="AU30" s="283">
        <f t="shared" si="23"/>
        <v>-482546</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PROPER("SPORT, ARTS, CULTURE AND RECREATION")</f>
        <v>Sport, Arts, Culture And Recreation</v>
      </c>
      <c r="D31" s="482">
        <v>753543</v>
      </c>
      <c r="E31" s="491">
        <f t="shared" si="18"/>
        <v>-49850</v>
      </c>
      <c r="F31" s="483">
        <v>703693</v>
      </c>
      <c r="G31" s="487"/>
      <c r="H31" s="484">
        <v>121485</v>
      </c>
      <c r="I31" s="485">
        <v>165363</v>
      </c>
      <c r="J31" s="485">
        <v>165793</v>
      </c>
      <c r="K31" s="485">
        <v>158577</v>
      </c>
      <c r="L31" s="156"/>
      <c r="M31" s="147">
        <f t="shared" si="19"/>
        <v>611218</v>
      </c>
      <c r="N31" s="172">
        <f t="shared" si="25"/>
        <v>0.86858615902105041</v>
      </c>
      <c r="O31" s="163"/>
      <c r="P31" s="118"/>
      <c r="Q31"/>
      <c r="R31"/>
      <c r="S31" s="159"/>
      <c r="T31" s="170" t="str">
        <f t="shared" si="20"/>
        <v>Sport, Arts, Culture And Recreation</v>
      </c>
      <c r="U31" s="146">
        <v>753543</v>
      </c>
      <c r="V31" s="150">
        <v>0</v>
      </c>
      <c r="W31" s="148">
        <v>753543</v>
      </c>
      <c r="X31" s="152"/>
      <c r="Y31" s="149">
        <v>121485</v>
      </c>
      <c r="Z31" s="224">
        <v>165363</v>
      </c>
      <c r="AA31" s="224"/>
      <c r="AB31" s="224"/>
      <c r="AC31" s="156"/>
      <c r="AD31" s="147">
        <v>286848</v>
      </c>
      <c r="AE31" s="172">
        <v>0.38066573506754092</v>
      </c>
      <c r="AF31" s="163"/>
      <c r="AG31" s="118"/>
      <c r="AH31"/>
      <c r="AI31"/>
      <c r="AJ31" s="293"/>
      <c r="AK31" s="305" t="str">
        <f t="shared" si="26"/>
        <v>Sport, Arts, Culture And Recreation</v>
      </c>
      <c r="AL31" s="279">
        <f t="shared" si="21"/>
        <v>0</v>
      </c>
      <c r="AM31" s="280">
        <f t="shared" si="21"/>
        <v>49850</v>
      </c>
      <c r="AN31" s="281">
        <f t="shared" si="21"/>
        <v>49850</v>
      </c>
      <c r="AO31" s="285"/>
      <c r="AP31" s="282">
        <f t="shared" si="22"/>
        <v>0</v>
      </c>
      <c r="AQ31" s="283">
        <f t="shared" si="22"/>
        <v>0</v>
      </c>
      <c r="AR31" s="283">
        <f t="shared" si="22"/>
        <v>-165793</v>
      </c>
      <c r="AS31" s="283">
        <f t="shared" si="22"/>
        <v>-158577</v>
      </c>
      <c r="AT31" s="289"/>
      <c r="AU31" s="283">
        <f t="shared" si="23"/>
        <v>-324370</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PROPER("HUMAN SETTLEMENTS")</f>
        <v>Human Settlements</v>
      </c>
      <c r="D32" s="482">
        <v>1409642</v>
      </c>
      <c r="E32" s="491">
        <f t="shared" si="18"/>
        <v>-93755</v>
      </c>
      <c r="F32" s="483">
        <v>1315887</v>
      </c>
      <c r="G32" s="487"/>
      <c r="H32" s="484">
        <v>168690</v>
      </c>
      <c r="I32" s="485">
        <v>284393</v>
      </c>
      <c r="J32" s="485">
        <v>435318</v>
      </c>
      <c r="K32" s="485">
        <v>371424</v>
      </c>
      <c r="L32" s="156"/>
      <c r="M32" s="147">
        <f t="shared" si="19"/>
        <v>1259825</v>
      </c>
      <c r="N32" s="172">
        <f t="shared" si="25"/>
        <v>0.95739603780567784</v>
      </c>
      <c r="O32" s="163"/>
      <c r="P32" s="118"/>
      <c r="S32" s="159"/>
      <c r="T32" s="170" t="str">
        <f t="shared" si="20"/>
        <v>Human Settlements</v>
      </c>
      <c r="U32" s="146">
        <v>1409642</v>
      </c>
      <c r="V32" s="150">
        <v>0</v>
      </c>
      <c r="W32" s="148">
        <v>1409642</v>
      </c>
      <c r="X32" s="152"/>
      <c r="Y32" s="149">
        <v>168690</v>
      </c>
      <c r="Z32" s="224">
        <v>284393</v>
      </c>
      <c r="AA32" s="224"/>
      <c r="AB32" s="224"/>
      <c r="AC32" s="156"/>
      <c r="AD32" s="147">
        <v>453083</v>
      </c>
      <c r="AE32" s="172">
        <v>0.32141706901468597</v>
      </c>
      <c r="AF32" s="163"/>
      <c r="AG32" s="118"/>
      <c r="AJ32" s="293"/>
      <c r="AK32" s="305" t="str">
        <f t="shared" si="26"/>
        <v>Human Settlements</v>
      </c>
      <c r="AL32" s="279">
        <f t="shared" si="21"/>
        <v>0</v>
      </c>
      <c r="AM32" s="280">
        <f t="shared" si="21"/>
        <v>93755</v>
      </c>
      <c r="AN32" s="281">
        <f t="shared" si="21"/>
        <v>93755</v>
      </c>
      <c r="AO32" s="285"/>
      <c r="AP32" s="282">
        <f t="shared" si="22"/>
        <v>0</v>
      </c>
      <c r="AQ32" s="283">
        <f t="shared" si="22"/>
        <v>0</v>
      </c>
      <c r="AR32" s="283">
        <f t="shared" si="22"/>
        <v>-435318</v>
      </c>
      <c r="AS32" s="283">
        <f t="shared" si="22"/>
        <v>-371424</v>
      </c>
      <c r="AT32" s="289"/>
      <c r="AU32" s="283">
        <f t="shared" si="23"/>
        <v>-806742</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37274018</v>
      </c>
      <c r="E41" s="179">
        <f t="shared" ref="E41:F41" si="31">SUM(E20:E39)</f>
        <v>338457</v>
      </c>
      <c r="F41" s="166">
        <f t="shared" si="31"/>
        <v>37612475</v>
      </c>
      <c r="G41" s="165"/>
      <c r="H41" s="436">
        <f t="shared" ref="H41:I41" si="32">SUM(H20:H39)</f>
        <v>8962964</v>
      </c>
      <c r="I41" s="437">
        <f t="shared" si="32"/>
        <v>9036969</v>
      </c>
      <c r="J41" s="437">
        <f t="shared" ref="J41:K41" si="33">SUM(J20:J39)</f>
        <v>10115538</v>
      </c>
      <c r="K41" s="438">
        <f t="shared" si="33"/>
        <v>9103721</v>
      </c>
      <c r="L41" s="156"/>
      <c r="M41" s="168">
        <f>SUM(M20:M39)</f>
        <v>37219192</v>
      </c>
      <c r="N41" s="180">
        <f>IFERROR(M41/F41,0)</f>
        <v>0.98954381491778987</v>
      </c>
      <c r="O41" s="595"/>
      <c r="P41" s="594"/>
      <c r="Q41"/>
      <c r="R41"/>
      <c r="S41" s="119"/>
      <c r="T41" s="164" t="s">
        <v>12</v>
      </c>
      <c r="U41" s="165">
        <v>37274018</v>
      </c>
      <c r="V41" s="179">
        <v>0</v>
      </c>
      <c r="W41" s="166">
        <v>37274018</v>
      </c>
      <c r="X41" s="165"/>
      <c r="Y41" s="436">
        <v>8962964</v>
      </c>
      <c r="Z41" s="437">
        <v>9036969</v>
      </c>
      <c r="AA41" s="437">
        <v>0</v>
      </c>
      <c r="AB41" s="438" t="s">
        <v>52</v>
      </c>
      <c r="AC41" s="156"/>
      <c r="AD41" s="168">
        <v>17999933</v>
      </c>
      <c r="AE41" s="180">
        <v>0.48290830894592585</v>
      </c>
      <c r="AF41" s="163"/>
      <c r="AG41" s="118"/>
      <c r="AH41"/>
      <c r="AI41"/>
      <c r="AJ41" s="248"/>
      <c r="AK41" s="298" t="s">
        <v>12</v>
      </c>
      <c r="AL41" s="299">
        <f>SUM(AL20:AL39)</f>
        <v>0</v>
      </c>
      <c r="AM41" s="313">
        <f t="shared" ref="AM41" si="34">SUM(AM20:AM39)</f>
        <v>-338457</v>
      </c>
      <c r="AN41" s="300">
        <f>SUM(AN20:AN39)</f>
        <v>-338457</v>
      </c>
      <c r="AO41" s="299"/>
      <c r="AP41" s="301">
        <f>SUM(AP20:AP39)</f>
        <v>0</v>
      </c>
      <c r="AQ41" s="302">
        <f t="shared" ref="AQ41:AS41" si="35">SUM(AQ20:AQ39)</f>
        <v>0</v>
      </c>
      <c r="AR41" s="302">
        <f t="shared" si="35"/>
        <v>-10115538</v>
      </c>
      <c r="AS41" s="302">
        <f t="shared" si="35"/>
        <v>-9103721</v>
      </c>
      <c r="AT41" s="289"/>
      <c r="AU41" s="302">
        <f>SUM(AU20:AU39)</f>
        <v>-19219259</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30459008</v>
      </c>
      <c r="E44" s="156">
        <f t="shared" ref="E44:M44" si="36">SUM(E45:E47)</f>
        <v>-24322</v>
      </c>
      <c r="F44" s="153">
        <f t="shared" si="36"/>
        <v>30434686</v>
      </c>
      <c r="G44" s="152">
        <f t="shared" si="36"/>
        <v>0</v>
      </c>
      <c r="H44" s="154">
        <f t="shared" si="36"/>
        <v>7368626</v>
      </c>
      <c r="I44" s="155">
        <f t="shared" ref="I44" si="37">SUM(I45:I47)</f>
        <v>7667597</v>
      </c>
      <c r="J44" s="155">
        <f t="shared" ref="J44:K44" si="38">SUM(J45:J47)</f>
        <v>7904023</v>
      </c>
      <c r="K44" s="155">
        <f t="shared" si="38"/>
        <v>7481085</v>
      </c>
      <c r="L44" s="156"/>
      <c r="M44" s="155">
        <f t="shared" si="36"/>
        <v>30421331</v>
      </c>
      <c r="N44" s="183">
        <f t="shared" ref="N44:N64" si="39">IFERROR(M44/F44,0)</f>
        <v>0.99956119146423916</v>
      </c>
      <c r="O44" s="595"/>
      <c r="P44" s="478"/>
      <c r="Q44"/>
      <c r="R44"/>
      <c r="S44" s="159"/>
      <c r="T44" s="182" t="str">
        <f t="shared" ref="T44:T64" si="40">C44</f>
        <v>Current payments</v>
      </c>
      <c r="U44" s="152">
        <v>30459008</v>
      </c>
      <c r="V44" s="156">
        <v>0</v>
      </c>
      <c r="W44" s="153">
        <v>30459008</v>
      </c>
      <c r="X44" s="152">
        <v>0</v>
      </c>
      <c r="Y44" s="154">
        <v>7368626</v>
      </c>
      <c r="Z44" s="155">
        <v>7667597</v>
      </c>
      <c r="AA44" s="155">
        <v>0</v>
      </c>
      <c r="AB44" s="155">
        <v>0</v>
      </c>
      <c r="AC44" s="156"/>
      <c r="AD44" s="155">
        <v>15036223</v>
      </c>
      <c r="AE44" s="172">
        <v>0.49365438953231833</v>
      </c>
      <c r="AF44" s="163"/>
      <c r="AG44" s="181"/>
      <c r="AH44"/>
      <c r="AI44"/>
      <c r="AJ44" s="293"/>
      <c r="AK44" s="314" t="s">
        <v>0</v>
      </c>
      <c r="AL44" s="285">
        <f>SUM(AL45:AL47)</f>
        <v>0</v>
      </c>
      <c r="AM44" s="289">
        <f t="shared" ref="AM44:AO44" si="41">SUM(AM45:AM47)</f>
        <v>24322</v>
      </c>
      <c r="AN44" s="286">
        <f>SUM(AN45:AN47)</f>
        <v>24322</v>
      </c>
      <c r="AO44" s="285">
        <f t="shared" si="41"/>
        <v>0</v>
      </c>
      <c r="AP44" s="287">
        <f>SUM(AP45:AP47)</f>
        <v>0</v>
      </c>
      <c r="AQ44" s="288">
        <f t="shared" ref="AQ44:AS44" si="42">SUM(AQ45:AQ47)</f>
        <v>0</v>
      </c>
      <c r="AR44" s="288">
        <f t="shared" si="42"/>
        <v>-7904023</v>
      </c>
      <c r="AS44" s="288">
        <f t="shared" si="42"/>
        <v>-7481085</v>
      </c>
      <c r="AT44" s="289"/>
      <c r="AU44" s="288">
        <f t="shared" ref="AU44" si="43">SUM(AU45:AU47)</f>
        <v>-15385108</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23261635</v>
      </c>
      <c r="E45" s="491">
        <f t="shared" ref="E45:E47" si="44">F45-D45</f>
        <v>70863</v>
      </c>
      <c r="F45" s="483">
        <v>23332498</v>
      </c>
      <c r="G45" s="482"/>
      <c r="H45" s="484">
        <v>5933265</v>
      </c>
      <c r="I45" s="485">
        <v>5864720</v>
      </c>
      <c r="J45" s="485">
        <v>5945920</v>
      </c>
      <c r="K45" s="485">
        <v>5764333</v>
      </c>
      <c r="L45" s="156"/>
      <c r="M45" s="147">
        <f t="shared" ref="M45:M47" si="45">SUM(H45:K45)</f>
        <v>23508238</v>
      </c>
      <c r="N45" s="172">
        <f t="shared" si="39"/>
        <v>1.0075319839307391</v>
      </c>
      <c r="O45" s="163"/>
      <c r="P45" s="181"/>
      <c r="Q45"/>
      <c r="R45"/>
      <c r="S45" s="159"/>
      <c r="T45" s="157" t="str">
        <f t="shared" si="40"/>
        <v>Compensation of employees</v>
      </c>
      <c r="U45" s="146">
        <v>23261635</v>
      </c>
      <c r="V45" s="150">
        <v>0</v>
      </c>
      <c r="W45" s="148">
        <v>23261635</v>
      </c>
      <c r="X45" s="146"/>
      <c r="Y45" s="149">
        <v>5933265</v>
      </c>
      <c r="Z45" s="224">
        <v>5864720</v>
      </c>
      <c r="AA45" s="224"/>
      <c r="AB45" s="224"/>
      <c r="AC45" s="156"/>
      <c r="AD45" s="147">
        <v>11797985</v>
      </c>
      <c r="AE45" s="172">
        <v>0.50718640370722001</v>
      </c>
      <c r="AF45" s="163"/>
      <c r="AG45" s="181"/>
      <c r="AH45"/>
      <c r="AI45"/>
      <c r="AJ45" s="293"/>
      <c r="AK45" s="291" t="s">
        <v>54</v>
      </c>
      <c r="AL45" s="279">
        <f t="shared" ref="AL45:AN47" si="46">IFERROR(U45-D45,0)</f>
        <v>0</v>
      </c>
      <c r="AM45" s="280">
        <f t="shared" si="46"/>
        <v>-70863</v>
      </c>
      <c r="AN45" s="281">
        <f t="shared" si="46"/>
        <v>-70863</v>
      </c>
      <c r="AO45" s="279"/>
      <c r="AP45" s="282">
        <f t="shared" ref="AP45:AS47" si="47">IFERROR(Y45-H45,0)</f>
        <v>0</v>
      </c>
      <c r="AQ45" s="283">
        <f t="shared" si="47"/>
        <v>0</v>
      </c>
      <c r="AR45" s="283">
        <f t="shared" si="47"/>
        <v>-5945920</v>
      </c>
      <c r="AS45" s="283">
        <f t="shared" si="47"/>
        <v>-5764333</v>
      </c>
      <c r="AT45" s="289"/>
      <c r="AU45" s="283">
        <f t="shared" ref="AU45:AU47" si="48">IFERROR(AD45-M45,0)</f>
        <v>-11710253</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7196716</v>
      </c>
      <c r="E46" s="491">
        <f t="shared" si="44"/>
        <v>-95334</v>
      </c>
      <c r="F46" s="483">
        <v>7101382</v>
      </c>
      <c r="G46" s="482"/>
      <c r="H46" s="484">
        <v>1435333</v>
      </c>
      <c r="I46" s="485">
        <v>1802451</v>
      </c>
      <c r="J46" s="485">
        <v>1957839</v>
      </c>
      <c r="K46" s="485">
        <v>1716622</v>
      </c>
      <c r="L46" s="156"/>
      <c r="M46" s="147">
        <f t="shared" si="45"/>
        <v>6912245</v>
      </c>
      <c r="N46" s="172">
        <f t="shared" si="39"/>
        <v>0.97336617013420768</v>
      </c>
      <c r="O46" s="163"/>
      <c r="P46" s="181"/>
      <c r="Q46"/>
      <c r="R46"/>
      <c r="S46" s="159"/>
      <c r="T46" s="157" t="str">
        <f t="shared" si="40"/>
        <v>Goods and services</v>
      </c>
      <c r="U46" s="146">
        <v>7196716</v>
      </c>
      <c r="V46" s="150">
        <v>0</v>
      </c>
      <c r="W46" s="148">
        <v>7196716</v>
      </c>
      <c r="X46" s="146"/>
      <c r="Y46" s="149">
        <v>1435333</v>
      </c>
      <c r="Z46" s="224">
        <v>1802451</v>
      </c>
      <c r="AA46" s="224"/>
      <c r="AB46" s="224"/>
      <c r="AC46" s="156"/>
      <c r="AD46" s="147">
        <v>3237784</v>
      </c>
      <c r="AE46" s="172">
        <v>0.44989742543682426</v>
      </c>
      <c r="AF46" s="163"/>
      <c r="AG46" s="181"/>
      <c r="AH46"/>
      <c r="AI46"/>
      <c r="AJ46" s="293"/>
      <c r="AK46" s="291" t="s">
        <v>55</v>
      </c>
      <c r="AL46" s="279">
        <f t="shared" si="46"/>
        <v>0</v>
      </c>
      <c r="AM46" s="280">
        <f t="shared" si="46"/>
        <v>95334</v>
      </c>
      <c r="AN46" s="281">
        <f t="shared" si="46"/>
        <v>95334</v>
      </c>
      <c r="AO46" s="279"/>
      <c r="AP46" s="282">
        <f t="shared" si="47"/>
        <v>0</v>
      </c>
      <c r="AQ46" s="283">
        <f t="shared" si="47"/>
        <v>0</v>
      </c>
      <c r="AR46" s="283">
        <f t="shared" si="47"/>
        <v>-1957839</v>
      </c>
      <c r="AS46" s="283">
        <f t="shared" si="47"/>
        <v>-1716622</v>
      </c>
      <c r="AT46" s="289"/>
      <c r="AU46" s="283">
        <f t="shared" si="48"/>
        <v>-3674461</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657</v>
      </c>
      <c r="E47" s="491">
        <f t="shared" si="44"/>
        <v>149</v>
      </c>
      <c r="F47" s="483">
        <v>806</v>
      </c>
      <c r="G47" s="482"/>
      <c r="H47" s="484">
        <v>28</v>
      </c>
      <c r="I47" s="485">
        <v>426</v>
      </c>
      <c r="J47" s="485">
        <v>264</v>
      </c>
      <c r="K47" s="485">
        <v>130</v>
      </c>
      <c r="L47" s="156"/>
      <c r="M47" s="147">
        <f t="shared" si="45"/>
        <v>848</v>
      </c>
      <c r="N47" s="172">
        <f t="shared" si="39"/>
        <v>1.0521091811414391</v>
      </c>
      <c r="O47" s="163"/>
      <c r="P47" s="181"/>
      <c r="Q47"/>
      <c r="R47"/>
      <c r="S47" s="159"/>
      <c r="T47" s="157" t="str">
        <f t="shared" si="40"/>
        <v>Interest and rent on land</v>
      </c>
      <c r="U47" s="146">
        <v>657</v>
      </c>
      <c r="V47" s="150">
        <v>0</v>
      </c>
      <c r="W47" s="148">
        <v>657</v>
      </c>
      <c r="X47" s="146"/>
      <c r="Y47" s="149">
        <v>28</v>
      </c>
      <c r="Z47" s="224">
        <v>426</v>
      </c>
      <c r="AA47" s="224"/>
      <c r="AB47" s="224"/>
      <c r="AC47" s="156"/>
      <c r="AD47" s="147">
        <v>454</v>
      </c>
      <c r="AE47" s="172">
        <v>0.69101978691019783</v>
      </c>
      <c r="AF47" s="163"/>
      <c r="AG47" s="181"/>
      <c r="AH47"/>
      <c r="AI47"/>
      <c r="AJ47" s="293"/>
      <c r="AK47" s="291" t="s">
        <v>56</v>
      </c>
      <c r="AL47" s="279">
        <f t="shared" si="46"/>
        <v>0</v>
      </c>
      <c r="AM47" s="280">
        <f t="shared" si="46"/>
        <v>-149</v>
      </c>
      <c r="AN47" s="281">
        <f t="shared" si="46"/>
        <v>-149</v>
      </c>
      <c r="AO47" s="279"/>
      <c r="AP47" s="282">
        <f t="shared" si="47"/>
        <v>0</v>
      </c>
      <c r="AQ47" s="283">
        <f t="shared" si="47"/>
        <v>0</v>
      </c>
      <c r="AR47" s="283">
        <f t="shared" si="47"/>
        <v>-264</v>
      </c>
      <c r="AS47" s="283">
        <f t="shared" si="47"/>
        <v>-130</v>
      </c>
      <c r="AT47" s="289"/>
      <c r="AU47" s="283">
        <f t="shared" si="48"/>
        <v>-394</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4584476</v>
      </c>
      <c r="E48" s="156">
        <f t="shared" ref="E48:M48" si="49">SUM(E49:E55)</f>
        <v>199857</v>
      </c>
      <c r="F48" s="153">
        <f t="shared" si="49"/>
        <v>4784333</v>
      </c>
      <c r="G48" s="152">
        <f t="shared" si="49"/>
        <v>0</v>
      </c>
      <c r="H48" s="154">
        <f t="shared" si="49"/>
        <v>1316135</v>
      </c>
      <c r="I48" s="155">
        <f t="shared" ref="I48" si="50">SUM(I49:I55)</f>
        <v>923979</v>
      </c>
      <c r="J48" s="155">
        <f t="shared" ref="J48:K48" si="51">SUM(J49:J55)</f>
        <v>1616044</v>
      </c>
      <c r="K48" s="155">
        <f t="shared" si="51"/>
        <v>928184</v>
      </c>
      <c r="L48" s="156"/>
      <c r="M48" s="155">
        <f t="shared" si="49"/>
        <v>4784342</v>
      </c>
      <c r="N48" s="183">
        <f t="shared" si="39"/>
        <v>1.0000018811399625</v>
      </c>
      <c r="O48" s="595"/>
      <c r="P48" s="478"/>
      <c r="Q48"/>
      <c r="R48"/>
      <c r="S48" s="159"/>
      <c r="T48" s="182" t="str">
        <f t="shared" si="40"/>
        <v>Transfers and subsidies</v>
      </c>
      <c r="U48" s="152">
        <v>4584476</v>
      </c>
      <c r="V48" s="156">
        <v>0</v>
      </c>
      <c r="W48" s="153">
        <v>4584476</v>
      </c>
      <c r="X48" s="152">
        <v>0</v>
      </c>
      <c r="Y48" s="154">
        <v>1316135</v>
      </c>
      <c r="Z48" s="155">
        <v>923979</v>
      </c>
      <c r="AA48" s="155">
        <v>0</v>
      </c>
      <c r="AB48" s="155">
        <v>0</v>
      </c>
      <c r="AC48" s="156"/>
      <c r="AD48" s="155">
        <v>2240114</v>
      </c>
      <c r="AE48" s="183">
        <v>0.48863032547231133</v>
      </c>
      <c r="AF48" s="163"/>
      <c r="AG48" s="181"/>
      <c r="AH48"/>
      <c r="AI48"/>
      <c r="AJ48" s="293"/>
      <c r="AK48" s="314" t="s">
        <v>1</v>
      </c>
      <c r="AL48" s="285">
        <f>SUM(AL49:AL55)</f>
        <v>0</v>
      </c>
      <c r="AM48" s="289">
        <f t="shared" ref="AM48:AO48" si="52">SUM(AM49:AM55)</f>
        <v>-199857</v>
      </c>
      <c r="AN48" s="286">
        <f>SUM(AN49:AN55)</f>
        <v>-199857</v>
      </c>
      <c r="AO48" s="285">
        <f t="shared" si="52"/>
        <v>0</v>
      </c>
      <c r="AP48" s="287">
        <f>SUM(AP49:AP55)</f>
        <v>0</v>
      </c>
      <c r="AQ48" s="288">
        <f t="shared" ref="AQ48:AS48" si="53">SUM(AQ49:AQ55)</f>
        <v>0</v>
      </c>
      <c r="AR48" s="288">
        <f t="shared" si="53"/>
        <v>-1616044</v>
      </c>
      <c r="AS48" s="288">
        <f t="shared" si="53"/>
        <v>-928184</v>
      </c>
      <c r="AT48" s="289"/>
      <c r="AU48" s="288">
        <f t="shared" ref="AU48" si="54">SUM(AU49:AU55)</f>
        <v>-2544228</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484581</v>
      </c>
      <c r="E49" s="491">
        <f t="shared" ref="E49:E55" si="55">F49-D49</f>
        <v>40670</v>
      </c>
      <c r="F49" s="483">
        <v>525251</v>
      </c>
      <c r="G49" s="482"/>
      <c r="H49" s="484">
        <v>210881</v>
      </c>
      <c r="I49" s="485">
        <v>96702</v>
      </c>
      <c r="J49" s="485">
        <v>146450</v>
      </c>
      <c r="K49" s="485">
        <v>93125</v>
      </c>
      <c r="L49" s="156"/>
      <c r="M49" s="147">
        <f t="shared" ref="M49:M55" si="56">SUM(H49:K49)</f>
        <v>547158</v>
      </c>
      <c r="N49" s="172">
        <f t="shared" si="39"/>
        <v>1.0417076788049904</v>
      </c>
      <c r="O49" s="163"/>
      <c r="P49" s="181"/>
      <c r="Q49"/>
      <c r="R49"/>
      <c r="S49" s="159"/>
      <c r="T49" s="157" t="str">
        <f t="shared" si="40"/>
        <v>Provinces and municipalities</v>
      </c>
      <c r="U49" s="146">
        <v>484581</v>
      </c>
      <c r="V49" s="150">
        <v>0</v>
      </c>
      <c r="W49" s="148">
        <v>484581</v>
      </c>
      <c r="X49" s="146"/>
      <c r="Y49" s="149">
        <v>210881</v>
      </c>
      <c r="Z49" s="224">
        <v>96702</v>
      </c>
      <c r="AA49" s="224"/>
      <c r="AB49" s="224"/>
      <c r="AC49" s="156"/>
      <c r="AD49" s="147">
        <v>307583</v>
      </c>
      <c r="AE49" s="172">
        <v>0.63474011568757338</v>
      </c>
      <c r="AF49" s="163"/>
      <c r="AG49" s="181"/>
      <c r="AH49"/>
      <c r="AI49"/>
      <c r="AJ49" s="293"/>
      <c r="AK49" s="291" t="s">
        <v>57</v>
      </c>
      <c r="AL49" s="279">
        <f t="shared" ref="AL49:AN55" si="57">IFERROR(U49-D49,0)</f>
        <v>0</v>
      </c>
      <c r="AM49" s="280">
        <f t="shared" si="57"/>
        <v>-40670</v>
      </c>
      <c r="AN49" s="281">
        <f t="shared" si="57"/>
        <v>-40670</v>
      </c>
      <c r="AO49" s="279"/>
      <c r="AP49" s="282">
        <f t="shared" ref="AP49:AS55" si="58">IFERROR(Y49-H49,0)</f>
        <v>0</v>
      </c>
      <c r="AQ49" s="283">
        <f t="shared" si="58"/>
        <v>0</v>
      </c>
      <c r="AR49" s="283">
        <f t="shared" si="58"/>
        <v>-146450</v>
      </c>
      <c r="AS49" s="283">
        <f t="shared" si="58"/>
        <v>-93125</v>
      </c>
      <c r="AT49" s="289"/>
      <c r="AU49" s="283">
        <f t="shared" ref="AU49:AU55" si="59">IFERROR(AD49-M49,0)</f>
        <v>-239575</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278749</v>
      </c>
      <c r="E50" s="491">
        <f t="shared" si="55"/>
        <v>3439</v>
      </c>
      <c r="F50" s="483">
        <v>282188</v>
      </c>
      <c r="G50" s="482"/>
      <c r="H50" s="484">
        <v>55192</v>
      </c>
      <c r="I50" s="485">
        <v>57719</v>
      </c>
      <c r="J50" s="485">
        <v>128384</v>
      </c>
      <c r="K50" s="485">
        <v>35134</v>
      </c>
      <c r="L50" s="156"/>
      <c r="M50" s="147">
        <f t="shared" si="56"/>
        <v>276429</v>
      </c>
      <c r="N50" s="172">
        <f t="shared" si="39"/>
        <v>0.97959161977121634</v>
      </c>
      <c r="O50" s="163"/>
      <c r="P50" s="181"/>
      <c r="Q50"/>
      <c r="R50"/>
      <c r="S50" s="159"/>
      <c r="T50" s="157" t="str">
        <f t="shared" si="40"/>
        <v>Departmental agencies and accounts</v>
      </c>
      <c r="U50" s="146">
        <v>278749</v>
      </c>
      <c r="V50" s="150">
        <v>0</v>
      </c>
      <c r="W50" s="148">
        <v>278749</v>
      </c>
      <c r="X50" s="146"/>
      <c r="Y50" s="149">
        <v>55192</v>
      </c>
      <c r="Z50" s="224">
        <v>57719</v>
      </c>
      <c r="AA50" s="224"/>
      <c r="AB50" s="224"/>
      <c r="AC50" s="156"/>
      <c r="AD50" s="147">
        <v>112911</v>
      </c>
      <c r="AE50" s="172">
        <v>0.40506333655008631</v>
      </c>
      <c r="AF50" s="163"/>
      <c r="AG50" s="181"/>
      <c r="AH50"/>
      <c r="AI50"/>
      <c r="AJ50" s="293"/>
      <c r="AK50" s="291" t="s">
        <v>58</v>
      </c>
      <c r="AL50" s="279">
        <f t="shared" si="57"/>
        <v>0</v>
      </c>
      <c r="AM50" s="280">
        <f t="shared" si="57"/>
        <v>-3439</v>
      </c>
      <c r="AN50" s="281">
        <f t="shared" si="57"/>
        <v>-3439</v>
      </c>
      <c r="AO50" s="279"/>
      <c r="AP50" s="282">
        <f t="shared" si="58"/>
        <v>0</v>
      </c>
      <c r="AQ50" s="283">
        <f t="shared" si="58"/>
        <v>0</v>
      </c>
      <c r="AR50" s="283">
        <f t="shared" si="58"/>
        <v>-128384</v>
      </c>
      <c r="AS50" s="283">
        <f t="shared" si="58"/>
        <v>-35134</v>
      </c>
      <c r="AT50" s="289"/>
      <c r="AU50" s="283">
        <f t="shared" si="59"/>
        <v>-163518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16</v>
      </c>
      <c r="E51" s="491">
        <f t="shared" si="55"/>
        <v>-16</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16</v>
      </c>
      <c r="V51" s="150">
        <v>0</v>
      </c>
      <c r="W51" s="148">
        <v>16</v>
      </c>
      <c r="X51" s="146"/>
      <c r="Y51" s="149">
        <v>0</v>
      </c>
      <c r="Z51" s="224">
        <v>0</v>
      </c>
      <c r="AA51" s="224"/>
      <c r="AB51" s="224"/>
      <c r="AC51" s="156"/>
      <c r="AD51" s="147">
        <v>0</v>
      </c>
      <c r="AE51" s="172">
        <v>0</v>
      </c>
      <c r="AF51" s="163"/>
      <c r="AG51" s="181"/>
      <c r="AH51"/>
      <c r="AI51"/>
      <c r="AJ51" s="293"/>
      <c r="AK51" s="291" t="s">
        <v>59</v>
      </c>
      <c r="AL51" s="279">
        <f t="shared" si="57"/>
        <v>0</v>
      </c>
      <c r="AM51" s="280">
        <f t="shared" si="57"/>
        <v>16</v>
      </c>
      <c r="AN51" s="281">
        <f t="shared" si="57"/>
        <v>16</v>
      </c>
      <c r="AO51" s="279"/>
      <c r="AP51" s="282">
        <f t="shared" si="58"/>
        <v>0</v>
      </c>
      <c r="AQ51" s="283">
        <f t="shared" si="58"/>
        <v>0</v>
      </c>
      <c r="AR51" s="283">
        <f t="shared" si="58"/>
        <v>0</v>
      </c>
      <c r="AS51" s="283">
        <f t="shared" si="58"/>
        <v>0</v>
      </c>
      <c r="AT51" s="289"/>
      <c r="AU51" s="283">
        <f t="shared" si="59"/>
        <v>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328251</v>
      </c>
      <c r="E53" s="491">
        <f t="shared" si="55"/>
        <v>30400</v>
      </c>
      <c r="F53" s="483">
        <v>358651</v>
      </c>
      <c r="G53" s="482"/>
      <c r="H53" s="484">
        <v>72279</v>
      </c>
      <c r="I53" s="485">
        <v>92772</v>
      </c>
      <c r="J53" s="485">
        <v>120423</v>
      </c>
      <c r="K53" s="485">
        <v>103177</v>
      </c>
      <c r="L53" s="156"/>
      <c r="M53" s="147">
        <f t="shared" si="56"/>
        <v>388651</v>
      </c>
      <c r="N53" s="172">
        <f t="shared" si="39"/>
        <v>1.0836467763926492</v>
      </c>
      <c r="O53" s="163"/>
      <c r="P53" s="181"/>
      <c r="Q53"/>
      <c r="R53"/>
      <c r="S53" s="159"/>
      <c r="T53" s="157" t="str">
        <f t="shared" si="40"/>
        <v>Public corporations and private enterprises</v>
      </c>
      <c r="U53" s="146">
        <v>328251</v>
      </c>
      <c r="V53" s="150">
        <v>0</v>
      </c>
      <c r="W53" s="148">
        <v>328251</v>
      </c>
      <c r="X53" s="146"/>
      <c r="Y53" s="149">
        <v>72279</v>
      </c>
      <c r="Z53" s="224">
        <v>92772</v>
      </c>
      <c r="AA53" s="224"/>
      <c r="AB53" s="224"/>
      <c r="AC53" s="156"/>
      <c r="AD53" s="147">
        <v>165051</v>
      </c>
      <c r="AE53" s="172">
        <v>0.50281948874489335</v>
      </c>
      <c r="AF53" s="163"/>
      <c r="AG53" s="181"/>
      <c r="AH53" s="61"/>
      <c r="AI53"/>
      <c r="AJ53" s="293"/>
      <c r="AK53" s="291" t="s">
        <v>61</v>
      </c>
      <c r="AL53" s="279">
        <f t="shared" si="57"/>
        <v>0</v>
      </c>
      <c r="AM53" s="280">
        <f t="shared" si="57"/>
        <v>-30400</v>
      </c>
      <c r="AN53" s="281">
        <f t="shared" si="57"/>
        <v>-30400</v>
      </c>
      <c r="AO53" s="279"/>
      <c r="AP53" s="282">
        <f t="shared" si="58"/>
        <v>0</v>
      </c>
      <c r="AQ53" s="283">
        <f t="shared" si="58"/>
        <v>0</v>
      </c>
      <c r="AR53" s="283">
        <f t="shared" si="58"/>
        <v>-120423</v>
      </c>
      <c r="AS53" s="283">
        <f t="shared" si="58"/>
        <v>-103177</v>
      </c>
      <c r="AT53" s="289"/>
      <c r="AU53" s="283">
        <f t="shared" si="59"/>
        <v>-223600</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1866279</v>
      </c>
      <c r="E54" s="491">
        <f t="shared" si="55"/>
        <v>33708</v>
      </c>
      <c r="F54" s="483">
        <v>1899987</v>
      </c>
      <c r="G54" s="482"/>
      <c r="H54" s="484">
        <v>713407</v>
      </c>
      <c r="I54" s="485">
        <v>314965</v>
      </c>
      <c r="J54" s="485">
        <v>651316</v>
      </c>
      <c r="K54" s="485">
        <v>199286</v>
      </c>
      <c r="L54" s="156"/>
      <c r="M54" s="147">
        <f t="shared" si="56"/>
        <v>1878974</v>
      </c>
      <c r="N54" s="172">
        <f t="shared" si="39"/>
        <v>0.98894045064518865</v>
      </c>
      <c r="O54" s="163"/>
      <c r="P54" s="181"/>
      <c r="Q54"/>
      <c r="R54"/>
      <c r="S54" s="159"/>
      <c r="T54" s="157" t="str">
        <f t="shared" si="40"/>
        <v>Non profit institutions</v>
      </c>
      <c r="U54" s="146">
        <v>1866279</v>
      </c>
      <c r="V54" s="150">
        <v>0</v>
      </c>
      <c r="W54" s="148">
        <v>1866279</v>
      </c>
      <c r="X54" s="146"/>
      <c r="Y54" s="149">
        <v>713407</v>
      </c>
      <c r="Z54" s="224">
        <v>314965</v>
      </c>
      <c r="AA54" s="224"/>
      <c r="AB54" s="224"/>
      <c r="AC54" s="156"/>
      <c r="AD54" s="147">
        <v>1028372</v>
      </c>
      <c r="AE54" s="172">
        <v>0.5510280081381187</v>
      </c>
      <c r="AF54" s="163"/>
      <c r="AG54" s="181"/>
      <c r="AH54" s="61"/>
      <c r="AI54"/>
      <c r="AJ54" s="293"/>
      <c r="AK54" s="291" t="s">
        <v>62</v>
      </c>
      <c r="AL54" s="279">
        <f t="shared" si="57"/>
        <v>0</v>
      </c>
      <c r="AM54" s="280">
        <f t="shared" si="57"/>
        <v>-33708</v>
      </c>
      <c r="AN54" s="281">
        <f t="shared" si="57"/>
        <v>-33708</v>
      </c>
      <c r="AO54" s="279"/>
      <c r="AP54" s="282">
        <f t="shared" si="58"/>
        <v>0</v>
      </c>
      <c r="AQ54" s="283">
        <f t="shared" si="58"/>
        <v>0</v>
      </c>
      <c r="AR54" s="283">
        <f t="shared" si="58"/>
        <v>-651316</v>
      </c>
      <c r="AS54" s="283">
        <f t="shared" si="58"/>
        <v>-199286</v>
      </c>
      <c r="AT54" s="289"/>
      <c r="AU54" s="283">
        <f t="shared" si="59"/>
        <v>-850602</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1626600</v>
      </c>
      <c r="E55" s="491">
        <f t="shared" si="55"/>
        <v>91656</v>
      </c>
      <c r="F55" s="483">
        <v>1718256</v>
      </c>
      <c r="G55" s="482"/>
      <c r="H55" s="484">
        <v>264376</v>
      </c>
      <c r="I55" s="485">
        <v>361821</v>
      </c>
      <c r="J55" s="485">
        <v>569471</v>
      </c>
      <c r="K55" s="485">
        <v>497462</v>
      </c>
      <c r="L55" s="156"/>
      <c r="M55" s="147">
        <f t="shared" si="56"/>
        <v>1693130</v>
      </c>
      <c r="N55" s="172">
        <f t="shared" si="39"/>
        <v>0.98537703345717986</v>
      </c>
      <c r="O55" s="163"/>
      <c r="P55" s="181"/>
      <c r="Q55"/>
      <c r="R55"/>
      <c r="S55" s="159"/>
      <c r="T55" s="157" t="str">
        <f t="shared" si="40"/>
        <v>Households</v>
      </c>
      <c r="U55" s="146">
        <v>1626600</v>
      </c>
      <c r="V55" s="150">
        <v>0</v>
      </c>
      <c r="W55" s="148">
        <v>1626600</v>
      </c>
      <c r="X55" s="146"/>
      <c r="Y55" s="149">
        <v>264376</v>
      </c>
      <c r="Z55" s="224">
        <v>361821</v>
      </c>
      <c r="AA55" s="224"/>
      <c r="AB55" s="224"/>
      <c r="AC55" s="156"/>
      <c r="AD55" s="147">
        <v>626197</v>
      </c>
      <c r="AE55" s="172">
        <v>0.38497294971105372</v>
      </c>
      <c r="AF55" s="163"/>
      <c r="AG55" s="181"/>
      <c r="AH55"/>
      <c r="AI55"/>
      <c r="AJ55" s="293"/>
      <c r="AK55" s="291" t="s">
        <v>63</v>
      </c>
      <c r="AL55" s="279">
        <f t="shared" si="57"/>
        <v>0</v>
      </c>
      <c r="AM55" s="280">
        <f t="shared" si="57"/>
        <v>-91656</v>
      </c>
      <c r="AN55" s="281">
        <f t="shared" si="57"/>
        <v>-91656</v>
      </c>
      <c r="AO55" s="279"/>
      <c r="AP55" s="282">
        <f t="shared" si="58"/>
        <v>0</v>
      </c>
      <c r="AQ55" s="283">
        <f t="shared" si="58"/>
        <v>0</v>
      </c>
      <c r="AR55" s="283">
        <f t="shared" si="58"/>
        <v>-569471</v>
      </c>
      <c r="AS55" s="283">
        <f t="shared" si="58"/>
        <v>-497462</v>
      </c>
      <c r="AT55" s="289"/>
      <c r="AU55" s="283">
        <f t="shared" si="59"/>
        <v>-1066933</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2230534</v>
      </c>
      <c r="E56" s="156">
        <f t="shared" ref="E56:M56" si="60">SUM(E57:E63)</f>
        <v>162900</v>
      </c>
      <c r="F56" s="153">
        <f t="shared" si="60"/>
        <v>2393434</v>
      </c>
      <c r="G56" s="152">
        <f t="shared" si="60"/>
        <v>0</v>
      </c>
      <c r="H56" s="154">
        <f t="shared" si="60"/>
        <v>276415</v>
      </c>
      <c r="I56" s="155">
        <f t="shared" ref="I56" si="61">SUM(I57:I63)</f>
        <v>445200</v>
      </c>
      <c r="J56" s="155">
        <f t="shared" ref="J56:K56" si="62">SUM(J57:J63)</f>
        <v>594847</v>
      </c>
      <c r="K56" s="155">
        <f t="shared" si="62"/>
        <v>689403</v>
      </c>
      <c r="L56" s="156"/>
      <c r="M56" s="155">
        <f t="shared" si="60"/>
        <v>2005865</v>
      </c>
      <c r="N56" s="183">
        <f t="shared" si="39"/>
        <v>0.83806990290937622</v>
      </c>
      <c r="O56" s="595"/>
      <c r="P56" s="478"/>
      <c r="Q56"/>
      <c r="R56"/>
      <c r="S56" s="159"/>
      <c r="T56" s="182" t="str">
        <f t="shared" si="40"/>
        <v>Payments for capital assets</v>
      </c>
      <c r="U56" s="152">
        <v>2230534</v>
      </c>
      <c r="V56" s="156">
        <v>0</v>
      </c>
      <c r="W56" s="153">
        <v>2230534</v>
      </c>
      <c r="X56" s="152">
        <v>0</v>
      </c>
      <c r="Y56" s="154">
        <v>276415</v>
      </c>
      <c r="Z56" s="155">
        <v>445200</v>
      </c>
      <c r="AA56" s="155">
        <v>0</v>
      </c>
      <c r="AB56" s="155">
        <v>0</v>
      </c>
      <c r="AC56" s="156"/>
      <c r="AD56" s="155">
        <v>721615</v>
      </c>
      <c r="AE56" s="183">
        <v>0.32351670048517528</v>
      </c>
      <c r="AF56" s="163"/>
      <c r="AG56" s="181"/>
      <c r="AH56"/>
      <c r="AI56"/>
      <c r="AJ56" s="293"/>
      <c r="AK56" s="314" t="s">
        <v>2</v>
      </c>
      <c r="AL56" s="285">
        <f>SUM(AL57:AL63)</f>
        <v>0</v>
      </c>
      <c r="AM56" s="289">
        <f t="shared" ref="AM56:AO56" si="63">SUM(AM57:AM63)</f>
        <v>-162900</v>
      </c>
      <c r="AN56" s="286">
        <f>SUM(AN57:AN63)</f>
        <v>-162900</v>
      </c>
      <c r="AO56" s="285">
        <f t="shared" si="63"/>
        <v>0</v>
      </c>
      <c r="AP56" s="287">
        <f>SUM(AP57:AP63)</f>
        <v>0</v>
      </c>
      <c r="AQ56" s="288">
        <f t="shared" ref="AQ56:AS56" si="64">SUM(AQ57:AQ63)</f>
        <v>0</v>
      </c>
      <c r="AR56" s="288">
        <f t="shared" si="64"/>
        <v>-594847</v>
      </c>
      <c r="AS56" s="288">
        <f t="shared" si="64"/>
        <v>-689403</v>
      </c>
      <c r="AT56" s="289"/>
      <c r="AU56" s="288">
        <f t="shared" ref="AU56" si="65">SUM(AU57:AU63)</f>
        <v>-1284250</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1871724</v>
      </c>
      <c r="E57" s="491">
        <f t="shared" ref="E57:E63" si="66">F57-D57</f>
        <v>29130</v>
      </c>
      <c r="F57" s="483">
        <v>1900854</v>
      </c>
      <c r="G57" s="482"/>
      <c r="H57" s="484">
        <v>216978</v>
      </c>
      <c r="I57" s="485">
        <v>361317</v>
      </c>
      <c r="J57" s="485">
        <v>503244</v>
      </c>
      <c r="K57" s="485">
        <v>570563</v>
      </c>
      <c r="L57" s="156"/>
      <c r="M57" s="147">
        <f t="shared" ref="M57:M64" si="67">SUM(H57:K57)</f>
        <v>1652102</v>
      </c>
      <c r="N57" s="172">
        <f t="shared" si="39"/>
        <v>0.86913671433997564</v>
      </c>
      <c r="O57" s="163"/>
      <c r="P57" s="181"/>
      <c r="Q57"/>
      <c r="R57"/>
      <c r="S57" s="159"/>
      <c r="T57" s="157" t="str">
        <f t="shared" si="40"/>
        <v>Buildings and other fixed structures</v>
      </c>
      <c r="U57" s="146">
        <v>1871724</v>
      </c>
      <c r="V57" s="150">
        <v>0</v>
      </c>
      <c r="W57" s="148">
        <v>1871724</v>
      </c>
      <c r="X57" s="146"/>
      <c r="Y57" s="149">
        <v>216978</v>
      </c>
      <c r="Z57" s="224">
        <v>361317</v>
      </c>
      <c r="AA57" s="224"/>
      <c r="AB57" s="224"/>
      <c r="AC57" s="156"/>
      <c r="AD57" s="147">
        <v>578295</v>
      </c>
      <c r="AE57" s="172">
        <v>0.30896382158908042</v>
      </c>
      <c r="AF57" s="163"/>
      <c r="AG57" s="181"/>
      <c r="AH57"/>
      <c r="AI57"/>
      <c r="AJ57" s="293"/>
      <c r="AK57" s="291" t="s">
        <v>64</v>
      </c>
      <c r="AL57" s="279">
        <f t="shared" ref="AL57:AN64" si="68">IFERROR(U57-D57,0)</f>
        <v>0</v>
      </c>
      <c r="AM57" s="280">
        <f t="shared" si="68"/>
        <v>-29130</v>
      </c>
      <c r="AN57" s="281">
        <f t="shared" si="68"/>
        <v>-29130</v>
      </c>
      <c r="AO57" s="279"/>
      <c r="AP57" s="282">
        <f t="shared" ref="AP57:AS64" si="69">IFERROR(Y57-H57,0)</f>
        <v>0</v>
      </c>
      <c r="AQ57" s="283">
        <f t="shared" si="69"/>
        <v>0</v>
      </c>
      <c r="AR57" s="283">
        <f t="shared" si="69"/>
        <v>-503244</v>
      </c>
      <c r="AS57" s="283">
        <f t="shared" si="69"/>
        <v>-570563</v>
      </c>
      <c r="AT57" s="289"/>
      <c r="AU57" s="283">
        <f t="shared" ref="AU57:AU64" si="70">IFERROR(AD57-M57,0)</f>
        <v>-1073807</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347325</v>
      </c>
      <c r="E58" s="491">
        <f t="shared" si="66"/>
        <v>117719</v>
      </c>
      <c r="F58" s="483">
        <v>465044</v>
      </c>
      <c r="G58" s="482"/>
      <c r="H58" s="484">
        <v>59414</v>
      </c>
      <c r="I58" s="485">
        <v>64295</v>
      </c>
      <c r="J58" s="485">
        <v>91160</v>
      </c>
      <c r="K58" s="485">
        <v>110485</v>
      </c>
      <c r="L58" s="156"/>
      <c r="M58" s="147">
        <f t="shared" si="67"/>
        <v>325354</v>
      </c>
      <c r="N58" s="172">
        <f t="shared" si="39"/>
        <v>0.69961982092017094</v>
      </c>
      <c r="O58" s="163"/>
      <c r="P58" s="181"/>
      <c r="Q58"/>
      <c r="R58"/>
      <c r="S58" s="159"/>
      <c r="T58" s="157" t="str">
        <f t="shared" si="40"/>
        <v>Machinery and equipment</v>
      </c>
      <c r="U58" s="146">
        <v>347325</v>
      </c>
      <c r="V58" s="150">
        <v>0</v>
      </c>
      <c r="W58" s="148">
        <v>347325</v>
      </c>
      <c r="X58" s="146"/>
      <c r="Y58" s="149">
        <v>59414</v>
      </c>
      <c r="Z58" s="224">
        <v>64295</v>
      </c>
      <c r="AA58" s="224"/>
      <c r="AB58" s="224"/>
      <c r="AC58" s="156"/>
      <c r="AD58" s="147">
        <v>123709</v>
      </c>
      <c r="AE58" s="172">
        <v>0.35617649175843952</v>
      </c>
      <c r="AF58" s="163"/>
      <c r="AG58" s="181"/>
      <c r="AH58"/>
      <c r="AI58"/>
      <c r="AJ58" s="293"/>
      <c r="AK58" s="291" t="s">
        <v>65</v>
      </c>
      <c r="AL58" s="279">
        <f t="shared" si="68"/>
        <v>0</v>
      </c>
      <c r="AM58" s="280">
        <f t="shared" si="68"/>
        <v>-117719</v>
      </c>
      <c r="AN58" s="281">
        <f t="shared" si="68"/>
        <v>-117719</v>
      </c>
      <c r="AO58" s="279"/>
      <c r="AP58" s="282">
        <f t="shared" si="69"/>
        <v>0</v>
      </c>
      <c r="AQ58" s="283">
        <f t="shared" si="69"/>
        <v>0</v>
      </c>
      <c r="AR58" s="283">
        <f t="shared" si="69"/>
        <v>-91160</v>
      </c>
      <c r="AS58" s="283">
        <f t="shared" si="69"/>
        <v>-110485</v>
      </c>
      <c r="AT58" s="289"/>
      <c r="AU58" s="283">
        <f t="shared" si="70"/>
        <v>-201645</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0</v>
      </c>
      <c r="F59" s="483">
        <v>0</v>
      </c>
      <c r="G59" s="482"/>
      <c r="H59" s="484">
        <v>0</v>
      </c>
      <c r="I59" s="485">
        <v>0</v>
      </c>
      <c r="J59" s="485">
        <v>0</v>
      </c>
      <c r="K59" s="485">
        <v>0</v>
      </c>
      <c r="L59" s="156"/>
      <c r="M59" s="147">
        <f t="shared" si="67"/>
        <v>0</v>
      </c>
      <c r="N59" s="172">
        <f t="shared" si="39"/>
        <v>0</v>
      </c>
      <c r="O59" s="163"/>
      <c r="P59" s="181"/>
      <c r="Q59"/>
      <c r="R59"/>
      <c r="S59" s="159"/>
      <c r="T59" s="157" t="str">
        <f t="shared" si="40"/>
        <v>Heritage assets</v>
      </c>
      <c r="U59" s="146">
        <v>0</v>
      </c>
      <c r="V59" s="150">
        <v>0</v>
      </c>
      <c r="W59" s="148">
        <v>0</v>
      </c>
      <c r="X59" s="146"/>
      <c r="Y59" s="149">
        <v>0</v>
      </c>
      <c r="Z59" s="224">
        <v>0</v>
      </c>
      <c r="AA59" s="224"/>
      <c r="AB59" s="224"/>
      <c r="AC59" s="156"/>
      <c r="AD59" s="147">
        <v>0</v>
      </c>
      <c r="AE59" s="172">
        <v>0</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500</v>
      </c>
      <c r="F61" s="483">
        <v>500</v>
      </c>
      <c r="G61" s="482"/>
      <c r="H61" s="484">
        <v>0</v>
      </c>
      <c r="I61" s="485">
        <v>0</v>
      </c>
      <c r="J61" s="485">
        <v>0</v>
      </c>
      <c r="K61" s="485">
        <v>4490</v>
      </c>
      <c r="L61" s="156"/>
      <c r="M61" s="147">
        <f t="shared" si="67"/>
        <v>4490</v>
      </c>
      <c r="N61" s="172">
        <f t="shared" si="39"/>
        <v>8.98</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-500</v>
      </c>
      <c r="AN61" s="281">
        <f t="shared" si="68"/>
        <v>-500</v>
      </c>
      <c r="AO61" s="279"/>
      <c r="AP61" s="282">
        <f t="shared" si="69"/>
        <v>0</v>
      </c>
      <c r="AQ61" s="283">
        <f t="shared" si="69"/>
        <v>0</v>
      </c>
      <c r="AR61" s="283">
        <f t="shared" si="69"/>
        <v>0</v>
      </c>
      <c r="AS61" s="283">
        <f t="shared" si="69"/>
        <v>-4490</v>
      </c>
      <c r="AT61" s="289"/>
      <c r="AU61" s="283">
        <f t="shared" si="70"/>
        <v>-4490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900</v>
      </c>
      <c r="E62" s="491">
        <f t="shared" si="66"/>
        <v>-900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900</v>
      </c>
      <c r="V62" s="150">
        <v>0</v>
      </c>
      <c r="W62" s="148">
        <v>900</v>
      </c>
      <c r="X62" s="146"/>
      <c r="Y62" s="149">
        <v>0</v>
      </c>
      <c r="Z62" s="224">
        <v>0</v>
      </c>
      <c r="AA62" s="224"/>
      <c r="AB62" s="224"/>
      <c r="AC62" s="156"/>
      <c r="AD62" s="147">
        <v>0</v>
      </c>
      <c r="AE62" s="172">
        <v>0</v>
      </c>
      <c r="AF62" s="163"/>
      <c r="AG62" s="181"/>
      <c r="AJ62" s="293"/>
      <c r="AK62" s="291" t="s">
        <v>69</v>
      </c>
      <c r="AL62" s="279">
        <f t="shared" si="68"/>
        <v>0</v>
      </c>
      <c r="AM62" s="280">
        <f t="shared" si="68"/>
        <v>900</v>
      </c>
      <c r="AN62" s="281">
        <f t="shared" si="68"/>
        <v>900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10585</v>
      </c>
      <c r="E63" s="491">
        <f t="shared" si="66"/>
        <v>16451</v>
      </c>
      <c r="F63" s="483">
        <v>27036</v>
      </c>
      <c r="G63" s="482"/>
      <c r="H63" s="484">
        <v>23</v>
      </c>
      <c r="I63" s="485">
        <v>19588</v>
      </c>
      <c r="J63" s="485">
        <v>443</v>
      </c>
      <c r="K63" s="485">
        <v>3865</v>
      </c>
      <c r="L63" s="156"/>
      <c r="M63" s="147">
        <f t="shared" si="67"/>
        <v>23919</v>
      </c>
      <c r="N63" s="172">
        <f t="shared" si="39"/>
        <v>0.88470927652019526</v>
      </c>
      <c r="O63" s="163"/>
      <c r="P63" s="181"/>
      <c r="Q63"/>
      <c r="R63"/>
      <c r="S63" s="159"/>
      <c r="T63" s="157" t="str">
        <f t="shared" si="40"/>
        <v>Software and other intangible assets</v>
      </c>
      <c r="U63" s="146">
        <v>10585</v>
      </c>
      <c r="V63" s="150">
        <v>0</v>
      </c>
      <c r="W63" s="148">
        <v>10585</v>
      </c>
      <c r="X63" s="146"/>
      <c r="Y63" s="149">
        <v>23</v>
      </c>
      <c r="Z63" s="224">
        <v>19588</v>
      </c>
      <c r="AA63" s="224"/>
      <c r="AB63" s="224"/>
      <c r="AC63" s="156"/>
      <c r="AD63" s="147">
        <v>19611</v>
      </c>
      <c r="AE63" s="172">
        <v>1.8527161076995748</v>
      </c>
      <c r="AF63" s="163"/>
      <c r="AG63" s="181"/>
      <c r="AH63"/>
      <c r="AI63"/>
      <c r="AJ63" s="293"/>
      <c r="AK63" s="291" t="s">
        <v>70</v>
      </c>
      <c r="AL63" s="279">
        <f t="shared" si="68"/>
        <v>0</v>
      </c>
      <c r="AM63" s="280">
        <f t="shared" si="68"/>
        <v>-16451</v>
      </c>
      <c r="AN63" s="281">
        <f t="shared" si="68"/>
        <v>-16451</v>
      </c>
      <c r="AO63" s="279"/>
      <c r="AP63" s="282">
        <f t="shared" si="69"/>
        <v>0</v>
      </c>
      <c r="AQ63" s="283">
        <f t="shared" si="69"/>
        <v>0</v>
      </c>
      <c r="AR63" s="283">
        <f t="shared" si="69"/>
        <v>-443</v>
      </c>
      <c r="AS63" s="283">
        <f t="shared" si="69"/>
        <v>-3865</v>
      </c>
      <c r="AT63" s="289"/>
      <c r="AU63" s="283">
        <f t="shared" si="70"/>
        <v>-4308</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ref="E64" si="71">F64-D64</f>
        <v>22</v>
      </c>
      <c r="F64" s="488">
        <v>22</v>
      </c>
      <c r="G64" s="487"/>
      <c r="H64" s="489">
        <v>1788</v>
      </c>
      <c r="I64" s="490">
        <v>193</v>
      </c>
      <c r="J64" s="490">
        <v>624</v>
      </c>
      <c r="K64" s="490">
        <v>5049</v>
      </c>
      <c r="L64" s="156"/>
      <c r="M64" s="155">
        <f t="shared" si="67"/>
        <v>7654</v>
      </c>
      <c r="N64" s="183">
        <f t="shared" si="39"/>
        <v>347.90909090909093</v>
      </c>
      <c r="O64" s="595"/>
      <c r="P64" s="478"/>
      <c r="Q64"/>
      <c r="R64"/>
      <c r="S64" s="159"/>
      <c r="T64" s="182" t="str">
        <f t="shared" si="40"/>
        <v>Payments for financial assets</v>
      </c>
      <c r="U64" s="152">
        <v>0</v>
      </c>
      <c r="V64" s="156">
        <v>0</v>
      </c>
      <c r="W64" s="153">
        <v>0</v>
      </c>
      <c r="X64" s="152"/>
      <c r="Y64" s="154">
        <v>1788</v>
      </c>
      <c r="Z64" s="224">
        <v>193</v>
      </c>
      <c r="AA64" s="224"/>
      <c r="AB64" s="224"/>
      <c r="AC64" s="156"/>
      <c r="AD64" s="155">
        <v>1981</v>
      </c>
      <c r="AE64" s="172">
        <v>0</v>
      </c>
      <c r="AF64" s="163"/>
      <c r="AG64" s="181"/>
      <c r="AH64"/>
      <c r="AI64"/>
      <c r="AJ64" s="293"/>
      <c r="AK64" s="314" t="s">
        <v>3</v>
      </c>
      <c r="AL64" s="285">
        <f t="shared" si="68"/>
        <v>0</v>
      </c>
      <c r="AM64" s="289">
        <f t="shared" si="68"/>
        <v>-22</v>
      </c>
      <c r="AN64" s="286">
        <f t="shared" si="68"/>
        <v>-22</v>
      </c>
      <c r="AO64" s="285"/>
      <c r="AP64" s="287">
        <f t="shared" si="69"/>
        <v>0</v>
      </c>
      <c r="AQ64" s="288">
        <f t="shared" si="69"/>
        <v>0</v>
      </c>
      <c r="AR64" s="288">
        <f t="shared" si="69"/>
        <v>-624</v>
      </c>
      <c r="AS64" s="288">
        <f t="shared" si="69"/>
        <v>-5049</v>
      </c>
      <c r="AT64" s="289"/>
      <c r="AU64" s="288">
        <f t="shared" si="70"/>
        <v>-5673</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37274018</v>
      </c>
      <c r="E66" s="179">
        <f t="shared" ref="E66:F66" si="72">E44+E48+E56+E64</f>
        <v>338457</v>
      </c>
      <c r="F66" s="166">
        <f t="shared" si="72"/>
        <v>37612475</v>
      </c>
      <c r="G66" s="165"/>
      <c r="H66" s="167">
        <f t="shared" ref="H66:I66" si="73">H44+H48+H56+H64</f>
        <v>8962964</v>
      </c>
      <c r="I66" s="437">
        <f t="shared" si="73"/>
        <v>9036969</v>
      </c>
      <c r="J66" s="437">
        <f t="shared" ref="J66:K66" si="74">J44+J48+J56+J64</f>
        <v>10115538</v>
      </c>
      <c r="K66" s="437">
        <f t="shared" si="74"/>
        <v>9103721</v>
      </c>
      <c r="L66" s="156"/>
      <c r="M66" s="168">
        <f>M44+M48+M56+M64</f>
        <v>37219192</v>
      </c>
      <c r="N66" s="180">
        <f>IFERROR(M66/F66,0)</f>
        <v>0.98954381491778987</v>
      </c>
      <c r="O66" s="595"/>
      <c r="P66" s="594"/>
      <c r="Q66"/>
      <c r="R66"/>
      <c r="S66" s="119"/>
      <c r="T66" s="164" t="s">
        <v>12</v>
      </c>
      <c r="U66" s="165">
        <v>37274018</v>
      </c>
      <c r="V66" s="179">
        <v>0</v>
      </c>
      <c r="W66" s="166">
        <v>37274018</v>
      </c>
      <c r="X66" s="165"/>
      <c r="Y66" s="167">
        <v>8962964</v>
      </c>
      <c r="Z66" s="437">
        <v>9036969</v>
      </c>
      <c r="AA66" s="437" t="s">
        <v>52</v>
      </c>
      <c r="AB66" s="437" t="s">
        <v>52</v>
      </c>
      <c r="AC66" s="156"/>
      <c r="AD66" s="168">
        <v>17999933</v>
      </c>
      <c r="AE66" s="180">
        <v>0.48290830894592585</v>
      </c>
      <c r="AF66" s="163"/>
      <c r="AG66" s="118"/>
      <c r="AH66"/>
      <c r="AI66"/>
      <c r="AJ66" s="248"/>
      <c r="AK66" s="298" t="s">
        <v>12</v>
      </c>
      <c r="AL66" s="299">
        <f>AL44+AL48+AL56+AL64</f>
        <v>0</v>
      </c>
      <c r="AM66" s="313">
        <f t="shared" ref="AM66" si="75">AM44+AM48+AM56+AM64</f>
        <v>-338457</v>
      </c>
      <c r="AN66" s="300">
        <f>AN44+AN48+AN56+AN64</f>
        <v>-338457</v>
      </c>
      <c r="AO66" s="299"/>
      <c r="AP66" s="301">
        <f>AP44+AP48+AP56+AP64</f>
        <v>0</v>
      </c>
      <c r="AQ66" s="302">
        <f t="shared" ref="AQ66:AS66" si="76">AQ44+AQ48+AQ56+AQ64</f>
        <v>0</v>
      </c>
      <c r="AR66" s="302">
        <f t="shared" si="76"/>
        <v>-10115538</v>
      </c>
      <c r="AS66" s="302">
        <f t="shared" si="76"/>
        <v>-9103721</v>
      </c>
      <c r="AT66" s="289"/>
      <c r="AU66" s="302">
        <f>AU44+AU48+AU56+AU64</f>
        <v>-19219259</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Settings!$X$9 &amp; "    " &amp; Settings!$Z$9 &amp; ": Provincial Treasury Free State     Tel No:  " &amp; Settings!$AB$9</f>
        <v>Information submitted by:  MNG Mahlatsi    Head Official: Provincial Treasury Free State     Tel No:  (051) 403-3066</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86" t="s">
        <v>48</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rZAzzmn6mZGduKEU5k88QwvS7oNC4pRWveN94zc1vfrrML1ClVCf1TKyvxzY1WuelGHTnTqfjFDWErwJKcX1ng==" saltValue="vt1uWqK52g7XDdD5N9sYGw==" spinCount="100000" sheet="1" objects="1" scenarios="1"/>
  <autoFilter ref="A9:A226" xr:uid="{A47C02C6-8F4C-4579-B6F5-B80908D0E182}">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17E1D8BD-D1A0-4D6B-A173-B3658D3E562D}">
            <xm:f>General!$BE$1&gt;=2</xm:f>
            <x14:dxf>
              <fill>
                <patternFill patternType="none">
                  <bgColor auto="1"/>
                </patternFill>
              </fill>
            </x14:dxf>
          </x14:cfRule>
          <xm:sqref>I66</xm:sqref>
        </x14:conditionalFormatting>
        <x14:conditionalFormatting xmlns:xm="http://schemas.microsoft.com/office/excel/2006/main">
          <x14:cfRule type="expression" priority="17" id="{B4AF9F57-930B-4EFB-A1E8-B3C330005160}">
            <xm:f>General!$BE$1&gt;=3</xm:f>
            <x14:dxf>
              <fill>
                <patternFill patternType="none">
                  <bgColor auto="1"/>
                </patternFill>
              </fill>
            </x14:dxf>
          </x14:cfRule>
          <xm:sqref>J66</xm:sqref>
        </x14:conditionalFormatting>
        <x14:conditionalFormatting xmlns:xm="http://schemas.microsoft.com/office/excel/2006/main">
          <x14:cfRule type="expression" priority="16" id="{B3B07FB0-49E5-4C98-88BE-24095BDE55F1}">
            <xm:f>General!$BE$1=4</xm:f>
            <x14:dxf>
              <fill>
                <patternFill patternType="none">
                  <bgColor auto="1"/>
                </patternFill>
              </fill>
            </x14:dxf>
          </x14:cfRule>
          <xm:sqref>K66</xm:sqref>
        </x14:conditionalFormatting>
        <x14:conditionalFormatting xmlns:xm="http://schemas.microsoft.com/office/excel/2006/main">
          <x14:cfRule type="expression" priority="15" id="{A7A47BB1-B292-490E-B6A5-F548788DCB29}">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58DB8E51-D721-4BBB-ABD9-52FC0E29D505}">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3A9CE815-86BD-4A33-AF9A-60BFB4210255}">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4C6D4E3D-F18C-48ED-8341-73C6F8F90E25}">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45FC67EB-A1EB-4A27-8E30-EF2CE64C6EA3}">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225F45FD-CFF4-4A39-B0E8-FA7805C3194E}">
            <xm:f>General!$BE$1=4</xm:f>
            <x14:dxf>
              <fill>
                <patternFill patternType="none">
                  <bgColor auto="1"/>
                </patternFill>
              </fill>
            </x14:dxf>
          </x14:cfRule>
          <xm:sqref>K13:K15 K17 K20:K39 K41 K45:K47 K49:K55 K57:K64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92D050"/>
    <pageSetUpPr autoPageBreaks="0" fitToPage="1"/>
  </sheetPr>
  <dimension ref="A1:CD129"/>
  <sheetViews>
    <sheetView showGridLines="0" zoomScale="75" zoomScaleNormal="75" zoomScaleSheetLayoutView="80"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172</v>
      </c>
      <c r="D4" s="37"/>
      <c r="E4" s="37"/>
      <c r="F4" s="37"/>
      <c r="G4" s="37"/>
      <c r="H4" s="37"/>
      <c r="I4" s="37"/>
      <c r="J4" s="38"/>
      <c r="K4" s="38"/>
      <c r="L4" s="38"/>
      <c r="M4" s="38"/>
      <c r="N4" s="38"/>
      <c r="O4" s="33"/>
      <c r="R4"/>
      <c r="S4" s="36"/>
      <c r="T4" s="34" t="str">
        <f>C4</f>
        <v>FREE STATE PROVINCE</v>
      </c>
      <c r="U4" s="37"/>
      <c r="V4" s="37"/>
      <c r="W4" s="37"/>
      <c r="X4" s="37"/>
      <c r="Y4" s="37"/>
      <c r="Z4" s="37"/>
      <c r="AA4" s="38"/>
      <c r="AB4" s="38"/>
      <c r="AC4" s="38"/>
      <c r="AD4" s="38"/>
      <c r="AE4" s="38"/>
      <c r="AF4" s="33"/>
      <c r="AG4" s="441"/>
      <c r="AH4" s="441"/>
      <c r="AI4"/>
      <c r="AJ4" s="348"/>
      <c r="AK4" s="349" t="str">
        <f>C4</f>
        <v>FREE STATE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FS_1!D6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247374</v>
      </c>
      <c r="E13" s="198">
        <f t="shared" ref="E13:K13" si="2">SUM(E14+E15+E16)</f>
        <v>-3482</v>
      </c>
      <c r="F13" s="54">
        <f t="shared" si="2"/>
        <v>243892</v>
      </c>
      <c r="G13" s="54">
        <f t="shared" si="2"/>
        <v>33881</v>
      </c>
      <c r="H13" s="95">
        <f t="shared" si="2"/>
        <v>277773</v>
      </c>
      <c r="I13" s="216">
        <f t="shared" si="2"/>
        <v>0</v>
      </c>
      <c r="J13" s="101">
        <f t="shared" si="2"/>
        <v>243892</v>
      </c>
      <c r="K13" s="54">
        <f t="shared" si="2"/>
        <v>243892</v>
      </c>
      <c r="L13" s="54"/>
      <c r="M13" s="54">
        <f>SUM(M14+M15+M16)</f>
        <v>253201</v>
      </c>
      <c r="N13" s="183">
        <f>IFERROR(M13/H13,0)</f>
        <v>0.9115392784755898</v>
      </c>
      <c r="O13" s="55"/>
      <c r="R13"/>
      <c r="S13" s="53"/>
      <c r="T13" s="51" t="str">
        <f>C13</f>
        <v>Agriculture, Forestry and Fisheries (Vote 24)</v>
      </c>
      <c r="U13" s="95">
        <v>247374</v>
      </c>
      <c r="V13" s="198">
        <v>0</v>
      </c>
      <c r="W13" s="54">
        <v>247374</v>
      </c>
      <c r="X13" s="54">
        <v>0</v>
      </c>
      <c r="Y13" s="95">
        <v>247374</v>
      </c>
      <c r="Z13" s="216"/>
      <c r="AA13" s="101">
        <v>126471</v>
      </c>
      <c r="AB13" s="54">
        <v>126471</v>
      </c>
      <c r="AC13" s="54"/>
      <c r="AD13" s="54">
        <v>40839</v>
      </c>
      <c r="AE13" s="183">
        <v>0.16509010647844963</v>
      </c>
      <c r="AF13" s="55"/>
      <c r="AG13" s="442"/>
      <c r="AH13" s="442"/>
      <c r="AI13"/>
      <c r="AJ13" s="387"/>
      <c r="AK13" s="481" t="str">
        <f t="shared" ref="AK13" si="3">C13</f>
        <v>Agriculture, Forestry and Fisheries (Vote 24)</v>
      </c>
      <c r="AL13" s="388">
        <f>SUM(AL14:AL16)</f>
        <v>0</v>
      </c>
      <c r="AM13" s="389">
        <f t="shared" ref="AM13:AP13" si="4">SUM(AM14:AM16)</f>
        <v>3482</v>
      </c>
      <c r="AN13" s="390">
        <f t="shared" si="4"/>
        <v>3482</v>
      </c>
      <c r="AO13" s="390">
        <f t="shared" si="4"/>
        <v>-33881</v>
      </c>
      <c r="AP13" s="388">
        <f t="shared" si="4"/>
        <v>-30399</v>
      </c>
      <c r="AQ13" s="391"/>
      <c r="AR13" s="392">
        <f t="shared" ref="AR13:AS13" si="5">SUM(AR14:AR16)</f>
        <v>-117421</v>
      </c>
      <c r="AS13" s="390">
        <f t="shared" si="5"/>
        <v>-117421</v>
      </c>
      <c r="AT13" s="390"/>
      <c r="AU13" s="390">
        <f>SUM(AU14:AU16)</f>
        <v>-212362</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168373</v>
      </c>
      <c r="E14" s="199">
        <f>SUM(F14-D14)</f>
        <v>0</v>
      </c>
      <c r="F14" s="497">
        <v>168373</v>
      </c>
      <c r="G14" s="497">
        <v>25878</v>
      </c>
      <c r="H14" s="96">
        <f>SUM(F14:G14)</f>
        <v>194251</v>
      </c>
      <c r="I14" s="217"/>
      <c r="J14" s="499">
        <v>168373</v>
      </c>
      <c r="K14" s="497">
        <v>168373</v>
      </c>
      <c r="L14" s="59"/>
      <c r="M14" s="497">
        <v>172243</v>
      </c>
      <c r="N14" s="172">
        <f t="shared" ref="N14:N16" si="6">IFERROR(M14/H14,0)</f>
        <v>0.88670328595476988</v>
      </c>
      <c r="O14" s="60"/>
      <c r="R14"/>
      <c r="S14" s="57"/>
      <c r="T14" s="58" t="str">
        <f t="shared" ref="T14:T18" si="7">C14</f>
        <v>(a) Comprehensive Agricultural Support Programme Grant</v>
      </c>
      <c r="U14" s="96">
        <v>168373</v>
      </c>
      <c r="V14" s="199">
        <v>0</v>
      </c>
      <c r="W14" s="59">
        <v>168373</v>
      </c>
      <c r="X14" s="59">
        <v>0</v>
      </c>
      <c r="Y14" s="96">
        <v>168373</v>
      </c>
      <c r="Z14" s="217"/>
      <c r="AA14" s="102">
        <v>90921</v>
      </c>
      <c r="AB14" s="59">
        <v>90921</v>
      </c>
      <c r="AC14" s="59"/>
      <c r="AD14" s="59">
        <v>29680</v>
      </c>
      <c r="AE14" s="172">
        <v>0.17627529354468946</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-25878</v>
      </c>
      <c r="AP14" s="396">
        <f t="shared" si="8"/>
        <v>-25878</v>
      </c>
      <c r="AQ14" s="399"/>
      <c r="AR14" s="400">
        <f t="shared" ref="AR14:AS15" si="9">IFERROR(AA14-J14,0)</f>
        <v>-77452</v>
      </c>
      <c r="AS14" s="398">
        <f t="shared" si="9"/>
        <v>-77452</v>
      </c>
      <c r="AT14" s="398"/>
      <c r="AU14" s="398">
        <f>IFERROR(AD14-M14,0)</f>
        <v>-142563</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70586</v>
      </c>
      <c r="E15" s="199">
        <f t="shared" ref="E15:E16" si="10">SUM(F15-D15)</f>
        <v>-3482</v>
      </c>
      <c r="F15" s="497">
        <v>67104</v>
      </c>
      <c r="G15" s="497">
        <v>8003</v>
      </c>
      <c r="H15" s="96">
        <f t="shared" ref="H15:H16" si="11">SUM(F15:G15)</f>
        <v>75107</v>
      </c>
      <c r="I15" s="217"/>
      <c r="J15" s="499">
        <v>67104</v>
      </c>
      <c r="K15" s="497">
        <v>67104</v>
      </c>
      <c r="L15" s="59"/>
      <c r="M15" s="497">
        <v>72543</v>
      </c>
      <c r="N15" s="172">
        <f t="shared" si="6"/>
        <v>0.96586203682745952</v>
      </c>
      <c r="O15" s="60"/>
      <c r="P15" s="56"/>
      <c r="Q15" s="56"/>
      <c r="R15"/>
      <c r="S15" s="57"/>
      <c r="T15" s="58" t="str">
        <f t="shared" si="7"/>
        <v>(b) Ilima/Letsema Projects Grant</v>
      </c>
      <c r="U15" s="96">
        <v>70586</v>
      </c>
      <c r="V15" s="199">
        <v>0</v>
      </c>
      <c r="W15" s="59">
        <v>70586</v>
      </c>
      <c r="X15" s="59">
        <v>0</v>
      </c>
      <c r="Y15" s="96">
        <v>70586</v>
      </c>
      <c r="Z15" s="217"/>
      <c r="AA15" s="102">
        <v>31763</v>
      </c>
      <c r="AB15" s="59">
        <v>31763</v>
      </c>
      <c r="AC15" s="59"/>
      <c r="AD15" s="59">
        <v>7458</v>
      </c>
      <c r="AE15" s="172">
        <v>0.1056583458476185</v>
      </c>
      <c r="AF15" s="60"/>
      <c r="AG15" s="443"/>
      <c r="AH15" s="443"/>
      <c r="AI15"/>
      <c r="AJ15" s="394"/>
      <c r="AK15" s="479" t="str">
        <f t="shared" ref="AK15" si="12">C15</f>
        <v>(b) Ilima/Letsema Projects Grant</v>
      </c>
      <c r="AL15" s="396">
        <f t="shared" ref="AL15" si="13">IFERROR(U15-D15,0)</f>
        <v>0</v>
      </c>
      <c r="AM15" s="397">
        <f t="shared" si="8"/>
        <v>3482</v>
      </c>
      <c r="AN15" s="398">
        <f t="shared" si="8"/>
        <v>3482</v>
      </c>
      <c r="AO15" s="398">
        <f t="shared" si="8"/>
        <v>-8003</v>
      </c>
      <c r="AP15" s="396">
        <f t="shared" si="8"/>
        <v>-4521</v>
      </c>
      <c r="AQ15" s="399"/>
      <c r="AR15" s="400">
        <f t="shared" si="9"/>
        <v>-35341</v>
      </c>
      <c r="AS15" s="398">
        <f t="shared" si="9"/>
        <v>-35341</v>
      </c>
      <c r="AT15" s="398"/>
      <c r="AU15" s="398">
        <f t="shared" ref="AU15" si="14">IFERROR(AD15-M15,0)</f>
        <v>-65085</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8415</v>
      </c>
      <c r="E16" s="199">
        <f t="shared" si="10"/>
        <v>0</v>
      </c>
      <c r="F16" s="497">
        <v>8415</v>
      </c>
      <c r="G16" s="497">
        <v>0</v>
      </c>
      <c r="H16" s="96">
        <f t="shared" si="11"/>
        <v>8415</v>
      </c>
      <c r="I16" s="217"/>
      <c r="J16" s="499">
        <v>8415</v>
      </c>
      <c r="K16" s="497">
        <v>8415</v>
      </c>
      <c r="L16" s="59"/>
      <c r="M16" s="497">
        <v>8415</v>
      </c>
      <c r="N16" s="172">
        <f t="shared" si="6"/>
        <v>1</v>
      </c>
      <c r="O16" s="60"/>
      <c r="P16" s="56"/>
      <c r="Q16" s="56"/>
      <c r="R16"/>
      <c r="S16" s="57"/>
      <c r="T16" s="58" t="str">
        <f t="shared" si="7"/>
        <v>(c) Land Care Programme Grant: Poverty Relief and Infrastructure Development</v>
      </c>
      <c r="U16" s="96">
        <v>8415</v>
      </c>
      <c r="V16" s="199">
        <v>0</v>
      </c>
      <c r="W16" s="59">
        <v>8415</v>
      </c>
      <c r="X16" s="59">
        <v>0</v>
      </c>
      <c r="Y16" s="96">
        <v>8415</v>
      </c>
      <c r="Z16" s="217"/>
      <c r="AA16" s="102">
        <v>3787</v>
      </c>
      <c r="AB16" s="59">
        <v>3787</v>
      </c>
      <c r="AC16" s="59"/>
      <c r="AD16" s="59">
        <v>3701</v>
      </c>
      <c r="AE16" s="172">
        <v>0.43980986333927513</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-4628</v>
      </c>
      <c r="AS16" s="398">
        <f t="shared" ref="AS16:AS83" si="22">IFERROR(AB16-K16,0)</f>
        <v>-4628</v>
      </c>
      <c r="AT16" s="398"/>
      <c r="AU16" s="398">
        <f t="shared" ref="AU16:AU83" si="23">IFERROR(AD16-M16,0)</f>
        <v>-4714</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168691</v>
      </c>
      <c r="E20" s="198">
        <f t="shared" ref="E20:K20" si="27">SUM(E21)</f>
        <v>0</v>
      </c>
      <c r="F20" s="54">
        <f t="shared" si="27"/>
        <v>168691</v>
      </c>
      <c r="G20" s="54">
        <f t="shared" si="27"/>
        <v>12165</v>
      </c>
      <c r="H20" s="95">
        <f t="shared" si="27"/>
        <v>180856</v>
      </c>
      <c r="I20" s="216">
        <f t="shared" si="27"/>
        <v>0</v>
      </c>
      <c r="J20" s="101">
        <f t="shared" si="27"/>
        <v>168691</v>
      </c>
      <c r="K20" s="54">
        <f t="shared" si="27"/>
        <v>168691</v>
      </c>
      <c r="L20" s="54"/>
      <c r="M20" s="54">
        <f>SUM(M21)</f>
        <v>171329</v>
      </c>
      <c r="N20" s="183">
        <f t="shared" ref="N20:N21" si="28">IFERROR(M20/H20,0)</f>
        <v>0.94732273189719995</v>
      </c>
      <c r="O20" s="63"/>
      <c r="P20" s="64"/>
      <c r="Q20" s="64"/>
      <c r="R20"/>
      <c r="S20" s="62"/>
      <c r="T20" s="51" t="str">
        <f>C20</f>
        <v>Arts and Culture (Vote 37)</v>
      </c>
      <c r="U20" s="95">
        <v>168691</v>
      </c>
      <c r="V20" s="198">
        <v>0</v>
      </c>
      <c r="W20" s="54">
        <v>168691</v>
      </c>
      <c r="X20" s="54">
        <v>0</v>
      </c>
      <c r="Y20" s="95">
        <v>168691</v>
      </c>
      <c r="Z20" s="216"/>
      <c r="AA20" s="101">
        <v>75577</v>
      </c>
      <c r="AB20" s="54">
        <v>75577</v>
      </c>
      <c r="AC20" s="54"/>
      <c r="AD20" s="54">
        <v>75523</v>
      </c>
      <c r="AE20" s="172">
        <v>0.44770023297034223</v>
      </c>
      <c r="AF20" s="63"/>
      <c r="AG20" s="444"/>
      <c r="AH20" s="444"/>
      <c r="AI20"/>
      <c r="AJ20" s="402"/>
      <c r="AK20" s="481" t="str">
        <f t="shared" si="15"/>
        <v>Arts and Culture (Vote 37)</v>
      </c>
      <c r="AL20" s="388">
        <f t="shared" si="16"/>
        <v>0</v>
      </c>
      <c r="AM20" s="389">
        <f t="shared" si="17"/>
        <v>0</v>
      </c>
      <c r="AN20" s="390">
        <f t="shared" si="18"/>
        <v>0</v>
      </c>
      <c r="AO20" s="390">
        <f t="shared" si="19"/>
        <v>-12165</v>
      </c>
      <c r="AP20" s="388">
        <f t="shared" si="20"/>
        <v>-12165</v>
      </c>
      <c r="AQ20" s="391"/>
      <c r="AR20" s="392">
        <f t="shared" si="21"/>
        <v>-93114</v>
      </c>
      <c r="AS20" s="390">
        <f t="shared" si="22"/>
        <v>-93114</v>
      </c>
      <c r="AT20" s="390"/>
      <c r="AU20" s="390">
        <f t="shared" si="23"/>
        <v>-95806</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168691</v>
      </c>
      <c r="E21" s="199">
        <f>SUM(F21-D21)</f>
        <v>0</v>
      </c>
      <c r="F21" s="497">
        <v>168691</v>
      </c>
      <c r="G21" s="497">
        <v>12165</v>
      </c>
      <c r="H21" s="96">
        <f>SUM(F21:G21)</f>
        <v>180856</v>
      </c>
      <c r="I21" s="217"/>
      <c r="J21" s="499">
        <v>168691</v>
      </c>
      <c r="K21" s="497">
        <v>168691</v>
      </c>
      <c r="L21" s="59"/>
      <c r="M21" s="497">
        <v>171329</v>
      </c>
      <c r="N21" s="172">
        <f t="shared" si="28"/>
        <v>0.94732273189719995</v>
      </c>
      <c r="O21" s="60"/>
      <c r="P21" s="56"/>
      <c r="Q21" s="56"/>
      <c r="R21"/>
      <c r="S21" s="57"/>
      <c r="T21" s="58" t="str">
        <f t="shared" ref="T21:T25" si="29">C21</f>
        <v>Community Library Services Grant</v>
      </c>
      <c r="U21" s="96">
        <v>168691</v>
      </c>
      <c r="V21" s="199">
        <v>0</v>
      </c>
      <c r="W21" s="59">
        <v>168691</v>
      </c>
      <c r="X21" s="59">
        <v>0</v>
      </c>
      <c r="Y21" s="96">
        <v>168691</v>
      </c>
      <c r="Z21" s="217"/>
      <c r="AA21" s="102">
        <v>75577</v>
      </c>
      <c r="AB21" s="59">
        <v>75577</v>
      </c>
      <c r="AC21" s="59"/>
      <c r="AD21" s="59">
        <v>75523</v>
      </c>
      <c r="AE21" s="172">
        <v>0.44770023297034223</v>
      </c>
      <c r="AF21" s="60"/>
      <c r="AG21" s="443"/>
      <c r="AH21" s="443"/>
      <c r="AI21"/>
      <c r="AJ21" s="394"/>
      <c r="AK21" s="479" t="str">
        <f t="shared" si="15"/>
        <v>Community Library Services Grant</v>
      </c>
      <c r="AL21" s="396">
        <f t="shared" si="16"/>
        <v>0</v>
      </c>
      <c r="AM21" s="397">
        <f t="shared" si="17"/>
        <v>0</v>
      </c>
      <c r="AN21" s="398">
        <f t="shared" si="18"/>
        <v>0</v>
      </c>
      <c r="AO21" s="398">
        <f t="shared" si="19"/>
        <v>-12165</v>
      </c>
      <c r="AP21" s="396">
        <f t="shared" si="20"/>
        <v>-12165</v>
      </c>
      <c r="AQ21" s="399"/>
      <c r="AR21" s="400">
        <f t="shared" si="21"/>
        <v>-93114</v>
      </c>
      <c r="AS21" s="398">
        <f t="shared" si="22"/>
        <v>-93114</v>
      </c>
      <c r="AT21" s="398"/>
      <c r="AU21" s="398">
        <f t="shared" si="23"/>
        <v>-95806</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476521</v>
      </c>
      <c r="E27" s="198">
        <f t="shared" ref="E27:K27" si="33">SUM(E28+E29+E30+E31)</f>
        <v>0</v>
      </c>
      <c r="F27" s="54">
        <f t="shared" si="33"/>
        <v>476521</v>
      </c>
      <c r="G27" s="54">
        <f t="shared" si="33"/>
        <v>16675</v>
      </c>
      <c r="H27" s="95">
        <f t="shared" si="33"/>
        <v>493196</v>
      </c>
      <c r="I27" s="216">
        <f t="shared" si="33"/>
        <v>0</v>
      </c>
      <c r="J27" s="101">
        <f t="shared" si="33"/>
        <v>476521</v>
      </c>
      <c r="K27" s="54">
        <f t="shared" si="33"/>
        <v>468061</v>
      </c>
      <c r="L27" s="54"/>
      <c r="M27" s="54">
        <f>SUM(M28+M29+M30+M31)</f>
        <v>482661</v>
      </c>
      <c r="N27" s="183">
        <f t="shared" ref="N27:N31" si="34">IFERROR(M27/H27,0)</f>
        <v>0.97863932391990205</v>
      </c>
      <c r="O27" s="63"/>
      <c r="P27" s="65"/>
      <c r="Q27" s="65"/>
      <c r="R27"/>
      <c r="S27" s="62"/>
      <c r="T27" s="51" t="str">
        <f>C27</f>
        <v>Basic Education (Vote 14)</v>
      </c>
      <c r="U27" s="95">
        <v>476521</v>
      </c>
      <c r="V27" s="198">
        <v>0</v>
      </c>
      <c r="W27" s="54">
        <v>476521</v>
      </c>
      <c r="X27" s="54">
        <v>0</v>
      </c>
      <c r="Y27" s="95">
        <v>476521</v>
      </c>
      <c r="Z27" s="216"/>
      <c r="AA27" s="101">
        <v>342355</v>
      </c>
      <c r="AB27" s="54">
        <v>342355</v>
      </c>
      <c r="AC27" s="54"/>
      <c r="AD27" s="54">
        <v>341926</v>
      </c>
      <c r="AE27" s="183">
        <v>0.71754655093899322</v>
      </c>
      <c r="AF27" s="63"/>
      <c r="AG27" s="444"/>
      <c r="AH27" s="444"/>
      <c r="AI27"/>
      <c r="AJ27" s="402"/>
      <c r="AK27" s="481" t="str">
        <f t="shared" si="15"/>
        <v>Basic Education (Vote 14)</v>
      </c>
      <c r="AL27" s="388">
        <f t="shared" si="16"/>
        <v>0</v>
      </c>
      <c r="AM27" s="389">
        <f t="shared" si="17"/>
        <v>0</v>
      </c>
      <c r="AN27" s="390">
        <f t="shared" si="18"/>
        <v>0</v>
      </c>
      <c r="AO27" s="390">
        <f t="shared" si="19"/>
        <v>-16675</v>
      </c>
      <c r="AP27" s="388">
        <f t="shared" si="20"/>
        <v>-16675</v>
      </c>
      <c r="AQ27" s="391"/>
      <c r="AR27" s="392">
        <f t="shared" si="21"/>
        <v>-134166</v>
      </c>
      <c r="AS27" s="390">
        <f t="shared" si="22"/>
        <v>-125706</v>
      </c>
      <c r="AT27" s="390"/>
      <c r="AU27" s="390">
        <f t="shared" si="23"/>
        <v>-140735</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14148</v>
      </c>
      <c r="E28" s="199">
        <f t="shared" ref="E28:E31" si="35">SUM(F28-D28)</f>
        <v>0</v>
      </c>
      <c r="F28" s="497">
        <v>14148</v>
      </c>
      <c r="G28" s="497">
        <v>263</v>
      </c>
      <c r="H28" s="96">
        <f t="shared" ref="H28:H31" si="36">SUM(F28:G28)</f>
        <v>14411</v>
      </c>
      <c r="I28" s="217"/>
      <c r="J28" s="499">
        <v>14148</v>
      </c>
      <c r="K28" s="497">
        <v>14148</v>
      </c>
      <c r="L28" s="59"/>
      <c r="M28" s="497">
        <v>12967</v>
      </c>
      <c r="N28" s="172">
        <f t="shared" si="34"/>
        <v>0.89979876483241972</v>
      </c>
      <c r="O28" s="60"/>
      <c r="P28" s="22"/>
      <c r="Q28" s="22"/>
      <c r="S28" s="57"/>
      <c r="T28" s="58" t="str">
        <f t="shared" ref="T28:T32" si="37">C28</f>
        <v>(a) HIV and AIDS (Life Skills Education) Grant</v>
      </c>
      <c r="U28" s="96">
        <v>14148</v>
      </c>
      <c r="V28" s="199">
        <v>0</v>
      </c>
      <c r="W28" s="59">
        <v>14148</v>
      </c>
      <c r="X28" s="59">
        <v>0</v>
      </c>
      <c r="Y28" s="96">
        <v>14148</v>
      </c>
      <c r="Z28" s="217"/>
      <c r="AA28" s="102">
        <v>5659</v>
      </c>
      <c r="AB28" s="59">
        <v>5659</v>
      </c>
      <c r="AC28" s="59"/>
      <c r="AD28" s="59">
        <v>5538</v>
      </c>
      <c r="AE28" s="172">
        <v>0.39143341815097538</v>
      </c>
      <c r="AF28" s="60"/>
      <c r="AG28" s="443"/>
      <c r="AH28" s="443"/>
      <c r="AJ28" s="394"/>
      <c r="AK28" s="479" t="str">
        <f t="shared" si="15"/>
        <v>(a) HIV and AIDS (Life Skills Education) Grant</v>
      </c>
      <c r="AL28" s="396">
        <f t="shared" si="16"/>
        <v>0</v>
      </c>
      <c r="AM28" s="397">
        <f t="shared" si="17"/>
        <v>0</v>
      </c>
      <c r="AN28" s="398">
        <f t="shared" si="18"/>
        <v>0</v>
      </c>
      <c r="AO28" s="398">
        <f t="shared" si="19"/>
        <v>-263</v>
      </c>
      <c r="AP28" s="396">
        <f t="shared" si="20"/>
        <v>-263</v>
      </c>
      <c r="AQ28" s="399"/>
      <c r="AR28" s="400">
        <f t="shared" si="21"/>
        <v>-8489</v>
      </c>
      <c r="AS28" s="398">
        <f t="shared" si="22"/>
        <v>-8489</v>
      </c>
      <c r="AT28" s="398"/>
      <c r="AU28" s="398">
        <f t="shared" si="23"/>
        <v>-7429</v>
      </c>
      <c r="AV28" s="290"/>
      <c r="AW28" s="401"/>
    </row>
    <row r="29" spans="1:82" ht="15.75" customHeight="1" x14ac:dyDescent="0.3">
      <c r="B29" s="57"/>
      <c r="C29" s="58" t="s">
        <v>24</v>
      </c>
      <c r="D29" s="496">
        <v>25369</v>
      </c>
      <c r="E29" s="199">
        <f t="shared" si="35"/>
        <v>0</v>
      </c>
      <c r="F29" s="497">
        <v>25369</v>
      </c>
      <c r="G29" s="497">
        <v>4593</v>
      </c>
      <c r="H29" s="96">
        <f t="shared" si="36"/>
        <v>29962</v>
      </c>
      <c r="I29" s="217"/>
      <c r="J29" s="499">
        <v>25369</v>
      </c>
      <c r="K29" s="497">
        <v>16909</v>
      </c>
      <c r="L29" s="59"/>
      <c r="M29" s="497">
        <v>24981</v>
      </c>
      <c r="N29" s="172">
        <f t="shared" si="34"/>
        <v>0.83375609104866166</v>
      </c>
      <c r="O29" s="60"/>
      <c r="P29" s="22"/>
      <c r="Q29" s="22"/>
      <c r="S29" s="57"/>
      <c r="T29" s="58" t="str">
        <f t="shared" si="37"/>
        <v>(b) Learners with Profound Intellectual Disabilities Grant</v>
      </c>
      <c r="U29" s="96">
        <v>25369</v>
      </c>
      <c r="V29" s="199">
        <v>0</v>
      </c>
      <c r="W29" s="59">
        <v>25369</v>
      </c>
      <c r="X29" s="59">
        <v>0</v>
      </c>
      <c r="Y29" s="96">
        <v>25369</v>
      </c>
      <c r="Z29" s="217"/>
      <c r="AA29" s="102">
        <v>16909</v>
      </c>
      <c r="AB29" s="59">
        <v>16909</v>
      </c>
      <c r="AC29" s="59"/>
      <c r="AD29" s="59">
        <v>12135</v>
      </c>
      <c r="AE29" s="172">
        <v>0.47833970594032088</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-4593</v>
      </c>
      <c r="AP29" s="396">
        <f t="shared" si="20"/>
        <v>-4593</v>
      </c>
      <c r="AQ29" s="399"/>
      <c r="AR29" s="400">
        <f t="shared" si="21"/>
        <v>-8460</v>
      </c>
      <c r="AS29" s="398">
        <f t="shared" si="22"/>
        <v>0</v>
      </c>
      <c r="AT29" s="398"/>
      <c r="AU29" s="398">
        <f t="shared" si="23"/>
        <v>-12846</v>
      </c>
      <c r="AV29" s="290"/>
      <c r="AW29" s="401"/>
    </row>
    <row r="30" spans="1:82" ht="15.75" customHeight="1" x14ac:dyDescent="0.3">
      <c r="B30" s="57"/>
      <c r="C30" s="58" t="s">
        <v>25</v>
      </c>
      <c r="D30" s="496">
        <v>36277</v>
      </c>
      <c r="E30" s="199">
        <f t="shared" si="35"/>
        <v>0</v>
      </c>
      <c r="F30" s="497">
        <v>36277</v>
      </c>
      <c r="G30" s="497">
        <v>4398</v>
      </c>
      <c r="H30" s="96">
        <f t="shared" si="36"/>
        <v>40675</v>
      </c>
      <c r="I30" s="217"/>
      <c r="J30" s="499">
        <v>36277</v>
      </c>
      <c r="K30" s="497">
        <v>36277</v>
      </c>
      <c r="L30" s="59"/>
      <c r="M30" s="497">
        <v>38806</v>
      </c>
      <c r="N30" s="172">
        <f t="shared" si="34"/>
        <v>0.95405039950829751</v>
      </c>
      <c r="O30" s="60"/>
      <c r="P30" s="22"/>
      <c r="Q30" s="22"/>
      <c r="S30" s="57"/>
      <c r="T30" s="58" t="str">
        <f t="shared" si="37"/>
        <v>(c) Maths, Science and Technology Grant</v>
      </c>
      <c r="U30" s="96">
        <v>36277</v>
      </c>
      <c r="V30" s="199">
        <v>0</v>
      </c>
      <c r="W30" s="59">
        <v>36277</v>
      </c>
      <c r="X30" s="59">
        <v>0</v>
      </c>
      <c r="Y30" s="96">
        <v>36277</v>
      </c>
      <c r="Z30" s="217"/>
      <c r="AA30" s="102">
        <v>18139</v>
      </c>
      <c r="AB30" s="59">
        <v>18139</v>
      </c>
      <c r="AC30" s="59"/>
      <c r="AD30" s="59">
        <v>22505</v>
      </c>
      <c r="AE30" s="172">
        <v>0.62036552085343333</v>
      </c>
      <c r="AF30" s="60"/>
      <c r="AG30" s="443"/>
      <c r="AH30" s="443"/>
      <c r="AJ30" s="394"/>
      <c r="AK30" s="479" t="str">
        <f t="shared" si="15"/>
        <v>(c) Maths, Science and Technology Grant</v>
      </c>
      <c r="AL30" s="396">
        <f t="shared" si="16"/>
        <v>0</v>
      </c>
      <c r="AM30" s="397">
        <f t="shared" si="17"/>
        <v>0</v>
      </c>
      <c r="AN30" s="398">
        <f t="shared" si="18"/>
        <v>0</v>
      </c>
      <c r="AO30" s="398">
        <f t="shared" si="19"/>
        <v>-4398</v>
      </c>
      <c r="AP30" s="396">
        <f t="shared" si="20"/>
        <v>-4398</v>
      </c>
      <c r="AQ30" s="399"/>
      <c r="AR30" s="400">
        <f t="shared" si="21"/>
        <v>-18138</v>
      </c>
      <c r="AS30" s="398">
        <f t="shared" si="22"/>
        <v>-18138</v>
      </c>
      <c r="AT30" s="398"/>
      <c r="AU30" s="398">
        <f t="shared" si="23"/>
        <v>-16301</v>
      </c>
      <c r="AV30" s="290"/>
      <c r="AW30" s="401"/>
    </row>
    <row r="31" spans="1:82" ht="15.75" customHeight="1" x14ac:dyDescent="0.3">
      <c r="B31" s="57"/>
      <c r="C31" s="58" t="s">
        <v>26</v>
      </c>
      <c r="D31" s="496">
        <v>400727</v>
      </c>
      <c r="E31" s="199">
        <f t="shared" si="35"/>
        <v>0</v>
      </c>
      <c r="F31" s="497">
        <v>400727</v>
      </c>
      <c r="G31" s="497">
        <v>7421</v>
      </c>
      <c r="H31" s="96">
        <f t="shared" si="36"/>
        <v>408148</v>
      </c>
      <c r="I31" s="217"/>
      <c r="J31" s="499">
        <v>400727</v>
      </c>
      <c r="K31" s="497">
        <v>400727</v>
      </c>
      <c r="L31" s="59"/>
      <c r="M31" s="497">
        <v>405907</v>
      </c>
      <c r="N31" s="172">
        <f t="shared" si="34"/>
        <v>0.99450934464948992</v>
      </c>
      <c r="O31" s="60"/>
      <c r="P31" s="22"/>
      <c r="Q31" s="22"/>
      <c r="S31" s="57"/>
      <c r="T31" s="58" t="str">
        <f t="shared" si="37"/>
        <v>(d) National School Nutrition Programme Grant</v>
      </c>
      <c r="U31" s="96">
        <v>400727</v>
      </c>
      <c r="V31" s="199">
        <v>0</v>
      </c>
      <c r="W31" s="59">
        <v>400727</v>
      </c>
      <c r="X31" s="59">
        <v>0</v>
      </c>
      <c r="Y31" s="96">
        <v>400727</v>
      </c>
      <c r="Z31" s="217"/>
      <c r="AA31" s="102">
        <v>301648</v>
      </c>
      <c r="AB31" s="59">
        <v>301648</v>
      </c>
      <c r="AC31" s="59"/>
      <c r="AD31" s="59">
        <v>301748</v>
      </c>
      <c r="AE31" s="172">
        <v>0.7530014199192967</v>
      </c>
      <c r="AF31" s="60"/>
      <c r="AG31" s="443"/>
      <c r="AH31" s="443"/>
      <c r="AJ31" s="394"/>
      <c r="AK31" s="479" t="str">
        <f t="shared" si="15"/>
        <v>(d) National School Nutrition Programme Grant</v>
      </c>
      <c r="AL31" s="396">
        <f t="shared" si="16"/>
        <v>0</v>
      </c>
      <c r="AM31" s="397">
        <f t="shared" si="17"/>
        <v>0</v>
      </c>
      <c r="AN31" s="398">
        <f t="shared" si="18"/>
        <v>0</v>
      </c>
      <c r="AO31" s="398">
        <f t="shared" si="19"/>
        <v>-7421</v>
      </c>
      <c r="AP31" s="396">
        <f t="shared" si="20"/>
        <v>-7421</v>
      </c>
      <c r="AQ31" s="399"/>
      <c r="AR31" s="400">
        <f t="shared" si="21"/>
        <v>-99079</v>
      </c>
      <c r="AS31" s="398">
        <f t="shared" si="22"/>
        <v>-99079</v>
      </c>
      <c r="AT31" s="398"/>
      <c r="AU31" s="398">
        <f t="shared" si="23"/>
        <v>-104159</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1870394</v>
      </c>
      <c r="E41" s="198">
        <f t="shared" ref="E41:K41" si="58">SUM(E42+E43+E44+E45+E46)</f>
        <v>32618</v>
      </c>
      <c r="F41" s="54">
        <f t="shared" si="58"/>
        <v>1903012</v>
      </c>
      <c r="G41" s="54">
        <f t="shared" si="58"/>
        <v>75355</v>
      </c>
      <c r="H41" s="95">
        <f t="shared" si="58"/>
        <v>1978367</v>
      </c>
      <c r="I41" s="216">
        <f t="shared" si="58"/>
        <v>0</v>
      </c>
      <c r="J41" s="101">
        <f t="shared" si="58"/>
        <v>1903012</v>
      </c>
      <c r="K41" s="54">
        <f t="shared" si="58"/>
        <v>1903012</v>
      </c>
      <c r="L41" s="54"/>
      <c r="M41" s="54">
        <f>SUM(M42+M43+M44+M45+M46)</f>
        <v>1791805</v>
      </c>
      <c r="N41" s="183">
        <f t="shared" ref="N41:N45" si="59">IFERROR(M41/H41,0)</f>
        <v>0.90569899315950986</v>
      </c>
      <c r="O41" s="63"/>
      <c r="P41" s="65"/>
      <c r="Q41" s="65"/>
      <c r="R41"/>
      <c r="S41" s="62"/>
      <c r="T41" s="51" t="str">
        <f>C41</f>
        <v>Health (Vote 16)</v>
      </c>
      <c r="U41" s="95">
        <v>1870394</v>
      </c>
      <c r="V41" s="198">
        <v>0</v>
      </c>
      <c r="W41" s="54">
        <v>1870394</v>
      </c>
      <c r="X41" s="54">
        <v>0</v>
      </c>
      <c r="Y41" s="95">
        <v>1870394</v>
      </c>
      <c r="Z41" s="216"/>
      <c r="AA41" s="101">
        <v>945239</v>
      </c>
      <c r="AB41" s="54">
        <v>945239</v>
      </c>
      <c r="AC41" s="54"/>
      <c r="AD41" s="54">
        <v>686132</v>
      </c>
      <c r="AE41" s="183">
        <v>0.36683821697460534</v>
      </c>
      <c r="AF41" s="63"/>
      <c r="AG41" s="444"/>
      <c r="AH41" s="444"/>
      <c r="AI41"/>
      <c r="AJ41" s="402"/>
      <c r="AK41" s="481" t="str">
        <f t="shared" si="15"/>
        <v>Health (Vote 16)</v>
      </c>
      <c r="AL41" s="388">
        <f t="shared" si="16"/>
        <v>0</v>
      </c>
      <c r="AM41" s="389">
        <f t="shared" si="17"/>
        <v>-32618</v>
      </c>
      <c r="AN41" s="390">
        <f t="shared" si="18"/>
        <v>-32618</v>
      </c>
      <c r="AO41" s="390">
        <f t="shared" si="19"/>
        <v>-75355</v>
      </c>
      <c r="AP41" s="388">
        <f t="shared" si="20"/>
        <v>-107973</v>
      </c>
      <c r="AQ41" s="391"/>
      <c r="AR41" s="392">
        <f t="shared" si="21"/>
        <v>-957773</v>
      </c>
      <c r="AS41" s="390">
        <f t="shared" si="22"/>
        <v>-957773</v>
      </c>
      <c r="AT41" s="390"/>
      <c r="AU41" s="390">
        <f t="shared" si="23"/>
        <v>-1105673</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1331235</v>
      </c>
      <c r="E42" s="199">
        <f t="shared" ref="E42:E46" si="60">SUM(F42-D42)</f>
        <v>0</v>
      </c>
      <c r="F42" s="497">
        <v>1331235</v>
      </c>
      <c r="G42" s="497">
        <v>0</v>
      </c>
      <c r="H42" s="96">
        <f t="shared" ref="H42:H45" si="61">SUM(F42:G42)</f>
        <v>1331235</v>
      </c>
      <c r="I42" s="217"/>
      <c r="J42" s="499">
        <v>1331235</v>
      </c>
      <c r="K42" s="497">
        <v>1331235</v>
      </c>
      <c r="L42" s="59"/>
      <c r="M42" s="497">
        <v>1262366</v>
      </c>
      <c r="N42" s="172">
        <f t="shared" si="59"/>
        <v>0.94826683493147346</v>
      </c>
      <c r="O42" s="60"/>
      <c r="P42" s="56"/>
      <c r="Q42" s="56"/>
      <c r="S42" s="57"/>
      <c r="T42" s="58" t="str">
        <f t="shared" ref="T42:T46" si="62">C42</f>
        <v>(a) HIV, TB, Malaria and Community Outreach Grant</v>
      </c>
      <c r="U42" s="96">
        <v>1331235</v>
      </c>
      <c r="V42" s="199">
        <v>0</v>
      </c>
      <c r="W42" s="59">
        <v>1331235</v>
      </c>
      <c r="X42" s="59">
        <v>0</v>
      </c>
      <c r="Y42" s="96">
        <v>1331235</v>
      </c>
      <c r="Z42" s="217"/>
      <c r="AA42" s="102">
        <v>665616</v>
      </c>
      <c r="AB42" s="59">
        <v>665616</v>
      </c>
      <c r="AC42" s="59"/>
      <c r="AD42" s="59">
        <v>556296</v>
      </c>
      <c r="AE42" s="172">
        <v>0.41787963808042905</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-665619</v>
      </c>
      <c r="AS42" s="398">
        <f t="shared" si="22"/>
        <v>-665619</v>
      </c>
      <c r="AT42" s="398"/>
      <c r="AU42" s="398">
        <f t="shared" si="23"/>
        <v>-706070</v>
      </c>
      <c r="AV42" s="290"/>
      <c r="AW42" s="401"/>
    </row>
    <row r="43" spans="1:82" s="35" customFormat="1" ht="15.75" customHeight="1" x14ac:dyDescent="0.3">
      <c r="A43"/>
      <c r="B43" s="57"/>
      <c r="C43" s="58" t="s">
        <v>28</v>
      </c>
      <c r="D43" s="496">
        <v>498713</v>
      </c>
      <c r="E43" s="199">
        <f t="shared" si="60"/>
        <v>0</v>
      </c>
      <c r="F43" s="497">
        <v>498713</v>
      </c>
      <c r="G43" s="497">
        <v>75355</v>
      </c>
      <c r="H43" s="96">
        <f t="shared" si="61"/>
        <v>574068</v>
      </c>
      <c r="I43" s="217"/>
      <c r="J43" s="499">
        <v>498713</v>
      </c>
      <c r="K43" s="497">
        <v>498713</v>
      </c>
      <c r="L43" s="59"/>
      <c r="M43" s="497">
        <v>470973</v>
      </c>
      <c r="N43" s="172">
        <f t="shared" si="59"/>
        <v>0.82041326114676305</v>
      </c>
      <c r="O43" s="60"/>
      <c r="P43" s="56"/>
      <c r="Q43" s="56"/>
      <c r="R43"/>
      <c r="S43" s="57"/>
      <c r="T43" s="58" t="str">
        <f t="shared" si="62"/>
        <v>(b) Health Facility Revitalisation Grant</v>
      </c>
      <c r="U43" s="96">
        <v>498713</v>
      </c>
      <c r="V43" s="199">
        <v>0</v>
      </c>
      <c r="W43" s="59">
        <v>498713</v>
      </c>
      <c r="X43" s="59">
        <v>0</v>
      </c>
      <c r="Y43" s="96">
        <v>498713</v>
      </c>
      <c r="Z43" s="217"/>
      <c r="AA43" s="102">
        <v>259403</v>
      </c>
      <c r="AB43" s="59">
        <v>259403</v>
      </c>
      <c r="AC43" s="59"/>
      <c r="AD43" s="59">
        <v>129100</v>
      </c>
      <c r="AE43" s="172">
        <v>0.25886632191260306</v>
      </c>
      <c r="AF43" s="60"/>
      <c r="AG43" s="443"/>
      <c r="AH43" s="443"/>
      <c r="AI43"/>
      <c r="AJ43" s="394"/>
      <c r="AK43" s="479" t="str">
        <f t="shared" si="15"/>
        <v>(b) Health Facility Revitalisation Grant</v>
      </c>
      <c r="AL43" s="396">
        <f t="shared" si="16"/>
        <v>0</v>
      </c>
      <c r="AM43" s="397">
        <f t="shared" si="17"/>
        <v>0</v>
      </c>
      <c r="AN43" s="398">
        <f t="shared" si="18"/>
        <v>0</v>
      </c>
      <c r="AO43" s="398">
        <f t="shared" si="19"/>
        <v>-75355</v>
      </c>
      <c r="AP43" s="396">
        <f t="shared" si="20"/>
        <v>-75355</v>
      </c>
      <c r="AQ43" s="399"/>
      <c r="AR43" s="400">
        <f t="shared" si="21"/>
        <v>-239310</v>
      </c>
      <c r="AS43" s="398">
        <f t="shared" si="22"/>
        <v>-239310</v>
      </c>
      <c r="AT43" s="398"/>
      <c r="AU43" s="398">
        <f t="shared" si="23"/>
        <v>-341873</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12258</v>
      </c>
      <c r="E44" s="199">
        <f t="shared" si="60"/>
        <v>-3134</v>
      </c>
      <c r="F44" s="497">
        <v>9124</v>
      </c>
      <c r="G44" s="497">
        <v>0</v>
      </c>
      <c r="H44" s="96">
        <f t="shared" si="61"/>
        <v>9124</v>
      </c>
      <c r="I44" s="217"/>
      <c r="J44" s="499">
        <v>9124</v>
      </c>
      <c r="K44" s="497">
        <v>9124</v>
      </c>
      <c r="L44" s="59"/>
      <c r="M44" s="497">
        <v>7470</v>
      </c>
      <c r="N44" s="172">
        <f t="shared" si="59"/>
        <v>0.8187198597106532</v>
      </c>
      <c r="O44" s="69"/>
      <c r="P44" s="70"/>
      <c r="Q44" s="70"/>
      <c r="R44"/>
      <c r="S44" s="67"/>
      <c r="T44" s="58" t="str">
        <f t="shared" si="62"/>
        <v>(c) Human Papillomavirus Vaccine Grant</v>
      </c>
      <c r="U44" s="97">
        <v>12258</v>
      </c>
      <c r="V44" s="200">
        <v>0</v>
      </c>
      <c r="W44" s="68">
        <v>12258</v>
      </c>
      <c r="X44" s="68">
        <v>0</v>
      </c>
      <c r="Y44" s="97">
        <v>12258</v>
      </c>
      <c r="Z44" s="218"/>
      <c r="AA44" s="103">
        <v>6126</v>
      </c>
      <c r="AB44" s="68">
        <v>6126</v>
      </c>
      <c r="AC44" s="68"/>
      <c r="AD44" s="68">
        <v>736</v>
      </c>
      <c r="AE44" s="172">
        <v>6.0042421275901453E-2</v>
      </c>
      <c r="AF44" s="69"/>
      <c r="AG44" s="445"/>
      <c r="AH44" s="445"/>
      <c r="AI44" s="71"/>
      <c r="AJ44" s="404"/>
      <c r="AK44" s="479" t="str">
        <f t="shared" si="15"/>
        <v>(c) Human Papillomavirus Vaccine Grant</v>
      </c>
      <c r="AL44" s="405">
        <f t="shared" si="16"/>
        <v>0</v>
      </c>
      <c r="AM44" s="406">
        <f t="shared" si="17"/>
        <v>3134</v>
      </c>
      <c r="AN44" s="407">
        <f t="shared" si="18"/>
        <v>3134</v>
      </c>
      <c r="AO44" s="407">
        <f t="shared" si="19"/>
        <v>0</v>
      </c>
      <c r="AP44" s="405">
        <f t="shared" si="20"/>
        <v>3134</v>
      </c>
      <c r="AQ44" s="408"/>
      <c r="AR44" s="409">
        <f t="shared" si="21"/>
        <v>-2998</v>
      </c>
      <c r="AS44" s="407">
        <f t="shared" si="22"/>
        <v>-2998</v>
      </c>
      <c r="AT44" s="407"/>
      <c r="AU44" s="407">
        <f t="shared" si="23"/>
        <v>-6734</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28188</v>
      </c>
      <c r="E45" s="199">
        <f t="shared" si="60"/>
        <v>14222</v>
      </c>
      <c r="F45" s="497">
        <v>42410</v>
      </c>
      <c r="G45" s="497">
        <v>0</v>
      </c>
      <c r="H45" s="96">
        <f t="shared" si="61"/>
        <v>42410</v>
      </c>
      <c r="I45" s="217"/>
      <c r="J45" s="499">
        <v>42410</v>
      </c>
      <c r="K45" s="497">
        <v>42410</v>
      </c>
      <c r="L45" s="59"/>
      <c r="M45" s="497">
        <v>41114</v>
      </c>
      <c r="N45" s="172">
        <f t="shared" si="59"/>
        <v>0.96944116953548687</v>
      </c>
      <c r="O45" s="60"/>
      <c r="P45" s="56"/>
      <c r="Q45" s="56"/>
      <c r="R45"/>
      <c r="S45" s="57"/>
      <c r="T45" s="58" t="str">
        <f t="shared" si="62"/>
        <v>(d) Human Resources Capacitation Grant</v>
      </c>
      <c r="U45" s="96">
        <v>28188</v>
      </c>
      <c r="V45" s="199">
        <v>0</v>
      </c>
      <c r="W45" s="59">
        <v>28188</v>
      </c>
      <c r="X45" s="59">
        <v>0</v>
      </c>
      <c r="Y45" s="96">
        <v>28188</v>
      </c>
      <c r="Z45" s="217"/>
      <c r="AA45" s="102">
        <v>14094</v>
      </c>
      <c r="AB45" s="59">
        <v>14094</v>
      </c>
      <c r="AC45" s="59"/>
      <c r="AD45" s="59">
        <v>0</v>
      </c>
      <c r="AE45" s="172">
        <v>0</v>
      </c>
      <c r="AF45" s="60"/>
      <c r="AG45" s="443"/>
      <c r="AH45" s="443"/>
      <c r="AI45"/>
      <c r="AJ45" s="394"/>
      <c r="AK45" s="479" t="str">
        <f t="shared" si="15"/>
        <v>(d) Human Resources Capacitation Grant</v>
      </c>
      <c r="AL45" s="396">
        <f t="shared" si="16"/>
        <v>0</v>
      </c>
      <c r="AM45" s="397">
        <f t="shared" si="17"/>
        <v>-14222</v>
      </c>
      <c r="AN45" s="398">
        <f t="shared" si="18"/>
        <v>-14222</v>
      </c>
      <c r="AO45" s="398">
        <f t="shared" si="19"/>
        <v>0</v>
      </c>
      <c r="AP45" s="396">
        <f t="shared" si="20"/>
        <v>-14222</v>
      </c>
      <c r="AQ45" s="399"/>
      <c r="AR45" s="400">
        <f t="shared" si="21"/>
        <v>-28316</v>
      </c>
      <c r="AS45" s="398">
        <f t="shared" si="22"/>
        <v>-28316</v>
      </c>
      <c r="AT45" s="398"/>
      <c r="AU45" s="398">
        <f t="shared" si="23"/>
        <v>-41114</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21530</v>
      </c>
      <c r="F46" s="497">
        <v>21530</v>
      </c>
      <c r="G46" s="497">
        <v>0</v>
      </c>
      <c r="H46" s="96">
        <f t="shared" ref="H46" si="63">SUM(F46:G46)</f>
        <v>21530</v>
      </c>
      <c r="I46" s="217"/>
      <c r="J46" s="499">
        <v>21530</v>
      </c>
      <c r="K46" s="497">
        <v>21530</v>
      </c>
      <c r="L46" s="59"/>
      <c r="M46" s="497">
        <v>9882</v>
      </c>
      <c r="N46" s="172">
        <f>IFERROR(M46/H46,0)</f>
        <v>0.4589874593590339</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-21530</v>
      </c>
      <c r="AN46" s="398">
        <f t="shared" si="18"/>
        <v>-21530</v>
      </c>
      <c r="AO46" s="398">
        <f t="shared" si="19"/>
        <v>0</v>
      </c>
      <c r="AP46" s="396">
        <f t="shared" si="20"/>
        <v>-21530</v>
      </c>
      <c r="AQ46" s="399"/>
      <c r="AR46" s="400">
        <f t="shared" si="21"/>
        <v>-21530</v>
      </c>
      <c r="AS46" s="398">
        <f t="shared" si="22"/>
        <v>-21530</v>
      </c>
      <c r="AT46" s="398"/>
      <c r="AU46" s="398">
        <f t="shared" si="23"/>
        <v>-9882</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1125261</v>
      </c>
      <c r="E48" s="198">
        <f t="shared" ref="E48:K48" si="64">SUM(E49+E50)</f>
        <v>-118000</v>
      </c>
      <c r="F48" s="54">
        <f t="shared" si="64"/>
        <v>1007261</v>
      </c>
      <c r="G48" s="54">
        <f t="shared" si="64"/>
        <v>40017</v>
      </c>
      <c r="H48" s="95">
        <f t="shared" si="64"/>
        <v>1047278</v>
      </c>
      <c r="I48" s="216">
        <f t="shared" si="64"/>
        <v>0</v>
      </c>
      <c r="J48" s="101">
        <f t="shared" si="64"/>
        <v>1007261</v>
      </c>
      <c r="K48" s="54">
        <f t="shared" si="64"/>
        <v>1007261</v>
      </c>
      <c r="L48" s="54"/>
      <c r="M48" s="54">
        <f>SUM(M49+M50)</f>
        <v>986835</v>
      </c>
      <c r="N48" s="183">
        <f t="shared" ref="N48:N50" si="65">IFERROR(M48/H48,0)</f>
        <v>0.94228562043698039</v>
      </c>
      <c r="O48" s="63"/>
      <c r="P48" s="64"/>
      <c r="Q48" s="64"/>
      <c r="R48"/>
      <c r="S48" s="62"/>
      <c r="T48" s="51" t="str">
        <f>C48</f>
        <v>Human Settlements (Vote 38)</v>
      </c>
      <c r="U48" s="95">
        <v>1125261</v>
      </c>
      <c r="V48" s="198">
        <v>0</v>
      </c>
      <c r="W48" s="54">
        <v>1125261</v>
      </c>
      <c r="X48" s="54">
        <v>0</v>
      </c>
      <c r="Y48" s="95">
        <v>1125261</v>
      </c>
      <c r="Z48" s="216"/>
      <c r="AA48" s="101">
        <v>550582</v>
      </c>
      <c r="AB48" s="54">
        <v>550581</v>
      </c>
      <c r="AC48" s="54"/>
      <c r="AD48" s="54">
        <v>327358</v>
      </c>
      <c r="AE48" s="183">
        <v>0.2909173960530046</v>
      </c>
      <c r="AF48" s="63"/>
      <c r="AG48" s="444"/>
      <c r="AH48" s="444"/>
      <c r="AI48" s="73"/>
      <c r="AJ48" s="402"/>
      <c r="AK48" s="481" t="str">
        <f t="shared" si="15"/>
        <v>Human Settlements (Vote 38)</v>
      </c>
      <c r="AL48" s="388">
        <f t="shared" si="16"/>
        <v>0</v>
      </c>
      <c r="AM48" s="389">
        <f t="shared" si="17"/>
        <v>118000</v>
      </c>
      <c r="AN48" s="390">
        <f t="shared" si="18"/>
        <v>118000</v>
      </c>
      <c r="AO48" s="390">
        <f t="shared" si="19"/>
        <v>-40017</v>
      </c>
      <c r="AP48" s="388">
        <f t="shared" si="20"/>
        <v>77983</v>
      </c>
      <c r="AQ48" s="391"/>
      <c r="AR48" s="392">
        <f t="shared" si="21"/>
        <v>-456679</v>
      </c>
      <c r="AS48" s="390">
        <f t="shared" si="22"/>
        <v>-456680</v>
      </c>
      <c r="AT48" s="390"/>
      <c r="AU48" s="390">
        <f t="shared" si="23"/>
        <v>-659477</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1093166</v>
      </c>
      <c r="E49" s="199">
        <f t="shared" ref="E49:E50" si="66">SUM(F49-D49)</f>
        <v>-118000</v>
      </c>
      <c r="F49" s="497">
        <v>975166</v>
      </c>
      <c r="G49" s="497">
        <v>0</v>
      </c>
      <c r="H49" s="96">
        <f t="shared" ref="H49:H50" si="67">SUM(F49:G49)</f>
        <v>975166</v>
      </c>
      <c r="I49" s="217"/>
      <c r="J49" s="499">
        <v>975166</v>
      </c>
      <c r="K49" s="497">
        <v>975166</v>
      </c>
      <c r="L49" s="59"/>
      <c r="M49" s="497">
        <v>974858</v>
      </c>
      <c r="N49" s="172">
        <f t="shared" si="65"/>
        <v>0.9996841563385106</v>
      </c>
      <c r="O49" s="60"/>
      <c r="R49"/>
      <c r="S49" s="57"/>
      <c r="T49" s="58" t="str">
        <f t="shared" ref="T49:T53" si="68">C49</f>
        <v>(a) Human Settlements Development Grant</v>
      </c>
      <c r="U49" s="96">
        <v>1093166</v>
      </c>
      <c r="V49" s="199">
        <v>0</v>
      </c>
      <c r="W49" s="59">
        <v>1093166</v>
      </c>
      <c r="X49" s="59">
        <v>0</v>
      </c>
      <c r="Y49" s="96">
        <v>1093166</v>
      </c>
      <c r="Z49" s="217"/>
      <c r="AA49" s="102">
        <v>532915</v>
      </c>
      <c r="AB49" s="59">
        <v>532914</v>
      </c>
      <c r="AC49" s="59"/>
      <c r="AD49" s="59">
        <v>324437</v>
      </c>
      <c r="AE49" s="172">
        <v>0.29678658136092778</v>
      </c>
      <c r="AF49" s="60"/>
      <c r="AG49" s="443"/>
      <c r="AH49" s="443"/>
      <c r="AI49" s="61"/>
      <c r="AJ49" s="394"/>
      <c r="AK49" s="479" t="str">
        <f t="shared" si="15"/>
        <v>(a) Human Settlements Development Grant</v>
      </c>
      <c r="AL49" s="396">
        <f t="shared" si="16"/>
        <v>0</v>
      </c>
      <c r="AM49" s="397">
        <f t="shared" si="17"/>
        <v>118000</v>
      </c>
      <c r="AN49" s="398">
        <f t="shared" si="18"/>
        <v>118000</v>
      </c>
      <c r="AO49" s="398">
        <f t="shared" si="19"/>
        <v>0</v>
      </c>
      <c r="AP49" s="396">
        <f t="shared" si="20"/>
        <v>118000</v>
      </c>
      <c r="AQ49" s="399"/>
      <c r="AR49" s="400">
        <f t="shared" si="21"/>
        <v>-442251</v>
      </c>
      <c r="AS49" s="398">
        <f t="shared" si="22"/>
        <v>-442252</v>
      </c>
      <c r="AT49" s="398"/>
      <c r="AU49" s="398">
        <f t="shared" si="23"/>
        <v>-650421</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32095</v>
      </c>
      <c r="E50" s="199">
        <f t="shared" si="66"/>
        <v>0</v>
      </c>
      <c r="F50" s="497">
        <v>32095</v>
      </c>
      <c r="G50" s="497">
        <v>40017</v>
      </c>
      <c r="H50" s="96">
        <f t="shared" si="67"/>
        <v>72112</v>
      </c>
      <c r="I50" s="217"/>
      <c r="J50" s="499">
        <v>32095</v>
      </c>
      <c r="K50" s="497">
        <v>32095</v>
      </c>
      <c r="L50" s="59"/>
      <c r="M50" s="497">
        <v>11977</v>
      </c>
      <c r="N50" s="172">
        <f t="shared" si="65"/>
        <v>0.1660888617705791</v>
      </c>
      <c r="O50" s="60"/>
      <c r="P50" s="56"/>
      <c r="Q50" s="56"/>
      <c r="R50"/>
      <c r="S50" s="57"/>
      <c r="T50" s="58" t="str">
        <f t="shared" si="68"/>
        <v>(b) Title Deeds Restoriation Grant</v>
      </c>
      <c r="U50" s="96">
        <v>32095</v>
      </c>
      <c r="V50" s="199">
        <v>0</v>
      </c>
      <c r="W50" s="59">
        <v>32095</v>
      </c>
      <c r="X50" s="59">
        <v>0</v>
      </c>
      <c r="Y50" s="96">
        <v>32095</v>
      </c>
      <c r="Z50" s="217"/>
      <c r="AA50" s="102">
        <v>17667</v>
      </c>
      <c r="AB50" s="59">
        <v>17667</v>
      </c>
      <c r="AC50" s="59"/>
      <c r="AD50" s="59">
        <v>2921</v>
      </c>
      <c r="AE50" s="172">
        <v>9.101106091291479E-2</v>
      </c>
      <c r="AF50" s="60"/>
      <c r="AG50" s="443"/>
      <c r="AH50" s="443"/>
      <c r="AI50"/>
      <c r="AJ50" s="394"/>
      <c r="AK50" s="479" t="str">
        <f t="shared" si="15"/>
        <v>(b) Title Deeds Restoriation Grant</v>
      </c>
      <c r="AL50" s="396">
        <f t="shared" si="16"/>
        <v>0</v>
      </c>
      <c r="AM50" s="397">
        <f t="shared" si="17"/>
        <v>0</v>
      </c>
      <c r="AN50" s="398">
        <f t="shared" si="18"/>
        <v>0</v>
      </c>
      <c r="AO50" s="398">
        <f t="shared" si="19"/>
        <v>-40017</v>
      </c>
      <c r="AP50" s="396">
        <f t="shared" si="20"/>
        <v>-40017</v>
      </c>
      <c r="AQ50" s="399"/>
      <c r="AR50" s="400">
        <f t="shared" si="21"/>
        <v>-14428</v>
      </c>
      <c r="AS50" s="398">
        <f t="shared" si="22"/>
        <v>-14428</v>
      </c>
      <c r="AT50" s="398"/>
      <c r="AU50" s="398">
        <f t="shared" si="23"/>
        <v>-9056</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73024</v>
      </c>
      <c r="E55" s="198">
        <f t="shared" ref="E55:K55" si="72">SUM(E56+E57)</f>
        <v>0</v>
      </c>
      <c r="F55" s="54">
        <f t="shared" si="72"/>
        <v>73024</v>
      </c>
      <c r="G55" s="54">
        <f t="shared" si="72"/>
        <v>59</v>
      </c>
      <c r="H55" s="95">
        <f t="shared" si="72"/>
        <v>73083</v>
      </c>
      <c r="I55" s="216">
        <f t="shared" si="72"/>
        <v>0</v>
      </c>
      <c r="J55" s="101">
        <f t="shared" si="72"/>
        <v>73024</v>
      </c>
      <c r="K55" s="54">
        <f t="shared" si="72"/>
        <v>73024</v>
      </c>
      <c r="L55" s="54"/>
      <c r="M55" s="54">
        <f>SUM(M56+M57)</f>
        <v>72297</v>
      </c>
      <c r="N55" s="183">
        <f t="shared" ref="N55:N57" si="73">IFERROR(M55/H55,0)</f>
        <v>0.98924510488075201</v>
      </c>
      <c r="O55" s="63"/>
      <c r="P55" s="64"/>
      <c r="Q55" s="64"/>
      <c r="R55"/>
      <c r="S55" s="62"/>
      <c r="T55" s="51" t="str">
        <f>C55</f>
        <v>Public Works (Vote 11)</v>
      </c>
      <c r="U55" s="95">
        <v>73024</v>
      </c>
      <c r="V55" s="198">
        <v>0</v>
      </c>
      <c r="W55" s="54">
        <v>73024</v>
      </c>
      <c r="X55" s="54">
        <v>0</v>
      </c>
      <c r="Y55" s="95">
        <v>73024</v>
      </c>
      <c r="Z55" s="216"/>
      <c r="AA55" s="101">
        <v>51116</v>
      </c>
      <c r="AB55" s="54">
        <v>38264</v>
      </c>
      <c r="AC55" s="54"/>
      <c r="AD55" s="54">
        <v>27122</v>
      </c>
      <c r="AE55" s="183">
        <v>0.37141213847502191</v>
      </c>
      <c r="AF55" s="63"/>
      <c r="AG55" s="444"/>
      <c r="AH55" s="444"/>
      <c r="AI55"/>
      <c r="AJ55" s="402"/>
      <c r="AK55" s="481" t="str">
        <f t="shared" si="15"/>
        <v>Public Works (Vote 11)</v>
      </c>
      <c r="AL55" s="388">
        <f t="shared" si="16"/>
        <v>0</v>
      </c>
      <c r="AM55" s="389">
        <f t="shared" si="17"/>
        <v>0</v>
      </c>
      <c r="AN55" s="390">
        <f t="shared" si="18"/>
        <v>0</v>
      </c>
      <c r="AO55" s="390">
        <f t="shared" si="19"/>
        <v>-59</v>
      </c>
      <c r="AP55" s="388">
        <f t="shared" si="20"/>
        <v>-59</v>
      </c>
      <c r="AQ55" s="391"/>
      <c r="AR55" s="392">
        <f t="shared" si="21"/>
        <v>-21908</v>
      </c>
      <c r="AS55" s="390">
        <f t="shared" si="22"/>
        <v>-34760</v>
      </c>
      <c r="AT55" s="390"/>
      <c r="AU55" s="390">
        <f t="shared" si="23"/>
        <v>-45175</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31203</v>
      </c>
      <c r="E56" s="199">
        <f t="shared" ref="E56:E57" si="74">SUM(F56-D56)</f>
        <v>0</v>
      </c>
      <c r="F56" s="497">
        <v>31203</v>
      </c>
      <c r="G56" s="497">
        <v>59</v>
      </c>
      <c r="H56" s="96">
        <f t="shared" ref="H56:H57" si="75">SUM(F56:G56)</f>
        <v>31262</v>
      </c>
      <c r="I56" s="217"/>
      <c r="J56" s="499">
        <v>31203</v>
      </c>
      <c r="K56" s="497">
        <v>31203</v>
      </c>
      <c r="L56" s="59"/>
      <c r="M56" s="497">
        <v>30997</v>
      </c>
      <c r="N56" s="172">
        <f t="shared" si="73"/>
        <v>0.99152325507005312</v>
      </c>
      <c r="O56" s="60"/>
      <c r="P56" s="56"/>
      <c r="Q56" s="56"/>
      <c r="R56"/>
      <c r="S56" s="57"/>
      <c r="T56" s="58" t="str">
        <f t="shared" ref="T56:T60" si="76">C56</f>
        <v>(a) Expanded Public Works Programme Integrated Grant for Provinces</v>
      </c>
      <c r="U56" s="96">
        <v>31203</v>
      </c>
      <c r="V56" s="199">
        <v>0</v>
      </c>
      <c r="W56" s="59">
        <v>31203</v>
      </c>
      <c r="X56" s="59">
        <v>0</v>
      </c>
      <c r="Y56" s="96">
        <v>31203</v>
      </c>
      <c r="Z56" s="217"/>
      <c r="AA56" s="102">
        <v>21842</v>
      </c>
      <c r="AB56" s="59">
        <v>12936</v>
      </c>
      <c r="AC56" s="59"/>
      <c r="AD56" s="59">
        <v>10983</v>
      </c>
      <c r="AE56" s="172">
        <v>0.35198538602057494</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-59</v>
      </c>
      <c r="AP56" s="396">
        <f t="shared" si="20"/>
        <v>-59</v>
      </c>
      <c r="AQ56" s="399"/>
      <c r="AR56" s="400">
        <f t="shared" si="21"/>
        <v>-9361</v>
      </c>
      <c r="AS56" s="398">
        <f t="shared" si="22"/>
        <v>-18267</v>
      </c>
      <c r="AT56" s="398"/>
      <c r="AU56" s="398">
        <f t="shared" si="23"/>
        <v>-20014</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41821</v>
      </c>
      <c r="E57" s="199">
        <f t="shared" si="74"/>
        <v>0</v>
      </c>
      <c r="F57" s="497">
        <v>41821</v>
      </c>
      <c r="G57" s="497">
        <v>0</v>
      </c>
      <c r="H57" s="96">
        <f t="shared" si="75"/>
        <v>41821</v>
      </c>
      <c r="I57" s="217"/>
      <c r="J57" s="499">
        <v>41821</v>
      </c>
      <c r="K57" s="497">
        <v>41821</v>
      </c>
      <c r="L57" s="59"/>
      <c r="M57" s="497">
        <v>41300</v>
      </c>
      <c r="N57" s="172">
        <f t="shared" si="73"/>
        <v>0.98754214389899808</v>
      </c>
      <c r="O57" s="60"/>
      <c r="P57" s="56"/>
      <c r="Q57" s="56"/>
      <c r="R57"/>
      <c r="S57" s="57"/>
      <c r="T57" s="58" t="str">
        <f t="shared" si="76"/>
        <v>(b) Social Sector Expanded Public Works Programme Incentive Grant for Provinces</v>
      </c>
      <c r="U57" s="96">
        <v>41821</v>
      </c>
      <c r="V57" s="199">
        <v>0</v>
      </c>
      <c r="W57" s="59">
        <v>41821</v>
      </c>
      <c r="X57" s="59">
        <v>0</v>
      </c>
      <c r="Y57" s="96">
        <v>41821</v>
      </c>
      <c r="Z57" s="217"/>
      <c r="AA57" s="102">
        <v>29274</v>
      </c>
      <c r="AB57" s="59">
        <v>25328</v>
      </c>
      <c r="AC57" s="59"/>
      <c r="AD57" s="59">
        <v>16139</v>
      </c>
      <c r="AE57" s="172">
        <v>0.38590660194639059</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-12547</v>
      </c>
      <c r="AS57" s="398">
        <f t="shared" si="22"/>
        <v>-16493</v>
      </c>
      <c r="AT57" s="398"/>
      <c r="AU57" s="398">
        <f t="shared" si="23"/>
        <v>-25161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25477</v>
      </c>
      <c r="E62" s="198">
        <f t="shared" ref="E62:K62" si="79">SUM(E63)</f>
        <v>0</v>
      </c>
      <c r="F62" s="54">
        <f t="shared" si="79"/>
        <v>25477</v>
      </c>
      <c r="G62" s="54">
        <f t="shared" si="79"/>
        <v>567</v>
      </c>
      <c r="H62" s="95">
        <f t="shared" si="79"/>
        <v>26044</v>
      </c>
      <c r="I62" s="216">
        <f t="shared" si="79"/>
        <v>0</v>
      </c>
      <c r="J62" s="101">
        <f t="shared" si="79"/>
        <v>25477</v>
      </c>
      <c r="K62" s="54">
        <f t="shared" si="79"/>
        <v>25477</v>
      </c>
      <c r="L62" s="54"/>
      <c r="M62" s="54">
        <f>SUM(M63)</f>
        <v>23552</v>
      </c>
      <c r="N62" s="183">
        <f t="shared" ref="N62:N63" si="80">IFERROR(M62/H62,0)</f>
        <v>0.90431577330671176</v>
      </c>
      <c r="O62" s="63"/>
      <c r="P62" s="64"/>
      <c r="Q62" s="64"/>
      <c r="R62"/>
      <c r="S62" s="62"/>
      <c r="T62" s="51" t="str">
        <f>C62</f>
        <v>Social Development (Vote 17)</v>
      </c>
      <c r="U62" s="95">
        <v>25477</v>
      </c>
      <c r="V62" s="198">
        <v>0</v>
      </c>
      <c r="W62" s="54">
        <v>25477</v>
      </c>
      <c r="X62" s="54">
        <v>0</v>
      </c>
      <c r="Y62" s="95">
        <v>25477</v>
      </c>
      <c r="Z62" s="216"/>
      <c r="AA62" s="101">
        <v>12738</v>
      </c>
      <c r="AB62" s="54">
        <v>12738</v>
      </c>
      <c r="AC62" s="54"/>
      <c r="AD62" s="54">
        <v>9030</v>
      </c>
      <c r="AE62" s="183">
        <v>0.35443733563606389</v>
      </c>
      <c r="AF62" s="63"/>
      <c r="AG62" s="444"/>
      <c r="AH62" s="444"/>
      <c r="AI62"/>
      <c r="AJ62" s="402"/>
      <c r="AK62" s="481" t="str">
        <f t="shared" si="15"/>
        <v>Social Development (Vote 17)</v>
      </c>
      <c r="AL62" s="388">
        <f t="shared" si="16"/>
        <v>0</v>
      </c>
      <c r="AM62" s="389">
        <f t="shared" si="17"/>
        <v>0</v>
      </c>
      <c r="AN62" s="390">
        <f t="shared" si="18"/>
        <v>0</v>
      </c>
      <c r="AO62" s="390">
        <f t="shared" si="19"/>
        <v>-567</v>
      </c>
      <c r="AP62" s="388">
        <f t="shared" si="20"/>
        <v>-567</v>
      </c>
      <c r="AQ62" s="391"/>
      <c r="AR62" s="392">
        <f t="shared" si="21"/>
        <v>-12739</v>
      </c>
      <c r="AS62" s="390">
        <f t="shared" si="22"/>
        <v>-12739</v>
      </c>
      <c r="AT62" s="390"/>
      <c r="AU62" s="390">
        <f t="shared" si="23"/>
        <v>-14522</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25477</v>
      </c>
      <c r="E63" s="199">
        <f>SUM(F63-D63)</f>
        <v>0</v>
      </c>
      <c r="F63" s="497">
        <v>25477</v>
      </c>
      <c r="G63" s="497">
        <v>567</v>
      </c>
      <c r="H63" s="96">
        <f>SUM(F63:G63)</f>
        <v>26044</v>
      </c>
      <c r="I63" s="217"/>
      <c r="J63" s="499">
        <v>25477</v>
      </c>
      <c r="K63" s="497">
        <v>25477</v>
      </c>
      <c r="L63" s="59"/>
      <c r="M63" s="497">
        <v>23552</v>
      </c>
      <c r="N63" s="172">
        <f t="shared" si="80"/>
        <v>0.90431577330671176</v>
      </c>
      <c r="O63" s="33"/>
      <c r="P63" s="21"/>
      <c r="Q63" s="21"/>
      <c r="R63"/>
      <c r="S63" s="57"/>
      <c r="T63" s="58" t="str">
        <f t="shared" ref="T63:T67" si="81">C63</f>
        <v>Early Childhood Development Grant</v>
      </c>
      <c r="U63" s="96">
        <v>25477</v>
      </c>
      <c r="V63" s="199">
        <v>0</v>
      </c>
      <c r="W63" s="59">
        <v>25477</v>
      </c>
      <c r="X63" s="59">
        <v>0</v>
      </c>
      <c r="Y63" s="96">
        <v>25477</v>
      </c>
      <c r="Z63" s="217"/>
      <c r="AA63" s="102">
        <v>12738</v>
      </c>
      <c r="AB63" s="59">
        <v>12738</v>
      </c>
      <c r="AC63" s="59"/>
      <c r="AD63" s="59">
        <v>9030</v>
      </c>
      <c r="AE63" s="172">
        <v>0.35443733563606389</v>
      </c>
      <c r="AF63" s="33"/>
      <c r="AG63" s="441"/>
      <c r="AH63" s="441"/>
      <c r="AI63"/>
      <c r="AJ63" s="394"/>
      <c r="AK63" s="479" t="str">
        <f t="shared" si="15"/>
        <v>Early Childhood Development Grant</v>
      </c>
      <c r="AL63" s="396">
        <f t="shared" si="16"/>
        <v>0</v>
      </c>
      <c r="AM63" s="397">
        <f t="shared" si="17"/>
        <v>0</v>
      </c>
      <c r="AN63" s="398">
        <f t="shared" si="18"/>
        <v>0</v>
      </c>
      <c r="AO63" s="398">
        <f t="shared" si="19"/>
        <v>-567</v>
      </c>
      <c r="AP63" s="396">
        <f t="shared" si="20"/>
        <v>-567</v>
      </c>
      <c r="AQ63" s="399"/>
      <c r="AR63" s="400">
        <f t="shared" si="21"/>
        <v>-12739</v>
      </c>
      <c r="AS63" s="398">
        <f t="shared" si="22"/>
        <v>-12739</v>
      </c>
      <c r="AT63" s="398"/>
      <c r="AU63" s="398">
        <f t="shared" si="23"/>
        <v>-14522</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100839</v>
      </c>
      <c r="E69" s="198">
        <f t="shared" ref="E69:K69" si="85">SUM(E70)</f>
        <v>0</v>
      </c>
      <c r="F69" s="54">
        <f t="shared" si="85"/>
        <v>100839</v>
      </c>
      <c r="G69" s="54">
        <f t="shared" si="85"/>
        <v>0</v>
      </c>
      <c r="H69" s="95">
        <f t="shared" si="85"/>
        <v>100839</v>
      </c>
      <c r="I69" s="216">
        <f t="shared" si="85"/>
        <v>0</v>
      </c>
      <c r="J69" s="101">
        <f t="shared" si="85"/>
        <v>100839</v>
      </c>
      <c r="K69" s="54">
        <f t="shared" si="85"/>
        <v>100839</v>
      </c>
      <c r="L69" s="54"/>
      <c r="M69" s="54">
        <f>SUM(M70)</f>
        <v>39174</v>
      </c>
      <c r="N69" s="183">
        <f t="shared" ref="N69:N70" si="86">IFERROR(M69/H69,0)</f>
        <v>0.38848064736857763</v>
      </c>
      <c r="O69" s="63"/>
      <c r="P69" s="64"/>
      <c r="Q69" s="64"/>
      <c r="R69"/>
      <c r="S69" s="62"/>
      <c r="T69" s="51" t="str">
        <f>C69</f>
        <v>Sport and Recreation South Africa (Vote 40)</v>
      </c>
      <c r="U69" s="95">
        <v>100839</v>
      </c>
      <c r="V69" s="198">
        <v>0</v>
      </c>
      <c r="W69" s="54">
        <v>100839</v>
      </c>
      <c r="X69" s="54">
        <v>0</v>
      </c>
      <c r="Y69" s="95">
        <v>100839</v>
      </c>
      <c r="Z69" s="216"/>
      <c r="AA69" s="101">
        <v>50420</v>
      </c>
      <c r="AB69" s="54">
        <v>50420</v>
      </c>
      <c r="AC69" s="59"/>
      <c r="AD69" s="54">
        <v>14552</v>
      </c>
      <c r="AE69" s="172">
        <v>0.14430924543083529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-50419</v>
      </c>
      <c r="AS69" s="390">
        <f t="shared" si="22"/>
        <v>-50419</v>
      </c>
      <c r="AT69" s="398"/>
      <c r="AU69" s="390">
        <f t="shared" si="23"/>
        <v>-24622</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100839</v>
      </c>
      <c r="E70" s="199">
        <f>SUM(F70-D70)</f>
        <v>0</v>
      </c>
      <c r="F70" s="497">
        <v>100839</v>
      </c>
      <c r="G70" s="497">
        <v>0</v>
      </c>
      <c r="H70" s="96">
        <f>SUM(F70:G70)</f>
        <v>100839</v>
      </c>
      <c r="I70" s="217"/>
      <c r="J70" s="499">
        <v>100839</v>
      </c>
      <c r="K70" s="497">
        <v>100839</v>
      </c>
      <c r="L70" s="59"/>
      <c r="M70" s="497">
        <v>39174</v>
      </c>
      <c r="N70" s="172">
        <f t="shared" si="86"/>
        <v>0.38848064736857763</v>
      </c>
      <c r="O70" s="60"/>
      <c r="P70" s="56"/>
      <c r="Q70" s="56"/>
      <c r="R70"/>
      <c r="S70" s="57"/>
      <c r="T70" s="58" t="str">
        <f t="shared" ref="T70:T74" si="87">C70</f>
        <v>Mass Participation and Sport Development Grant</v>
      </c>
      <c r="U70" s="96">
        <v>100839</v>
      </c>
      <c r="V70" s="199">
        <v>0</v>
      </c>
      <c r="W70" s="59">
        <v>100839</v>
      </c>
      <c r="X70" s="59">
        <v>0</v>
      </c>
      <c r="Y70" s="96">
        <v>100839</v>
      </c>
      <c r="Z70" s="217"/>
      <c r="AA70" s="102">
        <v>50420</v>
      </c>
      <c r="AB70" s="59">
        <v>50420</v>
      </c>
      <c r="AC70" s="59"/>
      <c r="AD70" s="59">
        <v>14552</v>
      </c>
      <c r="AE70" s="183">
        <v>0.14430924543083529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-50419</v>
      </c>
      <c r="AS70" s="398">
        <f t="shared" si="22"/>
        <v>-50419</v>
      </c>
      <c r="AT70" s="398"/>
      <c r="AU70" s="398">
        <f t="shared" si="23"/>
        <v>-24622</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4087581</v>
      </c>
      <c r="E76" s="201">
        <f t="shared" ref="E76:K76" si="90">SUM(E13+E20+E27+E34+E41+E48+E55+E62+E69)</f>
        <v>-88864</v>
      </c>
      <c r="F76" s="75">
        <f t="shared" si="90"/>
        <v>3998717</v>
      </c>
      <c r="G76" s="75">
        <f t="shared" si="90"/>
        <v>178719</v>
      </c>
      <c r="H76" s="98">
        <f t="shared" si="90"/>
        <v>4177436</v>
      </c>
      <c r="I76" s="219">
        <f t="shared" si="90"/>
        <v>0</v>
      </c>
      <c r="J76" s="104">
        <f t="shared" si="90"/>
        <v>3998717</v>
      </c>
      <c r="K76" s="75">
        <f t="shared" si="90"/>
        <v>3990257</v>
      </c>
      <c r="L76" s="59"/>
      <c r="M76" s="75">
        <f>SUM(M13+M20+M27+M34+M41+M48+M55+M62+M69)</f>
        <v>3820854</v>
      </c>
      <c r="N76" s="180">
        <f>IFERROR(M76/H76,0)</f>
        <v>0.91464094243454597</v>
      </c>
      <c r="O76" s="60"/>
      <c r="P76" s="65"/>
      <c r="Q76" s="65"/>
      <c r="R76"/>
      <c r="S76" s="53"/>
      <c r="T76" s="74" t="s">
        <v>37</v>
      </c>
      <c r="U76" s="98">
        <v>4087581</v>
      </c>
      <c r="V76" s="201">
        <v>0</v>
      </c>
      <c r="W76" s="75">
        <v>4087581</v>
      </c>
      <c r="X76" s="75">
        <v>0</v>
      </c>
      <c r="Y76" s="98">
        <v>4087581</v>
      </c>
      <c r="Z76" s="219">
        <v>0</v>
      </c>
      <c r="AA76" s="104">
        <v>2154498</v>
      </c>
      <c r="AB76" s="75">
        <v>2141645</v>
      </c>
      <c r="AC76" s="59"/>
      <c r="AD76" s="75">
        <v>1522482</v>
      </c>
      <c r="AE76" s="180">
        <v>0.37246527958712011</v>
      </c>
      <c r="AF76" s="60"/>
      <c r="AG76" s="443"/>
      <c r="AH76" s="443"/>
      <c r="AI76"/>
      <c r="AJ76" s="387"/>
      <c r="AK76" s="411" t="str">
        <f t="shared" si="15"/>
        <v>Sub-Total</v>
      </c>
      <c r="AL76" s="412">
        <f t="shared" si="16"/>
        <v>0</v>
      </c>
      <c r="AM76" s="413">
        <f t="shared" si="17"/>
        <v>88864</v>
      </c>
      <c r="AN76" s="414">
        <f t="shared" si="18"/>
        <v>88864</v>
      </c>
      <c r="AO76" s="414">
        <f t="shared" si="19"/>
        <v>-178719</v>
      </c>
      <c r="AP76" s="412">
        <f t="shared" si="20"/>
        <v>-89855</v>
      </c>
      <c r="AQ76" s="415"/>
      <c r="AR76" s="416">
        <f t="shared" si="21"/>
        <v>-1844219</v>
      </c>
      <c r="AS76" s="414">
        <f t="shared" si="22"/>
        <v>-1848612</v>
      </c>
      <c r="AT76" s="398"/>
      <c r="AU76" s="414">
        <f t="shared" si="23"/>
        <v>-2298372</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833485</v>
      </c>
      <c r="E80" s="198">
        <f t="shared" ref="E80:K80" si="91">SUM(E81)</f>
        <v>0</v>
      </c>
      <c r="F80" s="54">
        <f t="shared" si="91"/>
        <v>833485</v>
      </c>
      <c r="G80" s="54">
        <f t="shared" si="91"/>
        <v>119288</v>
      </c>
      <c r="H80" s="95">
        <f t="shared" si="91"/>
        <v>952773</v>
      </c>
      <c r="I80" s="216">
        <f t="shared" si="91"/>
        <v>0</v>
      </c>
      <c r="J80" s="101">
        <f t="shared" si="91"/>
        <v>833485</v>
      </c>
      <c r="K80" s="54">
        <f t="shared" si="91"/>
        <v>833485</v>
      </c>
      <c r="L80" s="54"/>
      <c r="M80" s="76"/>
      <c r="N80" s="439"/>
      <c r="O80" s="55"/>
      <c r="R80"/>
      <c r="S80" s="62"/>
      <c r="T80" s="51" t="str">
        <f>C80</f>
        <v>Basic Education (Vote 14)</v>
      </c>
      <c r="U80" s="95">
        <v>833485</v>
      </c>
      <c r="V80" s="198">
        <v>0</v>
      </c>
      <c r="W80" s="54">
        <v>833485</v>
      </c>
      <c r="X80" s="54">
        <v>0</v>
      </c>
      <c r="Y80" s="95">
        <v>833485</v>
      </c>
      <c r="Z80" s="216"/>
      <c r="AA80" s="101">
        <v>520928</v>
      </c>
      <c r="AB80" s="54">
        <v>520928</v>
      </c>
      <c r="AC80" s="59"/>
      <c r="AD80" s="54"/>
      <c r="AE80" s="54"/>
      <c r="AF80" s="55"/>
      <c r="AG80" s="442"/>
      <c r="AH80" s="442"/>
      <c r="AI80"/>
      <c r="AJ80" s="402"/>
      <c r="AK80" s="481" t="str">
        <f t="shared" si="15"/>
        <v>Basic Education (Vote 14)</v>
      </c>
      <c r="AL80" s="388">
        <f t="shared" si="16"/>
        <v>0</v>
      </c>
      <c r="AM80" s="389">
        <f t="shared" si="17"/>
        <v>0</v>
      </c>
      <c r="AN80" s="390">
        <f t="shared" si="18"/>
        <v>0</v>
      </c>
      <c r="AO80" s="390">
        <f t="shared" si="19"/>
        <v>-119288</v>
      </c>
      <c r="AP80" s="388">
        <f t="shared" si="20"/>
        <v>-119288</v>
      </c>
      <c r="AQ80" s="391"/>
      <c r="AR80" s="392">
        <f t="shared" si="21"/>
        <v>-312557</v>
      </c>
      <c r="AS80" s="390">
        <f t="shared" si="22"/>
        <v>-312557</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833485</v>
      </c>
      <c r="E81" s="199">
        <f>SUM(F81-D81)</f>
        <v>0</v>
      </c>
      <c r="F81" s="497">
        <v>833485</v>
      </c>
      <c r="G81" s="497">
        <v>119288</v>
      </c>
      <c r="H81" s="96">
        <f>SUM(F81:G81)</f>
        <v>952773</v>
      </c>
      <c r="I81" s="217"/>
      <c r="J81" s="499">
        <v>833485</v>
      </c>
      <c r="K81" s="497">
        <v>833485</v>
      </c>
      <c r="L81" s="59"/>
      <c r="M81" s="76"/>
      <c r="N81" s="439"/>
      <c r="O81" s="33"/>
      <c r="R81"/>
      <c r="S81" s="57"/>
      <c r="T81" s="58" t="str">
        <f t="shared" ref="T81:T85" si="92">C81</f>
        <v>Education Infrastructure Grant</v>
      </c>
      <c r="U81" s="96">
        <v>833485</v>
      </c>
      <c r="V81" s="199">
        <v>0</v>
      </c>
      <c r="W81" s="59">
        <v>833485</v>
      </c>
      <c r="X81" s="59">
        <v>0</v>
      </c>
      <c r="Y81" s="96">
        <v>833485</v>
      </c>
      <c r="Z81" s="217"/>
      <c r="AA81" s="102">
        <v>520928</v>
      </c>
      <c r="AB81" s="59">
        <v>520928</v>
      </c>
      <c r="AC81" s="59"/>
      <c r="AD81" s="76"/>
      <c r="AE81" s="76"/>
      <c r="AF81" s="33"/>
      <c r="AG81" s="441"/>
      <c r="AH81" s="441"/>
      <c r="AI81"/>
      <c r="AJ81" s="394"/>
      <c r="AK81" s="479" t="str">
        <f t="shared" si="15"/>
        <v>Education Infrastructure Grant</v>
      </c>
      <c r="AL81" s="396">
        <f t="shared" si="16"/>
        <v>0</v>
      </c>
      <c r="AM81" s="397">
        <f t="shared" si="17"/>
        <v>0</v>
      </c>
      <c r="AN81" s="398">
        <f t="shared" si="18"/>
        <v>0</v>
      </c>
      <c r="AO81" s="398">
        <f t="shared" si="19"/>
        <v>-119288</v>
      </c>
      <c r="AP81" s="396">
        <f t="shared" si="20"/>
        <v>-119288</v>
      </c>
      <c r="AQ81" s="399"/>
      <c r="AR81" s="400">
        <f t="shared" si="21"/>
        <v>-312557</v>
      </c>
      <c r="AS81" s="398">
        <f t="shared" si="22"/>
        <v>-312557</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1322816</v>
      </c>
      <c r="E87" s="198">
        <f t="shared" ref="E87:K87" si="104">SUM(E88+E89)</f>
        <v>0</v>
      </c>
      <c r="F87" s="54">
        <f t="shared" si="104"/>
        <v>1322816</v>
      </c>
      <c r="G87" s="54">
        <f t="shared" si="104"/>
        <v>0</v>
      </c>
      <c r="H87" s="95">
        <f t="shared" si="104"/>
        <v>1322816</v>
      </c>
      <c r="I87" s="216">
        <f t="shared" si="104"/>
        <v>0</v>
      </c>
      <c r="J87" s="101">
        <f t="shared" si="104"/>
        <v>1322816</v>
      </c>
      <c r="K87" s="54">
        <f t="shared" si="104"/>
        <v>1322816</v>
      </c>
      <c r="L87" s="59"/>
      <c r="M87" s="591"/>
      <c r="N87" s="439"/>
      <c r="O87" s="55"/>
      <c r="R87"/>
      <c r="S87" s="62"/>
      <c r="T87" s="51" t="str">
        <f>C87</f>
        <v>Health (Vote 16)</v>
      </c>
      <c r="U87" s="95">
        <v>1322816</v>
      </c>
      <c r="V87" s="198">
        <v>0</v>
      </c>
      <c r="W87" s="54">
        <v>1322816</v>
      </c>
      <c r="X87" s="54">
        <v>0</v>
      </c>
      <c r="Y87" s="95">
        <v>1322816</v>
      </c>
      <c r="Z87" s="216"/>
      <c r="AA87" s="101">
        <v>661404</v>
      </c>
      <c r="AB87" s="54">
        <v>661404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0</v>
      </c>
      <c r="AP87" s="388">
        <f t="shared" si="100"/>
        <v>0</v>
      </c>
      <c r="AQ87" s="391"/>
      <c r="AR87" s="392">
        <f t="shared" si="101"/>
        <v>-661412</v>
      </c>
      <c r="AS87" s="390">
        <f t="shared" si="102"/>
        <v>-661412</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185430</v>
      </c>
      <c r="E88" s="199">
        <f t="shared" ref="E88:E89" si="105">SUM(F88-D88)</f>
        <v>0</v>
      </c>
      <c r="F88" s="497">
        <v>185430</v>
      </c>
      <c r="G88" s="497">
        <v>0</v>
      </c>
      <c r="H88" s="96">
        <f t="shared" ref="H88:H89" si="106">SUM(F88:G88)</f>
        <v>185430</v>
      </c>
      <c r="I88" s="217"/>
      <c r="J88" s="499">
        <v>185430</v>
      </c>
      <c r="K88" s="497">
        <v>185430</v>
      </c>
      <c r="L88" s="59"/>
      <c r="M88" s="76"/>
      <c r="N88" s="439"/>
      <c r="O88" s="33"/>
      <c r="P88" s="21"/>
      <c r="Q88" s="21"/>
      <c r="R88"/>
      <c r="S88" s="57"/>
      <c r="T88" s="58" t="str">
        <f t="shared" ref="T88:T92" si="107">C88</f>
        <v>(a) Health Professions Training and Development Grant</v>
      </c>
      <c r="U88" s="96">
        <v>185430</v>
      </c>
      <c r="V88" s="199">
        <v>0</v>
      </c>
      <c r="W88" s="59">
        <v>185430</v>
      </c>
      <c r="X88" s="59">
        <v>0</v>
      </c>
      <c r="Y88" s="96">
        <v>185430</v>
      </c>
      <c r="Z88" s="217"/>
      <c r="AA88" s="102">
        <v>92712</v>
      </c>
      <c r="AB88" s="59">
        <v>92712</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-92718</v>
      </c>
      <c r="AS88" s="398">
        <f t="shared" si="102"/>
        <v>-92718</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1137386</v>
      </c>
      <c r="E89" s="199">
        <f t="shared" si="105"/>
        <v>0</v>
      </c>
      <c r="F89" s="497">
        <v>1137386</v>
      </c>
      <c r="G89" s="497">
        <v>0</v>
      </c>
      <c r="H89" s="96">
        <f t="shared" si="106"/>
        <v>1137386</v>
      </c>
      <c r="I89" s="217"/>
      <c r="J89" s="499">
        <v>1137386</v>
      </c>
      <c r="K89" s="497">
        <v>1137386</v>
      </c>
      <c r="L89" s="59"/>
      <c r="M89" s="76"/>
      <c r="N89" s="439"/>
      <c r="O89" s="33"/>
      <c r="S89" s="57"/>
      <c r="T89" s="58" t="str">
        <f t="shared" si="107"/>
        <v>(b) National Tertiary Services Grant</v>
      </c>
      <c r="U89" s="96">
        <v>1137386</v>
      </c>
      <c r="V89" s="199">
        <v>0</v>
      </c>
      <c r="W89" s="59">
        <v>1137386</v>
      </c>
      <c r="X89" s="59">
        <v>0</v>
      </c>
      <c r="Y89" s="96">
        <v>1137386</v>
      </c>
      <c r="Z89" s="217"/>
      <c r="AA89" s="102">
        <v>568692</v>
      </c>
      <c r="AB89" s="59">
        <v>568692</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0</v>
      </c>
      <c r="AP89" s="396">
        <f t="shared" si="100"/>
        <v>0</v>
      </c>
      <c r="AQ89" s="399"/>
      <c r="AR89" s="400">
        <f t="shared" si="101"/>
        <v>-568694</v>
      </c>
      <c r="AS89" s="398">
        <f t="shared" si="102"/>
        <v>-568694</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hidden="1"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1618872</v>
      </c>
      <c r="E101" s="198">
        <f t="shared" ref="E101:K101" si="113">SUM(E102+E103)</f>
        <v>0</v>
      </c>
      <c r="F101" s="54">
        <f t="shared" si="113"/>
        <v>1618872</v>
      </c>
      <c r="G101" s="54">
        <f t="shared" si="113"/>
        <v>49980</v>
      </c>
      <c r="H101" s="95">
        <f t="shared" si="113"/>
        <v>1668852</v>
      </c>
      <c r="I101" s="216">
        <f t="shared" si="113"/>
        <v>0</v>
      </c>
      <c r="J101" s="101">
        <f t="shared" si="113"/>
        <v>1618872</v>
      </c>
      <c r="K101" s="54">
        <f t="shared" si="113"/>
        <v>1618872</v>
      </c>
      <c r="L101" s="59"/>
      <c r="M101" s="591"/>
      <c r="N101" s="439"/>
      <c r="O101" s="55"/>
      <c r="R101"/>
      <c r="S101" s="62"/>
      <c r="T101" s="51" t="str">
        <f>C101</f>
        <v>Transport (Vote 35)</v>
      </c>
      <c r="U101" s="95">
        <v>1618872</v>
      </c>
      <c r="V101" s="198">
        <v>0</v>
      </c>
      <c r="W101" s="54">
        <v>1618872</v>
      </c>
      <c r="X101" s="54">
        <v>0</v>
      </c>
      <c r="Y101" s="95">
        <v>1618872</v>
      </c>
      <c r="Z101" s="216"/>
      <c r="AA101" s="101">
        <v>911199</v>
      </c>
      <c r="AB101" s="54">
        <v>911199</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-49980</v>
      </c>
      <c r="AP101" s="388">
        <f t="shared" si="100"/>
        <v>-49980</v>
      </c>
      <c r="AQ101" s="391"/>
      <c r="AR101" s="392">
        <f t="shared" si="101"/>
        <v>-707673</v>
      </c>
      <c r="AS101" s="390">
        <f t="shared" si="102"/>
        <v>-707673</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1340137</v>
      </c>
      <c r="E102" s="199">
        <f t="shared" ref="E102:E103" si="114">SUM(F102-D102)</f>
        <v>0</v>
      </c>
      <c r="F102" s="497">
        <v>1340137</v>
      </c>
      <c r="G102" s="497">
        <v>49980</v>
      </c>
      <c r="H102" s="96">
        <f t="shared" ref="H102:H103" si="115">SUM(F102:G102)</f>
        <v>1390117</v>
      </c>
      <c r="I102" s="217"/>
      <c r="J102" s="499">
        <v>1340137</v>
      </c>
      <c r="K102" s="497">
        <v>1340137</v>
      </c>
      <c r="L102" s="59"/>
      <c r="M102" s="76"/>
      <c r="N102" s="439"/>
      <c r="O102" s="33"/>
      <c r="S102" s="57"/>
      <c r="T102" s="58" t="str">
        <f t="shared" ref="T102:T106" si="116">C102</f>
        <v>(a) Provincial Roads Maintenance Grant</v>
      </c>
      <c r="U102" s="96">
        <v>1340137</v>
      </c>
      <c r="V102" s="199">
        <v>0</v>
      </c>
      <c r="W102" s="59">
        <v>1340137</v>
      </c>
      <c r="X102" s="59">
        <v>0</v>
      </c>
      <c r="Y102" s="96">
        <v>1340137</v>
      </c>
      <c r="Z102" s="217"/>
      <c r="AA102" s="102">
        <v>792198</v>
      </c>
      <c r="AB102" s="59">
        <v>792198</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-49980</v>
      </c>
      <c r="AP102" s="396">
        <f t="shared" si="100"/>
        <v>-49980</v>
      </c>
      <c r="AQ102" s="399"/>
      <c r="AR102" s="400">
        <f t="shared" si="101"/>
        <v>-547939</v>
      </c>
      <c r="AS102" s="398">
        <f t="shared" si="102"/>
        <v>-547939</v>
      </c>
      <c r="AT102" s="398"/>
      <c r="AU102" s="417">
        <f t="shared" si="103"/>
        <v>0</v>
      </c>
      <c r="AV102" s="417"/>
      <c r="AW102" s="347"/>
    </row>
    <row r="103" spans="1:82" ht="15.75" customHeight="1" x14ac:dyDescent="0.3">
      <c r="B103" s="57"/>
      <c r="C103" s="58" t="s">
        <v>44</v>
      </c>
      <c r="D103" s="496">
        <v>278735</v>
      </c>
      <c r="E103" s="199">
        <f t="shared" si="114"/>
        <v>0</v>
      </c>
      <c r="F103" s="497">
        <v>278735</v>
      </c>
      <c r="G103" s="497">
        <v>0</v>
      </c>
      <c r="H103" s="96">
        <f t="shared" si="115"/>
        <v>278735</v>
      </c>
      <c r="I103" s="217"/>
      <c r="J103" s="499">
        <v>278735</v>
      </c>
      <c r="K103" s="497">
        <v>278735</v>
      </c>
      <c r="L103" s="59"/>
      <c r="M103" s="76"/>
      <c r="N103" s="439"/>
      <c r="O103" s="33"/>
      <c r="S103" s="57"/>
      <c r="T103" s="58" t="str">
        <f t="shared" si="116"/>
        <v>(b) Public Transport Operations Grant</v>
      </c>
      <c r="U103" s="96">
        <v>278735</v>
      </c>
      <c r="V103" s="199">
        <v>0</v>
      </c>
      <c r="W103" s="59">
        <v>278735</v>
      </c>
      <c r="X103" s="59">
        <v>0</v>
      </c>
      <c r="Y103" s="96">
        <v>278735</v>
      </c>
      <c r="Z103" s="217"/>
      <c r="AA103" s="102">
        <v>119001</v>
      </c>
      <c r="AB103" s="59">
        <v>119001</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-159734</v>
      </c>
      <c r="AS103" s="398">
        <f t="shared" si="102"/>
        <v>-159734</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3775173</v>
      </c>
      <c r="E108" s="201">
        <f t="shared" ref="E108:K108" si="119">SUM(E80+E87+E101)</f>
        <v>0</v>
      </c>
      <c r="F108" s="75">
        <f t="shared" si="119"/>
        <v>3775173</v>
      </c>
      <c r="G108" s="75">
        <f t="shared" si="119"/>
        <v>169268</v>
      </c>
      <c r="H108" s="98">
        <f t="shared" si="119"/>
        <v>3944441</v>
      </c>
      <c r="I108" s="219">
        <f t="shared" si="119"/>
        <v>0</v>
      </c>
      <c r="J108" s="104">
        <f t="shared" si="119"/>
        <v>3775173</v>
      </c>
      <c r="K108" s="75">
        <f t="shared" si="119"/>
        <v>3775173</v>
      </c>
      <c r="L108" s="59"/>
      <c r="M108" s="77"/>
      <c r="N108" s="440"/>
      <c r="O108" s="55"/>
      <c r="R108"/>
      <c r="S108" s="53"/>
      <c r="T108" s="74" t="s">
        <v>37</v>
      </c>
      <c r="U108" s="98">
        <v>3775173</v>
      </c>
      <c r="V108" s="201">
        <v>0</v>
      </c>
      <c r="W108" s="75">
        <v>3775173</v>
      </c>
      <c r="X108" s="75">
        <v>0</v>
      </c>
      <c r="Y108" s="98">
        <v>3775173</v>
      </c>
      <c r="Z108" s="219"/>
      <c r="AA108" s="104">
        <v>2093531</v>
      </c>
      <c r="AB108" s="75">
        <v>2093531</v>
      </c>
      <c r="AC108" s="59"/>
      <c r="AD108" s="77"/>
      <c r="AE108" s="77"/>
      <c r="AF108" s="55"/>
      <c r="AG108" s="442"/>
      <c r="AH108" s="442"/>
      <c r="AI108"/>
      <c r="AJ108" s="387"/>
      <c r="AK108" s="411" t="str">
        <f t="shared" si="95"/>
        <v>Sub-Total</v>
      </c>
      <c r="AL108" s="412">
        <f t="shared" si="96"/>
        <v>0</v>
      </c>
      <c r="AM108" s="413">
        <f t="shared" si="97"/>
        <v>0</v>
      </c>
      <c r="AN108" s="414">
        <f t="shared" si="98"/>
        <v>0</v>
      </c>
      <c r="AO108" s="414">
        <f t="shared" si="99"/>
        <v>-169268</v>
      </c>
      <c r="AP108" s="412">
        <f t="shared" si="100"/>
        <v>-169268</v>
      </c>
      <c r="AQ108" s="415"/>
      <c r="AR108" s="416">
        <f t="shared" si="101"/>
        <v>-1681642</v>
      </c>
      <c r="AS108" s="414">
        <f t="shared" si="102"/>
        <v>-1681642</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7862754</v>
      </c>
      <c r="E124" s="202">
        <f t="shared" ref="E124:K124" si="127">SUM(E76+E108+E122)</f>
        <v>-88864</v>
      </c>
      <c r="F124" s="81">
        <f t="shared" si="127"/>
        <v>7773890</v>
      </c>
      <c r="G124" s="81">
        <f t="shared" si="127"/>
        <v>347987</v>
      </c>
      <c r="H124" s="80">
        <f t="shared" si="127"/>
        <v>8121877</v>
      </c>
      <c r="I124" s="220">
        <f t="shared" si="127"/>
        <v>0</v>
      </c>
      <c r="J124" s="106">
        <f t="shared" si="127"/>
        <v>7773890</v>
      </c>
      <c r="K124" s="81">
        <f t="shared" si="127"/>
        <v>7765430</v>
      </c>
      <c r="L124" s="59"/>
      <c r="M124" s="82"/>
      <c r="N124" s="440"/>
      <c r="O124" s="55"/>
      <c r="R124"/>
      <c r="S124" s="78"/>
      <c r="T124" s="79" t="s">
        <v>4</v>
      </c>
      <c r="U124" s="80">
        <v>7862754</v>
      </c>
      <c r="V124" s="202">
        <v>0</v>
      </c>
      <c r="W124" s="81">
        <v>7862754</v>
      </c>
      <c r="X124" s="81">
        <v>0</v>
      </c>
      <c r="Y124" s="80">
        <v>7862754</v>
      </c>
      <c r="Z124" s="220"/>
      <c r="AA124" s="106">
        <v>4248029</v>
      </c>
      <c r="AB124" s="81">
        <v>4235176</v>
      </c>
      <c r="AC124" s="59"/>
      <c r="AD124" s="82"/>
      <c r="AE124" s="82"/>
      <c r="AF124" s="55"/>
      <c r="AG124" s="442"/>
      <c r="AH124" s="442"/>
      <c r="AI124"/>
      <c r="AJ124" s="420"/>
      <c r="AK124" s="421" t="str">
        <f t="shared" si="95"/>
        <v>Total</v>
      </c>
      <c r="AL124" s="422">
        <f t="shared" si="96"/>
        <v>0</v>
      </c>
      <c r="AM124" s="423">
        <f t="shared" si="97"/>
        <v>88864</v>
      </c>
      <c r="AN124" s="424">
        <f t="shared" si="98"/>
        <v>88864</v>
      </c>
      <c r="AO124" s="424">
        <f t="shared" si="99"/>
        <v>-347987</v>
      </c>
      <c r="AP124" s="422">
        <f t="shared" si="100"/>
        <v>-259123</v>
      </c>
      <c r="AQ124" s="425"/>
      <c r="AR124" s="426">
        <f t="shared" si="101"/>
        <v>-3525861</v>
      </c>
      <c r="AS124" s="424">
        <f t="shared" si="102"/>
        <v>-3530254</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j4bZVBSuDBx4thk5Kyzf88YHchlv3TCpx7wK9b/quwFrKyCtjX8LMf98OH6Wi62yFJKON9CBJi9+AHECKdUxMw==" saltValue="xNytj9ZmnPiGLvhn+Dk3HA=="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customWidth="1"/>
    <col min="18" max="18" width="2.6328125" hidden="1" customWidth="1"/>
    <col min="19" max="19" width="2.6328125" style="227" hidden="1" customWidth="1"/>
    <col min="20" max="20" width="83.6328125" style="228" hidden="1" customWidth="1"/>
    <col min="21" max="21" width="18.6328125" style="229" hidden="1" customWidth="1"/>
    <col min="22" max="23" width="18.6328125" style="228" hidden="1" customWidth="1"/>
    <col min="24" max="24" width="1.6328125" style="228" hidden="1" customWidth="1"/>
    <col min="25" max="26" width="18.6328125" style="228" hidden="1" customWidth="1"/>
    <col min="27" max="28" width="18.6328125" style="227" hidden="1" customWidth="1"/>
    <col min="29" max="29" width="2.6328125" style="227" hidden="1" customWidth="1"/>
    <col min="30" max="31" width="18.6328125" style="227" hidden="1" customWidth="1"/>
    <col min="32" max="32" width="2.6328125" style="230" hidden="1" customWidth="1"/>
    <col min="33" max="33" width="2.6328125" style="227"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231"/>
      <c r="T2" s="232"/>
      <c r="U2" s="232"/>
      <c r="V2" s="232"/>
      <c r="W2" s="232"/>
      <c r="X2" s="232"/>
      <c r="Y2" s="232"/>
      <c r="Z2" s="232"/>
      <c r="AA2" s="232"/>
      <c r="AB2" s="232"/>
      <c r="AC2" s="232"/>
      <c r="AD2" s="232"/>
      <c r="AE2" s="232"/>
      <c r="AF2" s="233"/>
      <c r="AG2" s="336"/>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234"/>
      <c r="T3" s="235" t="str">
        <f>"NATIONAL TREASURY: " &amp; C3</f>
        <v>NATIONAL TREASURY: STATEMENT OF RECEIPTS AND PAYMENTS FOR THE FOURTH QUARTER ENDED 31 MARCH 2020</v>
      </c>
      <c r="U3" s="236"/>
      <c r="V3" s="236"/>
      <c r="W3" s="236"/>
      <c r="X3" s="236"/>
      <c r="Y3" s="236"/>
      <c r="Z3" s="236"/>
      <c r="AA3" s="236"/>
      <c r="AB3" s="236"/>
      <c r="AC3" s="236"/>
      <c r="AD3" s="236"/>
      <c r="AE3" s="236"/>
      <c r="AF3" s="237"/>
      <c r="AG3" s="336"/>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171</v>
      </c>
      <c r="D4" s="8"/>
      <c r="E4" s="8"/>
      <c r="F4" s="8"/>
      <c r="G4" s="8"/>
      <c r="H4" s="8"/>
      <c r="I4" s="8"/>
      <c r="J4" s="8"/>
      <c r="K4" s="8"/>
      <c r="L4" s="8"/>
      <c r="M4" s="8"/>
      <c r="N4" s="8"/>
      <c r="O4" s="11"/>
      <c r="P4"/>
      <c r="Q4"/>
      <c r="R4"/>
      <c r="S4" s="234"/>
      <c r="T4" s="238" t="str">
        <f>C4</f>
        <v>GAUTENG PROVINCE</v>
      </c>
      <c r="U4" s="236"/>
      <c r="V4" s="236"/>
      <c r="W4" s="236"/>
      <c r="X4" s="236"/>
      <c r="Y4" s="236"/>
      <c r="Z4" s="236"/>
      <c r="AA4" s="236"/>
      <c r="AB4" s="236"/>
      <c r="AC4" s="236"/>
      <c r="AD4" s="236"/>
      <c r="AE4" s="236"/>
      <c r="AF4" s="239"/>
      <c r="AG4" s="336"/>
      <c r="AH4"/>
      <c r="AI4"/>
      <c r="AJ4" s="234"/>
      <c r="AK4" s="238" t="str">
        <f>C4</f>
        <v>GAUTENG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234"/>
      <c r="T5" s="238"/>
      <c r="U5" s="236"/>
      <c r="V5" s="236"/>
      <c r="W5" s="236"/>
      <c r="X5" s="236"/>
      <c r="Y5" s="236"/>
      <c r="Z5" s="236"/>
      <c r="AA5" s="236"/>
      <c r="AB5" s="236"/>
      <c r="AC5" s="236"/>
      <c r="AD5" s="236"/>
      <c r="AE5" s="236"/>
      <c r="AF5" s="239"/>
      <c r="AG5" s="336"/>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240"/>
      <c r="T6" s="241" t="s">
        <v>89</v>
      </c>
      <c r="U6" s="242" t="s">
        <v>131</v>
      </c>
      <c r="V6" s="243"/>
      <c r="W6" s="243"/>
      <c r="X6" s="243"/>
      <c r="Y6" s="242"/>
      <c r="Z6" s="242"/>
      <c r="AA6" s="242"/>
      <c r="AB6" s="242"/>
      <c r="AC6" s="244"/>
      <c r="AD6" s="245"/>
      <c r="AE6" s="246"/>
      <c r="AF6" s="247"/>
      <c r="AG6" s="316"/>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248"/>
      <c r="T7" s="249"/>
      <c r="U7" s="250" t="s">
        <v>85</v>
      </c>
      <c r="V7" s="251"/>
      <c r="W7" s="251"/>
      <c r="X7" s="252"/>
      <c r="Y7" s="253" t="s">
        <v>86</v>
      </c>
      <c r="Z7" s="254"/>
      <c r="AA7" s="254"/>
      <c r="AB7" s="255"/>
      <c r="AC7" s="256"/>
      <c r="AD7" s="257" t="s">
        <v>87</v>
      </c>
      <c r="AE7" s="258"/>
      <c r="AF7" s="247"/>
      <c r="AG7" s="316"/>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248"/>
      <c r="T8" s="249"/>
      <c r="U8" s="259" t="s">
        <v>95</v>
      </c>
      <c r="V8" s="260" t="s">
        <v>73</v>
      </c>
      <c r="W8" s="261" t="s">
        <v>96</v>
      </c>
      <c r="X8" s="262"/>
      <c r="Y8" s="263" t="s">
        <v>74</v>
      </c>
      <c r="Z8" s="264" t="s">
        <v>75</v>
      </c>
      <c r="AA8" s="264" t="s">
        <v>76</v>
      </c>
      <c r="AB8" s="264" t="s">
        <v>77</v>
      </c>
      <c r="AC8" s="265"/>
      <c r="AD8" s="266" t="s">
        <v>78</v>
      </c>
      <c r="AE8" s="266" t="s">
        <v>79</v>
      </c>
      <c r="AF8" s="247"/>
      <c r="AG8" s="316"/>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248"/>
      <c r="T9" s="267"/>
      <c r="U9" s="268" t="s">
        <v>5</v>
      </c>
      <c r="V9" s="269" t="s">
        <v>5</v>
      </c>
      <c r="W9" s="268" t="s">
        <v>5</v>
      </c>
      <c r="X9" s="270"/>
      <c r="Y9" s="271" t="s">
        <v>5</v>
      </c>
      <c r="Z9" s="267" t="s">
        <v>5</v>
      </c>
      <c r="AA9" s="267" t="s">
        <v>5</v>
      </c>
      <c r="AB9" s="267" t="s">
        <v>5</v>
      </c>
      <c r="AC9" s="265"/>
      <c r="AD9" s="267" t="s">
        <v>5</v>
      </c>
      <c r="AE9" s="267" t="s">
        <v>6</v>
      </c>
      <c r="AF9" s="247"/>
      <c r="AG9" s="316"/>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248"/>
      <c r="T10" s="249"/>
      <c r="U10" s="272"/>
      <c r="V10" s="273"/>
      <c r="W10" s="274"/>
      <c r="X10" s="272"/>
      <c r="Y10" s="275"/>
      <c r="Z10" s="276"/>
      <c r="AA10" s="276"/>
      <c r="AB10" s="276"/>
      <c r="AC10" s="273"/>
      <c r="AD10" s="276"/>
      <c r="AE10" s="276"/>
      <c r="AF10" s="277"/>
      <c r="AG10" s="316"/>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248"/>
      <c r="T11" s="278" t="s">
        <v>7</v>
      </c>
      <c r="U11" s="279"/>
      <c r="V11" s="280"/>
      <c r="W11" s="281"/>
      <c r="X11" s="279"/>
      <c r="Y11" s="282"/>
      <c r="Z11" s="283"/>
      <c r="AA11" s="283"/>
      <c r="AB11" s="283"/>
      <c r="AC11" s="280"/>
      <c r="AD11" s="283"/>
      <c r="AE11" s="283"/>
      <c r="AF11" s="277"/>
      <c r="AG11" s="316"/>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125525315</v>
      </c>
      <c r="E12" s="152">
        <f>SUM(E13:E14)</f>
        <v>-303291</v>
      </c>
      <c r="F12" s="153">
        <f>SUM(F13:F14)</f>
        <v>125222024</v>
      </c>
      <c r="G12" s="152"/>
      <c r="H12" s="154">
        <f>SUM(H13:H14)</f>
        <v>31033168</v>
      </c>
      <c r="I12" s="155">
        <f>SUM(I13:I14)</f>
        <v>31342205</v>
      </c>
      <c r="J12" s="155">
        <f>SUM(J13:J14)</f>
        <v>31438957</v>
      </c>
      <c r="K12" s="155">
        <f>SUM(K13:K14)</f>
        <v>31406559</v>
      </c>
      <c r="L12" s="156"/>
      <c r="M12" s="155">
        <f t="shared" ref="M12" si="0">SUM(M13:M14)</f>
        <v>125220889</v>
      </c>
      <c r="N12" s="183">
        <f>IFERROR(M12/F12,0)</f>
        <v>0.99999093609922807</v>
      </c>
      <c r="O12" s="158"/>
      <c r="P12" s="594"/>
      <c r="Q12"/>
      <c r="R12"/>
      <c r="S12" s="248"/>
      <c r="T12" s="284" t="str">
        <f>C12</f>
        <v>Transfers from National Revenue Fund</v>
      </c>
      <c r="U12" s="602">
        <v>0</v>
      </c>
      <c r="V12" s="602">
        <v>-434339</v>
      </c>
      <c r="W12" s="603">
        <v>-434339</v>
      </c>
      <c r="X12" s="285"/>
      <c r="Y12" s="287">
        <v>31033168.175000001</v>
      </c>
      <c r="Z12" s="288">
        <v>31353474</v>
      </c>
      <c r="AA12" s="288">
        <v>0</v>
      </c>
      <c r="AB12" s="288">
        <v>0</v>
      </c>
      <c r="AC12" s="289"/>
      <c r="AD12" s="288">
        <v>62386642.174999997</v>
      </c>
      <c r="AE12" s="290">
        <v>0.49700446619074407</v>
      </c>
      <c r="AF12" s="277"/>
      <c r="AG12" s="316"/>
      <c r="AH12"/>
      <c r="AI12"/>
      <c r="AJ12" s="248"/>
      <c r="AK12" s="284" t="s">
        <v>8</v>
      </c>
      <c r="AL12" s="285">
        <f>SUM(AL13:AL14)</f>
        <v>-125525315</v>
      </c>
      <c r="AM12" s="285">
        <f>SUM(AM13:AM14)</f>
        <v>-131048</v>
      </c>
      <c r="AN12" s="286">
        <f>SUM(AN13:AN14)</f>
        <v>-125656363</v>
      </c>
      <c r="AO12" s="285"/>
      <c r="AP12" s="287">
        <f>SUM(AP13:AP14)</f>
        <v>0.17499999981373549</v>
      </c>
      <c r="AQ12" s="288">
        <f t="shared" ref="AQ12:AS12" si="1">SUM(AQ13:AQ14)</f>
        <v>11269</v>
      </c>
      <c r="AR12" s="288">
        <f t="shared" si="1"/>
        <v>-31438957</v>
      </c>
      <c r="AS12" s="288">
        <f t="shared" si="1"/>
        <v>-31406559</v>
      </c>
      <c r="AT12" s="289"/>
      <c r="AU12" s="288">
        <f t="shared" ref="AU12" si="2">SUM(AU13:AU14)</f>
        <v>-62834246.825000003</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102448280</v>
      </c>
      <c r="E13" s="482">
        <f>F13-D13</f>
        <v>0</v>
      </c>
      <c r="F13" s="483">
        <v>102448280</v>
      </c>
      <c r="G13" s="482"/>
      <c r="H13" s="484">
        <v>25612071</v>
      </c>
      <c r="I13" s="485">
        <v>25612071</v>
      </c>
      <c r="J13" s="485">
        <v>25612070</v>
      </c>
      <c r="K13" s="485">
        <v>25612068</v>
      </c>
      <c r="L13" s="150"/>
      <c r="M13" s="147">
        <f>SUM(H13:K13)</f>
        <v>102448280</v>
      </c>
      <c r="N13" s="172">
        <f t="shared" ref="N13:N14" si="3">IFERROR(M13/F13,0)</f>
        <v>1</v>
      </c>
      <c r="O13" s="158"/>
      <c r="P13" s="118"/>
      <c r="Q13"/>
      <c r="R13"/>
      <c r="S13" s="248"/>
      <c r="T13" s="291" t="str">
        <f t="shared" ref="T13:T15" si="4">C13</f>
        <v>Equitable share of revenue</v>
      </c>
      <c r="U13" s="604">
        <v>0</v>
      </c>
      <c r="V13" s="604">
        <v>0</v>
      </c>
      <c r="W13" s="605">
        <v>0</v>
      </c>
      <c r="X13" s="279"/>
      <c r="Y13" s="282">
        <v>25612071</v>
      </c>
      <c r="Z13" s="597">
        <v>25612071</v>
      </c>
      <c r="AA13" s="597"/>
      <c r="AB13" s="597"/>
      <c r="AC13" s="280"/>
      <c r="AD13" s="283">
        <v>51224142</v>
      </c>
      <c r="AE13" s="290">
        <v>0.50000001952204565</v>
      </c>
      <c r="AF13" s="292"/>
      <c r="AG13" s="316"/>
      <c r="AH13"/>
      <c r="AI13"/>
      <c r="AJ13" s="248"/>
      <c r="AK13" s="291" t="s">
        <v>71</v>
      </c>
      <c r="AL13" s="279">
        <f t="shared" ref="AL13:AN15" si="5">IFERROR(U13-D13,0)</f>
        <v>-102448280</v>
      </c>
      <c r="AM13" s="279">
        <f t="shared" si="5"/>
        <v>0</v>
      </c>
      <c r="AN13" s="281">
        <f t="shared" si="5"/>
        <v>-102448280</v>
      </c>
      <c r="AO13" s="279"/>
      <c r="AP13" s="282">
        <f>IFERROR(Y13-H13,0)</f>
        <v>0</v>
      </c>
      <c r="AQ13" s="283">
        <f t="shared" ref="AQ13:AS15" si="6">IFERROR(Z13-I13,0)</f>
        <v>0</v>
      </c>
      <c r="AR13" s="283">
        <f t="shared" si="6"/>
        <v>-25612070</v>
      </c>
      <c r="AS13" s="283">
        <f t="shared" si="6"/>
        <v>-25612068</v>
      </c>
      <c r="AT13" s="280"/>
      <c r="AU13" s="283">
        <f t="shared" ref="AU13:AU15" si="7">IFERROR(AD13-M13,0)</f>
        <v>-51224138</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23077035</v>
      </c>
      <c r="E14" s="482">
        <f t="shared" ref="E14:E15" si="8">F14-D14</f>
        <v>-303291</v>
      </c>
      <c r="F14" s="483">
        <v>22773744</v>
      </c>
      <c r="G14" s="486"/>
      <c r="H14" s="484">
        <v>5421097</v>
      </c>
      <c r="I14" s="485">
        <v>5730134</v>
      </c>
      <c r="J14" s="485">
        <v>5826887</v>
      </c>
      <c r="K14" s="485">
        <v>5794491</v>
      </c>
      <c r="L14" s="162"/>
      <c r="M14" s="147">
        <f t="shared" ref="M14:M15" si="9">SUM(H14:K14)</f>
        <v>22772609</v>
      </c>
      <c r="N14" s="172">
        <f t="shared" si="3"/>
        <v>0.99995016190574548</v>
      </c>
      <c r="O14" s="163"/>
      <c r="P14" s="118"/>
      <c r="Q14"/>
      <c r="R14"/>
      <c r="S14" s="293"/>
      <c r="T14" s="294" t="str">
        <f t="shared" si="4"/>
        <v>Conditional grants</v>
      </c>
      <c r="U14" s="604">
        <v>0</v>
      </c>
      <c r="V14" s="604">
        <v>-434339</v>
      </c>
      <c r="W14" s="605">
        <v>-434339</v>
      </c>
      <c r="X14" s="295"/>
      <c r="Y14" s="282">
        <v>5421097.1749999998</v>
      </c>
      <c r="Z14" s="597">
        <v>5741403</v>
      </c>
      <c r="AA14" s="597"/>
      <c r="AB14" s="597"/>
      <c r="AC14" s="296"/>
      <c r="AD14" s="283">
        <v>11162500.175000001</v>
      </c>
      <c r="AE14" s="290">
        <v>0.4837059949425912</v>
      </c>
      <c r="AF14" s="297"/>
      <c r="AG14" s="316"/>
      <c r="AH14" s="61"/>
      <c r="AI14"/>
      <c r="AJ14" s="293"/>
      <c r="AK14" s="294" t="s">
        <v>72</v>
      </c>
      <c r="AL14" s="279">
        <f t="shared" si="5"/>
        <v>-23077035</v>
      </c>
      <c r="AM14" s="279">
        <f t="shared" si="5"/>
        <v>-131048</v>
      </c>
      <c r="AN14" s="281">
        <f t="shared" si="5"/>
        <v>-23208083</v>
      </c>
      <c r="AO14" s="295"/>
      <c r="AP14" s="282">
        <f t="shared" ref="AP14:AP15" si="10">IFERROR(Y14-H14,0)</f>
        <v>0.17499999981373549</v>
      </c>
      <c r="AQ14" s="283">
        <f t="shared" si="6"/>
        <v>11269</v>
      </c>
      <c r="AR14" s="283">
        <f t="shared" si="6"/>
        <v>-5826887</v>
      </c>
      <c r="AS14" s="283">
        <f t="shared" si="6"/>
        <v>-5794491</v>
      </c>
      <c r="AT14" s="296"/>
      <c r="AU14" s="283">
        <f t="shared" si="7"/>
        <v>-11610108.824999999</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6326420</v>
      </c>
      <c r="E15" s="487">
        <f t="shared" si="8"/>
        <v>344034</v>
      </c>
      <c r="F15" s="488">
        <v>6670454</v>
      </c>
      <c r="G15" s="487"/>
      <c r="H15" s="489">
        <v>1686822</v>
      </c>
      <c r="I15" s="490">
        <v>1798339</v>
      </c>
      <c r="J15" s="490">
        <v>2013278</v>
      </c>
      <c r="K15" s="490">
        <v>1655111</v>
      </c>
      <c r="L15" s="156"/>
      <c r="M15" s="155">
        <f t="shared" si="9"/>
        <v>7153550</v>
      </c>
      <c r="N15" s="183">
        <f>IFERROR(M15/F15,0)</f>
        <v>1.0724232563480687</v>
      </c>
      <c r="O15" s="158"/>
      <c r="P15" s="594"/>
      <c r="Q15"/>
      <c r="R15"/>
      <c r="S15" s="248"/>
      <c r="T15" s="284" t="str">
        <f t="shared" si="4"/>
        <v>Provincial own receipts</v>
      </c>
      <c r="U15" s="602">
        <v>0</v>
      </c>
      <c r="V15" s="602">
        <v>0</v>
      </c>
      <c r="W15" s="603">
        <v>0</v>
      </c>
      <c r="X15" s="285"/>
      <c r="Y15" s="287">
        <v>1686822</v>
      </c>
      <c r="Z15" s="598">
        <v>1798341</v>
      </c>
      <c r="AA15" s="598"/>
      <c r="AB15" s="598"/>
      <c r="AC15" s="289"/>
      <c r="AD15" s="288">
        <v>3485163</v>
      </c>
      <c r="AE15" s="290">
        <v>0.55089023491959122</v>
      </c>
      <c r="AF15" s="292"/>
      <c r="AG15" s="316"/>
      <c r="AH15"/>
      <c r="AI15"/>
      <c r="AJ15" s="248"/>
      <c r="AK15" s="284" t="s">
        <v>9</v>
      </c>
      <c r="AL15" s="285">
        <f t="shared" si="5"/>
        <v>-6326420</v>
      </c>
      <c r="AM15" s="285">
        <f t="shared" si="5"/>
        <v>-344034</v>
      </c>
      <c r="AN15" s="286">
        <f t="shared" si="5"/>
        <v>-6670454</v>
      </c>
      <c r="AO15" s="285"/>
      <c r="AP15" s="287">
        <f t="shared" si="10"/>
        <v>0</v>
      </c>
      <c r="AQ15" s="288">
        <f t="shared" si="6"/>
        <v>2</v>
      </c>
      <c r="AR15" s="288">
        <f t="shared" si="6"/>
        <v>-2013278</v>
      </c>
      <c r="AS15" s="288">
        <f t="shared" si="6"/>
        <v>-1655111</v>
      </c>
      <c r="AT15" s="289"/>
      <c r="AU15" s="288">
        <f t="shared" si="7"/>
        <v>-3668387</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248"/>
      <c r="T16" s="249"/>
      <c r="U16" s="602">
        <v>0</v>
      </c>
      <c r="V16" s="602">
        <v>0</v>
      </c>
      <c r="W16" s="603">
        <v>0</v>
      </c>
      <c r="X16" s="285"/>
      <c r="Y16" s="287"/>
      <c r="Z16" s="288"/>
      <c r="AA16" s="288"/>
      <c r="AB16" s="288"/>
      <c r="AC16" s="289"/>
      <c r="AD16" s="288"/>
      <c r="AE16" s="288"/>
      <c r="AF16" s="292"/>
      <c r="AG16" s="316"/>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131851735</v>
      </c>
      <c r="E17" s="165">
        <f>E12+E15</f>
        <v>40743</v>
      </c>
      <c r="F17" s="166">
        <f t="shared" ref="F17:H17" si="12">F12+F15</f>
        <v>131892478</v>
      </c>
      <c r="G17" s="165">
        <f t="shared" si="12"/>
        <v>0</v>
      </c>
      <c r="H17" s="167">
        <f t="shared" si="12"/>
        <v>32719990</v>
      </c>
      <c r="I17" s="437">
        <f t="shared" ref="I17" si="13">I12+I15</f>
        <v>33140544</v>
      </c>
      <c r="J17" s="437">
        <f t="shared" ref="J17:K17" si="14">J12+J15</f>
        <v>33452235</v>
      </c>
      <c r="K17" s="437">
        <f t="shared" si="14"/>
        <v>33061670</v>
      </c>
      <c r="L17" s="156"/>
      <c r="M17" s="168">
        <f t="shared" ref="M17" si="15">M12+M15</f>
        <v>132374439</v>
      </c>
      <c r="N17" s="180">
        <f>IFERROR(M17/F17,0)</f>
        <v>1.003654196261291</v>
      </c>
      <c r="O17" s="158"/>
      <c r="P17" s="594"/>
      <c r="Q17"/>
      <c r="R17"/>
      <c r="S17" s="248"/>
      <c r="T17" s="298" t="s">
        <v>10</v>
      </c>
      <c r="U17" s="606">
        <v>0</v>
      </c>
      <c r="V17" s="606">
        <v>-434339</v>
      </c>
      <c r="W17" s="607">
        <v>-434339</v>
      </c>
      <c r="X17" s="299">
        <v>0</v>
      </c>
      <c r="Y17" s="301">
        <v>32719990.175000001</v>
      </c>
      <c r="Z17" s="599">
        <v>33151815</v>
      </c>
      <c r="AA17" s="599">
        <v>0</v>
      </c>
      <c r="AB17" s="599" t="s">
        <v>52</v>
      </c>
      <c r="AC17" s="289"/>
      <c r="AD17" s="302">
        <v>65871805.174999997</v>
      </c>
      <c r="AE17" s="303">
        <v>0.49958997638521779</v>
      </c>
      <c r="AF17" s="292"/>
      <c r="AG17" s="316"/>
      <c r="AH17"/>
      <c r="AI17"/>
      <c r="AJ17" s="248"/>
      <c r="AK17" s="298" t="s">
        <v>10</v>
      </c>
      <c r="AL17" s="299">
        <f t="shared" ref="AL17:AS17" si="16">AL12+AL15</f>
        <v>-131851735</v>
      </c>
      <c r="AM17" s="299">
        <f>AM12+AM15</f>
        <v>-475082</v>
      </c>
      <c r="AN17" s="300">
        <f t="shared" si="16"/>
        <v>-132326817</v>
      </c>
      <c r="AO17" s="299">
        <f t="shared" si="16"/>
        <v>0</v>
      </c>
      <c r="AP17" s="301">
        <f t="shared" si="16"/>
        <v>0.17499999981373549</v>
      </c>
      <c r="AQ17" s="302">
        <f t="shared" si="16"/>
        <v>11271</v>
      </c>
      <c r="AR17" s="302">
        <f t="shared" si="16"/>
        <v>-33452235</v>
      </c>
      <c r="AS17" s="302">
        <f t="shared" si="16"/>
        <v>-33061670</v>
      </c>
      <c r="AT17" s="289"/>
      <c r="AU17" s="302">
        <f t="shared" ref="AU17" si="17">AU12+AU15</f>
        <v>-66502633.825000003</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293"/>
      <c r="T18" s="249"/>
      <c r="U18" s="604">
        <v>0</v>
      </c>
      <c r="V18" s="608">
        <v>0</v>
      </c>
      <c r="W18" s="605">
        <v>0</v>
      </c>
      <c r="X18" s="285"/>
      <c r="Y18" s="282"/>
      <c r="Z18" s="283"/>
      <c r="AA18" s="283"/>
      <c r="AB18" s="283"/>
      <c r="AC18" s="289"/>
      <c r="AD18" s="283"/>
      <c r="AE18" s="283"/>
      <c r="AF18" s="292"/>
      <c r="AG18" s="316"/>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293"/>
      <c r="T19" s="278" t="s">
        <v>11</v>
      </c>
      <c r="U19" s="604">
        <v>0</v>
      </c>
      <c r="V19" s="608">
        <v>0</v>
      </c>
      <c r="W19" s="605">
        <v>0</v>
      </c>
      <c r="X19" s="285"/>
      <c r="Y19" s="282"/>
      <c r="Z19" s="283"/>
      <c r="AA19" s="283"/>
      <c r="AB19" s="283"/>
      <c r="AC19" s="289"/>
      <c r="AD19" s="283"/>
      <c r="AE19" s="283"/>
      <c r="AF19" s="304"/>
      <c r="AG19" s="316"/>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49809551</v>
      </c>
      <c r="E20" s="491">
        <f t="shared" ref="E20:E39" si="18">F20-D20</f>
        <v>-388139</v>
      </c>
      <c r="F20" s="483">
        <v>49421412</v>
      </c>
      <c r="G20" s="492"/>
      <c r="H20" s="484">
        <v>11882732</v>
      </c>
      <c r="I20" s="485">
        <v>10694204</v>
      </c>
      <c r="J20" s="485">
        <v>12722780</v>
      </c>
      <c r="K20" s="485">
        <v>12768595</v>
      </c>
      <c r="L20" s="156"/>
      <c r="M20" s="147">
        <f t="shared" ref="M20:M39" si="19">SUM(H20:K20)</f>
        <v>48068311</v>
      </c>
      <c r="N20" s="172">
        <f>IFERROR(M20/F20,0)</f>
        <v>0.97262115861845466</v>
      </c>
      <c r="O20" s="163"/>
      <c r="P20" s="118"/>
      <c r="Q20"/>
      <c r="R20"/>
      <c r="S20" s="293"/>
      <c r="T20" s="305" t="str">
        <f t="shared" ref="T20:T39" si="20">C20</f>
        <v>Education</v>
      </c>
      <c r="U20" s="604">
        <v>0</v>
      </c>
      <c r="V20" s="608">
        <v>-184339</v>
      </c>
      <c r="W20" s="605">
        <v>-184339</v>
      </c>
      <c r="X20" s="306"/>
      <c r="Y20" s="282">
        <v>11882732</v>
      </c>
      <c r="Z20" s="597">
        <v>10694204</v>
      </c>
      <c r="AA20" s="597"/>
      <c r="AB20" s="597"/>
      <c r="AC20" s="289"/>
      <c r="AD20" s="283">
        <v>22576936</v>
      </c>
      <c r="AE20" s="290">
        <v>0.45326519807416049</v>
      </c>
      <c r="AF20" s="297"/>
      <c r="AG20" s="316"/>
      <c r="AH20"/>
      <c r="AI20"/>
      <c r="AJ20" s="293"/>
      <c r="AK20" s="305" t="str">
        <f>C20</f>
        <v>Education</v>
      </c>
      <c r="AL20" s="279">
        <f t="shared" ref="AL20:AN33" si="21">IFERROR(U20-D20,0)</f>
        <v>-49809551</v>
      </c>
      <c r="AM20" s="280">
        <f t="shared" si="21"/>
        <v>203800</v>
      </c>
      <c r="AN20" s="281">
        <f t="shared" si="21"/>
        <v>-49605751</v>
      </c>
      <c r="AO20" s="306"/>
      <c r="AP20" s="282">
        <f t="shared" ref="AP20:AS33" si="22">IFERROR(Y20-H20,0)</f>
        <v>0</v>
      </c>
      <c r="AQ20" s="283">
        <f t="shared" si="22"/>
        <v>0</v>
      </c>
      <c r="AR20" s="283">
        <f t="shared" si="22"/>
        <v>-12722780</v>
      </c>
      <c r="AS20" s="283">
        <f t="shared" si="22"/>
        <v>-12768595</v>
      </c>
      <c r="AT20" s="289"/>
      <c r="AU20" s="283">
        <f t="shared" ref="AU20:AU33" si="23">IFERROR(AD20-M20,0)</f>
        <v>-25491375</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50767163</v>
      </c>
      <c r="E21" s="491">
        <f t="shared" si="18"/>
        <v>811656</v>
      </c>
      <c r="F21" s="483">
        <v>51578819</v>
      </c>
      <c r="G21" s="487"/>
      <c r="H21" s="484">
        <v>12416679</v>
      </c>
      <c r="I21" s="485">
        <v>12618955</v>
      </c>
      <c r="J21" s="485">
        <v>12337577</v>
      </c>
      <c r="K21" s="485">
        <v>13297035</v>
      </c>
      <c r="L21" s="156"/>
      <c r="M21" s="147">
        <f t="shared" si="19"/>
        <v>50670246</v>
      </c>
      <c r="N21" s="172">
        <f t="shared" ref="N21:N39" si="25">IFERROR(M21/F21,0)</f>
        <v>0.98238476534330887</v>
      </c>
      <c r="O21" s="163"/>
      <c r="P21" s="118"/>
      <c r="Q21"/>
      <c r="R21"/>
      <c r="S21" s="293"/>
      <c r="T21" s="305" t="str">
        <f t="shared" si="20"/>
        <v>Health</v>
      </c>
      <c r="U21" s="604">
        <v>0</v>
      </c>
      <c r="V21" s="608">
        <v>0</v>
      </c>
      <c r="W21" s="605">
        <v>0</v>
      </c>
      <c r="X21" s="285"/>
      <c r="Y21" s="282">
        <v>12416679</v>
      </c>
      <c r="Z21" s="597">
        <v>12618955</v>
      </c>
      <c r="AA21" s="597"/>
      <c r="AB21" s="597"/>
      <c r="AC21" s="289"/>
      <c r="AD21" s="283">
        <v>25035634</v>
      </c>
      <c r="AE21" s="290">
        <v>0.49314620948978377</v>
      </c>
      <c r="AF21" s="297"/>
      <c r="AG21" s="316"/>
      <c r="AH21"/>
      <c r="AI21"/>
      <c r="AJ21" s="293"/>
      <c r="AK21" s="305" t="str">
        <f t="shared" ref="AK21:AK39" si="26">C21</f>
        <v>Health</v>
      </c>
      <c r="AL21" s="279">
        <f t="shared" si="21"/>
        <v>-50767163</v>
      </c>
      <c r="AM21" s="280">
        <f t="shared" si="21"/>
        <v>-811656</v>
      </c>
      <c r="AN21" s="281">
        <f t="shared" si="21"/>
        <v>-51578819</v>
      </c>
      <c r="AO21" s="285"/>
      <c r="AP21" s="282">
        <f t="shared" si="22"/>
        <v>0</v>
      </c>
      <c r="AQ21" s="283">
        <f t="shared" si="22"/>
        <v>0</v>
      </c>
      <c r="AR21" s="283">
        <f t="shared" si="22"/>
        <v>-12337577</v>
      </c>
      <c r="AS21" s="283">
        <f t="shared" si="22"/>
        <v>-13297035</v>
      </c>
      <c r="AT21" s="289"/>
      <c r="AU21" s="283">
        <f t="shared" si="23"/>
        <v>-25634612</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5516852</v>
      </c>
      <c r="E22" s="491">
        <f t="shared" si="18"/>
        <v>-73901</v>
      </c>
      <c r="F22" s="483">
        <v>5442951</v>
      </c>
      <c r="G22" s="492"/>
      <c r="H22" s="484">
        <v>1116359</v>
      </c>
      <c r="I22" s="485">
        <v>1163291</v>
      </c>
      <c r="J22" s="485">
        <v>1318877</v>
      </c>
      <c r="K22" s="485">
        <v>1443568</v>
      </c>
      <c r="L22" s="156"/>
      <c r="M22" s="147">
        <f t="shared" si="19"/>
        <v>5042095</v>
      </c>
      <c r="N22" s="172">
        <f t="shared" si="25"/>
        <v>0.92635318598311833</v>
      </c>
      <c r="O22" s="163"/>
      <c r="P22" s="118"/>
      <c r="S22" s="293"/>
      <c r="T22" s="305" t="str">
        <f t="shared" si="20"/>
        <v>Social Development</v>
      </c>
      <c r="U22" s="604">
        <v>0</v>
      </c>
      <c r="V22" s="608">
        <v>0</v>
      </c>
      <c r="W22" s="605">
        <v>0</v>
      </c>
      <c r="X22" s="306"/>
      <c r="Y22" s="282">
        <v>1116359</v>
      </c>
      <c r="Z22" s="597">
        <v>1163291</v>
      </c>
      <c r="AA22" s="597"/>
      <c r="AB22" s="597"/>
      <c r="AC22" s="289"/>
      <c r="AD22" s="283">
        <v>2279650</v>
      </c>
      <c r="AE22" s="290">
        <v>0.41321572519980598</v>
      </c>
      <c r="AF22" s="297"/>
      <c r="AG22" s="316"/>
      <c r="AJ22" s="293"/>
      <c r="AK22" s="305" t="str">
        <f t="shared" si="26"/>
        <v>Social Development</v>
      </c>
      <c r="AL22" s="279">
        <f t="shared" si="21"/>
        <v>-5516852</v>
      </c>
      <c r="AM22" s="280">
        <f t="shared" si="21"/>
        <v>73901</v>
      </c>
      <c r="AN22" s="281">
        <f t="shared" si="21"/>
        <v>-5442951</v>
      </c>
      <c r="AO22" s="306"/>
      <c r="AP22" s="282">
        <f t="shared" si="22"/>
        <v>0</v>
      </c>
      <c r="AQ22" s="283">
        <f t="shared" si="22"/>
        <v>0</v>
      </c>
      <c r="AR22" s="283">
        <f t="shared" si="22"/>
        <v>-1318877</v>
      </c>
      <c r="AS22" s="283">
        <f t="shared" si="22"/>
        <v>-1443568</v>
      </c>
      <c r="AT22" s="289"/>
      <c r="AU22" s="283">
        <f t="shared" si="23"/>
        <v>-2762445</v>
      </c>
      <c r="AV22" s="290"/>
      <c r="AW22" s="297"/>
      <c r="AX22" s="118"/>
    </row>
    <row r="23" spans="1:79" ht="15.75" customHeight="1" x14ac:dyDescent="0.3">
      <c r="A23" s="446">
        <f t="shared" si="24"/>
        <v>1</v>
      </c>
      <c r="B23" s="159"/>
      <c r="C23" s="500" t="str">
        <f>PROPER("OFFICE OF THE PREMIER")</f>
        <v>Office Of The Premier</v>
      </c>
      <c r="D23" s="482">
        <v>996271</v>
      </c>
      <c r="E23" s="491">
        <f t="shared" si="18"/>
        <v>-154765</v>
      </c>
      <c r="F23" s="483">
        <v>841506</v>
      </c>
      <c r="G23" s="493"/>
      <c r="H23" s="484">
        <v>172357</v>
      </c>
      <c r="I23" s="485">
        <v>194315</v>
      </c>
      <c r="J23" s="485">
        <v>215170</v>
      </c>
      <c r="K23" s="485">
        <v>199628</v>
      </c>
      <c r="L23" s="174"/>
      <c r="M23" s="147">
        <f t="shared" si="19"/>
        <v>781470</v>
      </c>
      <c r="N23" s="172">
        <f t="shared" si="25"/>
        <v>0.92865648016769931</v>
      </c>
      <c r="O23" s="163"/>
      <c r="P23" s="118"/>
      <c r="S23" s="293"/>
      <c r="T23" s="305" t="str">
        <f t="shared" si="20"/>
        <v>Office Of The Premier</v>
      </c>
      <c r="U23" s="604">
        <v>0</v>
      </c>
      <c r="V23" s="608">
        <v>0</v>
      </c>
      <c r="W23" s="605">
        <v>0</v>
      </c>
      <c r="X23" s="307"/>
      <c r="Y23" s="282">
        <v>172357</v>
      </c>
      <c r="Z23" s="597">
        <v>194315</v>
      </c>
      <c r="AA23" s="597"/>
      <c r="AB23" s="597"/>
      <c r="AC23" s="308"/>
      <c r="AD23" s="283">
        <v>366672</v>
      </c>
      <c r="AE23" s="290">
        <v>0.36804443770821393</v>
      </c>
      <c r="AF23" s="297"/>
      <c r="AG23" s="316"/>
      <c r="AJ23" s="293"/>
      <c r="AK23" s="305" t="str">
        <f t="shared" si="26"/>
        <v>Office Of The Premier</v>
      </c>
      <c r="AL23" s="279">
        <f t="shared" si="21"/>
        <v>-996271</v>
      </c>
      <c r="AM23" s="280">
        <f t="shared" si="21"/>
        <v>154765</v>
      </c>
      <c r="AN23" s="281">
        <f t="shared" si="21"/>
        <v>-841506</v>
      </c>
      <c r="AO23" s="307"/>
      <c r="AP23" s="282">
        <f t="shared" si="22"/>
        <v>0</v>
      </c>
      <c r="AQ23" s="283">
        <f t="shared" si="22"/>
        <v>0</v>
      </c>
      <c r="AR23" s="283">
        <f t="shared" si="22"/>
        <v>-215170</v>
      </c>
      <c r="AS23" s="283">
        <f t="shared" si="22"/>
        <v>-199628</v>
      </c>
      <c r="AT23" s="308"/>
      <c r="AU23" s="283">
        <f t="shared" si="23"/>
        <v>-414798</v>
      </c>
      <c r="AV23" s="290"/>
      <c r="AW23" s="297"/>
      <c r="AX23" s="118"/>
    </row>
    <row r="24" spans="1:79" ht="15.75" customHeight="1" x14ac:dyDescent="0.3">
      <c r="A24" s="446">
        <f t="shared" si="24"/>
        <v>1</v>
      </c>
      <c r="B24" s="159"/>
      <c r="C24" s="500" t="str">
        <f>PROPER("GAUTENG PROVINCIAL LEGISLATURE")</f>
        <v>Gauteng Provincial Legislature</v>
      </c>
      <c r="D24" s="482">
        <v>761430</v>
      </c>
      <c r="E24" s="491">
        <f t="shared" si="18"/>
        <v>0</v>
      </c>
      <c r="F24" s="483">
        <v>761430</v>
      </c>
      <c r="G24" s="487"/>
      <c r="H24" s="484">
        <v>199257.60000000001</v>
      </c>
      <c r="I24" s="485">
        <v>162482</v>
      </c>
      <c r="J24" s="485">
        <v>171957</v>
      </c>
      <c r="K24" s="485">
        <v>144805.91099999999</v>
      </c>
      <c r="L24" s="156"/>
      <c r="M24" s="147">
        <f t="shared" si="19"/>
        <v>678502.51099999994</v>
      </c>
      <c r="N24" s="172">
        <f t="shared" si="25"/>
        <v>0.89108980602287791</v>
      </c>
      <c r="O24" s="163"/>
      <c r="P24" s="118"/>
      <c r="S24" s="293"/>
      <c r="T24" s="305" t="str">
        <f t="shared" si="20"/>
        <v>Gauteng Provincial Legislature</v>
      </c>
      <c r="U24" s="604">
        <v>0</v>
      </c>
      <c r="V24" s="608">
        <v>0</v>
      </c>
      <c r="W24" s="605">
        <v>0</v>
      </c>
      <c r="X24" s="285"/>
      <c r="Y24" s="282">
        <v>199257.60000000001</v>
      </c>
      <c r="Z24" s="597">
        <v>162482</v>
      </c>
      <c r="AA24" s="597"/>
      <c r="AB24" s="597"/>
      <c r="AC24" s="289"/>
      <c r="AD24" s="283">
        <v>361739.6</v>
      </c>
      <c r="AE24" s="290">
        <v>0.47507925876311674</v>
      </c>
      <c r="AF24" s="297"/>
      <c r="AG24" s="316"/>
      <c r="AJ24" s="293"/>
      <c r="AK24" s="305" t="str">
        <f t="shared" si="26"/>
        <v>Gauteng Provincial Legislature</v>
      </c>
      <c r="AL24" s="279">
        <f t="shared" si="21"/>
        <v>-761430</v>
      </c>
      <c r="AM24" s="280">
        <f t="shared" si="21"/>
        <v>0</v>
      </c>
      <c r="AN24" s="281">
        <f t="shared" si="21"/>
        <v>-761430</v>
      </c>
      <c r="AO24" s="285"/>
      <c r="AP24" s="282">
        <f t="shared" si="22"/>
        <v>0</v>
      </c>
      <c r="AQ24" s="283">
        <f t="shared" si="22"/>
        <v>0</v>
      </c>
      <c r="AR24" s="283">
        <f t="shared" si="22"/>
        <v>-171957</v>
      </c>
      <c r="AS24" s="283">
        <f t="shared" si="22"/>
        <v>-144805.91099999999</v>
      </c>
      <c r="AT24" s="289"/>
      <c r="AU24" s="283">
        <f t="shared" si="23"/>
        <v>-316762.91099999996</v>
      </c>
      <c r="AV24" s="290"/>
      <c r="AW24" s="297"/>
      <c r="AX24" s="118"/>
    </row>
    <row r="25" spans="1:79" ht="15.75" customHeight="1" x14ac:dyDescent="0.3">
      <c r="A25" s="446">
        <f t="shared" si="24"/>
        <v>1</v>
      </c>
      <c r="B25" s="159"/>
      <c r="C25" s="500" t="str">
        <f>PROPER("ECONOMIC DEVELOPMENT")</f>
        <v>Economic Development</v>
      </c>
      <c r="D25" s="482">
        <v>1581240</v>
      </c>
      <c r="E25" s="491">
        <f t="shared" si="18"/>
        <v>57052</v>
      </c>
      <c r="F25" s="483">
        <v>1638292</v>
      </c>
      <c r="G25" s="487"/>
      <c r="H25" s="484">
        <v>406008</v>
      </c>
      <c r="I25" s="485">
        <v>413221</v>
      </c>
      <c r="J25" s="485">
        <v>430182</v>
      </c>
      <c r="K25" s="485">
        <v>310486</v>
      </c>
      <c r="L25" s="156"/>
      <c r="M25" s="147">
        <f t="shared" si="19"/>
        <v>1559897</v>
      </c>
      <c r="N25" s="172">
        <f t="shared" si="25"/>
        <v>0.95214833497325269</v>
      </c>
      <c r="O25" s="163"/>
      <c r="P25" s="118"/>
      <c r="S25" s="293"/>
      <c r="T25" s="305" t="str">
        <f t="shared" si="20"/>
        <v>Economic Development</v>
      </c>
      <c r="U25" s="604">
        <v>0</v>
      </c>
      <c r="V25" s="608">
        <v>0</v>
      </c>
      <c r="W25" s="605">
        <v>0</v>
      </c>
      <c r="X25" s="285"/>
      <c r="Y25" s="282">
        <v>406008</v>
      </c>
      <c r="Z25" s="597">
        <v>413221</v>
      </c>
      <c r="AA25" s="597"/>
      <c r="AB25" s="597"/>
      <c r="AC25" s="289"/>
      <c r="AD25" s="283">
        <v>819229</v>
      </c>
      <c r="AE25" s="290">
        <v>0.51809276264197723</v>
      </c>
      <c r="AF25" s="297"/>
      <c r="AG25" s="316"/>
      <c r="AJ25" s="293"/>
      <c r="AK25" s="305" t="str">
        <f t="shared" si="26"/>
        <v>Economic Development</v>
      </c>
      <c r="AL25" s="279">
        <f t="shared" si="21"/>
        <v>-1581240</v>
      </c>
      <c r="AM25" s="280">
        <f t="shared" si="21"/>
        <v>-57052</v>
      </c>
      <c r="AN25" s="281">
        <f t="shared" si="21"/>
        <v>-1638292</v>
      </c>
      <c r="AO25" s="285"/>
      <c r="AP25" s="282">
        <f t="shared" si="22"/>
        <v>0</v>
      </c>
      <c r="AQ25" s="283">
        <f t="shared" si="22"/>
        <v>0</v>
      </c>
      <c r="AR25" s="283">
        <f t="shared" si="22"/>
        <v>-430182</v>
      </c>
      <c r="AS25" s="283">
        <f t="shared" si="22"/>
        <v>-310486</v>
      </c>
      <c r="AT25" s="289"/>
      <c r="AU25" s="283">
        <f t="shared" si="23"/>
        <v>-740668</v>
      </c>
      <c r="AV25" s="290"/>
      <c r="AW25" s="297"/>
      <c r="AX25" s="118"/>
    </row>
    <row r="26" spans="1:79" ht="15.75" customHeight="1" x14ac:dyDescent="0.3">
      <c r="A26" s="446">
        <f t="shared" si="24"/>
        <v>1</v>
      </c>
      <c r="B26" s="175"/>
      <c r="C26" s="500" t="str">
        <f>PROPER("COOPERATIVE GOVERNANCE AND TRADITIONAL AFFAIRS")</f>
        <v>Cooperative Governance And Traditional Affairs</v>
      </c>
      <c r="D26" s="482">
        <v>562282</v>
      </c>
      <c r="E26" s="491">
        <f t="shared" si="18"/>
        <v>0</v>
      </c>
      <c r="F26" s="483">
        <v>562282</v>
      </c>
      <c r="G26" s="494"/>
      <c r="H26" s="484">
        <v>148519</v>
      </c>
      <c r="I26" s="485">
        <v>116879</v>
      </c>
      <c r="J26" s="485">
        <v>102073</v>
      </c>
      <c r="K26" s="485">
        <v>128297</v>
      </c>
      <c r="L26" s="174"/>
      <c r="M26" s="147">
        <f t="shared" si="19"/>
        <v>495768</v>
      </c>
      <c r="N26" s="172">
        <f t="shared" si="25"/>
        <v>0.88170704379652909</v>
      </c>
      <c r="O26" s="177"/>
      <c r="P26" s="118"/>
      <c r="S26" s="309"/>
      <c r="T26" s="305" t="str">
        <f t="shared" si="20"/>
        <v>Cooperative Governance And Traditional Affairs</v>
      </c>
      <c r="U26" s="604">
        <v>0</v>
      </c>
      <c r="V26" s="608">
        <v>0</v>
      </c>
      <c r="W26" s="605">
        <v>0</v>
      </c>
      <c r="X26" s="310"/>
      <c r="Y26" s="282">
        <v>148519</v>
      </c>
      <c r="Z26" s="597">
        <v>116880</v>
      </c>
      <c r="AA26" s="597"/>
      <c r="AB26" s="597"/>
      <c r="AC26" s="308"/>
      <c r="AD26" s="283">
        <v>265399</v>
      </c>
      <c r="AE26" s="290">
        <v>0.47200337197349373</v>
      </c>
      <c r="AF26" s="311"/>
      <c r="AG26" s="316"/>
      <c r="AJ26" s="309"/>
      <c r="AK26" s="305" t="str">
        <f t="shared" si="26"/>
        <v>Cooperative Governance And Traditional Affairs</v>
      </c>
      <c r="AL26" s="279">
        <f t="shared" si="21"/>
        <v>-562282</v>
      </c>
      <c r="AM26" s="280">
        <f t="shared" si="21"/>
        <v>0</v>
      </c>
      <c r="AN26" s="281">
        <f t="shared" si="21"/>
        <v>-562282</v>
      </c>
      <c r="AO26" s="310"/>
      <c r="AP26" s="282">
        <f t="shared" si="22"/>
        <v>0</v>
      </c>
      <c r="AQ26" s="283">
        <f t="shared" si="22"/>
        <v>1</v>
      </c>
      <c r="AR26" s="283">
        <f t="shared" si="22"/>
        <v>-102073</v>
      </c>
      <c r="AS26" s="283">
        <f t="shared" si="22"/>
        <v>-128297</v>
      </c>
      <c r="AT26" s="308"/>
      <c r="AU26" s="283">
        <f t="shared" si="23"/>
        <v>-230369</v>
      </c>
      <c r="AV26" s="290"/>
      <c r="AW26" s="311"/>
      <c r="AX26" s="118"/>
    </row>
    <row r="27" spans="1:79" s="22" customFormat="1" ht="15.75" customHeight="1" x14ac:dyDescent="0.3">
      <c r="A27" s="446">
        <f t="shared" si="24"/>
        <v>1</v>
      </c>
      <c r="B27" s="159"/>
      <c r="C27" s="500" t="str">
        <f>PROPER("HUMAN SETTLEMENTS")</f>
        <v>Human Settlements</v>
      </c>
      <c r="D27" s="482">
        <v>6216526.4000000004</v>
      </c>
      <c r="E27" s="491">
        <f t="shared" si="18"/>
        <v>-169984</v>
      </c>
      <c r="F27" s="483">
        <v>6046542.4000000004</v>
      </c>
      <c r="G27" s="487"/>
      <c r="H27" s="484">
        <v>1231617</v>
      </c>
      <c r="I27" s="485">
        <v>1294429</v>
      </c>
      <c r="J27" s="485">
        <v>1430204</v>
      </c>
      <c r="K27" s="485">
        <v>1822076</v>
      </c>
      <c r="L27" s="156"/>
      <c r="M27" s="147">
        <f t="shared" si="19"/>
        <v>5778326</v>
      </c>
      <c r="N27" s="172">
        <f t="shared" si="25"/>
        <v>0.9556413595975114</v>
      </c>
      <c r="O27" s="163"/>
      <c r="P27" s="118"/>
      <c r="Q27"/>
      <c r="R27"/>
      <c r="S27" s="293"/>
      <c r="T27" s="305" t="str">
        <f t="shared" si="20"/>
        <v>Human Settlements</v>
      </c>
      <c r="U27" s="604">
        <v>0</v>
      </c>
      <c r="V27" s="608">
        <v>-250000</v>
      </c>
      <c r="W27" s="605">
        <v>-250000</v>
      </c>
      <c r="X27" s="285"/>
      <c r="Y27" s="282">
        <v>1227854</v>
      </c>
      <c r="Z27" s="597">
        <v>1298244</v>
      </c>
      <c r="AA27" s="597"/>
      <c r="AB27" s="597"/>
      <c r="AC27" s="289"/>
      <c r="AD27" s="283">
        <v>2526098</v>
      </c>
      <c r="AE27" s="290">
        <v>0.40635201034455509</v>
      </c>
      <c r="AF27" s="297"/>
      <c r="AG27" s="316"/>
      <c r="AH27" s="61"/>
      <c r="AI27"/>
      <c r="AJ27" s="293"/>
      <c r="AK27" s="305" t="str">
        <f t="shared" si="26"/>
        <v>Human Settlements</v>
      </c>
      <c r="AL27" s="279">
        <f t="shared" si="21"/>
        <v>-6216526.4000000004</v>
      </c>
      <c r="AM27" s="280">
        <f t="shared" si="21"/>
        <v>-80016</v>
      </c>
      <c r="AN27" s="281">
        <f t="shared" si="21"/>
        <v>-6296542.4000000004</v>
      </c>
      <c r="AO27" s="285"/>
      <c r="AP27" s="282">
        <f t="shared" si="22"/>
        <v>-3763</v>
      </c>
      <c r="AQ27" s="283">
        <f t="shared" si="22"/>
        <v>3815</v>
      </c>
      <c r="AR27" s="283">
        <f t="shared" si="22"/>
        <v>-1430204</v>
      </c>
      <c r="AS27" s="283">
        <f t="shared" si="22"/>
        <v>-1822076</v>
      </c>
      <c r="AT27" s="289"/>
      <c r="AU27" s="283">
        <f t="shared" si="23"/>
        <v>-3252228</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PROPER("ROADS AND TRANSPORT")</f>
        <v>Roads And Transport</v>
      </c>
      <c r="D28" s="482">
        <v>7708630</v>
      </c>
      <c r="E28" s="491">
        <f t="shared" si="18"/>
        <v>91390</v>
      </c>
      <c r="F28" s="483">
        <v>7800020</v>
      </c>
      <c r="G28" s="487"/>
      <c r="H28" s="484">
        <v>1310250</v>
      </c>
      <c r="I28" s="485">
        <v>1963815</v>
      </c>
      <c r="J28" s="485">
        <v>1839604</v>
      </c>
      <c r="K28" s="485">
        <v>2049223</v>
      </c>
      <c r="L28" s="156"/>
      <c r="M28" s="147">
        <f t="shared" si="19"/>
        <v>7162892</v>
      </c>
      <c r="N28" s="172">
        <f t="shared" si="25"/>
        <v>0.918317132520173</v>
      </c>
      <c r="O28" s="163"/>
      <c r="P28" s="118"/>
      <c r="Q28"/>
      <c r="R28"/>
      <c r="S28" s="293"/>
      <c r="T28" s="305" t="str">
        <f t="shared" si="20"/>
        <v>Roads And Transport</v>
      </c>
      <c r="U28" s="604">
        <v>0</v>
      </c>
      <c r="V28" s="608">
        <v>0</v>
      </c>
      <c r="W28" s="605">
        <v>0</v>
      </c>
      <c r="X28" s="285"/>
      <c r="Y28" s="282">
        <v>1310248</v>
      </c>
      <c r="Z28" s="597">
        <v>1963815</v>
      </c>
      <c r="AA28" s="597"/>
      <c r="AB28" s="597"/>
      <c r="AC28" s="289"/>
      <c r="AD28" s="283">
        <v>3274063</v>
      </c>
      <c r="AE28" s="290">
        <v>0.42472696185963005</v>
      </c>
      <c r="AF28" s="297"/>
      <c r="AG28" s="316"/>
      <c r="AH28" s="61"/>
      <c r="AI28"/>
      <c r="AJ28" s="293"/>
      <c r="AK28" s="305" t="str">
        <f t="shared" si="26"/>
        <v>Roads And Transport</v>
      </c>
      <c r="AL28" s="279">
        <f t="shared" si="21"/>
        <v>-7708630</v>
      </c>
      <c r="AM28" s="280">
        <f t="shared" si="21"/>
        <v>-91390</v>
      </c>
      <c r="AN28" s="281">
        <f t="shared" si="21"/>
        <v>-7800020</v>
      </c>
      <c r="AO28" s="285"/>
      <c r="AP28" s="282">
        <f t="shared" si="22"/>
        <v>-2</v>
      </c>
      <c r="AQ28" s="283">
        <f t="shared" si="22"/>
        <v>0</v>
      </c>
      <c r="AR28" s="283">
        <f t="shared" si="22"/>
        <v>-1839604</v>
      </c>
      <c r="AS28" s="283">
        <f t="shared" si="22"/>
        <v>-2049223</v>
      </c>
      <c r="AT28" s="289"/>
      <c r="AU28" s="283">
        <f t="shared" si="23"/>
        <v>-3888829</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PROPER("COMMUNITY SAFETY")</f>
        <v>Community Safety</v>
      </c>
      <c r="D29" s="482">
        <v>759224.4</v>
      </c>
      <c r="E29" s="491">
        <f t="shared" si="18"/>
        <v>18816</v>
      </c>
      <c r="F29" s="483">
        <v>778040.4</v>
      </c>
      <c r="G29" s="487"/>
      <c r="H29" s="484">
        <v>185511</v>
      </c>
      <c r="I29" s="485">
        <v>201428</v>
      </c>
      <c r="J29" s="485">
        <v>214373</v>
      </c>
      <c r="K29" s="485">
        <v>162975</v>
      </c>
      <c r="L29" s="156"/>
      <c r="M29" s="147">
        <f t="shared" si="19"/>
        <v>764287</v>
      </c>
      <c r="N29" s="172">
        <f t="shared" si="25"/>
        <v>0.98232302589942633</v>
      </c>
      <c r="O29" s="163"/>
      <c r="P29" s="118"/>
      <c r="Q29"/>
      <c r="R29"/>
      <c r="S29" s="293"/>
      <c r="T29" s="305" t="str">
        <f t="shared" si="20"/>
        <v>Community Safety</v>
      </c>
      <c r="U29" s="604">
        <v>0</v>
      </c>
      <c r="V29" s="608">
        <v>0</v>
      </c>
      <c r="W29" s="605">
        <v>0</v>
      </c>
      <c r="X29" s="285"/>
      <c r="Y29" s="282">
        <v>185511</v>
      </c>
      <c r="Z29" s="597">
        <v>201428</v>
      </c>
      <c r="AA29" s="597"/>
      <c r="AB29" s="597"/>
      <c r="AC29" s="289"/>
      <c r="AD29" s="283">
        <v>386939</v>
      </c>
      <c r="AE29" s="290">
        <v>0.50965037477720687</v>
      </c>
      <c r="AF29" s="297"/>
      <c r="AG29" s="316"/>
      <c r="AH29" s="61"/>
      <c r="AI29"/>
      <c r="AJ29" s="293"/>
      <c r="AK29" s="305" t="str">
        <f t="shared" si="26"/>
        <v>Community Safety</v>
      </c>
      <c r="AL29" s="279">
        <f t="shared" si="21"/>
        <v>-759224.4</v>
      </c>
      <c r="AM29" s="280">
        <f t="shared" si="21"/>
        <v>-18816</v>
      </c>
      <c r="AN29" s="281">
        <f t="shared" si="21"/>
        <v>-778040.4</v>
      </c>
      <c r="AO29" s="285"/>
      <c r="AP29" s="282">
        <f t="shared" si="22"/>
        <v>0</v>
      </c>
      <c r="AQ29" s="283">
        <f t="shared" si="22"/>
        <v>0</v>
      </c>
      <c r="AR29" s="283">
        <f t="shared" si="22"/>
        <v>-214373</v>
      </c>
      <c r="AS29" s="283">
        <f t="shared" si="22"/>
        <v>-162975</v>
      </c>
      <c r="AT29" s="289"/>
      <c r="AU29" s="283">
        <f t="shared" si="23"/>
        <v>-377348</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PROPER("AGRICULTURE AND RURAL DEVELOPMENT")</f>
        <v>Agriculture And Rural Development</v>
      </c>
      <c r="D30" s="482">
        <v>990202</v>
      </c>
      <c r="E30" s="491">
        <f t="shared" si="18"/>
        <v>2470</v>
      </c>
      <c r="F30" s="483">
        <v>992672</v>
      </c>
      <c r="G30" s="492"/>
      <c r="H30" s="484">
        <v>185934</v>
      </c>
      <c r="I30" s="485">
        <v>264618</v>
      </c>
      <c r="J30" s="485">
        <v>245764</v>
      </c>
      <c r="K30" s="485">
        <v>260239</v>
      </c>
      <c r="L30" s="156"/>
      <c r="M30" s="147">
        <f t="shared" si="19"/>
        <v>956555</v>
      </c>
      <c r="N30" s="172">
        <f t="shared" si="25"/>
        <v>0.96361638083878665</v>
      </c>
      <c r="O30" s="177"/>
      <c r="P30" s="118"/>
      <c r="Q30"/>
      <c r="R30"/>
      <c r="S30" s="309"/>
      <c r="T30" s="305" t="str">
        <f t="shared" si="20"/>
        <v>Agriculture And Rural Development</v>
      </c>
      <c r="U30" s="604">
        <v>0</v>
      </c>
      <c r="V30" s="608">
        <v>0</v>
      </c>
      <c r="W30" s="605">
        <v>0</v>
      </c>
      <c r="X30" s="306"/>
      <c r="Y30" s="282">
        <v>185934</v>
      </c>
      <c r="Z30" s="597">
        <v>264618</v>
      </c>
      <c r="AA30" s="597"/>
      <c r="AB30" s="597"/>
      <c r="AC30" s="289"/>
      <c r="AD30" s="283">
        <v>450552</v>
      </c>
      <c r="AE30" s="290">
        <v>0.45501018984005281</v>
      </c>
      <c r="AF30" s="311"/>
      <c r="AG30" s="316"/>
      <c r="AH30"/>
      <c r="AI30"/>
      <c r="AJ30" s="309"/>
      <c r="AK30" s="305" t="str">
        <f t="shared" si="26"/>
        <v>Agriculture And Rural Development</v>
      </c>
      <c r="AL30" s="279">
        <f t="shared" si="21"/>
        <v>-990202</v>
      </c>
      <c r="AM30" s="280">
        <f t="shared" si="21"/>
        <v>-2470</v>
      </c>
      <c r="AN30" s="281">
        <f t="shared" si="21"/>
        <v>-992672</v>
      </c>
      <c r="AO30" s="306"/>
      <c r="AP30" s="282">
        <f t="shared" si="22"/>
        <v>0</v>
      </c>
      <c r="AQ30" s="283">
        <f t="shared" si="22"/>
        <v>0</v>
      </c>
      <c r="AR30" s="283">
        <f t="shared" si="22"/>
        <v>-245764</v>
      </c>
      <c r="AS30" s="283">
        <f t="shared" si="22"/>
        <v>-260239</v>
      </c>
      <c r="AT30" s="289"/>
      <c r="AU30" s="283">
        <f t="shared" si="23"/>
        <v>-506003</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PROPER("SPORT, ARTS, CULTURE AND RECREATION")</f>
        <v>Sport, Arts, Culture And Recreation</v>
      </c>
      <c r="D31" s="482">
        <v>1058424</v>
      </c>
      <c r="E31" s="491">
        <f t="shared" si="18"/>
        <v>-89121</v>
      </c>
      <c r="F31" s="483">
        <v>969303</v>
      </c>
      <c r="G31" s="487"/>
      <c r="H31" s="484">
        <v>142299</v>
      </c>
      <c r="I31" s="485">
        <v>287969</v>
      </c>
      <c r="J31" s="485">
        <v>209148</v>
      </c>
      <c r="K31" s="485">
        <v>247183</v>
      </c>
      <c r="L31" s="156"/>
      <c r="M31" s="147">
        <f t="shared" si="19"/>
        <v>886599</v>
      </c>
      <c r="N31" s="172">
        <f t="shared" si="25"/>
        <v>0.91467683479778772</v>
      </c>
      <c r="O31" s="163"/>
      <c r="P31" s="118"/>
      <c r="Q31"/>
      <c r="R31"/>
      <c r="S31" s="293"/>
      <c r="T31" s="305" t="str">
        <f t="shared" si="20"/>
        <v>Sport, Arts, Culture And Recreation</v>
      </c>
      <c r="U31" s="604">
        <v>0</v>
      </c>
      <c r="V31" s="608">
        <v>0</v>
      </c>
      <c r="W31" s="605">
        <v>0</v>
      </c>
      <c r="X31" s="285"/>
      <c r="Y31" s="282">
        <v>142299</v>
      </c>
      <c r="Z31" s="597">
        <v>287969</v>
      </c>
      <c r="AA31" s="597"/>
      <c r="AB31" s="597"/>
      <c r="AC31" s="289"/>
      <c r="AD31" s="283">
        <v>430268</v>
      </c>
      <c r="AE31" s="290">
        <v>0.40651761486889942</v>
      </c>
      <c r="AF31" s="297"/>
      <c r="AG31" s="316"/>
      <c r="AH31"/>
      <c r="AI31"/>
      <c r="AJ31" s="293"/>
      <c r="AK31" s="305" t="str">
        <f t="shared" si="26"/>
        <v>Sport, Arts, Culture And Recreation</v>
      </c>
      <c r="AL31" s="279">
        <f t="shared" si="21"/>
        <v>-1058424</v>
      </c>
      <c r="AM31" s="280">
        <f t="shared" si="21"/>
        <v>89121</v>
      </c>
      <c r="AN31" s="281">
        <f t="shared" si="21"/>
        <v>-969303</v>
      </c>
      <c r="AO31" s="285"/>
      <c r="AP31" s="282">
        <f t="shared" si="22"/>
        <v>0</v>
      </c>
      <c r="AQ31" s="283">
        <f t="shared" si="22"/>
        <v>0</v>
      </c>
      <c r="AR31" s="283">
        <f t="shared" si="22"/>
        <v>-209148</v>
      </c>
      <c r="AS31" s="283">
        <f t="shared" si="22"/>
        <v>-247183</v>
      </c>
      <c r="AT31" s="289"/>
      <c r="AU31" s="283">
        <f t="shared" si="23"/>
        <v>-456331</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PROPER("e-GOVERNMENT")</f>
        <v>E-Government</v>
      </c>
      <c r="D32" s="482">
        <v>1413914.4</v>
      </c>
      <c r="E32" s="491">
        <f t="shared" si="18"/>
        <v>0</v>
      </c>
      <c r="F32" s="483">
        <v>1413914.4</v>
      </c>
      <c r="G32" s="487"/>
      <c r="H32" s="484">
        <v>317226</v>
      </c>
      <c r="I32" s="485">
        <v>295411</v>
      </c>
      <c r="J32" s="485">
        <v>217864</v>
      </c>
      <c r="K32" s="485">
        <v>523483</v>
      </c>
      <c r="L32" s="156"/>
      <c r="M32" s="147">
        <f t="shared" si="19"/>
        <v>1353984</v>
      </c>
      <c r="N32" s="172">
        <f t="shared" si="25"/>
        <v>0.95761384140369465</v>
      </c>
      <c r="O32" s="163"/>
      <c r="P32" s="118"/>
      <c r="S32" s="293"/>
      <c r="T32" s="305" t="str">
        <f t="shared" si="20"/>
        <v>E-Government</v>
      </c>
      <c r="U32" s="604">
        <v>0</v>
      </c>
      <c r="V32" s="608">
        <v>0</v>
      </c>
      <c r="W32" s="605">
        <v>0</v>
      </c>
      <c r="X32" s="285"/>
      <c r="Y32" s="282">
        <v>317226</v>
      </c>
      <c r="Z32" s="597">
        <v>295411</v>
      </c>
      <c r="AA32" s="597"/>
      <c r="AB32" s="597"/>
      <c r="AC32" s="289"/>
      <c r="AD32" s="283">
        <v>612637</v>
      </c>
      <c r="AE32" s="290">
        <v>0.43329143546455151</v>
      </c>
      <c r="AF32" s="297"/>
      <c r="AG32" s="316"/>
      <c r="AJ32" s="293"/>
      <c r="AK32" s="305" t="str">
        <f t="shared" si="26"/>
        <v>E-Government</v>
      </c>
      <c r="AL32" s="279">
        <f t="shared" si="21"/>
        <v>-1413914.4</v>
      </c>
      <c r="AM32" s="280">
        <f t="shared" si="21"/>
        <v>0</v>
      </c>
      <c r="AN32" s="281">
        <f t="shared" si="21"/>
        <v>-1413914.4</v>
      </c>
      <c r="AO32" s="285"/>
      <c r="AP32" s="282">
        <f t="shared" si="22"/>
        <v>0</v>
      </c>
      <c r="AQ32" s="283">
        <f t="shared" si="22"/>
        <v>0</v>
      </c>
      <c r="AR32" s="283">
        <f t="shared" si="22"/>
        <v>-217864</v>
      </c>
      <c r="AS32" s="283">
        <f t="shared" si="22"/>
        <v>-523483</v>
      </c>
      <c r="AT32" s="289"/>
      <c r="AU32" s="283">
        <f t="shared" si="23"/>
        <v>-741347</v>
      </c>
      <c r="AV32" s="290"/>
      <c r="AW32" s="297"/>
      <c r="AX32" s="118"/>
    </row>
    <row r="33" spans="1:79" s="35" customFormat="1" ht="15.75" customHeight="1" x14ac:dyDescent="0.3">
      <c r="A33" s="446">
        <f t="shared" si="24"/>
        <v>1</v>
      </c>
      <c r="B33" s="159"/>
      <c r="C33" s="500" t="str">
        <f>PROPER("GAUTENG PROVINCIAL TREASURY")</f>
        <v>Gauteng Provincial Treasury</v>
      </c>
      <c r="D33" s="482">
        <v>834950.4</v>
      </c>
      <c r="E33" s="491">
        <f t="shared" si="18"/>
        <v>-54999.5</v>
      </c>
      <c r="F33" s="483">
        <v>779950.9</v>
      </c>
      <c r="G33" s="487"/>
      <c r="H33" s="484">
        <v>175191</v>
      </c>
      <c r="I33" s="485">
        <v>178255</v>
      </c>
      <c r="J33" s="485">
        <v>154728</v>
      </c>
      <c r="K33" s="485">
        <v>218800</v>
      </c>
      <c r="L33" s="156"/>
      <c r="M33" s="147">
        <f t="shared" si="19"/>
        <v>726974</v>
      </c>
      <c r="N33" s="172">
        <f t="shared" si="25"/>
        <v>0.93207662174631756</v>
      </c>
      <c r="O33" s="163"/>
      <c r="P33" s="118"/>
      <c r="Q33"/>
      <c r="R33"/>
      <c r="S33" s="293"/>
      <c r="T33" s="305" t="str">
        <f t="shared" si="20"/>
        <v>Gauteng Provincial Treasury</v>
      </c>
      <c r="U33" s="604">
        <v>0</v>
      </c>
      <c r="V33" s="608">
        <v>0.5</v>
      </c>
      <c r="W33" s="605">
        <v>0.5</v>
      </c>
      <c r="X33" s="285"/>
      <c r="Y33" s="282">
        <v>175191</v>
      </c>
      <c r="Z33" s="597">
        <v>178255</v>
      </c>
      <c r="AA33" s="597"/>
      <c r="AB33" s="597"/>
      <c r="AC33" s="289"/>
      <c r="AD33" s="283">
        <v>353446</v>
      </c>
      <c r="AE33" s="290">
        <v>0.42331376809927868</v>
      </c>
      <c r="AF33" s="297"/>
      <c r="AG33" s="316"/>
      <c r="AH33"/>
      <c r="AI33"/>
      <c r="AJ33" s="293"/>
      <c r="AK33" s="305" t="str">
        <f t="shared" si="26"/>
        <v>Gauteng Provincial Treasury</v>
      </c>
      <c r="AL33" s="279">
        <f t="shared" si="21"/>
        <v>-834950.4</v>
      </c>
      <c r="AM33" s="280">
        <f t="shared" si="21"/>
        <v>55000</v>
      </c>
      <c r="AN33" s="281">
        <f t="shared" si="21"/>
        <v>-779950.4</v>
      </c>
      <c r="AO33" s="285"/>
      <c r="AP33" s="282">
        <f t="shared" si="22"/>
        <v>0</v>
      </c>
      <c r="AQ33" s="283">
        <f t="shared" si="22"/>
        <v>0</v>
      </c>
      <c r="AR33" s="283">
        <f t="shared" si="22"/>
        <v>-154728</v>
      </c>
      <c r="AS33" s="283">
        <f t="shared" si="22"/>
        <v>-218800</v>
      </c>
      <c r="AT33" s="289"/>
      <c r="AU33" s="283">
        <f t="shared" si="23"/>
        <v>-373528</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customHeight="1" x14ac:dyDescent="0.35">
      <c r="A34" s="446">
        <f t="shared" si="24"/>
        <v>1</v>
      </c>
      <c r="B34" s="159"/>
      <c r="C34" s="500" t="str">
        <f>PROPER("INFRASTRUCTURE DEVELOPMENT")</f>
        <v>Infrastructure Development</v>
      </c>
      <c r="D34" s="482">
        <v>3465840.4</v>
      </c>
      <c r="E34" s="491">
        <f t="shared" si="18"/>
        <v>-40854.450000000186</v>
      </c>
      <c r="F34" s="483">
        <v>3424985.9499999997</v>
      </c>
      <c r="G34" s="487"/>
      <c r="H34" s="484">
        <v>863486</v>
      </c>
      <c r="I34" s="485">
        <v>586669</v>
      </c>
      <c r="J34" s="485">
        <v>885284</v>
      </c>
      <c r="K34" s="485">
        <v>1008992</v>
      </c>
      <c r="L34" s="156"/>
      <c r="M34" s="147">
        <f t="shared" si="19"/>
        <v>3344431</v>
      </c>
      <c r="N34" s="172">
        <f t="shared" si="25"/>
        <v>0.97648021008670127</v>
      </c>
      <c r="O34" s="163"/>
      <c r="P34" s="118"/>
      <c r="Q34"/>
      <c r="R34"/>
      <c r="S34" s="293"/>
      <c r="T34" s="305" t="str">
        <f t="shared" si="20"/>
        <v>Infrastructure Development</v>
      </c>
      <c r="U34" s="604">
        <v>0</v>
      </c>
      <c r="V34" s="608">
        <v>0.54999999981373549</v>
      </c>
      <c r="W34" s="605">
        <v>0.54999999981373549</v>
      </c>
      <c r="X34" s="285"/>
      <c r="Y34" s="282">
        <v>863486</v>
      </c>
      <c r="Z34" s="597">
        <v>586669</v>
      </c>
      <c r="AA34" s="597"/>
      <c r="AB34" s="597"/>
      <c r="AC34" s="289"/>
      <c r="AD34" s="283">
        <v>1450155</v>
      </c>
      <c r="AE34" s="290">
        <v>0.41841366959655729</v>
      </c>
      <c r="AF34" s="297"/>
      <c r="AG34" s="316"/>
      <c r="AH34" s="71"/>
      <c r="AI34"/>
      <c r="AJ34" s="293"/>
      <c r="AK34" s="305" t="str">
        <f t="shared" si="26"/>
        <v>Infrastructure Development</v>
      </c>
      <c r="AL34" s="279">
        <f t="shared" ref="AL34:AS39" si="27">U34-D34</f>
        <v>-3465840.4</v>
      </c>
      <c r="AM34" s="280">
        <f t="shared" ref="AM34:AM39" si="28">AN34-AL34</f>
        <v>40855</v>
      </c>
      <c r="AN34" s="281">
        <f t="shared" si="27"/>
        <v>-3424985.4</v>
      </c>
      <c r="AO34" s="285"/>
      <c r="AP34" s="282">
        <f t="shared" si="27"/>
        <v>0</v>
      </c>
      <c r="AQ34" s="283">
        <f t="shared" si="27"/>
        <v>0</v>
      </c>
      <c r="AR34" s="283">
        <f t="shared" si="27"/>
        <v>-885284</v>
      </c>
      <c r="AS34" s="283">
        <f t="shared" si="27"/>
        <v>-1008992</v>
      </c>
      <c r="AT34" s="289"/>
      <c r="AU34" s="283">
        <f t="shared" ref="AU34:AU39" si="29">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PROPER("")</f>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293"/>
      <c r="T35" s="305" t="str">
        <f t="shared" si="20"/>
        <v/>
      </c>
      <c r="U35" s="604">
        <v>0</v>
      </c>
      <c r="V35" s="608">
        <v>0</v>
      </c>
      <c r="W35" s="605">
        <v>0</v>
      </c>
      <c r="X35" s="285"/>
      <c r="Y35" s="282">
        <v>0</v>
      </c>
      <c r="Z35" s="597">
        <v>0</v>
      </c>
      <c r="AA35" s="597"/>
      <c r="AB35" s="597"/>
      <c r="AC35" s="289"/>
      <c r="AD35" s="283">
        <v>0</v>
      </c>
      <c r="AE35" s="290">
        <v>0</v>
      </c>
      <c r="AF35" s="297"/>
      <c r="AG35" s="316"/>
      <c r="AH35"/>
      <c r="AI35"/>
      <c r="AJ35" s="293"/>
      <c r="AK35" s="305" t="str">
        <f t="shared" si="26"/>
        <v/>
      </c>
      <c r="AL35" s="279">
        <f t="shared" si="27"/>
        <v>0</v>
      </c>
      <c r="AM35" s="280">
        <f t="shared" si="28"/>
        <v>0</v>
      </c>
      <c r="AN35" s="281">
        <f t="shared" si="27"/>
        <v>0</v>
      </c>
      <c r="AO35" s="285"/>
      <c r="AP35" s="282">
        <f t="shared" si="27"/>
        <v>0</v>
      </c>
      <c r="AQ35" s="283">
        <f t="shared" si="27"/>
        <v>0</v>
      </c>
      <c r="AR35" s="283">
        <f t="shared" si="27"/>
        <v>0</v>
      </c>
      <c r="AS35" s="283">
        <f t="shared" si="27"/>
        <v>0</v>
      </c>
      <c r="AT35" s="289"/>
      <c r="AU35" s="283">
        <f t="shared" si="29"/>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PROPER("")</f>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293"/>
      <c r="T36" s="305" t="str">
        <f t="shared" si="20"/>
        <v/>
      </c>
      <c r="U36" s="604">
        <v>0</v>
      </c>
      <c r="V36" s="608">
        <v>0</v>
      </c>
      <c r="W36" s="605">
        <v>0</v>
      </c>
      <c r="X36" s="285"/>
      <c r="Y36" s="282">
        <v>0</v>
      </c>
      <c r="Z36" s="597">
        <v>0</v>
      </c>
      <c r="AA36" s="597"/>
      <c r="AB36" s="597"/>
      <c r="AC36" s="289"/>
      <c r="AD36" s="283">
        <v>0</v>
      </c>
      <c r="AE36" s="290">
        <v>0</v>
      </c>
      <c r="AF36" s="297"/>
      <c r="AG36" s="316"/>
      <c r="AH36" s="61"/>
      <c r="AI36"/>
      <c r="AJ36" s="293"/>
      <c r="AK36" s="305" t="str">
        <f t="shared" si="26"/>
        <v/>
      </c>
      <c r="AL36" s="279">
        <f t="shared" si="27"/>
        <v>0</v>
      </c>
      <c r="AM36" s="280">
        <f t="shared" si="28"/>
        <v>0</v>
      </c>
      <c r="AN36" s="281">
        <f t="shared" si="27"/>
        <v>0</v>
      </c>
      <c r="AO36" s="285"/>
      <c r="AP36" s="282">
        <f t="shared" si="27"/>
        <v>0</v>
      </c>
      <c r="AQ36" s="283">
        <f t="shared" si="27"/>
        <v>0</v>
      </c>
      <c r="AR36" s="283">
        <f t="shared" si="27"/>
        <v>0</v>
      </c>
      <c r="AS36" s="283">
        <f t="shared" si="27"/>
        <v>0</v>
      </c>
      <c r="AT36" s="289"/>
      <c r="AU36" s="283">
        <f t="shared" si="29"/>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PROPER("")</f>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293"/>
      <c r="T37" s="305" t="str">
        <f t="shared" si="20"/>
        <v/>
      </c>
      <c r="U37" s="604">
        <v>0</v>
      </c>
      <c r="V37" s="608">
        <v>0</v>
      </c>
      <c r="W37" s="605">
        <v>0</v>
      </c>
      <c r="X37" s="285"/>
      <c r="Y37" s="282">
        <v>0</v>
      </c>
      <c r="Z37" s="597">
        <v>0</v>
      </c>
      <c r="AA37" s="597"/>
      <c r="AB37" s="597"/>
      <c r="AC37" s="289"/>
      <c r="AD37" s="283">
        <v>0</v>
      </c>
      <c r="AE37" s="290">
        <v>0</v>
      </c>
      <c r="AF37" s="297"/>
      <c r="AG37" s="316"/>
      <c r="AH37"/>
      <c r="AI37"/>
      <c r="AJ37" s="293"/>
      <c r="AK37" s="305" t="str">
        <f t="shared" si="26"/>
        <v/>
      </c>
      <c r="AL37" s="279">
        <f t="shared" si="27"/>
        <v>0</v>
      </c>
      <c r="AM37" s="280">
        <f t="shared" si="28"/>
        <v>0</v>
      </c>
      <c r="AN37" s="281">
        <f t="shared" si="27"/>
        <v>0</v>
      </c>
      <c r="AO37" s="285"/>
      <c r="AP37" s="282">
        <f t="shared" si="27"/>
        <v>0</v>
      </c>
      <c r="AQ37" s="283">
        <f t="shared" si="27"/>
        <v>0</v>
      </c>
      <c r="AR37" s="283">
        <f t="shared" si="27"/>
        <v>0</v>
      </c>
      <c r="AS37" s="283">
        <f t="shared" si="27"/>
        <v>0</v>
      </c>
      <c r="AT37" s="289"/>
      <c r="AU37" s="283">
        <f t="shared" si="29"/>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PROPER("")</f>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293"/>
      <c r="T38" s="305" t="str">
        <f t="shared" si="20"/>
        <v/>
      </c>
      <c r="U38" s="604">
        <v>0</v>
      </c>
      <c r="V38" s="608">
        <v>0</v>
      </c>
      <c r="W38" s="605">
        <v>0</v>
      </c>
      <c r="X38" s="285"/>
      <c r="Y38" s="282">
        <v>0</v>
      </c>
      <c r="Z38" s="597">
        <v>0</v>
      </c>
      <c r="AA38" s="597"/>
      <c r="AB38" s="597"/>
      <c r="AC38" s="289"/>
      <c r="AD38" s="283">
        <v>0</v>
      </c>
      <c r="AE38" s="290">
        <v>0</v>
      </c>
      <c r="AF38" s="297"/>
      <c r="AG38" s="316"/>
      <c r="AH38" s="73"/>
      <c r="AI38"/>
      <c r="AJ38" s="293"/>
      <c r="AK38" s="305" t="str">
        <f t="shared" si="26"/>
        <v/>
      </c>
      <c r="AL38" s="279">
        <f t="shared" si="27"/>
        <v>0</v>
      </c>
      <c r="AM38" s="280">
        <f t="shared" si="28"/>
        <v>0</v>
      </c>
      <c r="AN38" s="281">
        <f t="shared" si="27"/>
        <v>0</v>
      </c>
      <c r="AO38" s="285"/>
      <c r="AP38" s="282">
        <f t="shared" si="27"/>
        <v>0</v>
      </c>
      <c r="AQ38" s="283">
        <f t="shared" si="27"/>
        <v>0</v>
      </c>
      <c r="AR38" s="283">
        <f t="shared" si="27"/>
        <v>0</v>
      </c>
      <c r="AS38" s="283">
        <f t="shared" si="27"/>
        <v>0</v>
      </c>
      <c r="AT38" s="289"/>
      <c r="AU38" s="283">
        <f t="shared" si="29"/>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PROPER("")</f>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293"/>
      <c r="T39" s="305" t="str">
        <f t="shared" si="20"/>
        <v/>
      </c>
      <c r="U39" s="604">
        <v>0</v>
      </c>
      <c r="V39" s="608">
        <v>0</v>
      </c>
      <c r="W39" s="605">
        <v>0</v>
      </c>
      <c r="X39" s="285"/>
      <c r="Y39" s="282">
        <v>0</v>
      </c>
      <c r="Z39" s="597">
        <v>0</v>
      </c>
      <c r="AA39" s="597"/>
      <c r="AB39" s="597"/>
      <c r="AC39" s="289"/>
      <c r="AD39" s="283">
        <v>0</v>
      </c>
      <c r="AE39" s="290">
        <v>0</v>
      </c>
      <c r="AF39" s="297"/>
      <c r="AG39" s="316"/>
      <c r="AH39" s="61"/>
      <c r="AI39"/>
      <c r="AJ39" s="293"/>
      <c r="AK39" s="305" t="str">
        <f t="shared" si="26"/>
        <v/>
      </c>
      <c r="AL39" s="279">
        <f t="shared" si="27"/>
        <v>0</v>
      </c>
      <c r="AM39" s="280">
        <f t="shared" si="28"/>
        <v>0</v>
      </c>
      <c r="AN39" s="281">
        <f t="shared" si="27"/>
        <v>0</v>
      </c>
      <c r="AO39" s="285"/>
      <c r="AP39" s="282">
        <f t="shared" si="27"/>
        <v>0</v>
      </c>
      <c r="AQ39" s="283">
        <f t="shared" si="27"/>
        <v>0</v>
      </c>
      <c r="AR39" s="283">
        <f t="shared" si="27"/>
        <v>0</v>
      </c>
      <c r="AS39" s="283">
        <f t="shared" si="27"/>
        <v>0</v>
      </c>
      <c r="AT39" s="289"/>
      <c r="AU39" s="283">
        <f t="shared" si="29"/>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293"/>
      <c r="T40" s="312"/>
      <c r="U40" s="604">
        <v>0</v>
      </c>
      <c r="V40" s="608">
        <v>0</v>
      </c>
      <c r="W40" s="605">
        <v>0</v>
      </c>
      <c r="X40" s="285"/>
      <c r="Y40" s="282"/>
      <c r="Z40" s="283"/>
      <c r="AA40" s="283"/>
      <c r="AB40" s="283"/>
      <c r="AC40" s="289"/>
      <c r="AD40" s="283"/>
      <c r="AE40" s="283"/>
      <c r="AF40" s="297"/>
      <c r="AG40" s="316"/>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132442501.00000003</v>
      </c>
      <c r="E41" s="179">
        <f t="shared" ref="E41" si="30">SUM(E20:E39)</f>
        <v>9620.0499999998137</v>
      </c>
      <c r="F41" s="166">
        <f>SUM(F20:F39)+1</f>
        <v>132452122.05000003</v>
      </c>
      <c r="G41" s="165"/>
      <c r="H41" s="436">
        <f t="shared" ref="H41:I41" si="31">SUM(H20:H39)</f>
        <v>30753425.600000001</v>
      </c>
      <c r="I41" s="437">
        <f t="shared" si="31"/>
        <v>30435941</v>
      </c>
      <c r="J41" s="437">
        <f t="shared" ref="J41:K41" si="32">SUM(J20:J39)</f>
        <v>32495585</v>
      </c>
      <c r="K41" s="438">
        <f t="shared" si="32"/>
        <v>34585385.910999998</v>
      </c>
      <c r="L41" s="156"/>
      <c r="M41" s="168">
        <f>SUM(M20:M39)</f>
        <v>128270337.51100001</v>
      </c>
      <c r="N41" s="180">
        <f>IFERROR(M41/F41,0)</f>
        <v>0.96842795363126444</v>
      </c>
      <c r="O41" s="595"/>
      <c r="P41" s="594"/>
      <c r="Q41"/>
      <c r="R41"/>
      <c r="S41" s="248"/>
      <c r="T41" s="298" t="s">
        <v>12</v>
      </c>
      <c r="U41" s="606">
        <v>0</v>
      </c>
      <c r="V41" s="609">
        <v>-434337.95000000019</v>
      </c>
      <c r="W41" s="607">
        <v>-434336.95000000298</v>
      </c>
      <c r="X41" s="299"/>
      <c r="Y41" s="600">
        <v>30749660.600000001</v>
      </c>
      <c r="Z41" s="599">
        <v>30439757</v>
      </c>
      <c r="AA41" s="599">
        <v>0</v>
      </c>
      <c r="AB41" s="601" t="s">
        <v>52</v>
      </c>
      <c r="AC41" s="289"/>
      <c r="AD41" s="302">
        <v>61189417.600000001</v>
      </c>
      <c r="AE41" s="303">
        <v>0.46200741558029013</v>
      </c>
      <c r="AF41" s="297"/>
      <c r="AG41" s="316"/>
      <c r="AH41"/>
      <c r="AI41"/>
      <c r="AJ41" s="248"/>
      <c r="AK41" s="298" t="s">
        <v>12</v>
      </c>
      <c r="AL41" s="299">
        <f>SUM(AL20:AL39)</f>
        <v>-132442501.00000003</v>
      </c>
      <c r="AM41" s="313">
        <f t="shared" ref="AM41" si="33">SUM(AM20:AM39)</f>
        <v>-443958</v>
      </c>
      <c r="AN41" s="300">
        <f>SUM(AN20:AN39)</f>
        <v>-132886459.00000003</v>
      </c>
      <c r="AO41" s="299"/>
      <c r="AP41" s="301">
        <f>SUM(AP20:AP39)</f>
        <v>-3765</v>
      </c>
      <c r="AQ41" s="302">
        <f t="shared" ref="AQ41:AS41" si="34">SUM(AQ20:AQ39)</f>
        <v>3816</v>
      </c>
      <c r="AR41" s="302">
        <f t="shared" si="34"/>
        <v>-32495585</v>
      </c>
      <c r="AS41" s="302">
        <f t="shared" si="34"/>
        <v>-34585385.910999998</v>
      </c>
      <c r="AT41" s="289"/>
      <c r="AU41" s="302">
        <f>SUM(AU20:AU39)</f>
        <v>-65186643.910999998</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293"/>
      <c r="T42" s="312"/>
      <c r="U42" s="604">
        <v>0</v>
      </c>
      <c r="V42" s="608">
        <v>0</v>
      </c>
      <c r="W42" s="605">
        <v>0</v>
      </c>
      <c r="X42" s="285"/>
      <c r="Y42" s="282"/>
      <c r="Z42" s="283"/>
      <c r="AA42" s="283"/>
      <c r="AB42" s="283"/>
      <c r="AC42" s="289"/>
      <c r="AD42" s="283"/>
      <c r="AE42" s="283"/>
      <c r="AF42" s="297"/>
      <c r="AG42" s="316"/>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248"/>
      <c r="T43" s="278" t="s">
        <v>53</v>
      </c>
      <c r="U43" s="602">
        <v>0</v>
      </c>
      <c r="V43" s="610">
        <v>0</v>
      </c>
      <c r="W43" s="603">
        <v>0</v>
      </c>
      <c r="X43" s="285"/>
      <c r="Y43" s="287"/>
      <c r="Z43" s="288"/>
      <c r="AA43" s="288"/>
      <c r="AB43" s="288"/>
      <c r="AC43" s="289"/>
      <c r="AD43" s="288"/>
      <c r="AE43" s="315"/>
      <c r="AF43" s="297"/>
      <c r="AG43" s="317"/>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105527017.19999999</v>
      </c>
      <c r="E44" s="156">
        <f t="shared" ref="E44:M44" si="35">SUM(E45:E47)</f>
        <v>-758794.99999999627</v>
      </c>
      <c r="F44" s="153">
        <f t="shared" si="35"/>
        <v>104768222.2</v>
      </c>
      <c r="G44" s="152">
        <f t="shared" si="35"/>
        <v>0</v>
      </c>
      <c r="H44" s="154">
        <f t="shared" si="35"/>
        <v>24170689.600000001</v>
      </c>
      <c r="I44" s="155">
        <f t="shared" ref="I44" si="36">SUM(I45:I47)</f>
        <v>24966627.699999999</v>
      </c>
      <c r="J44" s="155">
        <f t="shared" ref="J44:K44" si="37">SUM(J45:J47)</f>
        <v>25221070</v>
      </c>
      <c r="K44" s="155">
        <f t="shared" si="37"/>
        <v>26957618.511</v>
      </c>
      <c r="L44" s="156"/>
      <c r="M44" s="155">
        <f t="shared" si="35"/>
        <v>101316005.811</v>
      </c>
      <c r="N44" s="183">
        <f t="shared" ref="N44:N64" si="38">IFERROR(M44/F44,0)</f>
        <v>0.96704901241514052</v>
      </c>
      <c r="O44" s="595"/>
      <c r="P44" s="478"/>
      <c r="Q44"/>
      <c r="R44"/>
      <c r="S44" s="293"/>
      <c r="T44" s="314" t="str">
        <f t="shared" ref="T44:T64" si="39">C44</f>
        <v>Current payments</v>
      </c>
      <c r="U44" s="602">
        <v>0</v>
      </c>
      <c r="V44" s="610">
        <v>-118638.99999999627</v>
      </c>
      <c r="W44" s="603">
        <v>-118638.9999999851</v>
      </c>
      <c r="X44" s="285">
        <v>0</v>
      </c>
      <c r="Y44" s="287">
        <v>24170675.600000001</v>
      </c>
      <c r="Z44" s="288">
        <v>24966627.699999999</v>
      </c>
      <c r="AA44" s="288">
        <v>0</v>
      </c>
      <c r="AB44" s="288">
        <v>0</v>
      </c>
      <c r="AC44" s="289"/>
      <c r="AD44" s="288">
        <v>49137303.299999997</v>
      </c>
      <c r="AE44" s="290">
        <v>0.46563718565902951</v>
      </c>
      <c r="AF44" s="297"/>
      <c r="AG44" s="317"/>
      <c r="AH44"/>
      <c r="AI44"/>
      <c r="AJ44" s="293"/>
      <c r="AK44" s="314" t="s">
        <v>0</v>
      </c>
      <c r="AL44" s="285">
        <f>SUM(AL45:AL47)</f>
        <v>-105527017.19999999</v>
      </c>
      <c r="AM44" s="289">
        <f t="shared" ref="AM44:AO44" si="40">SUM(AM45:AM47)</f>
        <v>640156</v>
      </c>
      <c r="AN44" s="286">
        <f>SUM(AN45:AN47)</f>
        <v>-104886861.19999999</v>
      </c>
      <c r="AO44" s="285">
        <f t="shared" si="40"/>
        <v>0</v>
      </c>
      <c r="AP44" s="287">
        <f>SUM(AP45:AP47)</f>
        <v>-14</v>
      </c>
      <c r="AQ44" s="288">
        <f t="shared" ref="AQ44:AS44" si="41">SUM(AQ45:AQ47)</f>
        <v>0</v>
      </c>
      <c r="AR44" s="288">
        <f t="shared" si="41"/>
        <v>-25221070</v>
      </c>
      <c r="AS44" s="288">
        <f t="shared" si="41"/>
        <v>-26957618.511</v>
      </c>
      <c r="AT44" s="289"/>
      <c r="AU44" s="288">
        <f t="shared" ref="AU44" si="42">SUM(AU45:AU47)</f>
        <v>-52178702.511000007</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75002456.799999997</v>
      </c>
      <c r="E45" s="491">
        <f t="shared" ref="E45:E47" si="43">F45-D45</f>
        <v>-570840</v>
      </c>
      <c r="F45" s="483">
        <v>74431616.799999997</v>
      </c>
      <c r="G45" s="482"/>
      <c r="H45" s="484">
        <v>17736800.600000001</v>
      </c>
      <c r="I45" s="485">
        <v>18129933</v>
      </c>
      <c r="J45" s="485">
        <v>18924666</v>
      </c>
      <c r="K45" s="485">
        <v>18216950.910999998</v>
      </c>
      <c r="L45" s="156"/>
      <c r="M45" s="147">
        <f t="shared" ref="M45:M47" si="44">SUM(H45:K45)</f>
        <v>73008350.511000007</v>
      </c>
      <c r="N45" s="172">
        <f t="shared" si="38"/>
        <v>0.98087820270216153</v>
      </c>
      <c r="O45" s="163"/>
      <c r="P45" s="181"/>
      <c r="Q45"/>
      <c r="R45"/>
      <c r="S45" s="293"/>
      <c r="T45" s="291" t="str">
        <f t="shared" si="39"/>
        <v>Compensation of employees</v>
      </c>
      <c r="U45" s="604">
        <v>0</v>
      </c>
      <c r="V45" s="608">
        <v>-78600</v>
      </c>
      <c r="W45" s="605">
        <v>-78600</v>
      </c>
      <c r="X45" s="279"/>
      <c r="Y45" s="282">
        <v>17736800.600000001</v>
      </c>
      <c r="Z45" s="597">
        <v>18129934</v>
      </c>
      <c r="AA45" s="597"/>
      <c r="AB45" s="597"/>
      <c r="AC45" s="289"/>
      <c r="AD45" s="283">
        <v>35866734.600000001</v>
      </c>
      <c r="AE45" s="290">
        <v>0.47820746319872554</v>
      </c>
      <c r="AF45" s="297"/>
      <c r="AG45" s="317"/>
      <c r="AH45"/>
      <c r="AI45"/>
      <c r="AJ45" s="293"/>
      <c r="AK45" s="291" t="s">
        <v>54</v>
      </c>
      <c r="AL45" s="279">
        <f t="shared" ref="AL45:AN47" si="45">IFERROR(U45-D45,0)</f>
        <v>-75002456.799999997</v>
      </c>
      <c r="AM45" s="280">
        <f t="shared" si="45"/>
        <v>492240</v>
      </c>
      <c r="AN45" s="281">
        <f t="shared" si="45"/>
        <v>-74510216.799999997</v>
      </c>
      <c r="AO45" s="279"/>
      <c r="AP45" s="282">
        <f t="shared" ref="AP45:AS47" si="46">IFERROR(Y45-H45,0)</f>
        <v>0</v>
      </c>
      <c r="AQ45" s="283">
        <f t="shared" si="46"/>
        <v>1</v>
      </c>
      <c r="AR45" s="283">
        <f t="shared" si="46"/>
        <v>-18924666</v>
      </c>
      <c r="AS45" s="283">
        <f t="shared" si="46"/>
        <v>-18216950.910999998</v>
      </c>
      <c r="AT45" s="289"/>
      <c r="AU45" s="283">
        <f t="shared" ref="AU45:AU47" si="47">IFERROR(AD45-M45,0)</f>
        <v>-37141615.911000006</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30523300.399999999</v>
      </c>
      <c r="E46" s="491">
        <f t="shared" si="43"/>
        <v>-187953.99999999627</v>
      </c>
      <c r="F46" s="483">
        <v>30335346.400000002</v>
      </c>
      <c r="G46" s="482"/>
      <c r="H46" s="484">
        <v>6433183</v>
      </c>
      <c r="I46" s="485">
        <v>6836012.7000000002</v>
      </c>
      <c r="J46" s="485">
        <v>6296308</v>
      </c>
      <c r="K46" s="485">
        <v>8740644.5999999996</v>
      </c>
      <c r="L46" s="156"/>
      <c r="M46" s="147">
        <f t="shared" si="44"/>
        <v>28306148.299999997</v>
      </c>
      <c r="N46" s="172">
        <f t="shared" si="38"/>
        <v>0.93310779863057691</v>
      </c>
      <c r="O46" s="163"/>
      <c r="P46" s="181"/>
      <c r="Q46"/>
      <c r="R46"/>
      <c r="S46" s="293"/>
      <c r="T46" s="291" t="str">
        <f t="shared" si="39"/>
        <v>Goods and services</v>
      </c>
      <c r="U46" s="604">
        <v>0</v>
      </c>
      <c r="V46" s="608">
        <v>-40038.999999996275</v>
      </c>
      <c r="W46" s="605">
        <v>-40038.999999996275</v>
      </c>
      <c r="X46" s="279"/>
      <c r="Y46" s="282">
        <v>6433169</v>
      </c>
      <c r="Z46" s="597">
        <v>6836011.7000000002</v>
      </c>
      <c r="AA46" s="597"/>
      <c r="AB46" s="597"/>
      <c r="AC46" s="289"/>
      <c r="AD46" s="283">
        <v>13269180.699999999</v>
      </c>
      <c r="AE46" s="290">
        <v>0.43472299935166908</v>
      </c>
      <c r="AF46" s="297"/>
      <c r="AG46" s="317"/>
      <c r="AH46"/>
      <c r="AI46"/>
      <c r="AJ46" s="293"/>
      <c r="AK46" s="291" t="s">
        <v>55</v>
      </c>
      <c r="AL46" s="279">
        <f t="shared" si="45"/>
        <v>-30523300.399999999</v>
      </c>
      <c r="AM46" s="280">
        <f t="shared" si="45"/>
        <v>147915</v>
      </c>
      <c r="AN46" s="281">
        <f t="shared" si="45"/>
        <v>-30375385.399999999</v>
      </c>
      <c r="AO46" s="279"/>
      <c r="AP46" s="282">
        <f t="shared" si="46"/>
        <v>-14</v>
      </c>
      <c r="AQ46" s="283">
        <f t="shared" si="46"/>
        <v>-1</v>
      </c>
      <c r="AR46" s="283">
        <f t="shared" si="46"/>
        <v>-6296308</v>
      </c>
      <c r="AS46" s="283">
        <f t="shared" si="46"/>
        <v>-8740644.5999999996</v>
      </c>
      <c r="AT46" s="289"/>
      <c r="AU46" s="283">
        <f t="shared" si="47"/>
        <v>-15036967.599999998</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1260</v>
      </c>
      <c r="E47" s="491">
        <f t="shared" si="43"/>
        <v>-1</v>
      </c>
      <c r="F47" s="483">
        <v>1259</v>
      </c>
      <c r="G47" s="482"/>
      <c r="H47" s="484">
        <v>706</v>
      </c>
      <c r="I47" s="485">
        <v>682</v>
      </c>
      <c r="J47" s="485">
        <v>96</v>
      </c>
      <c r="K47" s="485">
        <v>23</v>
      </c>
      <c r="L47" s="156"/>
      <c r="M47" s="147">
        <f t="shared" si="44"/>
        <v>1507</v>
      </c>
      <c r="N47" s="172">
        <f t="shared" si="38"/>
        <v>1.1969817315329627</v>
      </c>
      <c r="O47" s="163"/>
      <c r="P47" s="181"/>
      <c r="Q47"/>
      <c r="R47"/>
      <c r="S47" s="293"/>
      <c r="T47" s="291" t="str">
        <f t="shared" si="39"/>
        <v>Interest and rent on land</v>
      </c>
      <c r="U47" s="604">
        <v>0</v>
      </c>
      <c r="V47" s="608">
        <v>0</v>
      </c>
      <c r="W47" s="605">
        <v>0</v>
      </c>
      <c r="X47" s="279"/>
      <c r="Y47" s="282">
        <v>706</v>
      </c>
      <c r="Z47" s="597">
        <v>682</v>
      </c>
      <c r="AA47" s="597"/>
      <c r="AB47" s="597"/>
      <c r="AC47" s="289"/>
      <c r="AD47" s="283">
        <v>1388</v>
      </c>
      <c r="AE47" s="290">
        <v>1.1015873015873017</v>
      </c>
      <c r="AF47" s="297"/>
      <c r="AG47" s="317"/>
      <c r="AH47"/>
      <c r="AI47"/>
      <c r="AJ47" s="293"/>
      <c r="AK47" s="291" t="s">
        <v>56</v>
      </c>
      <c r="AL47" s="279">
        <f t="shared" si="45"/>
        <v>-1260</v>
      </c>
      <c r="AM47" s="280">
        <f t="shared" si="45"/>
        <v>1</v>
      </c>
      <c r="AN47" s="281">
        <f t="shared" si="45"/>
        <v>-1259</v>
      </c>
      <c r="AO47" s="279"/>
      <c r="AP47" s="282">
        <f t="shared" si="46"/>
        <v>0</v>
      </c>
      <c r="AQ47" s="283">
        <f t="shared" si="46"/>
        <v>0</v>
      </c>
      <c r="AR47" s="283">
        <f t="shared" si="46"/>
        <v>-96</v>
      </c>
      <c r="AS47" s="283">
        <f t="shared" si="46"/>
        <v>-23</v>
      </c>
      <c r="AT47" s="289"/>
      <c r="AU47" s="283">
        <f t="shared" si="47"/>
        <v>-119</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21645883</v>
      </c>
      <c r="E48" s="156">
        <f t="shared" ref="E48:M48" si="48">SUM(E49:E55)</f>
        <v>455848</v>
      </c>
      <c r="F48" s="153">
        <f t="shared" si="48"/>
        <v>22101731</v>
      </c>
      <c r="G48" s="152">
        <f t="shared" si="48"/>
        <v>0</v>
      </c>
      <c r="H48" s="154">
        <f t="shared" si="48"/>
        <v>5772437</v>
      </c>
      <c r="I48" s="155">
        <f t="shared" ref="I48" si="49">SUM(I49:I55)</f>
        <v>4349416</v>
      </c>
      <c r="J48" s="155">
        <f t="shared" ref="J48:K48" si="50">SUM(J49:J55)</f>
        <v>6123769</v>
      </c>
      <c r="K48" s="155">
        <f t="shared" si="50"/>
        <v>5734248</v>
      </c>
      <c r="L48" s="156"/>
      <c r="M48" s="155">
        <f t="shared" si="48"/>
        <v>21979870</v>
      </c>
      <c r="N48" s="183">
        <f t="shared" si="38"/>
        <v>0.99448635946207109</v>
      </c>
      <c r="O48" s="595"/>
      <c r="P48" s="478"/>
      <c r="Q48"/>
      <c r="R48"/>
      <c r="S48" s="293"/>
      <c r="T48" s="314" t="str">
        <f t="shared" si="39"/>
        <v>Transfers and subsidies</v>
      </c>
      <c r="U48" s="602">
        <v>0</v>
      </c>
      <c r="V48" s="610">
        <v>-171400</v>
      </c>
      <c r="W48" s="603">
        <v>-171400</v>
      </c>
      <c r="X48" s="285">
        <v>0</v>
      </c>
      <c r="Y48" s="287">
        <v>5772840</v>
      </c>
      <c r="Z48" s="288">
        <v>4349416</v>
      </c>
      <c r="AA48" s="288">
        <v>0</v>
      </c>
      <c r="AB48" s="288">
        <v>0</v>
      </c>
      <c r="AC48" s="289"/>
      <c r="AD48" s="288">
        <v>10122256</v>
      </c>
      <c r="AE48" s="315">
        <v>0.46762961806640091</v>
      </c>
      <c r="AF48" s="297"/>
      <c r="AG48" s="317"/>
      <c r="AH48"/>
      <c r="AI48"/>
      <c r="AJ48" s="293"/>
      <c r="AK48" s="314" t="s">
        <v>1</v>
      </c>
      <c r="AL48" s="285">
        <f>SUM(AL49:AL55)</f>
        <v>-21645883</v>
      </c>
      <c r="AM48" s="289">
        <f t="shared" ref="AM48:AO48" si="51">SUM(AM49:AM55)</f>
        <v>-627248</v>
      </c>
      <c r="AN48" s="286">
        <f>SUM(AN49:AN55)</f>
        <v>-22273131</v>
      </c>
      <c r="AO48" s="285">
        <f t="shared" si="51"/>
        <v>0</v>
      </c>
      <c r="AP48" s="287">
        <f>SUM(AP49:AP55)</f>
        <v>403</v>
      </c>
      <c r="AQ48" s="288">
        <f t="shared" ref="AQ48:AS48" si="52">SUM(AQ49:AQ55)</f>
        <v>0</v>
      </c>
      <c r="AR48" s="288">
        <f t="shared" si="52"/>
        <v>-6123769</v>
      </c>
      <c r="AS48" s="288">
        <f t="shared" si="52"/>
        <v>-5734248</v>
      </c>
      <c r="AT48" s="289"/>
      <c r="AU48" s="288">
        <f t="shared" ref="AU48" si="53">SUM(AU49:AU55)</f>
        <v>-11857614</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1923986</v>
      </c>
      <c r="E49" s="491">
        <f t="shared" ref="E49:E55" si="54">F49-D49</f>
        <v>94180</v>
      </c>
      <c r="F49" s="483">
        <v>2018166</v>
      </c>
      <c r="G49" s="482"/>
      <c r="H49" s="484">
        <v>309684</v>
      </c>
      <c r="I49" s="485">
        <v>331132</v>
      </c>
      <c r="J49" s="485">
        <v>648243</v>
      </c>
      <c r="K49" s="485">
        <v>743357</v>
      </c>
      <c r="L49" s="156"/>
      <c r="M49" s="147">
        <f t="shared" ref="M49:M55" si="55">SUM(H49:K49)</f>
        <v>2032416</v>
      </c>
      <c r="N49" s="172">
        <f t="shared" si="38"/>
        <v>1.0070608661527347</v>
      </c>
      <c r="O49" s="163"/>
      <c r="P49" s="181"/>
      <c r="Q49"/>
      <c r="R49"/>
      <c r="S49" s="293"/>
      <c r="T49" s="291" t="str">
        <f t="shared" si="39"/>
        <v>Provinces and municipalities</v>
      </c>
      <c r="U49" s="604">
        <v>0</v>
      </c>
      <c r="V49" s="608">
        <v>0</v>
      </c>
      <c r="W49" s="605">
        <v>0</v>
      </c>
      <c r="X49" s="279"/>
      <c r="Y49" s="282">
        <v>309684</v>
      </c>
      <c r="Z49" s="597">
        <v>331132</v>
      </c>
      <c r="AA49" s="597"/>
      <c r="AB49" s="597"/>
      <c r="AC49" s="289"/>
      <c r="AD49" s="283">
        <v>640816</v>
      </c>
      <c r="AE49" s="290">
        <v>0.3330668726279713</v>
      </c>
      <c r="AF49" s="297"/>
      <c r="AG49" s="317"/>
      <c r="AH49"/>
      <c r="AI49"/>
      <c r="AJ49" s="293"/>
      <c r="AK49" s="291" t="s">
        <v>57</v>
      </c>
      <c r="AL49" s="279">
        <f t="shared" ref="AL49:AN55" si="56">IFERROR(U49-D49,0)</f>
        <v>-1923986</v>
      </c>
      <c r="AM49" s="280">
        <f t="shared" si="56"/>
        <v>-94180</v>
      </c>
      <c r="AN49" s="281">
        <f t="shared" si="56"/>
        <v>-2018166</v>
      </c>
      <c r="AO49" s="279"/>
      <c r="AP49" s="282">
        <f t="shared" ref="AP49:AS55" si="57">IFERROR(Y49-H49,0)</f>
        <v>0</v>
      </c>
      <c r="AQ49" s="283">
        <f t="shared" si="57"/>
        <v>0</v>
      </c>
      <c r="AR49" s="283">
        <f t="shared" si="57"/>
        <v>-648243</v>
      </c>
      <c r="AS49" s="283">
        <f t="shared" si="57"/>
        <v>-743357</v>
      </c>
      <c r="AT49" s="289"/>
      <c r="AU49" s="283">
        <f t="shared" ref="AU49:AU55" si="58">IFERROR(AD49-M49,0)</f>
        <v>-1391600</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3467753</v>
      </c>
      <c r="E50" s="491">
        <f t="shared" si="54"/>
        <v>81001</v>
      </c>
      <c r="F50" s="483">
        <v>3548754</v>
      </c>
      <c r="G50" s="482"/>
      <c r="H50" s="484">
        <v>973786</v>
      </c>
      <c r="I50" s="485">
        <v>875142</v>
      </c>
      <c r="J50" s="485">
        <v>884483</v>
      </c>
      <c r="K50" s="485">
        <v>863514</v>
      </c>
      <c r="L50" s="156"/>
      <c r="M50" s="147">
        <f t="shared" si="55"/>
        <v>3596925</v>
      </c>
      <c r="N50" s="172">
        <f t="shared" si="38"/>
        <v>1.0135740600785514</v>
      </c>
      <c r="O50" s="163"/>
      <c r="P50" s="181"/>
      <c r="Q50"/>
      <c r="R50"/>
      <c r="S50" s="293"/>
      <c r="T50" s="291" t="str">
        <f t="shared" si="39"/>
        <v>Departmental agencies and accounts</v>
      </c>
      <c r="U50" s="604">
        <v>0</v>
      </c>
      <c r="V50" s="608">
        <v>0</v>
      </c>
      <c r="W50" s="605">
        <v>0</v>
      </c>
      <c r="X50" s="279"/>
      <c r="Y50" s="282">
        <v>973786</v>
      </c>
      <c r="Z50" s="597">
        <v>875142</v>
      </c>
      <c r="AA50" s="597"/>
      <c r="AB50" s="597"/>
      <c r="AC50" s="289"/>
      <c r="AD50" s="283">
        <v>1848928</v>
      </c>
      <c r="AE50" s="290">
        <v>0.53317753600097817</v>
      </c>
      <c r="AF50" s="297"/>
      <c r="AG50" s="317"/>
      <c r="AH50"/>
      <c r="AI50"/>
      <c r="AJ50" s="293"/>
      <c r="AK50" s="291" t="s">
        <v>58</v>
      </c>
      <c r="AL50" s="279">
        <f t="shared" si="56"/>
        <v>-3467753</v>
      </c>
      <c r="AM50" s="280">
        <f t="shared" si="56"/>
        <v>-81001</v>
      </c>
      <c r="AN50" s="281">
        <f t="shared" si="56"/>
        <v>-3548754</v>
      </c>
      <c r="AO50" s="279"/>
      <c r="AP50" s="282">
        <f t="shared" si="57"/>
        <v>0</v>
      </c>
      <c r="AQ50" s="283">
        <f t="shared" si="57"/>
        <v>0</v>
      </c>
      <c r="AR50" s="283">
        <f t="shared" si="57"/>
        <v>-884483</v>
      </c>
      <c r="AS50" s="283">
        <f t="shared" si="57"/>
        <v>-863514</v>
      </c>
      <c r="AT50" s="289"/>
      <c r="AU50" s="283">
        <f t="shared" si="58"/>
        <v>-1747997</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67729</v>
      </c>
      <c r="E51" s="491">
        <f t="shared" si="54"/>
        <v>-500</v>
      </c>
      <c r="F51" s="483">
        <v>67229</v>
      </c>
      <c r="G51" s="482"/>
      <c r="H51" s="484">
        <v>5711</v>
      </c>
      <c r="I51" s="485">
        <v>5635</v>
      </c>
      <c r="J51" s="485">
        <v>13153</v>
      </c>
      <c r="K51" s="485">
        <v>29936</v>
      </c>
      <c r="L51" s="156"/>
      <c r="M51" s="147">
        <f t="shared" si="55"/>
        <v>54435</v>
      </c>
      <c r="N51" s="172">
        <f t="shared" si="38"/>
        <v>0.80969522081244705</v>
      </c>
      <c r="O51" s="163"/>
      <c r="P51" s="181"/>
      <c r="Q51"/>
      <c r="R51"/>
      <c r="S51" s="293"/>
      <c r="T51" s="291" t="str">
        <f t="shared" si="39"/>
        <v>Higher education and institutions</v>
      </c>
      <c r="U51" s="604">
        <v>0</v>
      </c>
      <c r="V51" s="608">
        <v>0</v>
      </c>
      <c r="W51" s="605">
        <v>0</v>
      </c>
      <c r="X51" s="279"/>
      <c r="Y51" s="282">
        <v>5711</v>
      </c>
      <c r="Z51" s="597">
        <v>5635</v>
      </c>
      <c r="AA51" s="597"/>
      <c r="AB51" s="597"/>
      <c r="AC51" s="289"/>
      <c r="AD51" s="283">
        <v>11346</v>
      </c>
      <c r="AE51" s="290">
        <v>0.16752055987833867</v>
      </c>
      <c r="AF51" s="297"/>
      <c r="AG51" s="317"/>
      <c r="AH51"/>
      <c r="AI51"/>
      <c r="AJ51" s="293"/>
      <c r="AK51" s="291" t="s">
        <v>59</v>
      </c>
      <c r="AL51" s="279">
        <f t="shared" si="56"/>
        <v>-67729</v>
      </c>
      <c r="AM51" s="280">
        <f t="shared" si="56"/>
        <v>500</v>
      </c>
      <c r="AN51" s="281">
        <f t="shared" si="56"/>
        <v>-67229</v>
      </c>
      <c r="AO51" s="279"/>
      <c r="AP51" s="282">
        <f t="shared" si="57"/>
        <v>0</v>
      </c>
      <c r="AQ51" s="283">
        <f t="shared" si="57"/>
        <v>0</v>
      </c>
      <c r="AR51" s="283">
        <f t="shared" si="57"/>
        <v>-13153</v>
      </c>
      <c r="AS51" s="283">
        <f t="shared" si="57"/>
        <v>-29936</v>
      </c>
      <c r="AT51" s="289"/>
      <c r="AU51" s="283">
        <f t="shared" si="58"/>
        <v>-43089</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4"/>
        <v>0</v>
      </c>
      <c r="F52" s="483">
        <v>0</v>
      </c>
      <c r="G52" s="482"/>
      <c r="H52" s="484">
        <v>0</v>
      </c>
      <c r="I52" s="485">
        <v>0</v>
      </c>
      <c r="J52" s="485">
        <v>0</v>
      </c>
      <c r="K52" s="485">
        <v>0</v>
      </c>
      <c r="L52" s="156"/>
      <c r="M52" s="147">
        <f t="shared" si="55"/>
        <v>0</v>
      </c>
      <c r="N52" s="172">
        <f t="shared" si="38"/>
        <v>0</v>
      </c>
      <c r="O52" s="163"/>
      <c r="P52" s="181"/>
      <c r="Q52"/>
      <c r="R52"/>
      <c r="S52" s="293"/>
      <c r="T52" s="291" t="str">
        <f t="shared" si="39"/>
        <v>Foreign governments and international organisations</v>
      </c>
      <c r="U52" s="604">
        <v>0</v>
      </c>
      <c r="V52" s="608">
        <v>0</v>
      </c>
      <c r="W52" s="605">
        <v>0</v>
      </c>
      <c r="X52" s="279"/>
      <c r="Y52" s="282">
        <v>0</v>
      </c>
      <c r="Z52" s="597">
        <v>0</v>
      </c>
      <c r="AA52" s="597"/>
      <c r="AB52" s="597"/>
      <c r="AC52" s="289"/>
      <c r="AD52" s="283">
        <v>0</v>
      </c>
      <c r="AE52" s="290">
        <v>0</v>
      </c>
      <c r="AF52" s="297"/>
      <c r="AG52" s="317"/>
      <c r="AH52" s="61"/>
      <c r="AI52"/>
      <c r="AJ52" s="293"/>
      <c r="AK52" s="291" t="s">
        <v>60</v>
      </c>
      <c r="AL52" s="279">
        <f t="shared" si="56"/>
        <v>0</v>
      </c>
      <c r="AM52" s="280">
        <f t="shared" si="56"/>
        <v>0</v>
      </c>
      <c r="AN52" s="281">
        <f t="shared" si="56"/>
        <v>0</v>
      </c>
      <c r="AO52" s="279"/>
      <c r="AP52" s="282">
        <f t="shared" si="57"/>
        <v>0</v>
      </c>
      <c r="AQ52" s="283">
        <f t="shared" si="57"/>
        <v>0</v>
      </c>
      <c r="AR52" s="283">
        <f t="shared" si="57"/>
        <v>0</v>
      </c>
      <c r="AS52" s="283">
        <f t="shared" si="57"/>
        <v>0</v>
      </c>
      <c r="AT52" s="289"/>
      <c r="AU52" s="283">
        <f t="shared" si="58"/>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2617233</v>
      </c>
      <c r="E53" s="491">
        <f t="shared" si="54"/>
        <v>0</v>
      </c>
      <c r="F53" s="483">
        <v>2617233</v>
      </c>
      <c r="G53" s="482"/>
      <c r="H53" s="484">
        <v>340856</v>
      </c>
      <c r="I53" s="485">
        <v>564804</v>
      </c>
      <c r="J53" s="485">
        <v>548470</v>
      </c>
      <c r="K53" s="485">
        <v>713444</v>
      </c>
      <c r="L53" s="156"/>
      <c r="M53" s="147">
        <f t="shared" si="55"/>
        <v>2167574</v>
      </c>
      <c r="N53" s="172">
        <f t="shared" si="38"/>
        <v>0.82819298090769911</v>
      </c>
      <c r="O53" s="163"/>
      <c r="P53" s="181"/>
      <c r="Q53"/>
      <c r="R53"/>
      <c r="S53" s="293"/>
      <c r="T53" s="291" t="str">
        <f t="shared" si="39"/>
        <v>Public corporations and private enterprises</v>
      </c>
      <c r="U53" s="604">
        <v>0</v>
      </c>
      <c r="V53" s="608">
        <v>0</v>
      </c>
      <c r="W53" s="605">
        <v>0</v>
      </c>
      <c r="X53" s="279"/>
      <c r="Y53" s="282">
        <v>340856</v>
      </c>
      <c r="Z53" s="597">
        <v>564804</v>
      </c>
      <c r="AA53" s="597"/>
      <c r="AB53" s="597"/>
      <c r="AC53" s="289"/>
      <c r="AD53" s="283">
        <v>905660</v>
      </c>
      <c r="AE53" s="290">
        <v>0.34603720799791232</v>
      </c>
      <c r="AF53" s="297"/>
      <c r="AG53" s="317"/>
      <c r="AH53" s="61"/>
      <c r="AI53"/>
      <c r="AJ53" s="293"/>
      <c r="AK53" s="291" t="s">
        <v>61</v>
      </c>
      <c r="AL53" s="279">
        <f t="shared" si="56"/>
        <v>-2617233</v>
      </c>
      <c r="AM53" s="280">
        <f t="shared" si="56"/>
        <v>0</v>
      </c>
      <c r="AN53" s="281">
        <f t="shared" si="56"/>
        <v>-2617233</v>
      </c>
      <c r="AO53" s="279"/>
      <c r="AP53" s="282">
        <f t="shared" si="57"/>
        <v>0</v>
      </c>
      <c r="AQ53" s="283">
        <f t="shared" si="57"/>
        <v>0</v>
      </c>
      <c r="AR53" s="283">
        <f t="shared" si="57"/>
        <v>-548470</v>
      </c>
      <c r="AS53" s="283">
        <f t="shared" si="57"/>
        <v>-713444</v>
      </c>
      <c r="AT53" s="289"/>
      <c r="AU53" s="283">
        <f t="shared" si="58"/>
        <v>-1261914</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7142320</v>
      </c>
      <c r="E54" s="491">
        <f t="shared" si="54"/>
        <v>603300</v>
      </c>
      <c r="F54" s="483">
        <v>7745620</v>
      </c>
      <c r="G54" s="482"/>
      <c r="H54" s="484">
        <v>2618277</v>
      </c>
      <c r="I54" s="485">
        <v>1192242</v>
      </c>
      <c r="J54" s="485">
        <v>2504597</v>
      </c>
      <c r="K54" s="485">
        <v>1319072</v>
      </c>
      <c r="L54" s="156"/>
      <c r="M54" s="147">
        <f t="shared" si="55"/>
        <v>7634188</v>
      </c>
      <c r="N54" s="172">
        <f t="shared" si="38"/>
        <v>0.98561354675287449</v>
      </c>
      <c r="O54" s="163"/>
      <c r="P54" s="181"/>
      <c r="Q54"/>
      <c r="R54"/>
      <c r="S54" s="293"/>
      <c r="T54" s="291" t="str">
        <f t="shared" si="39"/>
        <v>Non profit institutions</v>
      </c>
      <c r="U54" s="604">
        <v>0</v>
      </c>
      <c r="V54" s="608">
        <v>78600</v>
      </c>
      <c r="W54" s="605">
        <v>78600</v>
      </c>
      <c r="X54" s="279"/>
      <c r="Y54" s="282">
        <v>2618277</v>
      </c>
      <c r="Z54" s="597">
        <v>1192242</v>
      </c>
      <c r="AA54" s="597"/>
      <c r="AB54" s="597"/>
      <c r="AC54" s="289"/>
      <c r="AD54" s="283">
        <v>3810519</v>
      </c>
      <c r="AE54" s="290">
        <v>0.53351278016106807</v>
      </c>
      <c r="AF54" s="297"/>
      <c r="AG54" s="317"/>
      <c r="AH54" s="61"/>
      <c r="AI54"/>
      <c r="AJ54" s="293"/>
      <c r="AK54" s="291" t="s">
        <v>62</v>
      </c>
      <c r="AL54" s="279">
        <f t="shared" si="56"/>
        <v>-7142320</v>
      </c>
      <c r="AM54" s="280">
        <f t="shared" si="56"/>
        <v>-524700</v>
      </c>
      <c r="AN54" s="281">
        <f t="shared" si="56"/>
        <v>-7667020</v>
      </c>
      <c r="AO54" s="279"/>
      <c r="AP54" s="282">
        <f t="shared" si="57"/>
        <v>0</v>
      </c>
      <c r="AQ54" s="283">
        <f t="shared" si="57"/>
        <v>0</v>
      </c>
      <c r="AR54" s="283">
        <f t="shared" si="57"/>
        <v>-2504597</v>
      </c>
      <c r="AS54" s="283">
        <f t="shared" si="57"/>
        <v>-1319072</v>
      </c>
      <c r="AT54" s="289"/>
      <c r="AU54" s="283">
        <f t="shared" si="58"/>
        <v>-3823669</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6426862</v>
      </c>
      <c r="E55" s="491">
        <f t="shared" si="54"/>
        <v>-322133</v>
      </c>
      <c r="F55" s="483">
        <v>6104729</v>
      </c>
      <c r="G55" s="482"/>
      <c r="H55" s="484">
        <v>1524123</v>
      </c>
      <c r="I55" s="485">
        <v>1380461</v>
      </c>
      <c r="J55" s="485">
        <v>1524823</v>
      </c>
      <c r="K55" s="485">
        <v>2064925</v>
      </c>
      <c r="L55" s="156"/>
      <c r="M55" s="147">
        <f t="shared" si="55"/>
        <v>6494332</v>
      </c>
      <c r="N55" s="172">
        <f t="shared" si="38"/>
        <v>1.0638198681710522</v>
      </c>
      <c r="O55" s="163"/>
      <c r="P55" s="181"/>
      <c r="Q55"/>
      <c r="R55"/>
      <c r="S55" s="293"/>
      <c r="T55" s="291" t="str">
        <f t="shared" si="39"/>
        <v>Households</v>
      </c>
      <c r="U55" s="604">
        <v>0</v>
      </c>
      <c r="V55" s="608">
        <v>-250000</v>
      </c>
      <c r="W55" s="605">
        <v>-250000</v>
      </c>
      <c r="X55" s="279"/>
      <c r="Y55" s="282">
        <v>1524526</v>
      </c>
      <c r="Z55" s="597">
        <v>1380461</v>
      </c>
      <c r="AA55" s="597"/>
      <c r="AB55" s="597"/>
      <c r="AC55" s="289"/>
      <c r="AD55" s="283">
        <v>2904987</v>
      </c>
      <c r="AE55" s="290">
        <v>0.45200706036631877</v>
      </c>
      <c r="AF55" s="297"/>
      <c r="AG55" s="317"/>
      <c r="AH55"/>
      <c r="AI55"/>
      <c r="AJ55" s="293"/>
      <c r="AK55" s="291" t="s">
        <v>63</v>
      </c>
      <c r="AL55" s="279">
        <f t="shared" si="56"/>
        <v>-6426862</v>
      </c>
      <c r="AM55" s="280">
        <f t="shared" si="56"/>
        <v>72133</v>
      </c>
      <c r="AN55" s="281">
        <f t="shared" si="56"/>
        <v>-6354729</v>
      </c>
      <c r="AO55" s="279"/>
      <c r="AP55" s="282">
        <f t="shared" si="57"/>
        <v>403</v>
      </c>
      <c r="AQ55" s="283">
        <f t="shared" si="57"/>
        <v>0</v>
      </c>
      <c r="AR55" s="283">
        <f t="shared" si="57"/>
        <v>-1524823</v>
      </c>
      <c r="AS55" s="283">
        <f t="shared" si="57"/>
        <v>-2064925</v>
      </c>
      <c r="AT55" s="289"/>
      <c r="AU55" s="283">
        <f t="shared" si="58"/>
        <v>-3589345</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5269600.8</v>
      </c>
      <c r="E56" s="156">
        <f t="shared" ref="E56:M56" si="59">SUM(E57:E63)</f>
        <v>306269</v>
      </c>
      <c r="F56" s="153">
        <f t="shared" si="59"/>
        <v>5575869.7999999998</v>
      </c>
      <c r="G56" s="152">
        <f t="shared" si="59"/>
        <v>0</v>
      </c>
      <c r="H56" s="154">
        <f t="shared" si="59"/>
        <v>808956</v>
      </c>
      <c r="I56" s="155">
        <f t="shared" ref="I56" si="60">SUM(I57:I63)</f>
        <v>1113848</v>
      </c>
      <c r="J56" s="155">
        <f t="shared" ref="J56:K56" si="61">SUM(J57:J63)</f>
        <v>1145840</v>
      </c>
      <c r="K56" s="155">
        <f t="shared" si="61"/>
        <v>1875370</v>
      </c>
      <c r="L56" s="156"/>
      <c r="M56" s="155">
        <f t="shared" si="59"/>
        <v>4944014</v>
      </c>
      <c r="N56" s="183">
        <f t="shared" si="38"/>
        <v>0.88668031667453928</v>
      </c>
      <c r="O56" s="595"/>
      <c r="P56" s="478"/>
      <c r="Q56"/>
      <c r="R56"/>
      <c r="S56" s="293"/>
      <c r="T56" s="314" t="str">
        <f t="shared" si="39"/>
        <v>Payments for capital assets</v>
      </c>
      <c r="U56" s="602">
        <v>0</v>
      </c>
      <c r="V56" s="610">
        <v>-144300</v>
      </c>
      <c r="W56" s="603">
        <v>-144300</v>
      </c>
      <c r="X56" s="285">
        <v>0</v>
      </c>
      <c r="Y56" s="287">
        <v>804802</v>
      </c>
      <c r="Z56" s="288">
        <v>1117664</v>
      </c>
      <c r="AA56" s="288">
        <v>0</v>
      </c>
      <c r="AB56" s="288">
        <v>0</v>
      </c>
      <c r="AC56" s="289"/>
      <c r="AD56" s="288">
        <v>1922466</v>
      </c>
      <c r="AE56" s="315">
        <v>0.36482194248945765</v>
      </c>
      <c r="AF56" s="297"/>
      <c r="AG56" s="317"/>
      <c r="AH56"/>
      <c r="AI56"/>
      <c r="AJ56" s="293"/>
      <c r="AK56" s="314" t="s">
        <v>2</v>
      </c>
      <c r="AL56" s="285">
        <f>SUM(AL57:AL63)</f>
        <v>-5269600.8</v>
      </c>
      <c r="AM56" s="289">
        <f t="shared" ref="AM56:AO56" si="62">SUM(AM57:AM63)</f>
        <v>-450569</v>
      </c>
      <c r="AN56" s="286">
        <f>SUM(AN57:AN63)</f>
        <v>-5720169.7999999998</v>
      </c>
      <c r="AO56" s="285">
        <f t="shared" si="62"/>
        <v>0</v>
      </c>
      <c r="AP56" s="287">
        <f>SUM(AP57:AP63)</f>
        <v>-4154</v>
      </c>
      <c r="AQ56" s="288">
        <f t="shared" ref="AQ56:AS56" si="63">SUM(AQ57:AQ63)</f>
        <v>3816</v>
      </c>
      <c r="AR56" s="288">
        <f t="shared" si="63"/>
        <v>-1145840</v>
      </c>
      <c r="AS56" s="288">
        <f t="shared" si="63"/>
        <v>-1875370</v>
      </c>
      <c r="AT56" s="289"/>
      <c r="AU56" s="288">
        <f t="shared" ref="AU56" si="64">SUM(AU57:AU63)</f>
        <v>-3021548</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3289819</v>
      </c>
      <c r="E57" s="491">
        <f t="shared" ref="E57:E64" si="65">F57-D57</f>
        <v>-300644</v>
      </c>
      <c r="F57" s="483">
        <v>2989175</v>
      </c>
      <c r="G57" s="482"/>
      <c r="H57" s="484">
        <v>378379</v>
      </c>
      <c r="I57" s="485">
        <v>582618</v>
      </c>
      <c r="J57" s="485">
        <v>687025</v>
      </c>
      <c r="K57" s="485">
        <v>1123684</v>
      </c>
      <c r="L57" s="156"/>
      <c r="M57" s="147">
        <f t="shared" ref="M57:M64" si="66">SUM(H57:K57)</f>
        <v>2771706</v>
      </c>
      <c r="N57" s="172">
        <f t="shared" si="38"/>
        <v>0.92724781921433175</v>
      </c>
      <c r="O57" s="163"/>
      <c r="P57" s="181"/>
      <c r="Q57"/>
      <c r="R57"/>
      <c r="S57" s="293"/>
      <c r="T57" s="291" t="str">
        <f t="shared" si="39"/>
        <v>Buildings and other fixed structures</v>
      </c>
      <c r="U57" s="604">
        <v>0</v>
      </c>
      <c r="V57" s="608">
        <v>-44300</v>
      </c>
      <c r="W57" s="605">
        <v>-44300</v>
      </c>
      <c r="X57" s="279"/>
      <c r="Y57" s="282">
        <v>374226</v>
      </c>
      <c r="Z57" s="597">
        <v>586433</v>
      </c>
      <c r="AA57" s="597"/>
      <c r="AB57" s="597"/>
      <c r="AC57" s="289"/>
      <c r="AD57" s="283">
        <v>960659</v>
      </c>
      <c r="AE57" s="290">
        <v>0.29200968199162325</v>
      </c>
      <c r="AF57" s="297"/>
      <c r="AG57" s="317"/>
      <c r="AH57"/>
      <c r="AI57"/>
      <c r="AJ57" s="293"/>
      <c r="AK57" s="291" t="s">
        <v>64</v>
      </c>
      <c r="AL57" s="279">
        <f t="shared" ref="AL57:AN64" si="67">IFERROR(U57-D57,0)</f>
        <v>-3289819</v>
      </c>
      <c r="AM57" s="280">
        <f t="shared" si="67"/>
        <v>256344</v>
      </c>
      <c r="AN57" s="281">
        <f t="shared" si="67"/>
        <v>-3033475</v>
      </c>
      <c r="AO57" s="279"/>
      <c r="AP57" s="282">
        <f t="shared" ref="AP57:AS64" si="68">IFERROR(Y57-H57,0)</f>
        <v>-4153</v>
      </c>
      <c r="AQ57" s="283">
        <f t="shared" si="68"/>
        <v>3815</v>
      </c>
      <c r="AR57" s="283">
        <f t="shared" si="68"/>
        <v>-687025</v>
      </c>
      <c r="AS57" s="283">
        <f t="shared" si="68"/>
        <v>-1123684</v>
      </c>
      <c r="AT57" s="289"/>
      <c r="AU57" s="283">
        <f t="shared" ref="AU57:AU64" si="69">IFERROR(AD57-M57,0)</f>
        <v>-1811047</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1957694.7999999998</v>
      </c>
      <c r="E58" s="491">
        <f t="shared" si="65"/>
        <v>505013</v>
      </c>
      <c r="F58" s="483">
        <v>2462707.7999999998</v>
      </c>
      <c r="G58" s="482"/>
      <c r="H58" s="484">
        <v>364822</v>
      </c>
      <c r="I58" s="485">
        <v>524385</v>
      </c>
      <c r="J58" s="485">
        <v>455691</v>
      </c>
      <c r="K58" s="485">
        <v>710922</v>
      </c>
      <c r="L58" s="156"/>
      <c r="M58" s="147">
        <f t="shared" si="66"/>
        <v>2055820</v>
      </c>
      <c r="N58" s="172">
        <f t="shared" si="38"/>
        <v>0.83478031782739315</v>
      </c>
      <c r="O58" s="163"/>
      <c r="P58" s="181"/>
      <c r="Q58"/>
      <c r="R58"/>
      <c r="S58" s="293"/>
      <c r="T58" s="291" t="str">
        <f t="shared" si="39"/>
        <v>Machinery and equipment</v>
      </c>
      <c r="U58" s="604">
        <v>0</v>
      </c>
      <c r="V58" s="608">
        <v>0</v>
      </c>
      <c r="W58" s="605">
        <v>0</v>
      </c>
      <c r="X58" s="279"/>
      <c r="Y58" s="282">
        <v>364821</v>
      </c>
      <c r="Z58" s="597">
        <v>524386</v>
      </c>
      <c r="AA58" s="597"/>
      <c r="AB58" s="597"/>
      <c r="AC58" s="289"/>
      <c r="AD58" s="283">
        <v>889207</v>
      </c>
      <c r="AE58" s="290">
        <v>0.45421124886269304</v>
      </c>
      <c r="AF58" s="297"/>
      <c r="AG58" s="317"/>
      <c r="AH58"/>
      <c r="AI58"/>
      <c r="AJ58" s="293"/>
      <c r="AK58" s="291" t="s">
        <v>65</v>
      </c>
      <c r="AL58" s="279">
        <f t="shared" si="67"/>
        <v>-1957694.7999999998</v>
      </c>
      <c r="AM58" s="280">
        <f t="shared" si="67"/>
        <v>-505013</v>
      </c>
      <c r="AN58" s="281">
        <f t="shared" si="67"/>
        <v>-2462707.7999999998</v>
      </c>
      <c r="AO58" s="279"/>
      <c r="AP58" s="282">
        <f t="shared" si="68"/>
        <v>-1</v>
      </c>
      <c r="AQ58" s="283">
        <f t="shared" si="68"/>
        <v>1</v>
      </c>
      <c r="AR58" s="283">
        <f t="shared" si="68"/>
        <v>-455691</v>
      </c>
      <c r="AS58" s="283">
        <f t="shared" si="68"/>
        <v>-710922</v>
      </c>
      <c r="AT58" s="289"/>
      <c r="AU58" s="283">
        <f t="shared" si="69"/>
        <v>-1166613</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5463</v>
      </c>
      <c r="E59" s="491">
        <f t="shared" si="65"/>
        <v>1725</v>
      </c>
      <c r="F59" s="483">
        <v>7188</v>
      </c>
      <c r="G59" s="482"/>
      <c r="H59" s="484">
        <v>0</v>
      </c>
      <c r="I59" s="485">
        <v>0</v>
      </c>
      <c r="J59" s="485">
        <v>1725</v>
      </c>
      <c r="K59" s="485">
        <v>0</v>
      </c>
      <c r="L59" s="156"/>
      <c r="M59" s="147">
        <f t="shared" si="66"/>
        <v>1725</v>
      </c>
      <c r="N59" s="172">
        <f t="shared" si="38"/>
        <v>0.23998330550918198</v>
      </c>
      <c r="O59" s="163"/>
      <c r="P59" s="181"/>
      <c r="Q59"/>
      <c r="R59"/>
      <c r="S59" s="293"/>
      <c r="T59" s="291" t="str">
        <f t="shared" si="39"/>
        <v>Heritage assets</v>
      </c>
      <c r="U59" s="604">
        <v>0</v>
      </c>
      <c r="V59" s="608">
        <v>0</v>
      </c>
      <c r="W59" s="605">
        <v>0</v>
      </c>
      <c r="X59" s="279"/>
      <c r="Y59" s="282">
        <v>0</v>
      </c>
      <c r="Z59" s="597">
        <v>0</v>
      </c>
      <c r="AA59" s="597"/>
      <c r="AB59" s="597"/>
      <c r="AC59" s="289"/>
      <c r="AD59" s="283">
        <v>0</v>
      </c>
      <c r="AE59" s="290">
        <v>0</v>
      </c>
      <c r="AF59" s="297"/>
      <c r="AG59" s="317"/>
      <c r="AH59"/>
      <c r="AI59"/>
      <c r="AJ59" s="293"/>
      <c r="AK59" s="291" t="s">
        <v>66</v>
      </c>
      <c r="AL59" s="279">
        <f t="shared" si="67"/>
        <v>-5463</v>
      </c>
      <c r="AM59" s="280">
        <f t="shared" si="67"/>
        <v>-1725</v>
      </c>
      <c r="AN59" s="281">
        <f t="shared" si="67"/>
        <v>-7188</v>
      </c>
      <c r="AO59" s="279"/>
      <c r="AP59" s="282">
        <f t="shared" si="68"/>
        <v>0</v>
      </c>
      <c r="AQ59" s="283">
        <f t="shared" si="68"/>
        <v>0</v>
      </c>
      <c r="AR59" s="283">
        <f t="shared" si="68"/>
        <v>-1725</v>
      </c>
      <c r="AS59" s="283">
        <f t="shared" si="68"/>
        <v>0</v>
      </c>
      <c r="AT59" s="289"/>
      <c r="AU59" s="283">
        <f t="shared" si="69"/>
        <v>-1725</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5"/>
        <v>0</v>
      </c>
      <c r="F60" s="483">
        <v>0</v>
      </c>
      <c r="G60" s="482"/>
      <c r="H60" s="484">
        <v>0</v>
      </c>
      <c r="I60" s="485">
        <v>0</v>
      </c>
      <c r="J60" s="485">
        <v>0</v>
      </c>
      <c r="K60" s="485">
        <v>0</v>
      </c>
      <c r="L60" s="156"/>
      <c r="M60" s="147">
        <f t="shared" si="66"/>
        <v>0</v>
      </c>
      <c r="N60" s="172">
        <f t="shared" si="38"/>
        <v>0</v>
      </c>
      <c r="O60" s="163"/>
      <c r="P60" s="181"/>
      <c r="Q60"/>
      <c r="R60"/>
      <c r="S60" s="293"/>
      <c r="T60" s="291" t="str">
        <f t="shared" si="39"/>
        <v>Specialised military assets</v>
      </c>
      <c r="U60" s="604">
        <v>0</v>
      </c>
      <c r="V60" s="608">
        <v>0</v>
      </c>
      <c r="W60" s="605">
        <v>0</v>
      </c>
      <c r="X60" s="279"/>
      <c r="Y60" s="282">
        <v>0</v>
      </c>
      <c r="Z60" s="597">
        <v>0</v>
      </c>
      <c r="AA60" s="597"/>
      <c r="AB60" s="597"/>
      <c r="AC60" s="289"/>
      <c r="AD60" s="283">
        <v>0</v>
      </c>
      <c r="AE60" s="290">
        <v>0</v>
      </c>
      <c r="AF60" s="297"/>
      <c r="AG60" s="317"/>
      <c r="AH60"/>
      <c r="AI60"/>
      <c r="AJ60" s="293"/>
      <c r="AK60" s="291" t="s">
        <v>67</v>
      </c>
      <c r="AL60" s="279">
        <f t="shared" si="67"/>
        <v>0</v>
      </c>
      <c r="AM60" s="280">
        <f t="shared" si="67"/>
        <v>0</v>
      </c>
      <c r="AN60" s="281">
        <f t="shared" si="67"/>
        <v>0</v>
      </c>
      <c r="AO60" s="279"/>
      <c r="AP60" s="282">
        <f t="shared" si="68"/>
        <v>0</v>
      </c>
      <c r="AQ60" s="283">
        <f t="shared" si="68"/>
        <v>0</v>
      </c>
      <c r="AR60" s="283">
        <f t="shared" si="68"/>
        <v>0</v>
      </c>
      <c r="AS60" s="283">
        <f t="shared" si="68"/>
        <v>0</v>
      </c>
      <c r="AT60" s="289"/>
      <c r="AU60" s="283">
        <f t="shared" si="69"/>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5"/>
        <v>0</v>
      </c>
      <c r="F61" s="483">
        <v>0</v>
      </c>
      <c r="G61" s="482"/>
      <c r="H61" s="484">
        <v>0</v>
      </c>
      <c r="I61" s="485">
        <v>0</v>
      </c>
      <c r="J61" s="485">
        <v>0</v>
      </c>
      <c r="K61" s="485">
        <v>0</v>
      </c>
      <c r="L61" s="156"/>
      <c r="M61" s="147">
        <f t="shared" si="66"/>
        <v>0</v>
      </c>
      <c r="N61" s="172">
        <f t="shared" si="38"/>
        <v>0</v>
      </c>
      <c r="O61" s="163"/>
      <c r="P61" s="181"/>
      <c r="Q61"/>
      <c r="R61"/>
      <c r="S61" s="293"/>
      <c r="T61" s="291" t="str">
        <f t="shared" si="39"/>
        <v>Biological assets</v>
      </c>
      <c r="U61" s="604">
        <v>0</v>
      </c>
      <c r="V61" s="608">
        <v>0</v>
      </c>
      <c r="W61" s="605">
        <v>0</v>
      </c>
      <c r="X61" s="279"/>
      <c r="Y61" s="282">
        <v>0</v>
      </c>
      <c r="Z61" s="597">
        <v>0</v>
      </c>
      <c r="AA61" s="597"/>
      <c r="AB61" s="597"/>
      <c r="AC61" s="289"/>
      <c r="AD61" s="283">
        <v>0</v>
      </c>
      <c r="AE61" s="290">
        <v>0</v>
      </c>
      <c r="AF61" s="297"/>
      <c r="AG61" s="317"/>
      <c r="AH61"/>
      <c r="AI61"/>
      <c r="AJ61" s="293"/>
      <c r="AK61" s="291" t="s">
        <v>68</v>
      </c>
      <c r="AL61" s="279">
        <f t="shared" si="67"/>
        <v>0</v>
      </c>
      <c r="AM61" s="280">
        <f t="shared" si="67"/>
        <v>0</v>
      </c>
      <c r="AN61" s="281">
        <f t="shared" si="67"/>
        <v>0</v>
      </c>
      <c r="AO61" s="279"/>
      <c r="AP61" s="282">
        <f t="shared" si="68"/>
        <v>0</v>
      </c>
      <c r="AQ61" s="283">
        <f t="shared" si="68"/>
        <v>0</v>
      </c>
      <c r="AR61" s="283">
        <f t="shared" si="68"/>
        <v>0</v>
      </c>
      <c r="AS61" s="283">
        <f t="shared" si="68"/>
        <v>0</v>
      </c>
      <c r="AT61" s="289"/>
      <c r="AU61" s="283">
        <f t="shared" si="69"/>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5868</v>
      </c>
      <c r="E62" s="491">
        <f t="shared" si="65"/>
        <v>25000</v>
      </c>
      <c r="F62" s="483">
        <v>30868</v>
      </c>
      <c r="G62" s="482"/>
      <c r="H62" s="484">
        <v>0</v>
      </c>
      <c r="I62" s="485">
        <v>5105</v>
      </c>
      <c r="J62" s="485">
        <v>0</v>
      </c>
      <c r="K62" s="485">
        <v>36386</v>
      </c>
      <c r="L62" s="156"/>
      <c r="M62" s="147">
        <f t="shared" si="66"/>
        <v>41491</v>
      </c>
      <c r="N62" s="172">
        <f t="shared" si="38"/>
        <v>1.344142801606842</v>
      </c>
      <c r="O62" s="163"/>
      <c r="P62" s="181"/>
      <c r="S62" s="293"/>
      <c r="T62" s="291" t="str">
        <f t="shared" si="39"/>
        <v>Land and sub-soil assets</v>
      </c>
      <c r="U62" s="604">
        <v>0</v>
      </c>
      <c r="V62" s="608">
        <v>-100000</v>
      </c>
      <c r="W62" s="605">
        <v>-100000</v>
      </c>
      <c r="X62" s="279"/>
      <c r="Y62" s="282">
        <v>0</v>
      </c>
      <c r="Z62" s="597">
        <v>5105</v>
      </c>
      <c r="AA62" s="597"/>
      <c r="AB62" s="597"/>
      <c r="AC62" s="289"/>
      <c r="AD62" s="283">
        <v>5105</v>
      </c>
      <c r="AE62" s="290">
        <v>0.86997273346966597</v>
      </c>
      <c r="AF62" s="297"/>
      <c r="AG62" s="317"/>
      <c r="AJ62" s="293"/>
      <c r="AK62" s="291" t="s">
        <v>69</v>
      </c>
      <c r="AL62" s="279">
        <f t="shared" si="67"/>
        <v>-5868</v>
      </c>
      <c r="AM62" s="280">
        <f t="shared" si="67"/>
        <v>-125000</v>
      </c>
      <c r="AN62" s="281">
        <f t="shared" si="67"/>
        <v>-130868</v>
      </c>
      <c r="AO62" s="279"/>
      <c r="AP62" s="282">
        <f t="shared" si="68"/>
        <v>0</v>
      </c>
      <c r="AQ62" s="283">
        <f t="shared" si="68"/>
        <v>0</v>
      </c>
      <c r="AR62" s="283">
        <f t="shared" si="68"/>
        <v>0</v>
      </c>
      <c r="AS62" s="283">
        <f t="shared" si="68"/>
        <v>-36386</v>
      </c>
      <c r="AT62" s="289"/>
      <c r="AU62" s="283">
        <f t="shared" si="69"/>
        <v>-36386</v>
      </c>
      <c r="AV62" s="290"/>
      <c r="AW62" s="297"/>
      <c r="AX62" s="181"/>
    </row>
    <row r="63" spans="1:79" s="66" customFormat="1" ht="15.75" customHeight="1" x14ac:dyDescent="0.3">
      <c r="A63" s="446">
        <v>1</v>
      </c>
      <c r="B63" s="159"/>
      <c r="C63" s="157" t="s">
        <v>70</v>
      </c>
      <c r="D63" s="482">
        <v>10756</v>
      </c>
      <c r="E63" s="491">
        <f t="shared" si="65"/>
        <v>75175</v>
      </c>
      <c r="F63" s="483">
        <v>85931</v>
      </c>
      <c r="G63" s="482"/>
      <c r="H63" s="484">
        <v>65755</v>
      </c>
      <c r="I63" s="485">
        <v>1740</v>
      </c>
      <c r="J63" s="485">
        <v>1399</v>
      </c>
      <c r="K63" s="485">
        <v>4378</v>
      </c>
      <c r="L63" s="156"/>
      <c r="M63" s="147">
        <f t="shared" si="66"/>
        <v>73272</v>
      </c>
      <c r="N63" s="172">
        <f t="shared" si="38"/>
        <v>0.85268413029058199</v>
      </c>
      <c r="O63" s="163"/>
      <c r="P63" s="181"/>
      <c r="Q63"/>
      <c r="R63"/>
      <c r="S63" s="293"/>
      <c r="T63" s="291" t="str">
        <f t="shared" si="39"/>
        <v>Software and other intangible assets</v>
      </c>
      <c r="U63" s="604">
        <v>0</v>
      </c>
      <c r="V63" s="608">
        <v>0</v>
      </c>
      <c r="W63" s="605">
        <v>0</v>
      </c>
      <c r="X63" s="279"/>
      <c r="Y63" s="282">
        <v>65755</v>
      </c>
      <c r="Z63" s="597">
        <v>1740</v>
      </c>
      <c r="AA63" s="597"/>
      <c r="AB63" s="597"/>
      <c r="AC63" s="289"/>
      <c r="AD63" s="283">
        <v>67495</v>
      </c>
      <c r="AE63" s="290">
        <v>6.2751022685013016</v>
      </c>
      <c r="AF63" s="297"/>
      <c r="AG63" s="317"/>
      <c r="AH63"/>
      <c r="AI63"/>
      <c r="AJ63" s="293"/>
      <c r="AK63" s="291" t="s">
        <v>70</v>
      </c>
      <c r="AL63" s="279">
        <f t="shared" si="67"/>
        <v>-10756</v>
      </c>
      <c r="AM63" s="280">
        <f t="shared" si="67"/>
        <v>-75175</v>
      </c>
      <c r="AN63" s="281">
        <f t="shared" si="67"/>
        <v>-85931</v>
      </c>
      <c r="AO63" s="279"/>
      <c r="AP63" s="282">
        <f t="shared" si="68"/>
        <v>0</v>
      </c>
      <c r="AQ63" s="283">
        <f t="shared" si="68"/>
        <v>0</v>
      </c>
      <c r="AR63" s="283">
        <f t="shared" si="68"/>
        <v>-1399</v>
      </c>
      <c r="AS63" s="283">
        <f t="shared" si="68"/>
        <v>-4378</v>
      </c>
      <c r="AT63" s="289"/>
      <c r="AU63" s="283">
        <f t="shared" si="69"/>
        <v>-5777</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5"/>
        <v>6298</v>
      </c>
      <c r="F64" s="488">
        <v>6298</v>
      </c>
      <c r="G64" s="487"/>
      <c r="H64" s="489">
        <v>1343</v>
      </c>
      <c r="I64" s="490">
        <v>6049</v>
      </c>
      <c r="J64" s="490">
        <v>4906</v>
      </c>
      <c r="K64" s="490">
        <v>18149.599999999999</v>
      </c>
      <c r="L64" s="156"/>
      <c r="M64" s="155">
        <f t="shared" si="66"/>
        <v>30447.599999999999</v>
      </c>
      <c r="N64" s="183">
        <f t="shared" si="38"/>
        <v>4.8344871387742137</v>
      </c>
      <c r="O64" s="595"/>
      <c r="P64" s="478"/>
      <c r="Q64"/>
      <c r="R64"/>
      <c r="S64" s="293"/>
      <c r="T64" s="314" t="str">
        <f t="shared" si="39"/>
        <v>Payments for financial assets</v>
      </c>
      <c r="U64" s="602">
        <v>0</v>
      </c>
      <c r="V64" s="610">
        <v>1</v>
      </c>
      <c r="W64" s="603">
        <v>1</v>
      </c>
      <c r="X64" s="285"/>
      <c r="Y64" s="287">
        <v>1343</v>
      </c>
      <c r="Z64" s="597">
        <v>6049</v>
      </c>
      <c r="AA64" s="597"/>
      <c r="AB64" s="597"/>
      <c r="AC64" s="289"/>
      <c r="AD64" s="288">
        <v>7392</v>
      </c>
      <c r="AE64" s="290">
        <v>0</v>
      </c>
      <c r="AF64" s="297"/>
      <c r="AG64" s="317"/>
      <c r="AH64"/>
      <c r="AI64"/>
      <c r="AJ64" s="293"/>
      <c r="AK64" s="314" t="s">
        <v>3</v>
      </c>
      <c r="AL64" s="285">
        <f t="shared" si="67"/>
        <v>0</v>
      </c>
      <c r="AM64" s="289">
        <f t="shared" si="67"/>
        <v>-6297</v>
      </c>
      <c r="AN64" s="286">
        <f t="shared" si="67"/>
        <v>-6297</v>
      </c>
      <c r="AO64" s="285"/>
      <c r="AP64" s="287">
        <f t="shared" si="68"/>
        <v>0</v>
      </c>
      <c r="AQ64" s="288">
        <f t="shared" si="68"/>
        <v>0</v>
      </c>
      <c r="AR64" s="288">
        <f t="shared" si="68"/>
        <v>-4906</v>
      </c>
      <c r="AS64" s="288">
        <f t="shared" si="68"/>
        <v>-18149.599999999999</v>
      </c>
      <c r="AT64" s="289"/>
      <c r="AU64" s="288">
        <f t="shared" si="69"/>
        <v>-23055.599999999999</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293"/>
      <c r="T65" s="305"/>
      <c r="U65" s="604">
        <v>0</v>
      </c>
      <c r="V65" s="608">
        <v>0</v>
      </c>
      <c r="W65" s="605">
        <v>0</v>
      </c>
      <c r="X65" s="285"/>
      <c r="Y65" s="282"/>
      <c r="Z65" s="283"/>
      <c r="AA65" s="283"/>
      <c r="AB65" s="283"/>
      <c r="AC65" s="289"/>
      <c r="AD65" s="283"/>
      <c r="AE65" s="283"/>
      <c r="AF65" s="297"/>
      <c r="AG65" s="317"/>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132442500.99999999</v>
      </c>
      <c r="E66" s="179">
        <f t="shared" ref="E66" si="70">E44+E48+E56+E64</f>
        <v>9620.0000000037253</v>
      </c>
      <c r="F66" s="166">
        <f>F44+F48+F56+F64+1</f>
        <v>132452122</v>
      </c>
      <c r="G66" s="165"/>
      <c r="H66" s="167">
        <f t="shared" ref="H66:I66" si="71">H44+H48+H56+H64</f>
        <v>30753425.600000001</v>
      </c>
      <c r="I66" s="437">
        <f t="shared" si="71"/>
        <v>30435940.699999999</v>
      </c>
      <c r="J66" s="437">
        <f t="shared" ref="J66:K66" si="72">J44+J48+J56+J64</f>
        <v>32495585</v>
      </c>
      <c r="K66" s="437">
        <f t="shared" si="72"/>
        <v>34585386.111000001</v>
      </c>
      <c r="L66" s="156"/>
      <c r="M66" s="168">
        <f>M44+M48+M56+M64+1</f>
        <v>128270338.411</v>
      </c>
      <c r="N66" s="180">
        <f>IFERROR(M66/F66,0)</f>
        <v>0.96842796079174931</v>
      </c>
      <c r="O66" s="595"/>
      <c r="P66" s="594"/>
      <c r="Q66"/>
      <c r="R66"/>
      <c r="S66" s="248"/>
      <c r="T66" s="298" t="s">
        <v>12</v>
      </c>
      <c r="U66" s="606">
        <v>0</v>
      </c>
      <c r="V66" s="609">
        <v>-434337.99999999627</v>
      </c>
      <c r="W66" s="607">
        <v>-434336.9999999851</v>
      </c>
      <c r="X66" s="299"/>
      <c r="Y66" s="301">
        <v>30749660.600000001</v>
      </c>
      <c r="Z66" s="599">
        <v>30439756.699999999</v>
      </c>
      <c r="AA66" s="599" t="s">
        <v>52</v>
      </c>
      <c r="AB66" s="599" t="s">
        <v>52</v>
      </c>
      <c r="AC66" s="289"/>
      <c r="AD66" s="302">
        <v>61189417.299999997</v>
      </c>
      <c r="AE66" s="303">
        <v>0.46200741331515632</v>
      </c>
      <c r="AF66" s="297"/>
      <c r="AG66" s="316"/>
      <c r="AH66"/>
      <c r="AI66"/>
      <c r="AJ66" s="248"/>
      <c r="AK66" s="298" t="s">
        <v>12</v>
      </c>
      <c r="AL66" s="299">
        <f>AL44+AL48+AL56+AL64</f>
        <v>-132442500.99999999</v>
      </c>
      <c r="AM66" s="313">
        <f t="shared" ref="AM66" si="73">AM44+AM48+AM56+AM64</f>
        <v>-443958</v>
      </c>
      <c r="AN66" s="300">
        <f>AN44+AN48+AN56+AN64</f>
        <v>-132886458.99999999</v>
      </c>
      <c r="AO66" s="299"/>
      <c r="AP66" s="301">
        <f>AP44+AP48+AP56+AP64</f>
        <v>-3765</v>
      </c>
      <c r="AQ66" s="302">
        <f t="shared" ref="AQ66:AS66" si="74">AQ44+AQ48+AQ56+AQ64</f>
        <v>3816</v>
      </c>
      <c r="AR66" s="302">
        <f t="shared" si="74"/>
        <v>-32495585</v>
      </c>
      <c r="AS66" s="302">
        <f t="shared" si="74"/>
        <v>-34585386.111000001</v>
      </c>
      <c r="AT66" s="289"/>
      <c r="AU66" s="302">
        <f>AU44+AU48+AU56+AU64</f>
        <v>-67080920.111000009</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248"/>
      <c r="T67" s="316"/>
      <c r="U67" s="317"/>
      <c r="V67" s="316"/>
      <c r="W67" s="317"/>
      <c r="X67" s="316"/>
      <c r="Y67" s="316"/>
      <c r="Z67" s="316"/>
      <c r="AA67" s="316"/>
      <c r="AB67" s="316"/>
      <c r="AC67" s="317"/>
      <c r="AD67" s="316"/>
      <c r="AE67" s="316"/>
      <c r="AF67" s="292"/>
      <c r="AG67" s="316"/>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Settings!$X$10 &amp; "    " &amp; Settings!$Z$10 &amp; ": Provincial Treasury Gauteng     Tel No:  " &amp; Settings!$AB$10</f>
        <v>Information submitted by:  Nomfundo Tshabalala    Head Official: Provincial Treasury Gauteng     Tel No:  (011) 689-8233</v>
      </c>
      <c r="D68" s="186"/>
      <c r="E68" s="187"/>
      <c r="F68" s="187"/>
      <c r="G68" s="188"/>
      <c r="H68" s="186"/>
      <c r="I68" s="186"/>
      <c r="J68" s="186"/>
      <c r="K68" s="186"/>
      <c r="L68" s="188"/>
      <c r="M68" s="186"/>
      <c r="N68" s="187"/>
      <c r="O68" s="189"/>
      <c r="P68" s="118"/>
      <c r="Q68"/>
      <c r="R68"/>
      <c r="S68" s="318"/>
      <c r="T68" s="319"/>
      <c r="U68" s="320"/>
      <c r="V68" s="321"/>
      <c r="W68" s="321"/>
      <c r="X68" s="322"/>
      <c r="Y68" s="320"/>
      <c r="Z68" s="320"/>
      <c r="AA68" s="320"/>
      <c r="AB68" s="320"/>
      <c r="AC68" s="322"/>
      <c r="AD68" s="320"/>
      <c r="AE68" s="321"/>
      <c r="AF68" s="323"/>
      <c r="AG68" s="316"/>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324"/>
      <c r="T69" s="325"/>
      <c r="U69" s="325"/>
      <c r="V69" s="325"/>
      <c r="W69" s="325"/>
      <c r="X69" s="325"/>
      <c r="Y69" s="325"/>
      <c r="Z69" s="325"/>
      <c r="AA69" s="325"/>
      <c r="AB69" s="325"/>
      <c r="AC69" s="325"/>
      <c r="AD69" s="325"/>
      <c r="AE69" s="325"/>
      <c r="AF69" s="326"/>
      <c r="AG69" s="316"/>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327"/>
      <c r="T70" s="618"/>
      <c r="U70" s="619"/>
      <c r="V70" s="619"/>
      <c r="W70" s="619"/>
      <c r="X70" s="619"/>
      <c r="Y70" s="619"/>
      <c r="Z70" s="619"/>
      <c r="AA70" s="619"/>
      <c r="AB70" s="619"/>
      <c r="AC70" s="619"/>
      <c r="AD70" s="619"/>
      <c r="AE70" s="619"/>
      <c r="AF70" s="328"/>
      <c r="AG70" s="316"/>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327"/>
      <c r="T71" s="620"/>
      <c r="U71" s="621"/>
      <c r="V71" s="621"/>
      <c r="W71" s="621"/>
      <c r="X71" s="621"/>
      <c r="Y71" s="621"/>
      <c r="Z71" s="621"/>
      <c r="AA71" s="621"/>
      <c r="AB71" s="621"/>
      <c r="AC71" s="621"/>
      <c r="AD71" s="621"/>
      <c r="AE71" s="621"/>
      <c r="AF71" s="328"/>
      <c r="AG71" s="316"/>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329"/>
      <c r="T72" s="622"/>
      <c r="U72" s="623"/>
      <c r="V72" s="623"/>
      <c r="W72" s="623"/>
      <c r="X72" s="623"/>
      <c r="Y72" s="623"/>
      <c r="Z72" s="623"/>
      <c r="AA72" s="623"/>
      <c r="AB72" s="623"/>
      <c r="AC72" s="623"/>
      <c r="AD72" s="623"/>
      <c r="AE72" s="623"/>
      <c r="AF72" s="330"/>
      <c r="AG72" s="336"/>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s="336"/>
      <c r="T73" s="336"/>
      <c r="U73" s="337"/>
      <c r="V73" s="336"/>
      <c r="W73" s="337"/>
      <c r="X73" s="336"/>
      <c r="Y73" s="336"/>
      <c r="Z73" s="336"/>
      <c r="AA73" s="336"/>
      <c r="AB73" s="336"/>
      <c r="AC73" s="336"/>
      <c r="AD73" s="336"/>
      <c r="AE73" s="336"/>
      <c r="AF73" s="336"/>
      <c r="AG73" s="336"/>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s="336"/>
      <c r="T74" s="336"/>
      <c r="U74" s="337"/>
      <c r="V74" s="336"/>
      <c r="W74" s="337"/>
      <c r="X74" s="336"/>
      <c r="Y74" s="336"/>
      <c r="Z74" s="336"/>
      <c r="AA74" s="336"/>
      <c r="AB74" s="336"/>
      <c r="AC74" s="336"/>
      <c r="AD74" s="336"/>
      <c r="AE74" s="336"/>
      <c r="AF74" s="336"/>
      <c r="AG74" s="336"/>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s="336"/>
      <c r="T75" s="336"/>
      <c r="U75" s="337"/>
      <c r="V75" s="336"/>
      <c r="W75" s="337"/>
      <c r="X75" s="336"/>
      <c r="Y75" s="336"/>
      <c r="Z75" s="336"/>
      <c r="AA75" s="336"/>
      <c r="AB75" s="336"/>
      <c r="AC75" s="336"/>
      <c r="AD75" s="336"/>
      <c r="AE75" s="336"/>
      <c r="AF75" s="336"/>
      <c r="AG75" s="336"/>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s="336"/>
      <c r="T76" s="336"/>
      <c r="U76" s="337"/>
      <c r="V76" s="336"/>
      <c r="W76" s="337"/>
      <c r="X76" s="336"/>
      <c r="Y76" s="336"/>
      <c r="Z76" s="336"/>
      <c r="AA76" s="336"/>
      <c r="AB76" s="336"/>
      <c r="AC76" s="336"/>
      <c r="AD76" s="336"/>
      <c r="AE76" s="336"/>
      <c r="AF76" s="336"/>
      <c r="AG76" s="33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s="336"/>
      <c r="T77" s="336"/>
      <c r="U77" s="337"/>
      <c r="V77" s="336"/>
      <c r="W77" s="337"/>
      <c r="X77" s="336"/>
      <c r="Y77" s="336"/>
      <c r="Z77" s="336"/>
      <c r="AA77" s="336"/>
      <c r="AB77" s="336"/>
      <c r="AC77" s="336"/>
      <c r="AD77" s="336"/>
      <c r="AE77" s="336"/>
      <c r="AF77" s="336"/>
      <c r="AG77" s="336"/>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s="336"/>
      <c r="T78" s="336"/>
      <c r="U78" s="337"/>
      <c r="V78" s="336"/>
      <c r="W78" s="337"/>
      <c r="X78" s="336"/>
      <c r="Y78" s="336"/>
      <c r="Z78" s="336"/>
      <c r="AA78" s="336"/>
      <c r="AB78" s="336"/>
      <c r="AC78" s="336"/>
      <c r="AD78" s="336"/>
      <c r="AE78" s="336"/>
      <c r="AF78" s="336"/>
      <c r="AG78" s="336"/>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s="336"/>
      <c r="T79" s="336"/>
      <c r="U79" s="337"/>
      <c r="V79" s="336"/>
      <c r="W79" s="337"/>
      <c r="X79" s="336"/>
      <c r="Y79" s="336"/>
      <c r="Z79" s="336"/>
      <c r="AA79" s="336"/>
      <c r="AB79" s="336"/>
      <c r="AC79" s="336"/>
      <c r="AD79" s="336"/>
      <c r="AE79" s="336"/>
      <c r="AF79" s="336"/>
      <c r="AG79" s="336"/>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s="336"/>
      <c r="T80" s="336"/>
      <c r="U80" s="337"/>
      <c r="V80" s="336"/>
      <c r="W80" s="337"/>
      <c r="X80" s="336"/>
      <c r="Y80" s="336"/>
      <c r="Z80" s="336"/>
      <c r="AA80" s="336"/>
      <c r="AB80" s="336"/>
      <c r="AC80" s="336"/>
      <c r="AD80" s="336"/>
      <c r="AE80" s="336"/>
      <c r="AF80" s="336"/>
      <c r="AG80" s="336"/>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s="336"/>
      <c r="T81" s="336"/>
      <c r="U81" s="337"/>
      <c r="V81" s="336"/>
      <c r="W81" s="337"/>
      <c r="X81" s="336"/>
      <c r="Y81" s="336"/>
      <c r="Z81" s="336"/>
      <c r="AA81" s="336"/>
      <c r="AB81" s="336"/>
      <c r="AC81" s="336"/>
      <c r="AD81" s="336"/>
      <c r="AE81" s="336"/>
      <c r="AF81" s="336"/>
      <c r="AG81" s="336"/>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s="336"/>
      <c r="T82" s="336"/>
      <c r="U82" s="337"/>
      <c r="V82" s="336"/>
      <c r="W82" s="337"/>
      <c r="X82" s="336"/>
      <c r="Y82" s="336"/>
      <c r="Z82" s="336"/>
      <c r="AA82" s="336"/>
      <c r="AB82" s="336"/>
      <c r="AC82" s="336"/>
      <c r="AD82" s="336"/>
      <c r="AE82" s="336"/>
      <c r="AF82" s="336"/>
      <c r="AG82" s="336"/>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s="336"/>
      <c r="T83" s="336"/>
      <c r="U83" s="337"/>
      <c r="V83" s="336"/>
      <c r="W83" s="337"/>
      <c r="X83" s="336"/>
      <c r="Y83" s="336"/>
      <c r="Z83" s="336"/>
      <c r="AA83" s="336"/>
      <c r="AB83" s="336"/>
      <c r="AC83" s="336"/>
      <c r="AD83" s="336"/>
      <c r="AE83" s="336"/>
      <c r="AF83" s="336"/>
      <c r="AG83" s="336"/>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s="336"/>
      <c r="T84" s="336"/>
      <c r="U84" s="337"/>
      <c r="V84" s="336"/>
      <c r="W84" s="337"/>
      <c r="X84" s="336"/>
      <c r="Y84" s="336"/>
      <c r="Z84" s="336"/>
      <c r="AA84" s="336"/>
      <c r="AB84" s="336"/>
      <c r="AC84" s="336"/>
      <c r="AD84" s="336"/>
      <c r="AE84" s="336"/>
      <c r="AF84" s="336"/>
      <c r="AG84" s="336"/>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s="336"/>
      <c r="T85" s="336"/>
      <c r="U85" s="337"/>
      <c r="V85" s="336"/>
      <c r="W85" s="337"/>
      <c r="X85" s="336"/>
      <c r="Y85" s="336"/>
      <c r="Z85" s="336"/>
      <c r="AA85" s="336"/>
      <c r="AB85" s="336"/>
      <c r="AC85" s="336"/>
      <c r="AD85" s="336"/>
      <c r="AE85" s="336"/>
      <c r="AF85" s="336"/>
      <c r="AG85" s="336"/>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s="336"/>
      <c r="T86" s="336"/>
      <c r="U86" s="337"/>
      <c r="V86" s="336"/>
      <c r="W86" s="337"/>
      <c r="X86" s="336"/>
      <c r="Y86" s="336"/>
      <c r="Z86" s="336"/>
      <c r="AA86" s="336"/>
      <c r="AB86" s="336"/>
      <c r="AC86" s="336"/>
      <c r="AD86" s="336"/>
      <c r="AE86" s="336"/>
      <c r="AF86" s="336"/>
      <c r="AG86" s="33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s="336"/>
      <c r="T87" s="336"/>
      <c r="U87" s="337"/>
      <c r="V87" s="336"/>
      <c r="W87" s="337"/>
      <c r="X87" s="336"/>
      <c r="Y87" s="336"/>
      <c r="Z87" s="336"/>
      <c r="AA87" s="336"/>
      <c r="AB87" s="336"/>
      <c r="AC87" s="336"/>
      <c r="AD87" s="336"/>
      <c r="AE87" s="336"/>
      <c r="AF87" s="336"/>
      <c r="AG87" s="336"/>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s="336"/>
      <c r="T88" s="336"/>
      <c r="U88" s="337"/>
      <c r="V88" s="336"/>
      <c r="W88" s="337"/>
      <c r="X88" s="336"/>
      <c r="Y88" s="336"/>
      <c r="Z88" s="336"/>
      <c r="AA88" s="336"/>
      <c r="AB88" s="336"/>
      <c r="AC88" s="336"/>
      <c r="AD88" s="336"/>
      <c r="AE88" s="336"/>
      <c r="AF88" s="336"/>
      <c r="AG88" s="336"/>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s="336"/>
      <c r="T89" s="336"/>
      <c r="U89" s="337"/>
      <c r="V89" s="336"/>
      <c r="W89" s="337"/>
      <c r="X89" s="336"/>
      <c r="Y89" s="336"/>
      <c r="Z89" s="336"/>
      <c r="AA89" s="336"/>
      <c r="AB89" s="336"/>
      <c r="AC89" s="336"/>
      <c r="AD89" s="336"/>
      <c r="AE89" s="336"/>
      <c r="AF89" s="336"/>
      <c r="AG89" s="336"/>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s="336"/>
      <c r="T90" s="336"/>
      <c r="U90" s="337"/>
      <c r="V90" s="336"/>
      <c r="W90" s="337"/>
      <c r="X90" s="336"/>
      <c r="Y90" s="336"/>
      <c r="Z90" s="336"/>
      <c r="AA90" s="336"/>
      <c r="AB90" s="336"/>
      <c r="AC90" s="336"/>
      <c r="AD90" s="336"/>
      <c r="AE90" s="336"/>
      <c r="AF90" s="336"/>
      <c r="AG90" s="336"/>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s="336"/>
      <c r="T91" s="336"/>
      <c r="U91" s="337"/>
      <c r="V91" s="336"/>
      <c r="W91" s="337"/>
      <c r="X91" s="336"/>
      <c r="Y91" s="336"/>
      <c r="Z91" s="336"/>
      <c r="AA91" s="336"/>
      <c r="AB91" s="336"/>
      <c r="AC91" s="336"/>
      <c r="AD91" s="336"/>
      <c r="AE91" s="336"/>
      <c r="AF91" s="336"/>
      <c r="AG91" s="336"/>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s="336"/>
      <c r="T92" s="336"/>
      <c r="U92" s="337"/>
      <c r="V92" s="336"/>
      <c r="W92" s="337"/>
      <c r="X92" s="336"/>
      <c r="Y92" s="336"/>
      <c r="Z92" s="336"/>
      <c r="AA92" s="336"/>
      <c r="AB92" s="336"/>
      <c r="AC92" s="336"/>
      <c r="AD92" s="336"/>
      <c r="AE92" s="336"/>
      <c r="AF92" s="336"/>
      <c r="AG92" s="336"/>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s="336"/>
      <c r="T93" s="336"/>
      <c r="U93" s="337"/>
      <c r="V93" s="336"/>
      <c r="W93" s="337"/>
      <c r="X93" s="336"/>
      <c r="Y93" s="336"/>
      <c r="Z93" s="336"/>
      <c r="AA93" s="336"/>
      <c r="AB93" s="336"/>
      <c r="AC93" s="336"/>
      <c r="AD93" s="336"/>
      <c r="AE93" s="336"/>
      <c r="AF93" s="336"/>
      <c r="AG93" s="336"/>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s="336"/>
      <c r="T94" s="336"/>
      <c r="U94" s="337"/>
      <c r="V94" s="336"/>
      <c r="W94" s="337"/>
      <c r="X94" s="336"/>
      <c r="Y94" s="336"/>
      <c r="Z94" s="336"/>
      <c r="AA94" s="336"/>
      <c r="AB94" s="336"/>
      <c r="AC94" s="336"/>
      <c r="AD94" s="336"/>
      <c r="AE94" s="336"/>
      <c r="AF94" s="336"/>
      <c r="AG94" s="336"/>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s="336"/>
      <c r="T95" s="336"/>
      <c r="U95" s="337"/>
      <c r="V95" s="336"/>
      <c r="W95" s="337"/>
      <c r="X95" s="336"/>
      <c r="Y95" s="336"/>
      <c r="Z95" s="336"/>
      <c r="AA95" s="336"/>
      <c r="AB95" s="336"/>
      <c r="AC95" s="336"/>
      <c r="AD95" s="336"/>
      <c r="AE95" s="336"/>
      <c r="AF95" s="336"/>
      <c r="AG95" s="336"/>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s="336"/>
      <c r="T96" s="336"/>
      <c r="U96" s="337"/>
      <c r="V96" s="336"/>
      <c r="W96" s="337"/>
      <c r="X96" s="336"/>
      <c r="Y96" s="336"/>
      <c r="Z96" s="336"/>
      <c r="AA96" s="336"/>
      <c r="AB96" s="336"/>
      <c r="AC96" s="336"/>
      <c r="AD96" s="336"/>
      <c r="AE96" s="336"/>
      <c r="AF96" s="336"/>
      <c r="AG96" s="33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s="336"/>
      <c r="T97" s="336"/>
      <c r="U97" s="337"/>
      <c r="V97" s="336"/>
      <c r="W97" s="337"/>
      <c r="X97" s="336"/>
      <c r="Y97" s="336"/>
      <c r="Z97" s="336"/>
      <c r="AA97" s="336"/>
      <c r="AB97" s="336"/>
      <c r="AC97" s="336"/>
      <c r="AD97" s="336"/>
      <c r="AE97" s="336"/>
      <c r="AF97" s="336"/>
      <c r="AG97" s="336"/>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s="336"/>
      <c r="T98" s="336"/>
      <c r="U98" s="337"/>
      <c r="V98" s="336"/>
      <c r="W98" s="337"/>
      <c r="X98" s="336"/>
      <c r="Y98" s="336"/>
      <c r="Z98" s="336"/>
      <c r="AA98" s="336"/>
      <c r="AB98" s="336"/>
      <c r="AC98" s="336"/>
      <c r="AD98" s="336"/>
      <c r="AE98" s="336"/>
      <c r="AF98" s="336"/>
      <c r="AG98" s="336"/>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s="336"/>
      <c r="T99" s="336"/>
      <c r="U99" s="337"/>
      <c r="V99" s="336"/>
      <c r="W99" s="337"/>
      <c r="X99" s="336"/>
      <c r="Y99" s="336"/>
      <c r="Z99" s="336"/>
      <c r="AA99" s="336"/>
      <c r="AB99" s="336"/>
      <c r="AC99" s="336"/>
      <c r="AD99" s="336"/>
      <c r="AE99" s="336"/>
      <c r="AF99" s="336"/>
      <c r="AG99" s="336"/>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s="336"/>
      <c r="T100" s="336"/>
      <c r="U100" s="337"/>
      <c r="V100" s="336"/>
      <c r="W100" s="337"/>
      <c r="X100" s="336"/>
      <c r="Y100" s="336"/>
      <c r="Z100" s="336"/>
      <c r="AA100" s="336"/>
      <c r="AB100" s="336"/>
      <c r="AC100" s="336"/>
      <c r="AD100" s="336"/>
      <c r="AE100" s="336"/>
      <c r="AF100" s="336"/>
      <c r="AG100" s="336"/>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S101" s="336"/>
      <c r="T101" s="336"/>
      <c r="U101" s="337"/>
      <c r="V101" s="336"/>
      <c r="W101" s="337"/>
      <c r="X101" s="336"/>
      <c r="Y101" s="336"/>
      <c r="Z101" s="336"/>
      <c r="AA101" s="336"/>
      <c r="AB101" s="336"/>
      <c r="AC101" s="336"/>
      <c r="AD101" s="336"/>
      <c r="AE101" s="336"/>
      <c r="AF101" s="336"/>
      <c r="AG101" s="336"/>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S102" s="336"/>
      <c r="T102" s="336"/>
      <c r="U102" s="337"/>
      <c r="V102" s="336"/>
      <c r="W102" s="337"/>
      <c r="X102" s="336"/>
      <c r="Y102" s="336"/>
      <c r="Z102" s="336"/>
      <c r="AA102" s="336"/>
      <c r="AB102" s="336"/>
      <c r="AC102" s="336"/>
      <c r="AD102" s="336"/>
      <c r="AE102" s="336"/>
      <c r="AF102" s="336"/>
      <c r="AG102" s="336"/>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S103" s="336"/>
      <c r="T103" s="336"/>
      <c r="U103" s="337"/>
      <c r="V103" s="336"/>
      <c r="W103" s="337"/>
      <c r="X103" s="336"/>
      <c r="Y103" s="336"/>
      <c r="Z103" s="336"/>
      <c r="AA103" s="336"/>
      <c r="AB103" s="336"/>
      <c r="AC103" s="336"/>
      <c r="AD103" s="336"/>
      <c r="AE103" s="336"/>
      <c r="AF103" s="336"/>
      <c r="AG103" s="336"/>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S104" s="336"/>
      <c r="T104" s="336"/>
      <c r="U104" s="337"/>
      <c r="V104" s="336"/>
      <c r="W104" s="337"/>
      <c r="X104" s="336"/>
      <c r="Y104" s="336"/>
      <c r="Z104" s="336"/>
      <c r="AA104" s="336"/>
      <c r="AB104" s="336"/>
      <c r="AC104" s="336"/>
      <c r="AD104" s="336"/>
      <c r="AE104" s="336"/>
      <c r="AF104" s="336"/>
      <c r="AG104" s="336"/>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S105" s="336"/>
      <c r="T105" s="336"/>
      <c r="U105" s="337"/>
      <c r="V105" s="336"/>
      <c r="W105" s="337"/>
      <c r="X105" s="336"/>
      <c r="Y105" s="336"/>
      <c r="Z105" s="336"/>
      <c r="AA105" s="336"/>
      <c r="AB105" s="336"/>
      <c r="AC105" s="336"/>
      <c r="AD105" s="336"/>
      <c r="AE105" s="336"/>
      <c r="AF105" s="336"/>
      <c r="AG105" s="336"/>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S106" s="336"/>
      <c r="T106" s="336"/>
      <c r="U106" s="337"/>
      <c r="V106" s="336"/>
      <c r="W106" s="337"/>
      <c r="X106" s="336"/>
      <c r="Y106" s="336"/>
      <c r="Z106" s="336"/>
      <c r="AA106" s="336"/>
      <c r="AB106" s="336"/>
      <c r="AC106" s="336"/>
      <c r="AD106" s="336"/>
      <c r="AE106" s="336"/>
      <c r="AF106" s="336"/>
      <c r="AG106" s="336"/>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S107" s="336"/>
      <c r="T107" s="336"/>
      <c r="U107" s="337"/>
      <c r="V107" s="336"/>
      <c r="W107" s="337"/>
      <c r="X107" s="336"/>
      <c r="Y107" s="336"/>
      <c r="Z107" s="336"/>
      <c r="AA107" s="336"/>
      <c r="AB107" s="336"/>
      <c r="AC107" s="336"/>
      <c r="AD107" s="336"/>
      <c r="AE107" s="336"/>
      <c r="AF107" s="336"/>
      <c r="AG107" s="336"/>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S108" s="336"/>
      <c r="T108" s="336"/>
      <c r="U108" s="337"/>
      <c r="V108" s="336"/>
      <c r="W108" s="337"/>
      <c r="X108" s="336"/>
      <c r="Y108" s="336"/>
      <c r="Z108" s="336"/>
      <c r="AA108" s="336"/>
      <c r="AB108" s="336"/>
      <c r="AC108" s="336"/>
      <c r="AD108" s="336"/>
      <c r="AE108" s="336"/>
      <c r="AF108" s="336"/>
      <c r="AG108" s="336"/>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S109" s="336"/>
      <c r="T109" s="336"/>
      <c r="U109" s="337"/>
      <c r="V109" s="336"/>
      <c r="W109" s="337"/>
      <c r="X109" s="336"/>
      <c r="Y109" s="336"/>
      <c r="Z109" s="336"/>
      <c r="AA109" s="336"/>
      <c r="AB109" s="336"/>
      <c r="AC109" s="336"/>
      <c r="AD109" s="336"/>
      <c r="AE109" s="336"/>
      <c r="AF109" s="336"/>
      <c r="AG109" s="336"/>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s="336"/>
      <c r="T110" s="336"/>
      <c r="U110" s="337"/>
      <c r="V110" s="336"/>
      <c r="W110" s="337"/>
      <c r="X110" s="336"/>
      <c r="Y110" s="336"/>
      <c r="Z110" s="336"/>
      <c r="AA110" s="336"/>
      <c r="AB110" s="336"/>
      <c r="AC110" s="336"/>
      <c r="AD110" s="336"/>
      <c r="AE110" s="336"/>
      <c r="AF110" s="336"/>
      <c r="AG110" s="336"/>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s="336"/>
      <c r="T111" s="336"/>
      <c r="U111" s="337"/>
      <c r="V111" s="336"/>
      <c r="W111" s="337"/>
      <c r="X111" s="336"/>
      <c r="Y111" s="336"/>
      <c r="Z111" s="336"/>
      <c r="AA111" s="336"/>
      <c r="AB111" s="336"/>
      <c r="AC111" s="336"/>
      <c r="AD111" s="336"/>
      <c r="AE111" s="336"/>
      <c r="AF111" s="336"/>
      <c r="AG111" s="336"/>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s="336"/>
      <c r="T112" s="336"/>
      <c r="U112" s="337"/>
      <c r="V112" s="336"/>
      <c r="W112" s="337"/>
      <c r="X112" s="336"/>
      <c r="Y112" s="336"/>
      <c r="Z112" s="336"/>
      <c r="AA112" s="336"/>
      <c r="AB112" s="336"/>
      <c r="AC112" s="336"/>
      <c r="AD112" s="336"/>
      <c r="AE112" s="336"/>
      <c r="AF112" s="336"/>
      <c r="AG112" s="336"/>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s="336"/>
      <c r="T113" s="336"/>
      <c r="U113" s="337"/>
      <c r="V113" s="336"/>
      <c r="W113" s="337"/>
      <c r="X113" s="336"/>
      <c r="Y113" s="336"/>
      <c r="Z113" s="336"/>
      <c r="AA113" s="336"/>
      <c r="AB113" s="336"/>
      <c r="AC113" s="336"/>
      <c r="AD113" s="336"/>
      <c r="AE113" s="336"/>
      <c r="AF113" s="336"/>
      <c r="AG113" s="336"/>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s="336"/>
      <c r="T114" s="336"/>
      <c r="U114" s="337"/>
      <c r="V114" s="336"/>
      <c r="W114" s="337"/>
      <c r="X114" s="336"/>
      <c r="Y114" s="336"/>
      <c r="Z114" s="336"/>
      <c r="AA114" s="336"/>
      <c r="AB114" s="336"/>
      <c r="AC114" s="336"/>
      <c r="AD114" s="336"/>
      <c r="AE114" s="336"/>
      <c r="AF114" s="336"/>
      <c r="AG114" s="336"/>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s="336"/>
      <c r="T115" s="336"/>
      <c r="U115" s="337"/>
      <c r="V115" s="336"/>
      <c r="W115" s="337"/>
      <c r="X115" s="336"/>
      <c r="Y115" s="336"/>
      <c r="Z115" s="336"/>
      <c r="AA115" s="336"/>
      <c r="AB115" s="336"/>
      <c r="AC115" s="336"/>
      <c r="AD115" s="336"/>
      <c r="AE115" s="336"/>
      <c r="AF115" s="336"/>
      <c r="AG115" s="336"/>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s="336"/>
      <c r="T116" s="336"/>
      <c r="U116" s="337"/>
      <c r="V116" s="336"/>
      <c r="W116" s="337"/>
      <c r="X116" s="336"/>
      <c r="Y116" s="336"/>
      <c r="Z116" s="336"/>
      <c r="AA116" s="336"/>
      <c r="AB116" s="336"/>
      <c r="AC116" s="336"/>
      <c r="AD116" s="336"/>
      <c r="AE116" s="336"/>
      <c r="AF116" s="336"/>
      <c r="AG116" s="33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s="336"/>
      <c r="T117" s="336"/>
      <c r="U117" s="337"/>
      <c r="V117" s="336"/>
      <c r="W117" s="337"/>
      <c r="X117" s="336"/>
      <c r="Y117" s="336"/>
      <c r="Z117" s="336"/>
      <c r="AA117" s="336"/>
      <c r="AB117" s="336"/>
      <c r="AC117" s="336"/>
      <c r="AD117" s="336"/>
      <c r="AE117" s="336"/>
      <c r="AF117" s="336"/>
      <c r="AG117" s="336"/>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s="336"/>
      <c r="T118" s="336"/>
      <c r="U118" s="337"/>
      <c r="V118" s="336"/>
      <c r="W118" s="337"/>
      <c r="X118" s="336"/>
      <c r="Y118" s="336"/>
      <c r="Z118" s="336"/>
      <c r="AA118" s="336"/>
      <c r="AB118" s="336"/>
      <c r="AC118" s="336"/>
      <c r="AD118" s="336"/>
      <c r="AE118" s="336"/>
      <c r="AF118" s="336"/>
      <c r="AG118" s="336"/>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s="336"/>
      <c r="T119" s="336"/>
      <c r="U119" s="337"/>
      <c r="V119" s="336"/>
      <c r="W119" s="337"/>
      <c r="X119" s="336"/>
      <c r="Y119" s="336"/>
      <c r="Z119" s="336"/>
      <c r="AA119" s="336"/>
      <c r="AB119" s="336"/>
      <c r="AC119" s="336"/>
      <c r="AD119" s="336"/>
      <c r="AE119" s="336"/>
      <c r="AF119" s="336"/>
      <c r="AG119" s="336"/>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s="336"/>
      <c r="T120" s="336"/>
      <c r="U120" s="337"/>
      <c r="V120" s="336"/>
      <c r="W120" s="337"/>
      <c r="X120" s="336"/>
      <c r="Y120" s="336"/>
      <c r="Z120" s="336"/>
      <c r="AA120" s="336"/>
      <c r="AB120" s="336"/>
      <c r="AC120" s="336"/>
      <c r="AD120" s="336"/>
      <c r="AE120" s="336"/>
      <c r="AF120" s="336"/>
      <c r="AG120" s="336"/>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s="336"/>
      <c r="T121" s="336"/>
      <c r="U121" s="337"/>
      <c r="V121" s="336"/>
      <c r="W121" s="337"/>
      <c r="X121" s="336"/>
      <c r="Y121" s="336"/>
      <c r="Z121" s="336"/>
      <c r="AA121" s="336"/>
      <c r="AB121" s="336"/>
      <c r="AC121" s="336"/>
      <c r="AD121" s="336"/>
      <c r="AE121" s="336"/>
      <c r="AF121" s="336"/>
      <c r="AG121" s="336"/>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s="336"/>
      <c r="T122" s="336"/>
      <c r="U122" s="337"/>
      <c r="V122" s="336"/>
      <c r="W122" s="337"/>
      <c r="X122" s="336"/>
      <c r="Y122" s="336"/>
      <c r="Z122" s="336"/>
      <c r="AA122" s="336"/>
      <c r="AB122" s="336"/>
      <c r="AC122" s="336"/>
      <c r="AD122" s="336"/>
      <c r="AE122" s="336"/>
      <c r="AF122" s="336"/>
      <c r="AG122" s="336"/>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s="336"/>
      <c r="T123" s="336"/>
      <c r="U123" s="337"/>
      <c r="V123" s="336"/>
      <c r="W123" s="337"/>
      <c r="X123" s="336"/>
      <c r="Y123" s="336"/>
      <c r="Z123" s="336"/>
      <c r="AA123" s="336"/>
      <c r="AB123" s="336"/>
      <c r="AC123" s="336"/>
      <c r="AD123" s="336"/>
      <c r="AE123" s="336"/>
      <c r="AF123" s="336"/>
      <c r="AG123" s="336"/>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s="336"/>
      <c r="T124" s="336"/>
      <c r="U124" s="337"/>
      <c r="V124" s="336"/>
      <c r="W124" s="337"/>
      <c r="X124" s="336"/>
      <c r="Y124" s="336"/>
      <c r="Z124" s="336"/>
      <c r="AA124" s="336"/>
      <c r="AB124" s="336"/>
      <c r="AC124" s="336"/>
      <c r="AD124" s="336"/>
      <c r="AE124" s="336"/>
      <c r="AF124" s="336"/>
      <c r="AG124" s="336"/>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s="336"/>
      <c r="T125" s="336"/>
      <c r="U125" s="337"/>
      <c r="V125" s="336"/>
      <c r="W125" s="337"/>
      <c r="X125" s="336"/>
      <c r="Y125" s="336"/>
      <c r="Z125" s="336"/>
      <c r="AA125" s="336"/>
      <c r="AB125" s="336"/>
      <c r="AC125" s="336"/>
      <c r="AD125" s="336"/>
      <c r="AE125" s="336"/>
      <c r="AF125" s="336"/>
      <c r="AG125" s="336"/>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s="336"/>
      <c r="T126" s="336"/>
      <c r="U126" s="337"/>
      <c r="V126" s="336"/>
      <c r="W126" s="337"/>
      <c r="X126" s="336"/>
      <c r="Y126" s="336"/>
      <c r="Z126" s="336"/>
      <c r="AA126" s="336"/>
      <c r="AB126" s="336"/>
      <c r="AC126" s="336"/>
      <c r="AD126" s="336"/>
      <c r="AE126" s="336"/>
      <c r="AF126" s="336"/>
      <c r="AG126" s="33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s="336"/>
      <c r="T127" s="336"/>
      <c r="U127" s="337"/>
      <c r="V127" s="336"/>
      <c r="W127" s="337"/>
      <c r="X127" s="336"/>
      <c r="Y127" s="336"/>
      <c r="Z127" s="336"/>
      <c r="AA127" s="336"/>
      <c r="AB127" s="336"/>
      <c r="AC127" s="336"/>
      <c r="AD127" s="336"/>
      <c r="AE127" s="336"/>
      <c r="AF127" s="336"/>
      <c r="AG127" s="336"/>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s="336"/>
      <c r="T128" s="336"/>
      <c r="U128" s="337"/>
      <c r="V128" s="336"/>
      <c r="W128" s="337"/>
      <c r="X128" s="336"/>
      <c r="Y128" s="336"/>
      <c r="Z128" s="336"/>
      <c r="AA128" s="336"/>
      <c r="AB128" s="336"/>
      <c r="AC128" s="336"/>
      <c r="AD128" s="336"/>
      <c r="AE128" s="336"/>
      <c r="AF128" s="336"/>
      <c r="AG128" s="336"/>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s="336"/>
      <c r="T129" s="336"/>
      <c r="U129" s="337"/>
      <c r="V129" s="336"/>
      <c r="W129" s="337"/>
      <c r="X129" s="336"/>
      <c r="Y129" s="336"/>
      <c r="Z129" s="336"/>
      <c r="AA129" s="336"/>
      <c r="AB129" s="336"/>
      <c r="AC129" s="336"/>
      <c r="AD129" s="336"/>
      <c r="AE129" s="336"/>
      <c r="AF129" s="336"/>
      <c r="AG129" s="336"/>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s="336"/>
      <c r="T130" s="336"/>
      <c r="U130" s="337"/>
      <c r="V130" s="336"/>
      <c r="W130" s="337"/>
      <c r="X130" s="336"/>
      <c r="Y130" s="336"/>
      <c r="Z130" s="336"/>
      <c r="AA130" s="336"/>
      <c r="AB130" s="336"/>
      <c r="AC130" s="336"/>
      <c r="AD130" s="336"/>
      <c r="AE130" s="336"/>
      <c r="AF130" s="336"/>
      <c r="AG130" s="336"/>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s="336"/>
      <c r="T131" s="336"/>
      <c r="U131" s="337"/>
      <c r="V131" s="336"/>
      <c r="W131" s="337"/>
      <c r="X131" s="336"/>
      <c r="Y131" s="336"/>
      <c r="Z131" s="336"/>
      <c r="AA131" s="336"/>
      <c r="AB131" s="336"/>
      <c r="AC131" s="336"/>
      <c r="AD131" s="336"/>
      <c r="AE131" s="336"/>
      <c r="AF131" s="336"/>
      <c r="AG131" s="336"/>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s="336"/>
      <c r="T132" s="336"/>
      <c r="U132" s="337"/>
      <c r="V132" s="336"/>
      <c r="W132" s="337"/>
      <c r="X132" s="336"/>
      <c r="Y132" s="336"/>
      <c r="Z132" s="336"/>
      <c r="AA132" s="336"/>
      <c r="AB132" s="336"/>
      <c r="AC132" s="336"/>
      <c r="AD132" s="336"/>
      <c r="AE132" s="336"/>
      <c r="AF132" s="336"/>
      <c r="AG132" s="336"/>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s="336"/>
      <c r="T133" s="336"/>
      <c r="U133" s="337"/>
      <c r="V133" s="336"/>
      <c r="W133" s="337"/>
      <c r="X133" s="336"/>
      <c r="Y133" s="336"/>
      <c r="Z133" s="336"/>
      <c r="AA133" s="336"/>
      <c r="AB133" s="336"/>
      <c r="AC133" s="336"/>
      <c r="AD133" s="336"/>
      <c r="AE133" s="336"/>
      <c r="AF133" s="336"/>
      <c r="AG133" s="336"/>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s="336"/>
      <c r="T134" s="336"/>
      <c r="U134" s="337"/>
      <c r="V134" s="336"/>
      <c r="W134" s="337"/>
      <c r="X134" s="336"/>
      <c r="Y134" s="336"/>
      <c r="Z134" s="336"/>
      <c r="AA134" s="336"/>
      <c r="AB134" s="336"/>
      <c r="AC134" s="336"/>
      <c r="AD134" s="336"/>
      <c r="AE134" s="336"/>
      <c r="AF134" s="336"/>
      <c r="AG134" s="336"/>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s="336"/>
      <c r="T135" s="336"/>
      <c r="U135" s="337"/>
      <c r="V135" s="336"/>
      <c r="W135" s="337"/>
      <c r="X135" s="336"/>
      <c r="Y135" s="336"/>
      <c r="Z135" s="336"/>
      <c r="AA135" s="336"/>
      <c r="AB135" s="336"/>
      <c r="AC135" s="336"/>
      <c r="AD135" s="336"/>
      <c r="AE135" s="336"/>
      <c r="AF135" s="336"/>
      <c r="AG135" s="336"/>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s="336"/>
      <c r="T136" s="336"/>
      <c r="U136" s="337"/>
      <c r="V136" s="336"/>
      <c r="W136" s="337"/>
      <c r="X136" s="336"/>
      <c r="Y136" s="336"/>
      <c r="Z136" s="336"/>
      <c r="AA136" s="336"/>
      <c r="AB136" s="336"/>
      <c r="AC136" s="336"/>
      <c r="AD136" s="336"/>
      <c r="AE136" s="336"/>
      <c r="AF136" s="336"/>
      <c r="AG136" s="3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s="336"/>
      <c r="T137" s="336"/>
      <c r="U137" s="337"/>
      <c r="V137" s="336"/>
      <c r="W137" s="337"/>
      <c r="X137" s="336"/>
      <c r="Y137" s="336"/>
      <c r="Z137" s="336"/>
      <c r="AA137" s="336"/>
      <c r="AB137" s="336"/>
      <c r="AC137" s="336"/>
      <c r="AD137" s="336"/>
      <c r="AE137" s="336"/>
      <c r="AF137" s="336"/>
      <c r="AG137" s="336"/>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s="336"/>
      <c r="T138" s="336"/>
      <c r="U138" s="337"/>
      <c r="V138" s="336"/>
      <c r="W138" s="337"/>
      <c r="X138" s="336"/>
      <c r="Y138" s="336"/>
      <c r="Z138" s="336"/>
      <c r="AA138" s="336"/>
      <c r="AB138" s="336"/>
      <c r="AC138" s="336"/>
      <c r="AD138" s="336"/>
      <c r="AE138" s="336"/>
      <c r="AF138" s="336"/>
      <c r="AG138" s="336"/>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s="336"/>
      <c r="T139" s="336"/>
      <c r="U139" s="337"/>
      <c r="V139" s="336"/>
      <c r="W139" s="337"/>
      <c r="X139" s="336"/>
      <c r="Y139" s="336"/>
      <c r="Z139" s="336"/>
      <c r="AA139" s="336"/>
      <c r="AB139" s="336"/>
      <c r="AC139" s="336"/>
      <c r="AD139" s="336"/>
      <c r="AE139" s="336"/>
      <c r="AF139" s="336"/>
      <c r="AG139" s="336"/>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s="336"/>
      <c r="T140" s="336"/>
      <c r="U140" s="337"/>
      <c r="V140" s="336"/>
      <c r="W140" s="337"/>
      <c r="X140" s="336"/>
      <c r="Y140" s="336"/>
      <c r="Z140" s="336"/>
      <c r="AA140" s="336"/>
      <c r="AB140" s="336"/>
      <c r="AC140" s="336"/>
      <c r="AD140" s="336"/>
      <c r="AE140" s="336"/>
      <c r="AF140" s="336"/>
      <c r="AG140" s="336"/>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s="336"/>
      <c r="T141" s="336"/>
      <c r="U141" s="337"/>
      <c r="V141" s="336"/>
      <c r="W141" s="337"/>
      <c r="X141" s="336"/>
      <c r="Y141" s="336"/>
      <c r="Z141" s="336"/>
      <c r="AA141" s="336"/>
      <c r="AB141" s="336"/>
      <c r="AC141" s="336"/>
      <c r="AD141" s="336"/>
      <c r="AE141" s="336"/>
      <c r="AF141" s="336"/>
      <c r="AG141" s="336"/>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s="336"/>
      <c r="T142" s="336"/>
      <c r="U142" s="337"/>
      <c r="V142" s="336"/>
      <c r="W142" s="337"/>
      <c r="X142" s="336"/>
      <c r="Y142" s="336"/>
      <c r="Z142" s="336"/>
      <c r="AA142" s="336"/>
      <c r="AB142" s="336"/>
      <c r="AC142" s="336"/>
      <c r="AD142" s="336"/>
      <c r="AE142" s="336"/>
      <c r="AF142" s="336"/>
      <c r="AG142" s="336"/>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s="336"/>
      <c r="T143" s="336"/>
      <c r="U143" s="337"/>
      <c r="V143" s="336"/>
      <c r="W143" s="337"/>
      <c r="X143" s="336"/>
      <c r="Y143" s="336"/>
      <c r="Z143" s="336"/>
      <c r="AA143" s="336"/>
      <c r="AB143" s="336"/>
      <c r="AC143" s="336"/>
      <c r="AD143" s="336"/>
      <c r="AE143" s="336"/>
      <c r="AF143" s="336"/>
      <c r="AG143" s="336"/>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s="336"/>
      <c r="T144" s="336"/>
      <c r="U144" s="337"/>
      <c r="V144" s="336"/>
      <c r="W144" s="337"/>
      <c r="X144" s="336"/>
      <c r="Y144" s="336"/>
      <c r="Z144" s="336"/>
      <c r="AA144" s="336"/>
      <c r="AB144" s="336"/>
      <c r="AC144" s="336"/>
      <c r="AD144" s="336"/>
      <c r="AE144" s="336"/>
      <c r="AF144" s="336"/>
      <c r="AG144" s="336"/>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s="336"/>
      <c r="T145" s="336"/>
      <c r="U145" s="337"/>
      <c r="V145" s="336"/>
      <c r="W145" s="337"/>
      <c r="X145" s="336"/>
      <c r="Y145" s="336"/>
      <c r="Z145" s="336"/>
      <c r="AA145" s="336"/>
      <c r="AB145" s="336"/>
      <c r="AC145" s="336"/>
      <c r="AD145" s="336"/>
      <c r="AE145" s="336"/>
      <c r="AF145" s="336"/>
      <c r="AG145" s="336"/>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s="336"/>
      <c r="T146" s="336"/>
      <c r="U146" s="337"/>
      <c r="V146" s="336"/>
      <c r="W146" s="337"/>
      <c r="X146" s="336"/>
      <c r="Y146" s="336"/>
      <c r="Z146" s="336"/>
      <c r="AA146" s="336"/>
      <c r="AB146" s="336"/>
      <c r="AC146" s="336"/>
      <c r="AD146" s="336"/>
      <c r="AE146" s="336"/>
      <c r="AF146" s="336"/>
      <c r="AG146" s="33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s="336"/>
      <c r="T147" s="336"/>
      <c r="U147" s="337"/>
      <c r="V147" s="336"/>
      <c r="W147" s="337"/>
      <c r="X147" s="336"/>
      <c r="Y147" s="336"/>
      <c r="Z147" s="336"/>
      <c r="AA147" s="336"/>
      <c r="AB147" s="336"/>
      <c r="AC147" s="336"/>
      <c r="AD147" s="336"/>
      <c r="AE147" s="336"/>
      <c r="AF147" s="336"/>
      <c r="AG147" s="336"/>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s="336"/>
      <c r="T148" s="336"/>
      <c r="U148" s="337"/>
      <c r="V148" s="336"/>
      <c r="W148" s="337"/>
      <c r="X148" s="336"/>
      <c r="Y148" s="336"/>
      <c r="Z148" s="336"/>
      <c r="AA148" s="336"/>
      <c r="AB148" s="336"/>
      <c r="AC148" s="336"/>
      <c r="AD148" s="336"/>
      <c r="AE148" s="336"/>
      <c r="AF148" s="336"/>
      <c r="AG148" s="336"/>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s="336"/>
      <c r="T149" s="336"/>
      <c r="U149" s="337"/>
      <c r="V149" s="336"/>
      <c r="W149" s="337"/>
      <c r="X149" s="336"/>
      <c r="Y149" s="336"/>
      <c r="Z149" s="336"/>
      <c r="AA149" s="336"/>
      <c r="AB149" s="336"/>
      <c r="AC149" s="336"/>
      <c r="AD149" s="336"/>
      <c r="AE149" s="336"/>
      <c r="AF149" s="336"/>
      <c r="AG149" s="336"/>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s="336"/>
      <c r="T150" s="336"/>
      <c r="U150" s="337"/>
      <c r="V150" s="336"/>
      <c r="W150" s="337"/>
      <c r="X150" s="336"/>
      <c r="Y150" s="336"/>
      <c r="Z150" s="336"/>
      <c r="AA150" s="336"/>
      <c r="AB150" s="336"/>
      <c r="AC150" s="336"/>
      <c r="AD150" s="336"/>
      <c r="AE150" s="336"/>
      <c r="AF150" s="336"/>
      <c r="AG150" s="336"/>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s="336"/>
      <c r="T151" s="336"/>
      <c r="U151" s="337"/>
      <c r="V151" s="336"/>
      <c r="W151" s="337"/>
      <c r="X151" s="336"/>
      <c r="Y151" s="336"/>
      <c r="Z151" s="336"/>
      <c r="AA151" s="336"/>
      <c r="AB151" s="336"/>
      <c r="AC151" s="336"/>
      <c r="AD151" s="336"/>
      <c r="AE151" s="336"/>
      <c r="AF151" s="336"/>
      <c r="AG151" s="336"/>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s="336"/>
      <c r="T152" s="336"/>
      <c r="U152" s="337"/>
      <c r="V152" s="336"/>
      <c r="W152" s="337"/>
      <c r="X152" s="336"/>
      <c r="Y152" s="336"/>
      <c r="Z152" s="336"/>
      <c r="AA152" s="336"/>
      <c r="AB152" s="336"/>
      <c r="AC152" s="336"/>
      <c r="AD152" s="336"/>
      <c r="AE152" s="336"/>
      <c r="AF152" s="336"/>
      <c r="AG152" s="336"/>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s="336"/>
      <c r="T153" s="336"/>
      <c r="U153" s="337"/>
      <c r="V153" s="336"/>
      <c r="W153" s="337"/>
      <c r="X153" s="336"/>
      <c r="Y153" s="336"/>
      <c r="Z153" s="336"/>
      <c r="AA153" s="336"/>
      <c r="AB153" s="336"/>
      <c r="AC153" s="336"/>
      <c r="AD153" s="336"/>
      <c r="AE153" s="336"/>
      <c r="AF153" s="336"/>
      <c r="AG153" s="336"/>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s="336"/>
      <c r="T154" s="336"/>
      <c r="U154" s="337"/>
      <c r="V154" s="336"/>
      <c r="W154" s="337"/>
      <c r="X154" s="336"/>
      <c r="Y154" s="336"/>
      <c r="Z154" s="336"/>
      <c r="AA154" s="336"/>
      <c r="AB154" s="336"/>
      <c r="AC154" s="336"/>
      <c r="AD154" s="336"/>
      <c r="AE154" s="336"/>
      <c r="AF154" s="336"/>
      <c r="AG154" s="336"/>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s="336"/>
      <c r="T155" s="336"/>
      <c r="U155" s="337"/>
      <c r="V155" s="336"/>
      <c r="W155" s="337"/>
      <c r="X155" s="336"/>
      <c r="Y155" s="336"/>
      <c r="Z155" s="336"/>
      <c r="AA155" s="336"/>
      <c r="AB155" s="336"/>
      <c r="AC155" s="336"/>
      <c r="AD155" s="336"/>
      <c r="AE155" s="336"/>
      <c r="AF155" s="336"/>
      <c r="AG155" s="336"/>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s="336"/>
      <c r="T156" s="336"/>
      <c r="U156" s="337"/>
      <c r="V156" s="336"/>
      <c r="W156" s="337"/>
      <c r="X156" s="336"/>
      <c r="Y156" s="336"/>
      <c r="Z156" s="336"/>
      <c r="AA156" s="336"/>
      <c r="AB156" s="336"/>
      <c r="AC156" s="336"/>
      <c r="AD156" s="336"/>
      <c r="AE156" s="336"/>
      <c r="AF156" s="336"/>
      <c r="AG156" s="33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s="336"/>
      <c r="T157" s="336"/>
      <c r="U157" s="337"/>
      <c r="V157" s="336"/>
      <c r="W157" s="337"/>
      <c r="X157" s="336"/>
      <c r="Y157" s="336"/>
      <c r="Z157" s="336"/>
      <c r="AA157" s="336"/>
      <c r="AB157" s="336"/>
      <c r="AC157" s="336"/>
      <c r="AD157" s="336"/>
      <c r="AE157" s="336"/>
      <c r="AF157" s="336"/>
      <c r="AG157" s="336"/>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s="336"/>
      <c r="T158" s="336"/>
      <c r="U158" s="337"/>
      <c r="V158" s="336"/>
      <c r="W158" s="337"/>
      <c r="X158" s="336"/>
      <c r="Y158" s="336"/>
      <c r="Z158" s="336"/>
      <c r="AA158" s="336"/>
      <c r="AB158" s="336"/>
      <c r="AC158" s="336"/>
      <c r="AD158" s="336"/>
      <c r="AE158" s="336"/>
      <c r="AF158" s="336"/>
      <c r="AG158" s="336"/>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s="336"/>
      <c r="T159" s="336"/>
      <c r="U159" s="337"/>
      <c r="V159" s="336"/>
      <c r="W159" s="337"/>
      <c r="X159" s="336"/>
      <c r="Y159" s="336"/>
      <c r="Z159" s="336"/>
      <c r="AA159" s="336"/>
      <c r="AB159" s="336"/>
      <c r="AC159" s="336"/>
      <c r="AD159" s="336"/>
      <c r="AE159" s="336"/>
      <c r="AF159" s="336"/>
      <c r="AG159" s="336"/>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s="336"/>
      <c r="T160" s="336"/>
      <c r="U160" s="337"/>
      <c r="V160" s="336"/>
      <c r="W160" s="337"/>
      <c r="X160" s="336"/>
      <c r="Y160" s="336"/>
      <c r="Z160" s="336"/>
      <c r="AA160" s="336"/>
      <c r="AB160" s="336"/>
      <c r="AC160" s="336"/>
      <c r="AD160" s="336"/>
      <c r="AE160" s="336"/>
      <c r="AF160" s="336"/>
      <c r="AG160" s="336"/>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s="336"/>
      <c r="T161" s="336"/>
      <c r="U161" s="337"/>
      <c r="V161" s="336"/>
      <c r="W161" s="337"/>
      <c r="X161" s="336"/>
      <c r="Y161" s="336"/>
      <c r="Z161" s="336"/>
      <c r="AA161" s="336"/>
      <c r="AB161" s="336"/>
      <c r="AC161" s="336"/>
      <c r="AD161" s="336"/>
      <c r="AE161" s="336"/>
      <c r="AF161" s="336"/>
      <c r="AG161" s="336"/>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s="336"/>
      <c r="T162" s="336"/>
      <c r="U162" s="337"/>
      <c r="V162" s="336"/>
      <c r="W162" s="337"/>
      <c r="X162" s="336"/>
      <c r="Y162" s="336"/>
      <c r="Z162" s="336"/>
      <c r="AA162" s="336"/>
      <c r="AB162" s="336"/>
      <c r="AC162" s="336"/>
      <c r="AD162" s="336"/>
      <c r="AE162" s="336"/>
      <c r="AF162" s="336"/>
      <c r="AG162" s="336"/>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s="336"/>
      <c r="T163" s="336"/>
      <c r="U163" s="337"/>
      <c r="V163" s="336"/>
      <c r="W163" s="337"/>
      <c r="X163" s="336"/>
      <c r="Y163" s="336"/>
      <c r="Z163" s="336"/>
      <c r="AA163" s="336"/>
      <c r="AB163" s="336"/>
      <c r="AC163" s="336"/>
      <c r="AD163" s="336"/>
      <c r="AE163" s="336"/>
      <c r="AF163" s="336"/>
      <c r="AG163" s="336"/>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s="336"/>
      <c r="T164" s="336"/>
      <c r="U164" s="337"/>
      <c r="V164" s="336"/>
      <c r="W164" s="337"/>
      <c r="X164" s="336"/>
      <c r="Y164" s="336"/>
      <c r="Z164" s="336"/>
      <c r="AA164" s="336"/>
      <c r="AB164" s="336"/>
      <c r="AC164" s="336"/>
      <c r="AD164" s="336"/>
      <c r="AE164" s="336"/>
      <c r="AF164" s="336"/>
      <c r="AG164" s="336"/>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s="336"/>
      <c r="T165" s="336"/>
      <c r="U165" s="337"/>
      <c r="V165" s="336"/>
      <c r="W165" s="337"/>
      <c r="X165" s="336"/>
      <c r="Y165" s="336"/>
      <c r="Z165" s="336"/>
      <c r="AA165" s="336"/>
      <c r="AB165" s="336"/>
      <c r="AC165" s="336"/>
      <c r="AD165" s="336"/>
      <c r="AE165" s="336"/>
      <c r="AF165" s="336"/>
      <c r="AG165" s="336"/>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s="336"/>
      <c r="T166" s="336"/>
      <c r="U166" s="337"/>
      <c r="V166" s="336"/>
      <c r="W166" s="337"/>
      <c r="X166" s="336"/>
      <c r="Y166" s="336"/>
      <c r="Z166" s="336"/>
      <c r="AA166" s="336"/>
      <c r="AB166" s="336"/>
      <c r="AC166" s="336"/>
      <c r="AD166" s="336"/>
      <c r="AE166" s="336"/>
      <c r="AF166" s="336"/>
      <c r="AG166" s="33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s="336"/>
      <c r="T167" s="336"/>
      <c r="U167" s="337"/>
      <c r="V167" s="336"/>
      <c r="W167" s="337"/>
      <c r="X167" s="336"/>
      <c r="Y167" s="336"/>
      <c r="Z167" s="336"/>
      <c r="AA167" s="336"/>
      <c r="AB167" s="336"/>
      <c r="AC167" s="336"/>
      <c r="AD167" s="336"/>
      <c r="AE167" s="336"/>
      <c r="AF167" s="336"/>
      <c r="AG167" s="336"/>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s="336"/>
      <c r="T168" s="336"/>
      <c r="U168" s="337"/>
      <c r="V168" s="336"/>
      <c r="W168" s="337"/>
      <c r="X168" s="336"/>
      <c r="Y168" s="336"/>
      <c r="Z168" s="336"/>
      <c r="AA168" s="336"/>
      <c r="AB168" s="336"/>
      <c r="AC168" s="336"/>
      <c r="AD168" s="336"/>
      <c r="AE168" s="336"/>
      <c r="AF168" s="336"/>
      <c r="AG168" s="336"/>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s="336"/>
      <c r="T169" s="336"/>
      <c r="U169" s="337"/>
      <c r="V169" s="336"/>
      <c r="W169" s="337"/>
      <c r="X169" s="336"/>
      <c r="Y169" s="336"/>
      <c r="Z169" s="336"/>
      <c r="AA169" s="336"/>
      <c r="AB169" s="336"/>
      <c r="AC169" s="336"/>
      <c r="AD169" s="336"/>
      <c r="AE169" s="336"/>
      <c r="AF169" s="336"/>
      <c r="AG169" s="336"/>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s="336"/>
      <c r="T170" s="336"/>
      <c r="U170" s="337"/>
      <c r="V170" s="336"/>
      <c r="W170" s="337"/>
      <c r="X170" s="336"/>
      <c r="Y170" s="336"/>
      <c r="Z170" s="336"/>
      <c r="AA170" s="336"/>
      <c r="AB170" s="336"/>
      <c r="AC170" s="336"/>
      <c r="AD170" s="336"/>
      <c r="AE170" s="336"/>
      <c r="AF170" s="336"/>
      <c r="AG170" s="336"/>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s="336"/>
      <c r="T171" s="336"/>
      <c r="U171" s="337"/>
      <c r="V171" s="336"/>
      <c r="W171" s="337"/>
      <c r="X171" s="336"/>
      <c r="Y171" s="336"/>
      <c r="Z171" s="336"/>
      <c r="AA171" s="336"/>
      <c r="AB171" s="336"/>
      <c r="AC171" s="336"/>
      <c r="AD171" s="336"/>
      <c r="AE171" s="336"/>
      <c r="AF171" s="336"/>
      <c r="AG171" s="336"/>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s="336"/>
      <c r="T172" s="336"/>
      <c r="U172" s="337"/>
      <c r="V172" s="336"/>
      <c r="W172" s="337"/>
      <c r="X172" s="336"/>
      <c r="Y172" s="336"/>
      <c r="Z172" s="336"/>
      <c r="AA172" s="336"/>
      <c r="AB172" s="336"/>
      <c r="AC172" s="336"/>
      <c r="AD172" s="336"/>
      <c r="AE172" s="336"/>
      <c r="AF172" s="336"/>
      <c r="AG172" s="336"/>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s="336"/>
      <c r="T173" s="336"/>
      <c r="U173" s="337"/>
      <c r="V173" s="336"/>
      <c r="W173" s="337"/>
      <c r="X173" s="336"/>
      <c r="Y173" s="336"/>
      <c r="Z173" s="336"/>
      <c r="AA173" s="336"/>
      <c r="AB173" s="336"/>
      <c r="AC173" s="336"/>
      <c r="AD173" s="336"/>
      <c r="AE173" s="336"/>
      <c r="AF173" s="336"/>
      <c r="AG173" s="336"/>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s="336"/>
      <c r="T174" s="336"/>
      <c r="U174" s="337"/>
      <c r="V174" s="336"/>
      <c r="W174" s="337"/>
      <c r="X174" s="336"/>
      <c r="Y174" s="336"/>
      <c r="Z174" s="336"/>
      <c r="AA174" s="336"/>
      <c r="AB174" s="336"/>
      <c r="AC174" s="336"/>
      <c r="AD174" s="336"/>
      <c r="AE174" s="336"/>
      <c r="AF174" s="336"/>
      <c r="AG174" s="336"/>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s="336"/>
      <c r="T175" s="336"/>
      <c r="U175" s="337"/>
      <c r="V175" s="336"/>
      <c r="W175" s="337"/>
      <c r="X175" s="336"/>
      <c r="Y175" s="336"/>
      <c r="Z175" s="336"/>
      <c r="AA175" s="336"/>
      <c r="AB175" s="336"/>
      <c r="AC175" s="336"/>
      <c r="AD175" s="336"/>
      <c r="AE175" s="336"/>
      <c r="AF175" s="336"/>
      <c r="AG175" s="336"/>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s="336"/>
      <c r="T176" s="336"/>
      <c r="U176" s="337"/>
      <c r="V176" s="336"/>
      <c r="W176" s="337"/>
      <c r="X176" s="336"/>
      <c r="Y176" s="336"/>
      <c r="Z176" s="336"/>
      <c r="AA176" s="336"/>
      <c r="AB176" s="336"/>
      <c r="AC176" s="336"/>
      <c r="AD176" s="336"/>
      <c r="AE176" s="336"/>
      <c r="AF176" s="336"/>
      <c r="AG176" s="33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s="336"/>
      <c r="T177" s="336"/>
      <c r="U177" s="337"/>
      <c r="V177" s="336"/>
      <c r="W177" s="337"/>
      <c r="X177" s="336"/>
      <c r="Y177" s="336"/>
      <c r="Z177" s="336"/>
      <c r="AA177" s="336"/>
      <c r="AB177" s="336"/>
      <c r="AC177" s="336"/>
      <c r="AD177" s="336"/>
      <c r="AE177" s="336"/>
      <c r="AF177" s="336"/>
      <c r="AG177" s="336"/>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s="336"/>
      <c r="T178" s="336"/>
      <c r="U178" s="337"/>
      <c r="V178" s="336"/>
      <c r="W178" s="337"/>
      <c r="X178" s="336"/>
      <c r="Y178" s="336"/>
      <c r="Z178" s="336"/>
      <c r="AA178" s="336"/>
      <c r="AB178" s="336"/>
      <c r="AC178" s="336"/>
      <c r="AD178" s="336"/>
      <c r="AE178" s="336"/>
      <c r="AF178" s="336"/>
      <c r="AG178" s="336"/>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s="336"/>
      <c r="T179" s="336"/>
      <c r="U179" s="337"/>
      <c r="V179" s="336"/>
      <c r="W179" s="337"/>
      <c r="X179" s="336"/>
      <c r="Y179" s="336"/>
      <c r="Z179" s="336"/>
      <c r="AA179" s="336"/>
      <c r="AB179" s="336"/>
      <c r="AC179" s="336"/>
      <c r="AD179" s="336"/>
      <c r="AE179" s="336"/>
      <c r="AF179" s="336"/>
      <c r="AG179" s="336"/>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s="336"/>
      <c r="T180" s="336"/>
      <c r="U180" s="337"/>
      <c r="V180" s="336"/>
      <c r="W180" s="337"/>
      <c r="X180" s="336"/>
      <c r="Y180" s="336"/>
      <c r="Z180" s="336"/>
      <c r="AA180" s="336"/>
      <c r="AB180" s="336"/>
      <c r="AC180" s="336"/>
      <c r="AD180" s="336"/>
      <c r="AE180" s="336"/>
      <c r="AF180" s="336"/>
      <c r="AG180" s="336"/>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s="336"/>
      <c r="T181" s="336"/>
      <c r="U181" s="337"/>
      <c r="V181" s="336"/>
      <c r="W181" s="337"/>
      <c r="X181" s="336"/>
      <c r="Y181" s="336"/>
      <c r="Z181" s="336"/>
      <c r="AA181" s="336"/>
      <c r="AB181" s="336"/>
      <c r="AC181" s="336"/>
      <c r="AD181" s="336"/>
      <c r="AE181" s="336"/>
      <c r="AF181" s="336"/>
      <c r="AG181" s="336"/>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s="336"/>
      <c r="T182" s="336"/>
      <c r="U182" s="337"/>
      <c r="V182" s="336"/>
      <c r="W182" s="337"/>
      <c r="X182" s="336"/>
      <c r="Y182" s="336"/>
      <c r="Z182" s="336"/>
      <c r="AA182" s="336"/>
      <c r="AB182" s="336"/>
      <c r="AC182" s="336"/>
      <c r="AD182" s="336"/>
      <c r="AE182" s="336"/>
      <c r="AF182" s="336"/>
      <c r="AG182" s="336"/>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s="336"/>
      <c r="T183" s="336"/>
      <c r="U183" s="337"/>
      <c r="V183" s="336"/>
      <c r="W183" s="337"/>
      <c r="X183" s="336"/>
      <c r="Y183" s="336"/>
      <c r="Z183" s="336"/>
      <c r="AA183" s="336"/>
      <c r="AB183" s="336"/>
      <c r="AC183" s="336"/>
      <c r="AD183" s="336"/>
      <c r="AE183" s="336"/>
      <c r="AF183" s="336"/>
      <c r="AG183" s="336"/>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s="336"/>
      <c r="T184" s="336"/>
      <c r="U184" s="337"/>
      <c r="V184" s="336"/>
      <c r="W184" s="337"/>
      <c r="X184" s="336"/>
      <c r="Y184" s="336"/>
      <c r="Z184" s="336"/>
      <c r="AA184" s="336"/>
      <c r="AB184" s="336"/>
      <c r="AC184" s="336"/>
      <c r="AD184" s="336"/>
      <c r="AE184" s="336"/>
      <c r="AF184" s="336"/>
      <c r="AG184" s="336"/>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s="336"/>
      <c r="T185" s="336"/>
      <c r="U185" s="337"/>
      <c r="V185" s="336"/>
      <c r="W185" s="337"/>
      <c r="X185" s="336"/>
      <c r="Y185" s="336"/>
      <c r="Z185" s="336"/>
      <c r="AA185" s="336"/>
      <c r="AB185" s="336"/>
      <c r="AC185" s="336"/>
      <c r="AD185" s="336"/>
      <c r="AE185" s="336"/>
      <c r="AF185" s="336"/>
      <c r="AG185" s="336"/>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s="336"/>
      <c r="T186" s="336"/>
      <c r="U186" s="337"/>
      <c r="V186" s="336"/>
      <c r="W186" s="337"/>
      <c r="X186" s="336"/>
      <c r="Y186" s="336"/>
      <c r="Z186" s="336"/>
      <c r="AA186" s="336"/>
      <c r="AB186" s="336"/>
      <c r="AC186" s="336"/>
      <c r="AD186" s="336"/>
      <c r="AE186" s="336"/>
      <c r="AF186" s="336"/>
      <c r="AG186" s="33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s="336"/>
      <c r="T187" s="336"/>
      <c r="U187" s="337"/>
      <c r="V187" s="336"/>
      <c r="W187" s="337"/>
      <c r="X187" s="336"/>
      <c r="Y187" s="336"/>
      <c r="Z187" s="336"/>
      <c r="AA187" s="336"/>
      <c r="AB187" s="336"/>
      <c r="AC187" s="336"/>
      <c r="AD187" s="336"/>
      <c r="AE187" s="336"/>
      <c r="AF187" s="336"/>
      <c r="AG187" s="336"/>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s="336"/>
      <c r="T188" s="336"/>
      <c r="U188" s="337"/>
      <c r="V188" s="336"/>
      <c r="W188" s="337"/>
      <c r="X188" s="336"/>
      <c r="Y188" s="336"/>
      <c r="Z188" s="336"/>
      <c r="AA188" s="336"/>
      <c r="AB188" s="336"/>
      <c r="AC188" s="336"/>
      <c r="AD188" s="336"/>
      <c r="AE188" s="336"/>
      <c r="AF188" s="336"/>
      <c r="AG188" s="336"/>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s="336"/>
      <c r="T189" s="336"/>
      <c r="U189" s="337"/>
      <c r="V189" s="336"/>
      <c r="W189" s="337"/>
      <c r="X189" s="336"/>
      <c r="Y189" s="336"/>
      <c r="Z189" s="336"/>
      <c r="AA189" s="336"/>
      <c r="AB189" s="336"/>
      <c r="AC189" s="336"/>
      <c r="AD189" s="336"/>
      <c r="AE189" s="336"/>
      <c r="AF189" s="336"/>
      <c r="AG189" s="336"/>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s="336"/>
      <c r="T190" s="336"/>
      <c r="U190" s="337"/>
      <c r="V190" s="336"/>
      <c r="W190" s="337"/>
      <c r="X190" s="336"/>
      <c r="Y190" s="336"/>
      <c r="Z190" s="336"/>
      <c r="AA190" s="336"/>
      <c r="AB190" s="336"/>
      <c r="AC190" s="336"/>
      <c r="AD190" s="336"/>
      <c r="AE190" s="336"/>
      <c r="AF190" s="336"/>
      <c r="AG190" s="336"/>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s="336"/>
      <c r="T191" s="336"/>
      <c r="U191" s="337"/>
      <c r="V191" s="336"/>
      <c r="W191" s="337"/>
      <c r="X191" s="336"/>
      <c r="Y191" s="336"/>
      <c r="Z191" s="336"/>
      <c r="AA191" s="336"/>
      <c r="AB191" s="336"/>
      <c r="AC191" s="336"/>
      <c r="AD191" s="336"/>
      <c r="AE191" s="336"/>
      <c r="AF191" s="336"/>
      <c r="AG191" s="336"/>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s="336"/>
      <c r="T192" s="336"/>
      <c r="U192" s="337"/>
      <c r="V192" s="336"/>
      <c r="W192" s="337"/>
      <c r="X192" s="336"/>
      <c r="Y192" s="336"/>
      <c r="Z192" s="336"/>
      <c r="AA192" s="336"/>
      <c r="AB192" s="336"/>
      <c r="AC192" s="336"/>
      <c r="AD192" s="336"/>
      <c r="AE192" s="336"/>
      <c r="AF192" s="336"/>
      <c r="AG192" s="336"/>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s="336"/>
      <c r="T193" s="336"/>
      <c r="U193" s="337"/>
      <c r="V193" s="336"/>
      <c r="W193" s="337"/>
      <c r="X193" s="336"/>
      <c r="Y193" s="336"/>
      <c r="Z193" s="336"/>
      <c r="AA193" s="336"/>
      <c r="AB193" s="336"/>
      <c r="AC193" s="336"/>
      <c r="AD193" s="336"/>
      <c r="AE193" s="336"/>
      <c r="AF193" s="336"/>
      <c r="AG193" s="336"/>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s="336"/>
      <c r="T194" s="336"/>
      <c r="U194" s="337"/>
      <c r="V194" s="336"/>
      <c r="W194" s="337"/>
      <c r="X194" s="336"/>
      <c r="Y194" s="336"/>
      <c r="Z194" s="336"/>
      <c r="AA194" s="336"/>
      <c r="AB194" s="336"/>
      <c r="AC194" s="336"/>
      <c r="AD194" s="336"/>
      <c r="AE194" s="336"/>
      <c r="AF194" s="336"/>
      <c r="AG194" s="336"/>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s="336"/>
      <c r="T195" s="336"/>
      <c r="U195" s="337"/>
      <c r="V195" s="336"/>
      <c r="W195" s="337"/>
      <c r="X195" s="336"/>
      <c r="Y195" s="336"/>
      <c r="Z195" s="336"/>
      <c r="AA195" s="336"/>
      <c r="AB195" s="336"/>
      <c r="AC195" s="336"/>
      <c r="AD195" s="336"/>
      <c r="AE195" s="336"/>
      <c r="AF195" s="336"/>
      <c r="AG195" s="336"/>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s="336"/>
      <c r="T196" s="336"/>
      <c r="U196" s="337"/>
      <c r="V196" s="336"/>
      <c r="W196" s="337"/>
      <c r="X196" s="336"/>
      <c r="Y196" s="336"/>
      <c r="Z196" s="336"/>
      <c r="AA196" s="336"/>
      <c r="AB196" s="336"/>
      <c r="AC196" s="336"/>
      <c r="AD196" s="336"/>
      <c r="AE196" s="336"/>
      <c r="AF196" s="336"/>
      <c r="AG196" s="33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s="336"/>
      <c r="T197" s="336"/>
      <c r="U197" s="337"/>
      <c r="V197" s="336"/>
      <c r="W197" s="337"/>
      <c r="X197" s="336"/>
      <c r="Y197" s="336"/>
      <c r="Z197" s="336"/>
      <c r="AA197" s="336"/>
      <c r="AB197" s="336"/>
      <c r="AC197" s="336"/>
      <c r="AD197" s="336"/>
      <c r="AE197" s="336"/>
      <c r="AF197" s="336"/>
      <c r="AG197" s="336"/>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s="336"/>
      <c r="T198" s="336"/>
      <c r="U198" s="337"/>
      <c r="V198" s="336"/>
      <c r="W198" s="337"/>
      <c r="X198" s="336"/>
      <c r="Y198" s="336"/>
      <c r="Z198" s="336"/>
      <c r="AA198" s="336"/>
      <c r="AB198" s="336"/>
      <c r="AC198" s="336"/>
      <c r="AD198" s="336"/>
      <c r="AE198" s="336"/>
      <c r="AF198" s="336"/>
      <c r="AG198" s="336"/>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s="336"/>
      <c r="T199" s="336"/>
      <c r="U199" s="337"/>
      <c r="V199" s="336"/>
      <c r="W199" s="337"/>
      <c r="X199" s="336"/>
      <c r="Y199" s="336"/>
      <c r="Z199" s="336"/>
      <c r="AA199" s="336"/>
      <c r="AB199" s="336"/>
      <c r="AC199" s="336"/>
      <c r="AD199" s="336"/>
      <c r="AE199" s="336"/>
      <c r="AF199" s="336"/>
      <c r="AG199" s="336"/>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s="336"/>
      <c r="T200" s="336"/>
      <c r="U200" s="337"/>
      <c r="V200" s="336"/>
      <c r="W200" s="337"/>
      <c r="X200" s="336"/>
      <c r="Y200" s="336"/>
      <c r="Z200" s="336"/>
      <c r="AA200" s="336"/>
      <c r="AB200" s="336"/>
      <c r="AC200" s="336"/>
      <c r="AD200" s="336"/>
      <c r="AE200" s="336"/>
      <c r="AF200" s="336"/>
      <c r="AG200" s="336"/>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s="336"/>
      <c r="T201" s="336"/>
      <c r="U201" s="337"/>
      <c r="V201" s="336"/>
      <c r="W201" s="337"/>
      <c r="X201" s="336"/>
      <c r="Y201" s="336"/>
      <c r="Z201" s="336"/>
      <c r="AA201" s="336"/>
      <c r="AB201" s="336"/>
      <c r="AC201" s="336"/>
      <c r="AD201" s="336"/>
      <c r="AE201" s="336"/>
      <c r="AF201" s="336"/>
      <c r="AG201" s="336"/>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s="336"/>
      <c r="T202" s="336"/>
      <c r="U202" s="337"/>
      <c r="V202" s="336"/>
      <c r="W202" s="337"/>
      <c r="X202" s="336"/>
      <c r="Y202" s="336"/>
      <c r="Z202" s="336"/>
      <c r="AA202" s="336"/>
      <c r="AB202" s="336"/>
      <c r="AC202" s="336"/>
      <c r="AD202" s="336"/>
      <c r="AE202" s="336"/>
      <c r="AF202" s="336"/>
      <c r="AG202" s="336"/>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s="336"/>
      <c r="T203" s="336"/>
      <c r="U203" s="337"/>
      <c r="V203" s="336"/>
      <c r="W203" s="337"/>
      <c r="X203" s="336"/>
      <c r="Y203" s="336"/>
      <c r="Z203" s="336"/>
      <c r="AA203" s="336"/>
      <c r="AB203" s="336"/>
      <c r="AC203" s="336"/>
      <c r="AD203" s="336"/>
      <c r="AE203" s="336"/>
      <c r="AF203" s="336"/>
      <c r="AG203" s="336"/>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s="336"/>
      <c r="T204" s="336"/>
      <c r="U204" s="337"/>
      <c r="V204" s="336"/>
      <c r="W204" s="337"/>
      <c r="X204" s="336"/>
      <c r="Y204" s="336"/>
      <c r="Z204" s="336"/>
      <c r="AA204" s="336"/>
      <c r="AB204" s="336"/>
      <c r="AC204" s="336"/>
      <c r="AD204" s="336"/>
      <c r="AE204" s="336"/>
      <c r="AF204" s="336"/>
      <c r="AG204" s="336"/>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s="336"/>
      <c r="T205" s="336"/>
      <c r="U205" s="337"/>
      <c r="V205" s="336"/>
      <c r="W205" s="337"/>
      <c r="X205" s="336"/>
      <c r="Y205" s="336"/>
      <c r="Z205" s="336"/>
      <c r="AA205" s="336"/>
      <c r="AB205" s="336"/>
      <c r="AC205" s="336"/>
      <c r="AD205" s="336"/>
      <c r="AE205" s="336"/>
      <c r="AF205" s="336"/>
      <c r="AG205" s="336"/>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s="336"/>
      <c r="T206" s="336"/>
      <c r="U206" s="337"/>
      <c r="V206" s="336"/>
      <c r="W206" s="337"/>
      <c r="X206" s="336"/>
      <c r="Y206" s="336"/>
      <c r="Z206" s="336"/>
      <c r="AA206" s="336"/>
      <c r="AB206" s="336"/>
      <c r="AC206" s="336"/>
      <c r="AD206" s="336"/>
      <c r="AE206" s="336"/>
      <c r="AF206" s="336"/>
      <c r="AG206" s="33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s="336"/>
      <c r="T207" s="336"/>
      <c r="U207" s="337"/>
      <c r="V207" s="336"/>
      <c r="W207" s="337"/>
      <c r="X207" s="336"/>
      <c r="Y207" s="336"/>
      <c r="Z207" s="336"/>
      <c r="AA207" s="336"/>
      <c r="AB207" s="336"/>
      <c r="AC207" s="336"/>
      <c r="AD207" s="336"/>
      <c r="AE207" s="336"/>
      <c r="AF207" s="336"/>
      <c r="AG207" s="336"/>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s="336"/>
      <c r="T208" s="336"/>
      <c r="U208" s="337"/>
      <c r="V208" s="336"/>
      <c r="W208" s="337"/>
      <c r="X208" s="336"/>
      <c r="Y208" s="336"/>
      <c r="Z208" s="336"/>
      <c r="AA208" s="336"/>
      <c r="AB208" s="336"/>
      <c r="AC208" s="336"/>
      <c r="AD208" s="336"/>
      <c r="AE208" s="336"/>
      <c r="AF208" s="336"/>
      <c r="AG208" s="336"/>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s="336"/>
      <c r="T209" s="336"/>
      <c r="U209" s="337"/>
      <c r="V209" s="336"/>
      <c r="W209" s="337"/>
      <c r="X209" s="336"/>
      <c r="Y209" s="336"/>
      <c r="Z209" s="336"/>
      <c r="AA209" s="336"/>
      <c r="AB209" s="336"/>
      <c r="AC209" s="336"/>
      <c r="AD209" s="336"/>
      <c r="AE209" s="336"/>
      <c r="AF209" s="336"/>
      <c r="AG209" s="336"/>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s="336"/>
      <c r="T210" s="336"/>
      <c r="U210" s="337"/>
      <c r="V210" s="336"/>
      <c r="W210" s="337"/>
      <c r="X210" s="336"/>
      <c r="Y210" s="336"/>
      <c r="Z210" s="336"/>
      <c r="AA210" s="336"/>
      <c r="AB210" s="336"/>
      <c r="AC210" s="336"/>
      <c r="AD210" s="336"/>
      <c r="AE210" s="336"/>
      <c r="AF210" s="336"/>
      <c r="AG210" s="336"/>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s="336"/>
      <c r="T211" s="336"/>
      <c r="U211" s="337"/>
      <c r="V211" s="336"/>
      <c r="W211" s="337"/>
      <c r="X211" s="336"/>
      <c r="Y211" s="336"/>
      <c r="Z211" s="336"/>
      <c r="AA211" s="336"/>
      <c r="AB211" s="336"/>
      <c r="AC211" s="336"/>
      <c r="AD211" s="336"/>
      <c r="AE211" s="336"/>
      <c r="AF211" s="336"/>
      <c r="AG211" s="336"/>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s="336"/>
      <c r="T212" s="336"/>
      <c r="U212" s="337"/>
      <c r="V212" s="336"/>
      <c r="W212" s="337"/>
      <c r="X212" s="336"/>
      <c r="Y212" s="336"/>
      <c r="Z212" s="336"/>
      <c r="AA212" s="336"/>
      <c r="AB212" s="336"/>
      <c r="AC212" s="336"/>
      <c r="AD212" s="336"/>
      <c r="AE212" s="336"/>
      <c r="AF212" s="336"/>
      <c r="AG212" s="336"/>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s="336"/>
      <c r="T213" s="336"/>
      <c r="U213" s="337"/>
      <c r="V213" s="336"/>
      <c r="W213" s="337"/>
      <c r="X213" s="336"/>
      <c r="Y213" s="336"/>
      <c r="Z213" s="336"/>
      <c r="AA213" s="336"/>
      <c r="AB213" s="336"/>
      <c r="AC213" s="336"/>
      <c r="AD213" s="336"/>
      <c r="AE213" s="336"/>
      <c r="AF213" s="336"/>
      <c r="AG213" s="336"/>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332"/>
      <c r="T214" s="332"/>
      <c r="U214" s="331"/>
      <c r="V214" s="332"/>
      <c r="W214" s="331"/>
      <c r="X214" s="332"/>
      <c r="Y214" s="332"/>
      <c r="Z214" s="332"/>
      <c r="AA214" s="332"/>
      <c r="AB214" s="332"/>
      <c r="AC214" s="332"/>
      <c r="AD214" s="332"/>
      <c r="AE214" s="332"/>
      <c r="AF214" s="338"/>
      <c r="AG214" s="336"/>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332"/>
      <c r="T215" s="332"/>
      <c r="U215" s="331"/>
      <c r="V215" s="332"/>
      <c r="W215" s="331"/>
      <c r="X215" s="332"/>
      <c r="Y215" s="332"/>
      <c r="Z215" s="332"/>
      <c r="AA215" s="332"/>
      <c r="AB215" s="332"/>
      <c r="AC215" s="332"/>
      <c r="AD215" s="332"/>
      <c r="AE215" s="332"/>
      <c r="AF215" s="338"/>
      <c r="AG215" s="336"/>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332"/>
      <c r="T216" s="332"/>
      <c r="U216" s="331"/>
      <c r="V216" s="332"/>
      <c r="W216" s="331"/>
      <c r="X216" s="332"/>
      <c r="Y216" s="332"/>
      <c r="Z216" s="332"/>
      <c r="AA216" s="332"/>
      <c r="AB216" s="332"/>
      <c r="AC216" s="332"/>
      <c r="AD216" s="332"/>
      <c r="AE216" s="332"/>
      <c r="AF216" s="338"/>
      <c r="AG216" s="33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332"/>
      <c r="T217" s="332"/>
      <c r="U217" s="331"/>
      <c r="V217" s="332"/>
      <c r="W217" s="331"/>
      <c r="X217" s="332"/>
      <c r="Y217" s="332"/>
      <c r="Z217" s="332"/>
      <c r="AA217" s="332"/>
      <c r="AB217" s="332"/>
      <c r="AC217" s="332"/>
      <c r="AD217" s="332"/>
      <c r="AE217" s="332"/>
      <c r="AF217" s="338"/>
      <c r="AG217" s="336"/>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332"/>
      <c r="T218" s="332"/>
      <c r="U218" s="331"/>
      <c r="V218" s="332"/>
      <c r="W218" s="331"/>
      <c r="X218" s="332"/>
      <c r="Y218" s="332"/>
      <c r="Z218" s="332"/>
      <c r="AA218" s="332"/>
      <c r="AB218" s="332"/>
      <c r="AC218" s="332"/>
      <c r="AD218" s="332"/>
      <c r="AE218" s="332"/>
      <c r="AF218" s="338"/>
      <c r="AG218" s="336"/>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332"/>
      <c r="T219" s="332"/>
      <c r="U219" s="331"/>
      <c r="V219" s="332"/>
      <c r="W219" s="331"/>
      <c r="X219" s="332"/>
      <c r="Y219" s="332"/>
      <c r="Z219" s="332"/>
      <c r="AA219" s="332"/>
      <c r="AB219" s="332"/>
      <c r="AC219" s="332"/>
      <c r="AD219" s="332"/>
      <c r="AE219" s="332"/>
      <c r="AF219" s="338"/>
      <c r="AG219" s="336"/>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332"/>
      <c r="T220" s="332"/>
      <c r="U220" s="331"/>
      <c r="V220" s="332"/>
      <c r="W220" s="331"/>
      <c r="X220" s="332"/>
      <c r="Y220" s="332"/>
      <c r="Z220" s="332"/>
      <c r="AA220" s="332"/>
      <c r="AB220" s="332"/>
      <c r="AC220" s="332"/>
      <c r="AD220" s="332"/>
      <c r="AE220" s="332"/>
      <c r="AF220" s="338"/>
      <c r="AG220" s="336"/>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332"/>
      <c r="T221" s="332"/>
      <c r="U221" s="331"/>
      <c r="V221" s="332"/>
      <c r="W221" s="331"/>
      <c r="X221" s="332"/>
      <c r="Y221" s="332"/>
      <c r="Z221" s="332"/>
      <c r="AA221" s="332"/>
      <c r="AB221" s="332"/>
      <c r="AC221" s="332"/>
      <c r="AD221" s="332"/>
      <c r="AE221" s="332"/>
      <c r="AF221" s="338"/>
      <c r="AG221" s="336"/>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332"/>
      <c r="T222" s="332"/>
      <c r="U222" s="331"/>
      <c r="V222" s="332"/>
      <c r="W222" s="331"/>
      <c r="X222" s="332"/>
      <c r="Y222" s="332"/>
      <c r="Z222" s="332"/>
      <c r="AA222" s="332"/>
      <c r="AB222" s="332"/>
      <c r="AC222" s="332"/>
      <c r="AD222" s="332"/>
      <c r="AE222" s="332"/>
      <c r="AF222" s="338"/>
      <c r="AG222" s="336"/>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332"/>
      <c r="T223" s="332"/>
      <c r="U223" s="331"/>
      <c r="V223" s="332"/>
      <c r="W223" s="331"/>
      <c r="X223" s="332"/>
      <c r="Y223" s="332"/>
      <c r="Z223" s="332"/>
      <c r="AA223" s="332"/>
      <c r="AB223" s="332"/>
      <c r="AC223" s="332"/>
      <c r="AD223" s="332"/>
      <c r="AE223" s="332"/>
      <c r="AF223" s="338"/>
      <c r="AG223" s="336"/>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332"/>
      <c r="T224" s="332"/>
      <c r="U224" s="331"/>
      <c r="V224" s="332"/>
      <c r="W224" s="331"/>
      <c r="X224" s="332"/>
      <c r="Y224" s="332"/>
      <c r="Z224" s="332"/>
      <c r="AA224" s="332"/>
      <c r="AB224" s="332"/>
      <c r="AC224" s="332"/>
      <c r="AD224" s="332"/>
      <c r="AE224" s="332"/>
      <c r="AF224" s="338"/>
      <c r="AG224" s="336"/>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332"/>
      <c r="T225" s="332"/>
      <c r="U225" s="331"/>
      <c r="V225" s="332"/>
      <c r="W225" s="331"/>
      <c r="X225" s="332"/>
      <c r="Y225" s="332"/>
      <c r="Z225" s="332"/>
      <c r="AA225" s="332"/>
      <c r="AB225" s="332"/>
      <c r="AC225" s="332"/>
      <c r="AD225" s="332"/>
      <c r="AE225" s="332"/>
      <c r="AF225" s="338"/>
      <c r="AG225" s="336"/>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332"/>
      <c r="T226" s="332"/>
      <c r="U226" s="331"/>
      <c r="V226" s="332"/>
      <c r="W226" s="331"/>
      <c r="X226" s="332"/>
      <c r="Y226" s="332"/>
      <c r="Z226" s="332"/>
      <c r="AA226" s="332"/>
      <c r="AB226" s="332"/>
      <c r="AC226" s="332"/>
      <c r="AD226" s="332"/>
      <c r="AE226" s="332"/>
      <c r="AF226" s="338"/>
      <c r="AG226" s="336"/>
      <c r="AJ226" s="332"/>
      <c r="AK226" s="332"/>
      <c r="AL226" s="331"/>
      <c r="AM226" s="332"/>
      <c r="AN226" s="331"/>
      <c r="AO226" s="332"/>
      <c r="AP226" s="332"/>
      <c r="AQ226" s="332"/>
      <c r="AR226" s="332"/>
      <c r="AS226" s="332"/>
      <c r="AT226" s="332"/>
      <c r="AU226" s="332"/>
      <c r="AV226" s="332"/>
      <c r="AW226" s="338"/>
      <c r="AX226"/>
    </row>
  </sheetData>
  <sheetProtection algorithmName="SHA-512" hashValue="u3UNpIqaQxmmyZSOrRVStoAUV2zVaI65cKMmx0zc5twJ3iFs0BJGdaV/Xw056Q15mmFYm8KaN2K1/x/gNpuWyQ==" saltValue="p/Zrh31H+9G+UdTqvviHEw==" spinCount="100000" sheet="1" objects="1" scenarios="1"/>
  <autoFilter ref="A9:A226" xr:uid="{CAB8CBA9-F7CB-41A0-B385-B2D69BA893C2}">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720D5005-EA6B-4D5B-9EC6-E2C4B2591EB6}">
            <xm:f>General!$BE$1&gt;=2</xm:f>
            <x14:dxf>
              <fill>
                <patternFill patternType="none">
                  <bgColor auto="1"/>
                </patternFill>
              </fill>
            </x14:dxf>
          </x14:cfRule>
          <xm:sqref>I66</xm:sqref>
        </x14:conditionalFormatting>
        <x14:conditionalFormatting xmlns:xm="http://schemas.microsoft.com/office/excel/2006/main">
          <x14:cfRule type="expression" priority="17" id="{59F405C0-FA19-49E7-B77B-4140BCAD3F8F}">
            <xm:f>General!$BE$1&gt;=3</xm:f>
            <x14:dxf>
              <fill>
                <patternFill patternType="none">
                  <bgColor auto="1"/>
                </patternFill>
              </fill>
            </x14:dxf>
          </x14:cfRule>
          <xm:sqref>J66</xm:sqref>
        </x14:conditionalFormatting>
        <x14:conditionalFormatting xmlns:xm="http://schemas.microsoft.com/office/excel/2006/main">
          <x14:cfRule type="expression" priority="16" id="{CF88BDA0-803C-4AC4-9A0D-FB4194FFB62A}">
            <xm:f>General!$BE$1=4</xm:f>
            <x14:dxf>
              <fill>
                <patternFill patternType="none">
                  <bgColor auto="1"/>
                </patternFill>
              </fill>
            </x14:dxf>
          </x14:cfRule>
          <xm:sqref>K66</xm:sqref>
        </x14:conditionalFormatting>
        <x14:conditionalFormatting xmlns:xm="http://schemas.microsoft.com/office/excel/2006/main">
          <x14:cfRule type="expression" priority="15" id="{E9A80FBD-C301-4022-9FC4-4537EF5F34A8}">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7D400A40-6060-488E-B00F-D3CCD95BCD84}">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B69430AC-C7E2-4083-9C93-D98296890DEE}">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E0495118-F86B-4729-9510-D2F1F50ED660}">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81BA6D4A-A965-4057-9B4F-E9CAC9798A1F}">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43D5498D-062C-419B-880F-D614567659FB}">
            <xm:f>General!$BE$1=4</xm:f>
            <x14:dxf>
              <fill>
                <patternFill patternType="none">
                  <bgColor auto="1"/>
                </patternFill>
              </fill>
            </x14:dxf>
          </x14:cfRule>
          <xm:sqref>K13:K15 K17 K20:K39 K41 K45:K47 K49:K55 K57:K64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213</vt:i4>
      </vt:variant>
    </vt:vector>
  </HeadingPairs>
  <TitlesOfParts>
    <vt:vector size="235" baseType="lpstr">
      <vt:lpstr>General</vt:lpstr>
      <vt:lpstr>Settings</vt:lpstr>
      <vt:lpstr>Overview</vt:lpstr>
      <vt:lpstr>Conditional Grants</vt:lpstr>
      <vt:lpstr>EC_1</vt:lpstr>
      <vt:lpstr>EC_2</vt:lpstr>
      <vt:lpstr>FS_1</vt:lpstr>
      <vt:lpstr>FS_2</vt:lpstr>
      <vt:lpstr>GT_1</vt:lpstr>
      <vt:lpstr>GT_2</vt:lpstr>
      <vt:lpstr>KZN_1</vt:lpstr>
      <vt:lpstr>KZN_2</vt:lpstr>
      <vt:lpstr>LIM_1</vt:lpstr>
      <vt:lpstr>LIM_2</vt:lpstr>
      <vt:lpstr>MPU_1</vt:lpstr>
      <vt:lpstr>MPU_2</vt:lpstr>
      <vt:lpstr>NC_1</vt:lpstr>
      <vt:lpstr>NC_2</vt:lpstr>
      <vt:lpstr>NW_1</vt:lpstr>
      <vt:lpstr>NW_2</vt:lpstr>
      <vt:lpstr>WC_1</vt:lpstr>
      <vt:lpstr>WC_2</vt:lpstr>
      <vt:lpstr>CheckDir</vt:lpstr>
      <vt:lpstr>Directory</vt:lpstr>
      <vt:lpstr>EC_Dept1</vt:lpstr>
      <vt:lpstr>EC_Dept10</vt:lpstr>
      <vt:lpstr>EC_Dept11</vt:lpstr>
      <vt:lpstr>EC_Dept12</vt:lpstr>
      <vt:lpstr>EC_Dept13</vt:lpstr>
      <vt:lpstr>EC_Dept14</vt:lpstr>
      <vt:lpstr>EC_Dept15</vt:lpstr>
      <vt:lpstr>EC_Dept16</vt:lpstr>
      <vt:lpstr>EC_Dept17</vt:lpstr>
      <vt:lpstr>EC_Dept18</vt:lpstr>
      <vt:lpstr>EC_Dept19</vt:lpstr>
      <vt:lpstr>EC_Dept2</vt:lpstr>
      <vt:lpstr>EC_Dept20</vt:lpstr>
      <vt:lpstr>EC_Dept3</vt:lpstr>
      <vt:lpstr>EC_Dept4</vt:lpstr>
      <vt:lpstr>EC_Dept5</vt:lpstr>
      <vt:lpstr>EC_Dept6</vt:lpstr>
      <vt:lpstr>EC_Dept7</vt:lpstr>
      <vt:lpstr>EC_Dept8</vt:lpstr>
      <vt:lpstr>EC_Dept9</vt:lpstr>
      <vt:lpstr>Settings!FinYear</vt:lpstr>
      <vt:lpstr>FS_Dept1</vt:lpstr>
      <vt:lpstr>FS_Dept10</vt:lpstr>
      <vt:lpstr>FS_Dept11</vt:lpstr>
      <vt:lpstr>FS_Dept12</vt:lpstr>
      <vt:lpstr>FS_Dept13</vt:lpstr>
      <vt:lpstr>FS_Dept14</vt:lpstr>
      <vt:lpstr>FS_Dept15</vt:lpstr>
      <vt:lpstr>FS_Dept16</vt:lpstr>
      <vt:lpstr>FS_Dept17</vt:lpstr>
      <vt:lpstr>FS_Dept18</vt:lpstr>
      <vt:lpstr>FS_Dept19</vt:lpstr>
      <vt:lpstr>FS_Dept2</vt:lpstr>
      <vt:lpstr>FS_Dept20</vt:lpstr>
      <vt:lpstr>FS_Dept3</vt:lpstr>
      <vt:lpstr>FS_Dept4</vt:lpstr>
      <vt:lpstr>FS_Dept5</vt:lpstr>
      <vt:lpstr>FS_Dept6</vt:lpstr>
      <vt:lpstr>FS_Dept7</vt:lpstr>
      <vt:lpstr>FS_Dept8</vt:lpstr>
      <vt:lpstr>FS_Dept9</vt:lpstr>
      <vt:lpstr>GT_Dept1</vt:lpstr>
      <vt:lpstr>GT_Dept10</vt:lpstr>
      <vt:lpstr>GT_Dept11</vt:lpstr>
      <vt:lpstr>GT_Dept12</vt:lpstr>
      <vt:lpstr>GT_Dept13</vt:lpstr>
      <vt:lpstr>GT_Dept14</vt:lpstr>
      <vt:lpstr>GT_Dept15</vt:lpstr>
      <vt:lpstr>GT_Dept16</vt:lpstr>
      <vt:lpstr>GT_Dept17</vt:lpstr>
      <vt:lpstr>GT_Dept18</vt:lpstr>
      <vt:lpstr>GT_Dept19</vt:lpstr>
      <vt:lpstr>GT_Dept2</vt:lpstr>
      <vt:lpstr>GT_Dept20</vt:lpstr>
      <vt:lpstr>GT_Dept3</vt:lpstr>
      <vt:lpstr>GT_Dept4</vt:lpstr>
      <vt:lpstr>GT_Dept5</vt:lpstr>
      <vt:lpstr>GT_Dept6</vt:lpstr>
      <vt:lpstr>GT_Dept7</vt:lpstr>
      <vt:lpstr>GT_Dept8</vt:lpstr>
      <vt:lpstr>GT_Dept9</vt:lpstr>
      <vt:lpstr>KZN_Dept1</vt:lpstr>
      <vt:lpstr>KZN_Dept10</vt:lpstr>
      <vt:lpstr>KZN_Dept11</vt:lpstr>
      <vt:lpstr>KZN_Dept12</vt:lpstr>
      <vt:lpstr>KZN_Dept13</vt:lpstr>
      <vt:lpstr>KZN_Dept14</vt:lpstr>
      <vt:lpstr>KZN_Dept15</vt:lpstr>
      <vt:lpstr>KZN_Dept16</vt:lpstr>
      <vt:lpstr>KZN_Dept17</vt:lpstr>
      <vt:lpstr>KZN_Dept18</vt:lpstr>
      <vt:lpstr>KZN_Dept19</vt:lpstr>
      <vt:lpstr>KZN_Dept2</vt:lpstr>
      <vt:lpstr>KZN_Dept20</vt:lpstr>
      <vt:lpstr>KZN_Dept3</vt:lpstr>
      <vt:lpstr>KZN_Dept4</vt:lpstr>
      <vt:lpstr>KZN_Dept5</vt:lpstr>
      <vt:lpstr>KZN_Dept6</vt:lpstr>
      <vt:lpstr>KZN_Dept7</vt:lpstr>
      <vt:lpstr>KZN_Dept8</vt:lpstr>
      <vt:lpstr>KZN_Dept9</vt:lpstr>
      <vt:lpstr>LIM_Dept1</vt:lpstr>
      <vt:lpstr>LIM_Dept10</vt:lpstr>
      <vt:lpstr>LIM_Dept11</vt:lpstr>
      <vt:lpstr>LIM_Dept12</vt:lpstr>
      <vt:lpstr>LIM_Dept13</vt:lpstr>
      <vt:lpstr>LIM_Dept14</vt:lpstr>
      <vt:lpstr>LIM_Dept15</vt:lpstr>
      <vt:lpstr>LIM_Dept16</vt:lpstr>
      <vt:lpstr>LIM_Dept17</vt:lpstr>
      <vt:lpstr>LIM_Dept18</vt:lpstr>
      <vt:lpstr>LIM_Dept19</vt:lpstr>
      <vt:lpstr>LIM_Dept2</vt:lpstr>
      <vt:lpstr>LIM_Dept20</vt:lpstr>
      <vt:lpstr>LIM_Dept3</vt:lpstr>
      <vt:lpstr>LIM_Dept4</vt:lpstr>
      <vt:lpstr>LIM_Dept5</vt:lpstr>
      <vt:lpstr>LIM_Dept6</vt:lpstr>
      <vt:lpstr>LIM_Dept7</vt:lpstr>
      <vt:lpstr>LIM_Dept8</vt:lpstr>
      <vt:lpstr>LIM_Dept9</vt:lpstr>
      <vt:lpstr>MPU_Dept1</vt:lpstr>
      <vt:lpstr>MPU_Dept10</vt:lpstr>
      <vt:lpstr>MPU_Dept11</vt:lpstr>
      <vt:lpstr>MPU_Dept12</vt:lpstr>
      <vt:lpstr>MPU_Dept13</vt:lpstr>
      <vt:lpstr>MPU_Dept14</vt:lpstr>
      <vt:lpstr>MPU_Dept15</vt:lpstr>
      <vt:lpstr>MPU_Dept16</vt:lpstr>
      <vt:lpstr>MPU_Dept17</vt:lpstr>
      <vt:lpstr>MPU_Dept18</vt:lpstr>
      <vt:lpstr>MPU_Dept19</vt:lpstr>
      <vt:lpstr>MPU_Dept2</vt:lpstr>
      <vt:lpstr>MPU_Dept20</vt:lpstr>
      <vt:lpstr>MPU_Dept3</vt:lpstr>
      <vt:lpstr>MPU_Dept4</vt:lpstr>
      <vt:lpstr>MPU_Dept5</vt:lpstr>
      <vt:lpstr>MPU_Dept6</vt:lpstr>
      <vt:lpstr>MPU_Dept7</vt:lpstr>
      <vt:lpstr>MPU_Dept8</vt:lpstr>
      <vt:lpstr>MPU_Dept9</vt:lpstr>
      <vt:lpstr>NC_Dept1</vt:lpstr>
      <vt:lpstr>NC_Dept10</vt:lpstr>
      <vt:lpstr>NC_Dept11</vt:lpstr>
      <vt:lpstr>NC_Dept12</vt:lpstr>
      <vt:lpstr>NC_Dept13</vt:lpstr>
      <vt:lpstr>NC_Dept14</vt:lpstr>
      <vt:lpstr>NC_Dept15</vt:lpstr>
      <vt:lpstr>NC_Dept16</vt:lpstr>
      <vt:lpstr>NC_Dept17</vt:lpstr>
      <vt:lpstr>NC_Dept18</vt:lpstr>
      <vt:lpstr>NC_Dept19</vt:lpstr>
      <vt:lpstr>NC_Dept2</vt:lpstr>
      <vt:lpstr>NC_Dept20</vt:lpstr>
      <vt:lpstr>NC_Dept3</vt:lpstr>
      <vt:lpstr>NC_Dept4</vt:lpstr>
      <vt:lpstr>NC_Dept5</vt:lpstr>
      <vt:lpstr>NC_Dept6</vt:lpstr>
      <vt:lpstr>NC_Dept7</vt:lpstr>
      <vt:lpstr>NC_Dept8</vt:lpstr>
      <vt:lpstr>NC_Dept9</vt:lpstr>
      <vt:lpstr>NW_Dept1</vt:lpstr>
      <vt:lpstr>NW_Dept10</vt:lpstr>
      <vt:lpstr>NW_Dept11</vt:lpstr>
      <vt:lpstr>NW_Dept12</vt:lpstr>
      <vt:lpstr>NW_Dept13</vt:lpstr>
      <vt:lpstr>NW_Dept14</vt:lpstr>
      <vt:lpstr>NW_Dept15</vt:lpstr>
      <vt:lpstr>NW_Dept16</vt:lpstr>
      <vt:lpstr>NW_Dept17</vt:lpstr>
      <vt:lpstr>NW_Dept18</vt:lpstr>
      <vt:lpstr>NW_Dept19</vt:lpstr>
      <vt:lpstr>NW_Dept2</vt:lpstr>
      <vt:lpstr>NW_Dept20</vt:lpstr>
      <vt:lpstr>NW_Dept3</vt:lpstr>
      <vt:lpstr>NW_Dept4</vt:lpstr>
      <vt:lpstr>NW_Dept5</vt:lpstr>
      <vt:lpstr>NW_Dept6</vt:lpstr>
      <vt:lpstr>NW_Dept7</vt:lpstr>
      <vt:lpstr>NW_Dept8</vt:lpstr>
      <vt:lpstr>NW_Dept9</vt:lpstr>
      <vt:lpstr>Print</vt:lpstr>
      <vt:lpstr>'Conditional Grants'!Print_Area</vt:lpstr>
      <vt:lpstr>EC_1!Print_Area</vt:lpstr>
      <vt:lpstr>EC_2!Print_Area</vt:lpstr>
      <vt:lpstr>FS_1!Print_Area</vt:lpstr>
      <vt:lpstr>FS_2!Print_Area</vt:lpstr>
      <vt:lpstr>GT_1!Print_Area</vt:lpstr>
      <vt:lpstr>GT_2!Print_Area</vt:lpstr>
      <vt:lpstr>KZN_1!Print_Area</vt:lpstr>
      <vt:lpstr>KZN_2!Print_Area</vt:lpstr>
      <vt:lpstr>LIM_1!Print_Area</vt:lpstr>
      <vt:lpstr>LIM_2!Print_Area</vt:lpstr>
      <vt:lpstr>MPU_1!Print_Area</vt:lpstr>
      <vt:lpstr>MPU_2!Print_Area</vt:lpstr>
      <vt:lpstr>NC_1!Print_Area</vt:lpstr>
      <vt:lpstr>NC_2!Print_Area</vt:lpstr>
      <vt:lpstr>NW_1!Print_Area</vt:lpstr>
      <vt:lpstr>NW_2!Print_Area</vt:lpstr>
      <vt:lpstr>Overview!Print_Area</vt:lpstr>
      <vt:lpstr>WC_1!Print_Area</vt:lpstr>
      <vt:lpstr>WC_2!Print_Area</vt:lpstr>
      <vt:lpstr>Settings!PrintDate</vt:lpstr>
      <vt:lpstr>PrintFinYear</vt:lpstr>
      <vt:lpstr>PrintSheets</vt:lpstr>
      <vt:lpstr>Prov</vt:lpstr>
      <vt:lpstr>QUARTER</vt:lpstr>
      <vt:lpstr>QUARTER1</vt:lpstr>
      <vt:lpstr>QUARTER2</vt:lpstr>
      <vt:lpstr>QUARTER3</vt:lpstr>
      <vt:lpstr>QUARTER4</vt:lpstr>
      <vt:lpstr>WC_Dept1</vt:lpstr>
      <vt:lpstr>WC_Dept10</vt:lpstr>
      <vt:lpstr>WC_Dept11</vt:lpstr>
      <vt:lpstr>WC_Dept12</vt:lpstr>
      <vt:lpstr>WC_Dept13</vt:lpstr>
      <vt:lpstr>WC_Dept14</vt:lpstr>
      <vt:lpstr>WC_Dept15</vt:lpstr>
      <vt:lpstr>WC_Dept16</vt:lpstr>
      <vt:lpstr>WC_Dept17</vt:lpstr>
      <vt:lpstr>WC_Dept18</vt:lpstr>
      <vt:lpstr>WC_Dept19</vt:lpstr>
      <vt:lpstr>WC_Dept2</vt:lpstr>
      <vt:lpstr>WC_Dept20</vt:lpstr>
      <vt:lpstr>WC_Dept3</vt:lpstr>
      <vt:lpstr>WC_Dept4</vt:lpstr>
      <vt:lpstr>WC_Dept5</vt:lpstr>
      <vt:lpstr>WC_Dept6</vt:lpstr>
      <vt:lpstr>WC_Dept7</vt:lpstr>
      <vt:lpstr>WC_Dept8</vt:lpstr>
      <vt:lpstr>WC_Dept9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Benjamin</dc:creator>
  <cp:lastModifiedBy>Rigard Lemmer</cp:lastModifiedBy>
  <cp:lastPrinted>2020-04-27T18:52:53Z</cp:lastPrinted>
  <dcterms:created xsi:type="dcterms:W3CDTF">2018-04-23T10:22:44Z</dcterms:created>
  <dcterms:modified xsi:type="dcterms:W3CDTF">2020-04-30T07:41:33Z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iteId">
    <vt:lpwstr>1a45348f-02b4-4f9a-a7a8-7786f6dd3245</vt:lpwstr>
  </property>
  <property fmtid="{D5CDD505-2E9C-101B-9397-08002B2CF9AE}" pid="4" name="MSIP_Label_93c4247e-447d-4732-af29-2e529a4288f1_Owner">
    <vt:lpwstr>Gobuiwang.Rankane@Treasury.gov.za</vt:lpwstr>
  </property>
  <property fmtid="{D5CDD505-2E9C-101B-9397-08002B2CF9AE}" pid="5" name="MSIP_Label_93c4247e-447d-4732-af29-2e529a4288f1_SetDate">
    <vt:lpwstr>2019-10-14T12:10:23.4029096Z</vt:lpwstr>
  </property>
  <property fmtid="{D5CDD505-2E9C-101B-9397-08002B2CF9AE}" pid="6" name="MSIP_Label_93c4247e-447d-4732-af29-2e529a4288f1_Name">
    <vt:lpwstr>Personal</vt:lpwstr>
  </property>
  <property fmtid="{D5CDD505-2E9C-101B-9397-08002B2CF9AE}" pid="7" name="MSIP_Label_93c4247e-447d-4732-af29-2e529a4288f1_Application">
    <vt:lpwstr>Microsoft Azure Information Protection</vt:lpwstr>
  </property>
  <property fmtid="{D5CDD505-2E9C-101B-9397-08002B2CF9AE}" pid="8" name="MSIP_Label_93c4247e-447d-4732-af29-2e529a4288f1_ActionId">
    <vt:lpwstr>6c06dc40-6fb1-404d-ad28-99f575cbf73b</vt:lpwstr>
  </property>
  <property fmtid="{D5CDD505-2E9C-101B-9397-08002B2CF9AE}" pid="9" name="MSIP_Label_93c4247e-447d-4732-af29-2e529a4288f1_Extended_MSFT_Method">
    <vt:lpwstr>Automatic</vt:lpwstr>
  </property>
  <property fmtid="{D5CDD505-2E9C-101B-9397-08002B2CF9AE}" pid="10" name="Sensitivity">
    <vt:lpwstr>Personal</vt:lpwstr>
  </property>
</Properties>
</file>