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ction 32\pdf\"/>
    </mc:Choice>
  </mc:AlternateContent>
  <bookViews>
    <workbookView xWindow="0" yWindow="0" windowWidth="25125" windowHeight="11730" firstSheet="2" activeTab="10"/>
  </bookViews>
  <sheets>
    <sheet name="Summary" sheetId="1" r:id="rId1"/>
    <sheet name="Table1" sheetId="2" r:id="rId2"/>
    <sheet name="Table 2 Pg1" sheetId="3" r:id="rId3"/>
    <sheet name="Table 2 Pg2" sheetId="4" r:id="rId4"/>
    <sheet name="Table 3 Summary" sheetId="5" r:id="rId5"/>
    <sheet name="Table 3,1" sheetId="6" r:id="rId6"/>
    <sheet name="Table 3,2" sheetId="7" r:id="rId7"/>
    <sheet name="Table 3,3" sheetId="8" r:id="rId8"/>
    <sheet name="Table 3,4" sheetId="10" r:id="rId9"/>
    <sheet name="Table 4" sheetId="11" r:id="rId10"/>
    <sheet name="Table 5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myFinYear">[1]Settings!$A$2</definedName>
    <definedName name="myPriorYear">[1]Settings!$C$2</definedName>
    <definedName name="_xlnm.Print_Area" localSheetId="0">Summary!$A$1:$U$57</definedName>
    <definedName name="_xlnm.Print_Area" localSheetId="3">'Table 2 Pg2'!$A$1:$BW$77</definedName>
    <definedName name="_xlnm.Print_Area" localSheetId="5">'Table 3,1'!$D$1:$BY$344</definedName>
    <definedName name="_xlnm.Print_Area" localSheetId="7">'Table 3,3'!$A$1:$BY$190</definedName>
    <definedName name="_xlnm.Print_Area" localSheetId="8">'Table 3,4'!$A$1:$BZ$49</definedName>
    <definedName name="_xlnm.Print_Area" localSheetId="9">'Table 4'!$A$1:$V$109</definedName>
    <definedName name="_xlnm.Print_Area" localSheetId="10">'Table 5'!$A$1:$U$69</definedName>
    <definedName name="_xlnm.Print_Area" localSheetId="1">Table1!$A$1:$V$154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6" l="1"/>
  <c r="L126" i="6"/>
  <c r="Q126" i="6"/>
  <c r="V126" i="6"/>
  <c r="AA126" i="6"/>
  <c r="AF126" i="6"/>
  <c r="AK126" i="6"/>
  <c r="AP126" i="6"/>
  <c r="AU126" i="6"/>
  <c r="AZ126" i="6"/>
  <c r="BE126" i="6"/>
  <c r="BJ126" i="6"/>
  <c r="BO126" i="6"/>
  <c r="BT127" i="6"/>
  <c r="BT128" i="6"/>
  <c r="BT129" i="6"/>
  <c r="BT130" i="6"/>
  <c r="G132" i="6"/>
  <c r="L132" i="6"/>
  <c r="Q132" i="6"/>
  <c r="V132" i="6"/>
  <c r="AA132" i="6"/>
  <c r="AF132" i="6"/>
  <c r="AK132" i="6"/>
  <c r="AP132" i="6"/>
  <c r="AU132" i="6"/>
  <c r="AZ132" i="6"/>
  <c r="BE132" i="6"/>
  <c r="BJ132" i="6"/>
  <c r="BO132" i="6"/>
  <c r="BT133" i="6"/>
  <c r="BT134" i="6"/>
  <c r="BT135" i="6"/>
  <c r="BT136" i="6"/>
  <c r="G138" i="6"/>
  <c r="L138" i="6"/>
  <c r="Q138" i="6"/>
  <c r="V138" i="6"/>
  <c r="AA138" i="6"/>
  <c r="AF138" i="6"/>
  <c r="AK138" i="6"/>
  <c r="AP138" i="6"/>
  <c r="AU138" i="6"/>
  <c r="AZ138" i="6"/>
  <c r="BE138" i="6"/>
  <c r="BJ138" i="6"/>
  <c r="BO138" i="6"/>
  <c r="BT139" i="6"/>
  <c r="BT140" i="6"/>
  <c r="BT141" i="6"/>
  <c r="G200" i="6"/>
  <c r="L200" i="6"/>
  <c r="Q200" i="6"/>
  <c r="V200" i="6"/>
  <c r="AA200" i="6"/>
  <c r="AF200" i="6"/>
  <c r="AK200" i="6"/>
  <c r="AP200" i="6"/>
  <c r="AU200" i="6"/>
  <c r="AZ200" i="6"/>
  <c r="BE200" i="6"/>
  <c r="BJ200" i="6"/>
  <c r="BO200" i="6"/>
  <c r="BT201" i="6"/>
  <c r="BT202" i="6"/>
  <c r="BT203" i="6"/>
  <c r="BT204" i="6"/>
  <c r="BT205" i="6"/>
  <c r="BT206" i="6"/>
  <c r="BT207" i="6"/>
  <c r="L303" i="6"/>
  <c r="Q303" i="6"/>
  <c r="V303" i="6"/>
  <c r="AA303" i="6"/>
  <c r="AF303" i="6"/>
  <c r="AK303" i="6"/>
  <c r="AP303" i="6"/>
  <c r="AU303" i="6"/>
  <c r="AZ303" i="6"/>
  <c r="BE303" i="6"/>
  <c r="BJ303" i="6"/>
  <c r="BO303" i="6"/>
  <c r="BT304" i="6"/>
  <c r="BT303" i="6" s="1"/>
  <c r="L306" i="6"/>
  <c r="Q306" i="6"/>
  <c r="V306" i="6"/>
  <c r="AA306" i="6"/>
  <c r="AF306" i="6"/>
  <c r="AK306" i="6"/>
  <c r="AP306" i="6"/>
  <c r="AU306" i="6"/>
  <c r="AZ306" i="6"/>
  <c r="BE306" i="6"/>
  <c r="BJ306" i="6"/>
  <c r="BO306" i="6"/>
  <c r="BT307" i="6"/>
  <c r="BT306" i="6" s="1"/>
  <c r="G309" i="6"/>
  <c r="AF309" i="6"/>
  <c r="L310" i="6"/>
  <c r="L309" i="6" s="1"/>
  <c r="Q310" i="6"/>
  <c r="V310" i="6"/>
  <c r="V309" i="6" s="1"/>
  <c r="AA310" i="6"/>
  <c r="AA309" i="6" s="1"/>
  <c r="AK310" i="6"/>
  <c r="AK309" i="6" s="1"/>
  <c r="AP310" i="6"/>
  <c r="AP309" i="6" s="1"/>
  <c r="AU310" i="6"/>
  <c r="AU309" i="6" s="1"/>
  <c r="AZ310" i="6"/>
  <c r="AZ309" i="6" s="1"/>
  <c r="BE310" i="6"/>
  <c r="BE309" i="6" s="1"/>
  <c r="BJ310" i="6"/>
  <c r="BJ309" i="6" s="1"/>
  <c r="BO310" i="6"/>
  <c r="BO309" i="6" s="1"/>
  <c r="D313" i="6"/>
  <c r="L313" i="6"/>
  <c r="Q313" i="6"/>
  <c r="V313" i="6"/>
  <c r="AA313" i="6"/>
  <c r="AF313" i="6"/>
  <c r="AK313" i="6"/>
  <c r="AP313" i="6"/>
  <c r="AU313" i="6"/>
  <c r="AZ313" i="6"/>
  <c r="BE313" i="6"/>
  <c r="BJ313" i="6"/>
  <c r="BO313" i="6"/>
  <c r="BT314" i="6"/>
  <c r="BT313" i="6" s="1"/>
  <c r="L317" i="6"/>
  <c r="Q317" i="6"/>
  <c r="V317" i="6"/>
  <c r="Z317" i="6"/>
  <c r="AA317" i="6"/>
  <c r="AB317" i="6"/>
  <c r="AC317" i="6"/>
  <c r="AD317" i="6"/>
  <c r="AE317" i="6"/>
  <c r="AF317" i="6"/>
  <c r="AG317" i="6"/>
  <c r="AH317" i="6"/>
  <c r="AI317" i="6"/>
  <c r="AJ317" i="6"/>
  <c r="AK317" i="6"/>
  <c r="AL317" i="6"/>
  <c r="AM317" i="6"/>
  <c r="AN317" i="6"/>
  <c r="AO317" i="6"/>
  <c r="AP317" i="6"/>
  <c r="AQ317" i="6"/>
  <c r="AR317" i="6"/>
  <c r="AS317" i="6"/>
  <c r="AT317" i="6"/>
  <c r="AU317" i="6"/>
  <c r="AV317" i="6"/>
  <c r="AW317" i="6"/>
  <c r="AX317" i="6"/>
  <c r="AY317" i="6"/>
  <c r="AZ317" i="6"/>
  <c r="BA317" i="6"/>
  <c r="BB317" i="6"/>
  <c r="BC317" i="6"/>
  <c r="BD317" i="6"/>
  <c r="BE317" i="6"/>
  <c r="BF317" i="6"/>
  <c r="BG317" i="6"/>
  <c r="BH317" i="6"/>
  <c r="BI317" i="6"/>
  <c r="BJ317" i="6"/>
  <c r="BK317" i="6"/>
  <c r="BL317" i="6"/>
  <c r="BM317" i="6"/>
  <c r="BN317" i="6"/>
  <c r="BO317" i="6"/>
  <c r="BP317" i="6"/>
  <c r="BQ317" i="6"/>
  <c r="BT318" i="6"/>
  <c r="BT317" i="6" s="1"/>
  <c r="S41" i="1"/>
  <c r="R41" i="1"/>
  <c r="Q41" i="1"/>
  <c r="P41" i="1"/>
  <c r="O41" i="1"/>
  <c r="N41" i="1"/>
  <c r="M41" i="1"/>
  <c r="L41" i="1"/>
  <c r="K41" i="1"/>
  <c r="J41" i="1"/>
  <c r="I41" i="1"/>
  <c r="H41" i="1"/>
  <c r="T41" i="1" s="1"/>
  <c r="G41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S35" i="1"/>
  <c r="S43" i="1" s="1"/>
  <c r="R35" i="1"/>
  <c r="Q35" i="1"/>
  <c r="P35" i="1"/>
  <c r="O35" i="1"/>
  <c r="O43" i="1" s="1"/>
  <c r="N35" i="1"/>
  <c r="M35" i="1"/>
  <c r="L35" i="1"/>
  <c r="K35" i="1"/>
  <c r="K43" i="1" s="1"/>
  <c r="J35" i="1"/>
  <c r="I35" i="1"/>
  <c r="H35" i="1"/>
  <c r="G35" i="1"/>
  <c r="G43" i="1" s="1"/>
  <c r="T28" i="1"/>
  <c r="Q28" i="1"/>
  <c r="G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S25" i="1"/>
  <c r="R25" i="1"/>
  <c r="Q25" i="1"/>
  <c r="P25" i="1"/>
  <c r="O25" i="1"/>
  <c r="N25" i="1"/>
  <c r="M25" i="1"/>
  <c r="L25" i="1"/>
  <c r="K25" i="1"/>
  <c r="J25" i="1"/>
  <c r="I25" i="1"/>
  <c r="H25" i="1"/>
  <c r="T25" i="1" s="1"/>
  <c r="G25" i="1"/>
  <c r="Q24" i="1"/>
  <c r="O24" i="1"/>
  <c r="N24" i="1"/>
  <c r="T24" i="1" s="1"/>
  <c r="D24" i="1"/>
  <c r="Q23" i="1"/>
  <c r="O23" i="1"/>
  <c r="M23" i="1"/>
  <c r="L23" i="1"/>
  <c r="D23" i="1"/>
  <c r="Q22" i="1"/>
  <c r="N20" i="1" s="1"/>
  <c r="N15" i="1" s="1"/>
  <c r="N11" i="1" s="1"/>
  <c r="N30" i="1" s="1"/>
  <c r="O22" i="1"/>
  <c r="M22" i="1"/>
  <c r="M20" i="1" s="1"/>
  <c r="L22" i="1"/>
  <c r="D22" i="1"/>
  <c r="Q21" i="1"/>
  <c r="O21" i="1"/>
  <c r="M21" i="1"/>
  <c r="L21" i="1"/>
  <c r="T21" i="1" s="1"/>
  <c r="D21" i="1"/>
  <c r="S20" i="1"/>
  <c r="R20" i="1"/>
  <c r="Q20" i="1"/>
  <c r="P20" i="1"/>
  <c r="O20" i="1"/>
  <c r="L20" i="1"/>
  <c r="K20" i="1"/>
  <c r="J20" i="1"/>
  <c r="I20" i="1"/>
  <c r="H20" i="1"/>
  <c r="O19" i="1"/>
  <c r="M19" i="1"/>
  <c r="L19" i="1"/>
  <c r="K19" i="1"/>
  <c r="J19" i="1"/>
  <c r="I19" i="1"/>
  <c r="H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G15" i="1" s="1"/>
  <c r="G11" i="1" s="1"/>
  <c r="S17" i="1"/>
  <c r="R17" i="1"/>
  <c r="Q17" i="1"/>
  <c r="P17" i="1"/>
  <c r="O17" i="1"/>
  <c r="N17" i="1"/>
  <c r="M17" i="1"/>
  <c r="L17" i="1"/>
  <c r="K17" i="1"/>
  <c r="J17" i="1"/>
  <c r="I17" i="1"/>
  <c r="H17" i="1"/>
  <c r="T17" i="1" s="1"/>
  <c r="G17" i="1"/>
  <c r="S16" i="1"/>
  <c r="S15" i="1" s="1"/>
  <c r="S11" i="1" s="1"/>
  <c r="R16" i="1"/>
  <c r="Q16" i="1"/>
  <c r="P16" i="1"/>
  <c r="O16" i="1"/>
  <c r="N16" i="1"/>
  <c r="M16" i="1"/>
  <c r="M15" i="1" s="1"/>
  <c r="L16" i="1"/>
  <c r="L15" i="1" s="1"/>
  <c r="K16" i="1"/>
  <c r="K15" i="1" s="1"/>
  <c r="K11" i="1" s="1"/>
  <c r="J16" i="1"/>
  <c r="I16" i="1"/>
  <c r="H16" i="1"/>
  <c r="G16" i="1"/>
  <c r="P15" i="1"/>
  <c r="H15" i="1"/>
  <c r="S13" i="1"/>
  <c r="R13" i="1"/>
  <c r="Q13" i="1"/>
  <c r="P13" i="1"/>
  <c r="O13" i="1"/>
  <c r="N13" i="1"/>
  <c r="M13" i="1"/>
  <c r="L13" i="1"/>
  <c r="L11" i="1" s="1"/>
  <c r="K13" i="1"/>
  <c r="J13" i="1"/>
  <c r="I13" i="1"/>
  <c r="H13" i="1"/>
  <c r="H11" i="1" s="1"/>
  <c r="G13" i="1"/>
  <c r="P11" i="1"/>
  <c r="S9" i="1"/>
  <c r="R9" i="1"/>
  <c r="Q9" i="1"/>
  <c r="P9" i="1"/>
  <c r="P30" i="1" s="1"/>
  <c r="O9" i="1"/>
  <c r="N9" i="1"/>
  <c r="M9" i="1"/>
  <c r="L9" i="1"/>
  <c r="K9" i="1"/>
  <c r="J9" i="1"/>
  <c r="I9" i="1"/>
  <c r="H9" i="1"/>
  <c r="G9" i="1"/>
  <c r="G5" i="1"/>
  <c r="S65" i="12"/>
  <c r="S49" i="12"/>
  <c r="S48" i="12"/>
  <c r="S47" i="12"/>
  <c r="S46" i="12"/>
  <c r="S45" i="12"/>
  <c r="S44" i="12"/>
  <c r="S43" i="12"/>
  <c r="S42" i="12"/>
  <c r="S41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6" i="12" s="1"/>
  <c r="S8" i="12"/>
  <c r="S7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S40" i="12" l="1"/>
  <c r="BT126" i="6"/>
  <c r="BT132" i="6"/>
  <c r="BT138" i="6"/>
  <c r="BT200" i="6"/>
  <c r="BT310" i="6"/>
  <c r="BT309" i="6" s="1"/>
  <c r="Q309" i="6"/>
  <c r="M11" i="1"/>
  <c r="P48" i="1"/>
  <c r="Q15" i="1"/>
  <c r="Q11" i="1" s="1"/>
  <c r="Q30" i="1"/>
  <c r="T18" i="1"/>
  <c r="I15" i="1"/>
  <c r="I11" i="1" s="1"/>
  <c r="T22" i="1"/>
  <c r="T26" i="1"/>
  <c r="H43" i="1"/>
  <c r="L43" i="1"/>
  <c r="P43" i="1"/>
  <c r="N48" i="1"/>
  <c r="T23" i="1"/>
  <c r="I43" i="1"/>
  <c r="M43" i="1"/>
  <c r="Q43" i="1"/>
  <c r="T37" i="1"/>
  <c r="T9" i="1"/>
  <c r="G30" i="1"/>
  <c r="T13" i="1"/>
  <c r="T16" i="1"/>
  <c r="T19" i="1"/>
  <c r="O15" i="1"/>
  <c r="O11" i="1" s="1"/>
  <c r="O30" i="1" s="1"/>
  <c r="O48" i="1" s="1"/>
  <c r="J43" i="1"/>
  <c r="N43" i="1"/>
  <c r="R43" i="1"/>
  <c r="T39" i="1"/>
  <c r="L30" i="1"/>
  <c r="K30" i="1"/>
  <c r="K48" i="1" s="1"/>
  <c r="S30" i="1"/>
  <c r="I30" i="1"/>
  <c r="I48" i="1" s="1"/>
  <c r="M30" i="1"/>
  <c r="M48" i="1" s="1"/>
  <c r="R15" i="1"/>
  <c r="R11" i="1" s="1"/>
  <c r="R30" i="1" s="1"/>
  <c r="R48" i="1" s="1"/>
  <c r="G48" i="1"/>
  <c r="S48" i="1"/>
  <c r="T20" i="1"/>
  <c r="Q48" i="1"/>
  <c r="J15" i="1"/>
  <c r="J11" i="1" s="1"/>
  <c r="J30" i="1" s="1"/>
  <c r="J48" i="1" s="1"/>
  <c r="H30" i="1"/>
  <c r="H48" i="1" s="1"/>
  <c r="T35" i="1"/>
  <c r="T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T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T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T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T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T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L203" i="11"/>
  <c r="K203" i="11"/>
  <c r="J203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T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R190" i="11"/>
  <c r="Q190" i="11"/>
  <c r="P190" i="11"/>
  <c r="O190" i="11"/>
  <c r="N190" i="11"/>
  <c r="M190" i="11"/>
  <c r="L190" i="11"/>
  <c r="K190" i="11"/>
  <c r="J190" i="11"/>
  <c r="R189" i="11"/>
  <c r="Q189" i="11"/>
  <c r="P189" i="11"/>
  <c r="O189" i="11"/>
  <c r="N189" i="11"/>
  <c r="M189" i="11"/>
  <c r="L189" i="11"/>
  <c r="K189" i="11"/>
  <c r="J189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R187" i="11"/>
  <c r="Q187" i="11"/>
  <c r="P187" i="11"/>
  <c r="O187" i="11"/>
  <c r="N187" i="11"/>
  <c r="M187" i="11"/>
  <c r="L187" i="11"/>
  <c r="K187" i="11"/>
  <c r="J187" i="11"/>
  <c r="R186" i="11"/>
  <c r="Q186" i="11"/>
  <c r="P186" i="11"/>
  <c r="O186" i="11"/>
  <c r="N186" i="11"/>
  <c r="M186" i="11"/>
  <c r="L186" i="11"/>
  <c r="K186" i="11"/>
  <c r="J186" i="11"/>
  <c r="T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T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T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I172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T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S135" i="11"/>
  <c r="R135" i="11"/>
  <c r="Q135" i="11"/>
  <c r="P135" i="11"/>
  <c r="O135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T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T103" i="11"/>
  <c r="S102" i="11"/>
  <c r="T102" i="11" s="1"/>
  <c r="R102" i="11"/>
  <c r="Q102" i="11"/>
  <c r="P102" i="11"/>
  <c r="O102" i="11"/>
  <c r="N102" i="11"/>
  <c r="M102" i="11"/>
  <c r="L102" i="11"/>
  <c r="K102" i="11"/>
  <c r="L96" i="11" s="1"/>
  <c r="J102" i="11"/>
  <c r="I102" i="11"/>
  <c r="H102" i="11"/>
  <c r="G102" i="11"/>
  <c r="S101" i="11"/>
  <c r="S100" i="11" s="1"/>
  <c r="R101" i="11"/>
  <c r="Q101" i="11"/>
  <c r="R95" i="11" s="1"/>
  <c r="P101" i="11"/>
  <c r="P100" i="11" s="1"/>
  <c r="O101" i="11"/>
  <c r="O100" i="11" s="1"/>
  <c r="N101" i="11"/>
  <c r="M101" i="11"/>
  <c r="M217" i="11" s="1"/>
  <c r="L101" i="11"/>
  <c r="L100" i="11" s="1"/>
  <c r="K101" i="11"/>
  <c r="K100" i="11" s="1"/>
  <c r="J101" i="11"/>
  <c r="I101" i="11"/>
  <c r="J95" i="11" s="1"/>
  <c r="J211" i="11" s="1"/>
  <c r="H101" i="11"/>
  <c r="G101" i="11"/>
  <c r="H100" i="11"/>
  <c r="G100" i="11"/>
  <c r="T97" i="11"/>
  <c r="Q96" i="11"/>
  <c r="P96" i="11"/>
  <c r="M96" i="11"/>
  <c r="M212" i="11" s="1"/>
  <c r="I96" i="11"/>
  <c r="H96" i="11"/>
  <c r="G96" i="11"/>
  <c r="G94" i="11" s="1"/>
  <c r="G92" i="11" s="1"/>
  <c r="G88" i="11" s="1"/>
  <c r="N95" i="11"/>
  <c r="N211" i="11" s="1"/>
  <c r="M95" i="11"/>
  <c r="I95" i="11"/>
  <c r="H95" i="11"/>
  <c r="G95" i="11"/>
  <c r="S87" i="11"/>
  <c r="R87" i="11"/>
  <c r="R203" i="11" s="1"/>
  <c r="Q87" i="11"/>
  <c r="Q203" i="11" s="1"/>
  <c r="P87" i="11"/>
  <c r="P203" i="11" s="1"/>
  <c r="O87" i="11"/>
  <c r="O203" i="11" s="1"/>
  <c r="N87" i="11"/>
  <c r="M87" i="11"/>
  <c r="M203" i="11" s="1"/>
  <c r="I87" i="11"/>
  <c r="I203" i="11" s="1"/>
  <c r="H87" i="11"/>
  <c r="H203" i="11" s="1"/>
  <c r="G87" i="11"/>
  <c r="S86" i="11"/>
  <c r="S202" i="11" s="1"/>
  <c r="R86" i="11"/>
  <c r="R202" i="11" s="1"/>
  <c r="Q86" i="11"/>
  <c r="P86" i="11"/>
  <c r="O86" i="11"/>
  <c r="O202" i="11" s="1"/>
  <c r="N86" i="11"/>
  <c r="N202" i="11" s="1"/>
  <c r="M86" i="11"/>
  <c r="L86" i="11"/>
  <c r="L202" i="11" s="1"/>
  <c r="K86" i="11"/>
  <c r="K202" i="11" s="1"/>
  <c r="J86" i="11"/>
  <c r="J202" i="11" s="1"/>
  <c r="I86" i="11"/>
  <c r="H86" i="11"/>
  <c r="G86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T81" i="11"/>
  <c r="T80" i="11"/>
  <c r="T78" i="11"/>
  <c r="T194" i="11" s="1"/>
  <c r="T77" i="11"/>
  <c r="T193" i="11" s="1"/>
  <c r="S76" i="11"/>
  <c r="S192" i="11" s="1"/>
  <c r="R76" i="11"/>
  <c r="R192" i="11" s="1"/>
  <c r="Q76" i="11"/>
  <c r="Q192" i="11" s="1"/>
  <c r="P76" i="11"/>
  <c r="O76" i="11"/>
  <c r="O192" i="11" s="1"/>
  <c r="N76" i="11"/>
  <c r="N192" i="11" s="1"/>
  <c r="M76" i="11"/>
  <c r="M192" i="11" s="1"/>
  <c r="L76" i="11"/>
  <c r="K76" i="11"/>
  <c r="K192" i="11" s="1"/>
  <c r="J76" i="11"/>
  <c r="J192" i="11" s="1"/>
  <c r="I76" i="11"/>
  <c r="I192" i="11" s="1"/>
  <c r="H76" i="11"/>
  <c r="S74" i="11"/>
  <c r="I74" i="11"/>
  <c r="I190" i="11" s="1"/>
  <c r="H74" i="11"/>
  <c r="G74" i="11"/>
  <c r="S73" i="11"/>
  <c r="S189" i="11" s="1"/>
  <c r="I73" i="11"/>
  <c r="I189" i="11" s="1"/>
  <c r="H73" i="11"/>
  <c r="H189" i="11" s="1"/>
  <c r="G73" i="11"/>
  <c r="T71" i="11"/>
  <c r="S71" i="11"/>
  <c r="S187" i="11" s="1"/>
  <c r="I71" i="11"/>
  <c r="I187" i="11" s="1"/>
  <c r="H71" i="11"/>
  <c r="H187" i="11" s="1"/>
  <c r="G71" i="11"/>
  <c r="S70" i="11"/>
  <c r="I70" i="11"/>
  <c r="I186" i="11" s="1"/>
  <c r="H70" i="11"/>
  <c r="G70" i="11"/>
  <c r="R69" i="11"/>
  <c r="Q69" i="11"/>
  <c r="P69" i="11"/>
  <c r="P185" i="11" s="1"/>
  <c r="O69" i="11"/>
  <c r="N69" i="11"/>
  <c r="M69" i="11"/>
  <c r="L69" i="11"/>
  <c r="L185" i="11" s="1"/>
  <c r="K69" i="11"/>
  <c r="J69" i="11"/>
  <c r="I69" i="11"/>
  <c r="H69" i="11"/>
  <c r="G69" i="11"/>
  <c r="S67" i="11"/>
  <c r="S183" i="11" s="1"/>
  <c r="R67" i="11"/>
  <c r="R183" i="11" s="1"/>
  <c r="Q67" i="11"/>
  <c r="Q183" i="11" s="1"/>
  <c r="P67" i="11"/>
  <c r="P183" i="11" s="1"/>
  <c r="O67" i="11"/>
  <c r="O183" i="11" s="1"/>
  <c r="N67" i="11"/>
  <c r="N183" i="11" s="1"/>
  <c r="M67" i="11"/>
  <c r="M183" i="11" s="1"/>
  <c r="L67" i="11"/>
  <c r="L183" i="11" s="1"/>
  <c r="K67" i="11"/>
  <c r="K183" i="11" s="1"/>
  <c r="J67" i="11"/>
  <c r="J183" i="11" s="1"/>
  <c r="I67" i="11"/>
  <c r="I183" i="11" s="1"/>
  <c r="H67" i="11"/>
  <c r="H183" i="11" s="1"/>
  <c r="G67" i="11"/>
  <c r="S66" i="11"/>
  <c r="S182" i="11" s="1"/>
  <c r="R66" i="11"/>
  <c r="R182" i="11" s="1"/>
  <c r="Q66" i="11"/>
  <c r="Q182" i="11" s="1"/>
  <c r="P66" i="11"/>
  <c r="P182" i="11" s="1"/>
  <c r="O66" i="11"/>
  <c r="O182" i="11" s="1"/>
  <c r="N66" i="11"/>
  <c r="N182" i="11" s="1"/>
  <c r="M66" i="11"/>
  <c r="M182" i="11" s="1"/>
  <c r="L66" i="11"/>
  <c r="L182" i="11" s="1"/>
  <c r="K66" i="11"/>
  <c r="K182" i="11" s="1"/>
  <c r="J66" i="11"/>
  <c r="J182" i="11" s="1"/>
  <c r="I66" i="11"/>
  <c r="I182" i="11" s="1"/>
  <c r="H66" i="11"/>
  <c r="H182" i="11" s="1"/>
  <c r="G66" i="11"/>
  <c r="S64" i="11"/>
  <c r="S179" i="11" s="1"/>
  <c r="R64" i="11"/>
  <c r="R179" i="11" s="1"/>
  <c r="Q64" i="11"/>
  <c r="Q179" i="11" s="1"/>
  <c r="P64" i="11"/>
  <c r="P179" i="11" s="1"/>
  <c r="O64" i="11"/>
  <c r="O179" i="11" s="1"/>
  <c r="N64" i="11"/>
  <c r="N179" i="11" s="1"/>
  <c r="M64" i="11"/>
  <c r="M179" i="11" s="1"/>
  <c r="L64" i="11"/>
  <c r="L179" i="11" s="1"/>
  <c r="K64" i="11"/>
  <c r="K179" i="11" s="1"/>
  <c r="J64" i="11"/>
  <c r="J179" i="11" s="1"/>
  <c r="I64" i="11"/>
  <c r="I179" i="11" s="1"/>
  <c r="H64" i="11"/>
  <c r="H179" i="11" s="1"/>
  <c r="G64" i="11"/>
  <c r="S63" i="11"/>
  <c r="S178" i="11" s="1"/>
  <c r="R63" i="11"/>
  <c r="R178" i="11" s="1"/>
  <c r="Q63" i="11"/>
  <c r="P63" i="11"/>
  <c r="O63" i="11"/>
  <c r="O178" i="11" s="1"/>
  <c r="N63" i="11"/>
  <c r="N178" i="11" s="1"/>
  <c r="M63" i="11"/>
  <c r="L63" i="11"/>
  <c r="K63" i="11"/>
  <c r="K178" i="11" s="1"/>
  <c r="J63" i="11"/>
  <c r="J178" i="11" s="1"/>
  <c r="I63" i="11"/>
  <c r="H63" i="11"/>
  <c r="G63" i="11"/>
  <c r="G62" i="11" s="1"/>
  <c r="N62" i="11"/>
  <c r="T58" i="11"/>
  <c r="T173" i="11" s="1"/>
  <c r="S57" i="11"/>
  <c r="R57" i="11"/>
  <c r="Q57" i="11"/>
  <c r="P57" i="11"/>
  <c r="P172" i="11" s="1"/>
  <c r="O57" i="11"/>
  <c r="N57" i="11"/>
  <c r="M57" i="11"/>
  <c r="L57" i="11"/>
  <c r="L172" i="11" s="1"/>
  <c r="K57" i="11"/>
  <c r="J57" i="11"/>
  <c r="I57" i="11"/>
  <c r="H57" i="11"/>
  <c r="H172" i="11" s="1"/>
  <c r="S55" i="11"/>
  <c r="R55" i="11"/>
  <c r="Q55" i="11"/>
  <c r="Q170" i="11" s="1"/>
  <c r="P55" i="11"/>
  <c r="P170" i="11" s="1"/>
  <c r="O55" i="11"/>
  <c r="N55" i="11"/>
  <c r="M55" i="11"/>
  <c r="M170" i="11" s="1"/>
  <c r="L55" i="11"/>
  <c r="L170" i="11" s="1"/>
  <c r="K55" i="11"/>
  <c r="K170" i="11" s="1"/>
  <c r="J55" i="11"/>
  <c r="I55" i="11"/>
  <c r="I170" i="11" s="1"/>
  <c r="H55" i="11"/>
  <c r="H170" i="11" s="1"/>
  <c r="G55" i="11"/>
  <c r="S54" i="11"/>
  <c r="R54" i="11"/>
  <c r="Q54" i="11"/>
  <c r="Q53" i="11" s="1"/>
  <c r="P54" i="11"/>
  <c r="O54" i="11"/>
  <c r="N54" i="11"/>
  <c r="M54" i="11"/>
  <c r="M53" i="11" s="1"/>
  <c r="L54" i="11"/>
  <c r="K54" i="11"/>
  <c r="J54" i="11"/>
  <c r="I54" i="11"/>
  <c r="I53" i="11" s="1"/>
  <c r="H54" i="11"/>
  <c r="G54" i="11"/>
  <c r="S51" i="11"/>
  <c r="S166" i="11" s="1"/>
  <c r="R51" i="11"/>
  <c r="R166" i="11" s="1"/>
  <c r="Q51" i="11"/>
  <c r="Q48" i="11" s="1"/>
  <c r="P51" i="11"/>
  <c r="O51" i="11"/>
  <c r="O166" i="11" s="1"/>
  <c r="N51" i="11"/>
  <c r="N166" i="11" s="1"/>
  <c r="M51" i="11"/>
  <c r="M48" i="11" s="1"/>
  <c r="L51" i="11"/>
  <c r="K51" i="11"/>
  <c r="K166" i="11" s="1"/>
  <c r="J51" i="11"/>
  <c r="J166" i="11" s="1"/>
  <c r="I51" i="11"/>
  <c r="H51" i="11"/>
  <c r="G51" i="11"/>
  <c r="S50" i="11"/>
  <c r="R50" i="11"/>
  <c r="Q50" i="11"/>
  <c r="Q165" i="11" s="1"/>
  <c r="P50" i="11"/>
  <c r="P165" i="11" s="1"/>
  <c r="O50" i="11"/>
  <c r="O165" i="11" s="1"/>
  <c r="N50" i="11"/>
  <c r="M50" i="11"/>
  <c r="M165" i="11" s="1"/>
  <c r="L50" i="11"/>
  <c r="L165" i="11" s="1"/>
  <c r="K50" i="11"/>
  <c r="J50" i="11"/>
  <c r="I50" i="11"/>
  <c r="I165" i="11" s="1"/>
  <c r="H50" i="11"/>
  <c r="H165" i="11" s="1"/>
  <c r="G50" i="11"/>
  <c r="S49" i="11"/>
  <c r="R49" i="11"/>
  <c r="Q49" i="11"/>
  <c r="P49" i="11"/>
  <c r="P48" i="11" s="1"/>
  <c r="P163" i="11" s="1"/>
  <c r="O49" i="11"/>
  <c r="N49" i="11"/>
  <c r="M49" i="11"/>
  <c r="L49" i="11"/>
  <c r="L164" i="11" s="1"/>
  <c r="K49" i="11"/>
  <c r="J49" i="11"/>
  <c r="I49" i="11"/>
  <c r="H49" i="11"/>
  <c r="H48" i="11" s="1"/>
  <c r="H163" i="11" s="1"/>
  <c r="G49" i="11"/>
  <c r="G48" i="11" s="1"/>
  <c r="I48" i="11"/>
  <c r="T46" i="11"/>
  <c r="S45" i="11"/>
  <c r="S160" i="11" s="1"/>
  <c r="R45" i="11"/>
  <c r="R160" i="11" s="1"/>
  <c r="Q45" i="11"/>
  <c r="Q160" i="11" s="1"/>
  <c r="P45" i="11"/>
  <c r="O45" i="11"/>
  <c r="O160" i="11" s="1"/>
  <c r="N45" i="11"/>
  <c r="N160" i="11" s="1"/>
  <c r="M45" i="11"/>
  <c r="L45" i="11"/>
  <c r="L160" i="11" s="1"/>
  <c r="K45" i="11"/>
  <c r="K160" i="11" s="1"/>
  <c r="J45" i="11"/>
  <c r="J160" i="11" s="1"/>
  <c r="I45" i="11"/>
  <c r="I160" i="11" s="1"/>
  <c r="H45" i="11"/>
  <c r="G45" i="11"/>
  <c r="T159" i="11"/>
  <c r="S43" i="11"/>
  <c r="R43" i="11"/>
  <c r="R158" i="11" s="1"/>
  <c r="Q43" i="11"/>
  <c r="Q158" i="11" s="1"/>
  <c r="P43" i="11"/>
  <c r="O43" i="11"/>
  <c r="N43" i="11"/>
  <c r="N158" i="11" s="1"/>
  <c r="M43" i="11"/>
  <c r="M158" i="11" s="1"/>
  <c r="L43" i="11"/>
  <c r="K43" i="11"/>
  <c r="J43" i="11"/>
  <c r="J158" i="11" s="1"/>
  <c r="I43" i="11"/>
  <c r="I158" i="11" s="1"/>
  <c r="H43" i="11"/>
  <c r="G43" i="11"/>
  <c r="S42" i="11"/>
  <c r="R42" i="11"/>
  <c r="Q42" i="11"/>
  <c r="Q41" i="11" s="1"/>
  <c r="P42" i="11"/>
  <c r="O42" i="11"/>
  <c r="N42" i="11"/>
  <c r="M42" i="11"/>
  <c r="L42" i="11"/>
  <c r="K42" i="11"/>
  <c r="J42" i="11"/>
  <c r="I42" i="11"/>
  <c r="H42" i="11"/>
  <c r="G42" i="11"/>
  <c r="I41" i="11"/>
  <c r="S37" i="11"/>
  <c r="R37" i="11"/>
  <c r="Q37" i="11"/>
  <c r="Q152" i="11" s="1"/>
  <c r="P37" i="11"/>
  <c r="P152" i="11" s="1"/>
  <c r="O37" i="11"/>
  <c r="N37" i="11"/>
  <c r="M37" i="11"/>
  <c r="M152" i="11" s="1"/>
  <c r="L37" i="11"/>
  <c r="K37" i="11"/>
  <c r="J37" i="11"/>
  <c r="I37" i="11"/>
  <c r="I152" i="11" s="1"/>
  <c r="H37" i="11"/>
  <c r="G37" i="11"/>
  <c r="T28" i="11"/>
  <c r="G28" i="11"/>
  <c r="T26" i="11"/>
  <c r="D26" i="11"/>
  <c r="T25" i="11"/>
  <c r="D25" i="11"/>
  <c r="T24" i="11"/>
  <c r="D24" i="11"/>
  <c r="T23" i="11"/>
  <c r="D23" i="11"/>
  <c r="T21" i="11"/>
  <c r="T141" i="11" s="1"/>
  <c r="G21" i="11"/>
  <c r="T20" i="11"/>
  <c r="G20" i="11"/>
  <c r="T19" i="11"/>
  <c r="T140" i="11" s="1"/>
  <c r="G19" i="11"/>
  <c r="T18" i="11"/>
  <c r="T139" i="11" s="1"/>
  <c r="G18" i="11"/>
  <c r="T17" i="11"/>
  <c r="G17" i="11"/>
  <c r="S16" i="11"/>
  <c r="S137" i="11" s="1"/>
  <c r="R16" i="11"/>
  <c r="R137" i="11" s="1"/>
  <c r="Q16" i="11"/>
  <c r="Q137" i="11" s="1"/>
  <c r="P16" i="11"/>
  <c r="O16" i="11"/>
  <c r="O137" i="11" s="1"/>
  <c r="N16" i="11"/>
  <c r="N137" i="11" s="1"/>
  <c r="M16" i="11"/>
  <c r="M137" i="11" s="1"/>
  <c r="L16" i="11"/>
  <c r="L14" i="11" s="1"/>
  <c r="L135" i="11" s="1"/>
  <c r="K16" i="11"/>
  <c r="K137" i="11" s="1"/>
  <c r="J16" i="11"/>
  <c r="J137" i="11" s="1"/>
  <c r="I16" i="11"/>
  <c r="I137" i="11" s="1"/>
  <c r="H16" i="11"/>
  <c r="H14" i="11" s="1"/>
  <c r="H135" i="11" s="1"/>
  <c r="G14" i="11"/>
  <c r="S12" i="11"/>
  <c r="S133" i="11" s="1"/>
  <c r="R12" i="11"/>
  <c r="R133" i="11" s="1"/>
  <c r="Q12" i="11"/>
  <c r="Q133" i="11" s="1"/>
  <c r="P12" i="11"/>
  <c r="O12" i="11"/>
  <c r="O133" i="11" s="1"/>
  <c r="N12" i="11"/>
  <c r="N133" i="11" s="1"/>
  <c r="M12" i="11"/>
  <c r="L12" i="11"/>
  <c r="L133" i="11" s="1"/>
  <c r="K12" i="11"/>
  <c r="K133" i="11" s="1"/>
  <c r="J12" i="11"/>
  <c r="J133" i="11" s="1"/>
  <c r="I12" i="11"/>
  <c r="H12" i="11"/>
  <c r="S10" i="11"/>
  <c r="S131" i="11" s="1"/>
  <c r="R10" i="11"/>
  <c r="Q10" i="11"/>
  <c r="Q131" i="11" s="1"/>
  <c r="P10" i="11"/>
  <c r="O10" i="11"/>
  <c r="O131" i="11" s="1"/>
  <c r="N10" i="11"/>
  <c r="N131" i="11" s="1"/>
  <c r="M10" i="11"/>
  <c r="L10" i="11"/>
  <c r="K10" i="11"/>
  <c r="K131" i="11" s="1"/>
  <c r="J10" i="11"/>
  <c r="I10" i="11"/>
  <c r="H10" i="11"/>
  <c r="G10" i="11"/>
  <c r="G7" i="11"/>
  <c r="K32" i="11" l="1"/>
  <c r="K147" i="11" s="1"/>
  <c r="O62" i="11"/>
  <c r="K218" i="11"/>
  <c r="P53" i="11"/>
  <c r="P168" i="11" s="1"/>
  <c r="S32" i="11"/>
  <c r="S147" i="11" s="1"/>
  <c r="J62" i="11"/>
  <c r="R62" i="11"/>
  <c r="G84" i="11"/>
  <c r="N14" i="11"/>
  <c r="N135" i="11" s="1"/>
  <c r="H53" i="11"/>
  <c r="H168" i="11" s="1"/>
  <c r="K62" i="11"/>
  <c r="S62" i="11"/>
  <c r="S177" i="11" s="1"/>
  <c r="Q95" i="11"/>
  <c r="T43" i="1"/>
  <c r="T15" i="1"/>
  <c r="T11" i="1" s="1"/>
  <c r="T30" i="1" s="1"/>
  <c r="T48" i="1" s="1"/>
  <c r="L48" i="1"/>
  <c r="J41" i="11"/>
  <c r="O158" i="11"/>
  <c r="L48" i="11"/>
  <c r="L163" i="11" s="1"/>
  <c r="G53" i="11"/>
  <c r="G16" i="11"/>
  <c r="G12" i="11" s="1"/>
  <c r="G32" i="11" s="1"/>
  <c r="R41" i="11"/>
  <c r="R156" i="11" s="1"/>
  <c r="G41" i="11"/>
  <c r="O41" i="11"/>
  <c r="L166" i="11"/>
  <c r="S203" i="11"/>
  <c r="T143" i="11"/>
  <c r="T57" i="11"/>
  <c r="T172" i="11" s="1"/>
  <c r="T187" i="11"/>
  <c r="P137" i="11"/>
  <c r="Q168" i="11"/>
  <c r="G60" i="11"/>
  <c r="I185" i="11"/>
  <c r="M185" i="11"/>
  <c r="Q185" i="11"/>
  <c r="T213" i="11"/>
  <c r="L137" i="11"/>
  <c r="Q163" i="11"/>
  <c r="I168" i="11"/>
  <c r="J172" i="11"/>
  <c r="T197" i="11"/>
  <c r="S216" i="11"/>
  <c r="I133" i="11"/>
  <c r="I14" i="11"/>
  <c r="I135" i="11" s="1"/>
  <c r="I156" i="11"/>
  <c r="I39" i="11"/>
  <c r="N164" i="11"/>
  <c r="N48" i="11"/>
  <c r="N163" i="11" s="1"/>
  <c r="M168" i="11"/>
  <c r="K169" i="11"/>
  <c r="K53" i="11"/>
  <c r="K168" i="11" s="1"/>
  <c r="S169" i="11"/>
  <c r="S53" i="11"/>
  <c r="S168" i="11" s="1"/>
  <c r="N177" i="11"/>
  <c r="N60" i="11"/>
  <c r="N175" i="11" s="1"/>
  <c r="I178" i="11"/>
  <c r="I62" i="11"/>
  <c r="T67" i="11"/>
  <c r="T183" i="11" s="1"/>
  <c r="J14" i="11"/>
  <c r="J135" i="11" s="1"/>
  <c r="K164" i="11"/>
  <c r="K48" i="11"/>
  <c r="K163" i="11" s="1"/>
  <c r="S164" i="11"/>
  <c r="S48" i="11"/>
  <c r="S163" i="11" s="1"/>
  <c r="T55" i="11"/>
  <c r="M94" i="11"/>
  <c r="M133" i="11"/>
  <c r="M14" i="11"/>
  <c r="M135" i="11" s="1"/>
  <c r="J152" i="11"/>
  <c r="N152" i="11"/>
  <c r="R152" i="11"/>
  <c r="Q39" i="11"/>
  <c r="Q156" i="11"/>
  <c r="J164" i="11"/>
  <c r="J48" i="11"/>
  <c r="J163" i="11" s="1"/>
  <c r="R164" i="11"/>
  <c r="R48" i="11"/>
  <c r="R163" i="11" s="1"/>
  <c r="O169" i="11"/>
  <c r="O53" i="11"/>
  <c r="O168" i="11" s="1"/>
  <c r="M178" i="11"/>
  <c r="M62" i="11"/>
  <c r="Q178" i="11"/>
  <c r="Q62" i="11"/>
  <c r="N32" i="11"/>
  <c r="J156" i="11"/>
  <c r="M163" i="11"/>
  <c r="O164" i="11"/>
  <c r="O48" i="11"/>
  <c r="T54" i="11"/>
  <c r="O177" i="11"/>
  <c r="O60" i="11"/>
  <c r="O175" i="11" s="1"/>
  <c r="T66" i="11"/>
  <c r="T182" i="11" s="1"/>
  <c r="H131" i="11"/>
  <c r="H32" i="11"/>
  <c r="L131" i="11"/>
  <c r="L32" i="11"/>
  <c r="P131" i="11"/>
  <c r="P32" i="11"/>
  <c r="T10" i="11"/>
  <c r="J131" i="11"/>
  <c r="R131" i="11"/>
  <c r="K14" i="11"/>
  <c r="K135" i="11" s="1"/>
  <c r="O32" i="11"/>
  <c r="T37" i="11"/>
  <c r="M41" i="11"/>
  <c r="K157" i="11"/>
  <c r="K41" i="11"/>
  <c r="S157" i="11"/>
  <c r="S41" i="11"/>
  <c r="T50" i="11"/>
  <c r="J177" i="11"/>
  <c r="J60" i="11"/>
  <c r="J175" i="11" s="1"/>
  <c r="R177" i="11"/>
  <c r="R60" i="11"/>
  <c r="R175" i="11" s="1"/>
  <c r="T64" i="11"/>
  <c r="T179" i="11" s="1"/>
  <c r="H201" i="11"/>
  <c r="L201" i="11"/>
  <c r="P201" i="11"/>
  <c r="T85" i="11"/>
  <c r="I218" i="11"/>
  <c r="I100" i="11"/>
  <c r="J96" i="11"/>
  <c r="J212" i="11" s="1"/>
  <c r="M218" i="11"/>
  <c r="M100" i="11"/>
  <c r="M216" i="11" s="1"/>
  <c r="N96" i="11"/>
  <c r="Q218" i="11"/>
  <c r="Q100" i="11"/>
  <c r="R96" i="11"/>
  <c r="R212" i="11" s="1"/>
  <c r="P218" i="11"/>
  <c r="O157" i="11"/>
  <c r="H169" i="11"/>
  <c r="I32" i="11"/>
  <c r="M32" i="11"/>
  <c r="M131" i="11"/>
  <c r="Q32" i="11"/>
  <c r="H133" i="11"/>
  <c r="P133" i="11"/>
  <c r="T138" i="11"/>
  <c r="T16" i="11"/>
  <c r="T137" i="11" s="1"/>
  <c r="J32" i="11"/>
  <c r="R32" i="11"/>
  <c r="N41" i="11"/>
  <c r="H157" i="11"/>
  <c r="H41" i="11"/>
  <c r="L157" i="11"/>
  <c r="L41" i="11"/>
  <c r="P157" i="11"/>
  <c r="P41" i="11"/>
  <c r="T42" i="11"/>
  <c r="I163" i="11"/>
  <c r="M164" i="11"/>
  <c r="L53" i="11"/>
  <c r="L168" i="11" s="1"/>
  <c r="J169" i="11"/>
  <c r="J53" i="11"/>
  <c r="J168" i="11" s="1"/>
  <c r="N169" i="11"/>
  <c r="N53" i="11"/>
  <c r="N168" i="11" s="1"/>
  <c r="R169" i="11"/>
  <c r="R53" i="11"/>
  <c r="R168" i="11" s="1"/>
  <c r="M169" i="11"/>
  <c r="K172" i="11"/>
  <c r="O172" i="11"/>
  <c r="S172" i="11"/>
  <c r="K177" i="11"/>
  <c r="K60" i="11"/>
  <c r="K175" i="11" s="1"/>
  <c r="H178" i="11"/>
  <c r="H62" i="11"/>
  <c r="L178" i="11"/>
  <c r="L62" i="11"/>
  <c r="P178" i="11"/>
  <c r="P62" i="11"/>
  <c r="T63" i="11"/>
  <c r="T74" i="11"/>
  <c r="T190" i="11" s="1"/>
  <c r="H190" i="11"/>
  <c r="P216" i="11"/>
  <c r="H217" i="11"/>
  <c r="L216" i="11"/>
  <c r="I131" i="11"/>
  <c r="H186" i="11"/>
  <c r="T70" i="11"/>
  <c r="M201" i="11"/>
  <c r="Q201" i="11"/>
  <c r="H212" i="11"/>
  <c r="H94" i="11"/>
  <c r="K216" i="11"/>
  <c r="J217" i="11"/>
  <c r="J100" i="11"/>
  <c r="J216" i="11" s="1"/>
  <c r="K95" i="11"/>
  <c r="N217" i="11"/>
  <c r="N100" i="11"/>
  <c r="N216" i="11" s="1"/>
  <c r="O95" i="11"/>
  <c r="R217" i="11"/>
  <c r="R100" i="11"/>
  <c r="R216" i="11" s="1"/>
  <c r="S95" i="11"/>
  <c r="J218" i="11"/>
  <c r="K96" i="11"/>
  <c r="K212" i="11" s="1"/>
  <c r="N218" i="11"/>
  <c r="O96" i="11"/>
  <c r="O212" i="11" s="1"/>
  <c r="R218" i="11"/>
  <c r="S96" i="11"/>
  <c r="S212" i="11" s="1"/>
  <c r="H152" i="11"/>
  <c r="T12" i="11"/>
  <c r="T133" i="11" s="1"/>
  <c r="H137" i="11"/>
  <c r="K152" i="11"/>
  <c r="O152" i="11"/>
  <c r="S152" i="11"/>
  <c r="I157" i="11"/>
  <c r="M157" i="11"/>
  <c r="Q157" i="11"/>
  <c r="K158" i="11"/>
  <c r="S158" i="11"/>
  <c r="H160" i="11"/>
  <c r="P160" i="11"/>
  <c r="T45" i="11"/>
  <c r="H164" i="11"/>
  <c r="P164" i="11"/>
  <c r="T49" i="11"/>
  <c r="J165" i="11"/>
  <c r="N165" i="11"/>
  <c r="R165" i="11"/>
  <c r="H166" i="11"/>
  <c r="P166" i="11"/>
  <c r="T51" i="11"/>
  <c r="T166" i="11" s="1"/>
  <c r="L169" i="11"/>
  <c r="P169" i="11"/>
  <c r="J170" i="11"/>
  <c r="N170" i="11"/>
  <c r="R170" i="11"/>
  <c r="M172" i="11"/>
  <c r="Q172" i="11"/>
  <c r="J185" i="11"/>
  <c r="N185" i="11"/>
  <c r="R185" i="11"/>
  <c r="T73" i="11"/>
  <c r="T189" i="11" s="1"/>
  <c r="T196" i="11"/>
  <c r="T76" i="11"/>
  <c r="T192" i="11" s="1"/>
  <c r="I211" i="11"/>
  <c r="I94" i="11"/>
  <c r="Q211" i="11"/>
  <c r="Q94" i="11"/>
  <c r="I212" i="11"/>
  <c r="Q212" i="11"/>
  <c r="K217" i="11"/>
  <c r="L95" i="11"/>
  <c r="O217" i="11"/>
  <c r="P95" i="11"/>
  <c r="S217" i="11"/>
  <c r="T101" i="11"/>
  <c r="T218" i="11"/>
  <c r="I201" i="11"/>
  <c r="L152" i="11"/>
  <c r="J157" i="11"/>
  <c r="N157" i="11"/>
  <c r="R157" i="11"/>
  <c r="H158" i="11"/>
  <c r="L158" i="11"/>
  <c r="P158" i="11"/>
  <c r="T43" i="11"/>
  <c r="M160" i="11"/>
  <c r="T161" i="11"/>
  <c r="I164" i="11"/>
  <c r="Q164" i="11"/>
  <c r="K165" i="11"/>
  <c r="S165" i="11"/>
  <c r="I166" i="11"/>
  <c r="M166" i="11"/>
  <c r="Q166" i="11"/>
  <c r="I169" i="11"/>
  <c r="Q169" i="11"/>
  <c r="O170" i="11"/>
  <c r="S170" i="11"/>
  <c r="N172" i="11"/>
  <c r="R172" i="11"/>
  <c r="K185" i="11"/>
  <c r="O185" i="11"/>
  <c r="S69" i="11"/>
  <c r="S185" i="11" s="1"/>
  <c r="S186" i="11"/>
  <c r="N203" i="11"/>
  <c r="R211" i="11"/>
  <c r="T96" i="11"/>
  <c r="T212" i="11" s="1"/>
  <c r="P217" i="11"/>
  <c r="H218" i="11"/>
  <c r="L212" i="11"/>
  <c r="S190" i="11"/>
  <c r="J201" i="11"/>
  <c r="N201" i="11"/>
  <c r="R201" i="11"/>
  <c r="H202" i="11"/>
  <c r="P202" i="11"/>
  <c r="T86" i="11"/>
  <c r="L217" i="11"/>
  <c r="O218" i="11"/>
  <c r="S218" i="11"/>
  <c r="H192" i="11"/>
  <c r="L192" i="11"/>
  <c r="P192" i="11"/>
  <c r="K201" i="11"/>
  <c r="O201" i="11"/>
  <c r="S201" i="11"/>
  <c r="I202" i="11"/>
  <c r="M202" i="11"/>
  <c r="Q202" i="11"/>
  <c r="H211" i="11"/>
  <c r="T95" i="11"/>
  <c r="I217" i="11"/>
  <c r="Q217" i="11"/>
  <c r="L218" i="11"/>
  <c r="T219" i="11"/>
  <c r="G39" i="11" l="1"/>
  <c r="T202" i="11"/>
  <c r="T165" i="11"/>
  <c r="T160" i="11"/>
  <c r="G34" i="11"/>
  <c r="T158" i="11"/>
  <c r="Q216" i="11"/>
  <c r="O216" i="11"/>
  <c r="T217" i="11"/>
  <c r="T100" i="11"/>
  <c r="T216" i="11" s="1"/>
  <c r="S211" i="11"/>
  <c r="S94" i="11"/>
  <c r="J147" i="11"/>
  <c r="Q147" i="11"/>
  <c r="L147" i="11"/>
  <c r="O163" i="11"/>
  <c r="O39" i="11"/>
  <c r="M177" i="11"/>
  <c r="M60" i="11"/>
  <c r="M175" i="11" s="1"/>
  <c r="I210" i="11"/>
  <c r="I92" i="11"/>
  <c r="N156" i="11"/>
  <c r="N39" i="11"/>
  <c r="O156" i="11"/>
  <c r="M156" i="11"/>
  <c r="M39" i="11"/>
  <c r="J39" i="11"/>
  <c r="R94" i="11"/>
  <c r="I154" i="11"/>
  <c r="P211" i="11"/>
  <c r="P94" i="11"/>
  <c r="T164" i="11"/>
  <c r="T48" i="11"/>
  <c r="K94" i="11"/>
  <c r="K211" i="11"/>
  <c r="H216" i="11"/>
  <c r="H185" i="11"/>
  <c r="L177" i="11"/>
  <c r="L60" i="11"/>
  <c r="L175" i="11" s="1"/>
  <c r="S60" i="11"/>
  <c r="S175" i="11" s="1"/>
  <c r="T41" i="11"/>
  <c r="T157" i="11"/>
  <c r="M147" i="11"/>
  <c r="K156" i="11"/>
  <c r="K39" i="11"/>
  <c r="T152" i="11"/>
  <c r="P147" i="11"/>
  <c r="H147" i="11"/>
  <c r="Q177" i="11"/>
  <c r="Q60" i="11"/>
  <c r="Q175" i="11" s="1"/>
  <c r="Q154" i="11"/>
  <c r="J94" i="11"/>
  <c r="L211" i="11"/>
  <c r="L94" i="11"/>
  <c r="H210" i="11"/>
  <c r="H92" i="11"/>
  <c r="T69" i="11"/>
  <c r="T186" i="11"/>
  <c r="P177" i="11"/>
  <c r="P60" i="11"/>
  <c r="P175" i="11" s="1"/>
  <c r="H177" i="11"/>
  <c r="H60" i="11"/>
  <c r="H175" i="11" s="1"/>
  <c r="T201" i="11"/>
  <c r="M211" i="11"/>
  <c r="L39" i="11"/>
  <c r="L156" i="11"/>
  <c r="T131" i="11"/>
  <c r="T32" i="11"/>
  <c r="T14" i="11"/>
  <c r="T135" i="11" s="1"/>
  <c r="T170" i="11"/>
  <c r="I177" i="11"/>
  <c r="I60" i="11"/>
  <c r="I175" i="11" s="1"/>
  <c r="T211" i="11"/>
  <c r="T94" i="11"/>
  <c r="Q210" i="11"/>
  <c r="Q92" i="11"/>
  <c r="T203" i="11"/>
  <c r="O211" i="11"/>
  <c r="O94" i="11"/>
  <c r="P212" i="11"/>
  <c r="T62" i="11"/>
  <c r="T178" i="11"/>
  <c r="P156" i="11"/>
  <c r="P39" i="11"/>
  <c r="H156" i="11"/>
  <c r="H39" i="11"/>
  <c r="R147" i="11"/>
  <c r="I147" i="11"/>
  <c r="N212" i="11"/>
  <c r="N94" i="11"/>
  <c r="I216" i="11"/>
  <c r="S156" i="11"/>
  <c r="S39" i="11"/>
  <c r="O147" i="11"/>
  <c r="T169" i="11"/>
  <c r="T53" i="11"/>
  <c r="R39" i="11"/>
  <c r="N147" i="11"/>
  <c r="M210" i="11"/>
  <c r="M92" i="11"/>
  <c r="T163" i="11" l="1"/>
  <c r="N210" i="11"/>
  <c r="N92" i="11"/>
  <c r="K210" i="11"/>
  <c r="K92" i="11"/>
  <c r="O154" i="11"/>
  <c r="R154" i="11"/>
  <c r="T210" i="11"/>
  <c r="T92" i="11"/>
  <c r="T147" i="11"/>
  <c r="N154" i="11"/>
  <c r="T168" i="11"/>
  <c r="H154" i="11"/>
  <c r="T177" i="11"/>
  <c r="T60" i="11"/>
  <c r="O92" i="11"/>
  <c r="O210" i="11"/>
  <c r="L154" i="11"/>
  <c r="T185" i="11"/>
  <c r="K154" i="11"/>
  <c r="T156" i="11"/>
  <c r="T39" i="11"/>
  <c r="P154" i="11"/>
  <c r="L210" i="11"/>
  <c r="L92" i="11"/>
  <c r="P210" i="11"/>
  <c r="P92" i="11"/>
  <c r="J154" i="11"/>
  <c r="M88" i="11"/>
  <c r="M208" i="11"/>
  <c r="S154" i="11"/>
  <c r="Q208" i="11"/>
  <c r="Q88" i="11"/>
  <c r="H208" i="11"/>
  <c r="H88" i="11"/>
  <c r="J210" i="11"/>
  <c r="J92" i="11"/>
  <c r="R210" i="11"/>
  <c r="R92" i="11"/>
  <c r="M154" i="11"/>
  <c r="I208" i="11"/>
  <c r="I88" i="11"/>
  <c r="S210" i="11"/>
  <c r="S92" i="11"/>
  <c r="Q204" i="11" l="1"/>
  <c r="Q84" i="11"/>
  <c r="K208" i="11"/>
  <c r="K88" i="11"/>
  <c r="N208" i="11"/>
  <c r="N88" i="11"/>
  <c r="I204" i="11"/>
  <c r="I84" i="11"/>
  <c r="M204" i="11"/>
  <c r="M84" i="11"/>
  <c r="O208" i="11"/>
  <c r="O88" i="11"/>
  <c r="P208" i="11"/>
  <c r="P88" i="11"/>
  <c r="S208" i="11"/>
  <c r="S88" i="11"/>
  <c r="R208" i="11"/>
  <c r="R88" i="11"/>
  <c r="H204" i="11"/>
  <c r="H84" i="11"/>
  <c r="L208" i="11"/>
  <c r="L88" i="11"/>
  <c r="J208" i="11"/>
  <c r="J88" i="11"/>
  <c r="T154" i="11"/>
  <c r="T175" i="11"/>
  <c r="T208" i="11"/>
  <c r="T88" i="11"/>
  <c r="L204" i="11" l="1"/>
  <c r="L84" i="11"/>
  <c r="R204" i="11"/>
  <c r="R84" i="11"/>
  <c r="P204" i="11"/>
  <c r="P84" i="11"/>
  <c r="I200" i="11"/>
  <c r="I34" i="11"/>
  <c r="T204" i="11"/>
  <c r="T84" i="11"/>
  <c r="J204" i="11"/>
  <c r="J84" i="11"/>
  <c r="H200" i="11"/>
  <c r="H34" i="11"/>
  <c r="S204" i="11"/>
  <c r="S84" i="11"/>
  <c r="O204" i="11"/>
  <c r="O84" i="11"/>
  <c r="M200" i="11"/>
  <c r="M34" i="11"/>
  <c r="N84" i="11"/>
  <c r="N204" i="11"/>
  <c r="Q200" i="11"/>
  <c r="Q34" i="11"/>
  <c r="K204" i="11"/>
  <c r="K84" i="11"/>
  <c r="L200" i="11" l="1"/>
  <c r="L34" i="11"/>
  <c r="K200" i="11"/>
  <c r="K34" i="11"/>
  <c r="O200" i="11"/>
  <c r="O34" i="11"/>
  <c r="H149" i="11"/>
  <c r="N200" i="11"/>
  <c r="N34" i="11"/>
  <c r="T200" i="11"/>
  <c r="T34" i="11"/>
  <c r="I149" i="11"/>
  <c r="R200" i="11"/>
  <c r="R34" i="11"/>
  <c r="P200" i="11"/>
  <c r="P34" i="11"/>
  <c r="Q149" i="11"/>
  <c r="M149" i="11"/>
  <c r="S200" i="11"/>
  <c r="S34" i="11"/>
  <c r="J200" i="11"/>
  <c r="J34" i="11"/>
  <c r="S149" i="11" l="1"/>
  <c r="P149" i="11"/>
  <c r="K149" i="11"/>
  <c r="N149" i="11"/>
  <c r="J149" i="11"/>
  <c r="R149" i="11"/>
  <c r="O149" i="11"/>
  <c r="L149" i="11"/>
  <c r="T149" i="11"/>
  <c r="BT81" i="10" l="1"/>
  <c r="BS81" i="10"/>
  <c r="BR81" i="10"/>
  <c r="BQ81" i="10"/>
  <c r="BO81" i="10"/>
  <c r="BN81" i="10"/>
  <c r="BM81" i="10"/>
  <c r="BL81" i="10"/>
  <c r="BJ81" i="10"/>
  <c r="BI81" i="10"/>
  <c r="BH81" i="10"/>
  <c r="BG81" i="10"/>
  <c r="BE81" i="10"/>
  <c r="BD81" i="10"/>
  <c r="BC81" i="10"/>
  <c r="BB81" i="10"/>
  <c r="AZ81" i="10"/>
  <c r="AY81" i="10"/>
  <c r="AX81" i="10"/>
  <c r="AW81" i="10"/>
  <c r="AU81" i="10"/>
  <c r="AT81" i="10"/>
  <c r="AS81" i="10"/>
  <c r="AR81" i="10"/>
  <c r="AP81" i="10"/>
  <c r="AO81" i="10"/>
  <c r="AN81" i="10"/>
  <c r="AM81" i="10"/>
  <c r="AK81" i="10"/>
  <c r="AJ81" i="10"/>
  <c r="AI81" i="10"/>
  <c r="AH81" i="10"/>
  <c r="AF81" i="10"/>
  <c r="AE81" i="10"/>
  <c r="AD81" i="10"/>
  <c r="AC81" i="10"/>
  <c r="AA81" i="10"/>
  <c r="Z81" i="10"/>
  <c r="Y81" i="10"/>
  <c r="X81" i="10"/>
  <c r="V81" i="10"/>
  <c r="U81" i="10"/>
  <c r="T81" i="10"/>
  <c r="S81" i="10"/>
  <c r="Q81" i="10"/>
  <c r="P81" i="10"/>
  <c r="O81" i="10"/>
  <c r="N81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BI80" i="10"/>
  <c r="BH80" i="10"/>
  <c r="BG80" i="10"/>
  <c r="BF80" i="10"/>
  <c r="BE80" i="10"/>
  <c r="BD80" i="10"/>
  <c r="BC80" i="10"/>
  <c r="BB80" i="10"/>
  <c r="BA80" i="10"/>
  <c r="AZ80" i="10"/>
  <c r="AY80" i="10"/>
  <c r="AX80" i="10"/>
  <c r="AW80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BT79" i="10"/>
  <c r="BS79" i="10"/>
  <c r="BR79" i="10"/>
  <c r="BQ79" i="10"/>
  <c r="BO79" i="10"/>
  <c r="BN79" i="10"/>
  <c r="BM79" i="10"/>
  <c r="BL79" i="10"/>
  <c r="BJ79" i="10"/>
  <c r="BI79" i="10"/>
  <c r="BH79" i="10"/>
  <c r="BG79" i="10"/>
  <c r="BE79" i="10"/>
  <c r="BD79" i="10"/>
  <c r="BC79" i="10"/>
  <c r="BB79" i="10"/>
  <c r="AZ79" i="10"/>
  <c r="AY79" i="10"/>
  <c r="AX79" i="10"/>
  <c r="AW79" i="10"/>
  <c r="AU79" i="10"/>
  <c r="AT79" i="10"/>
  <c r="AS79" i="10"/>
  <c r="AR79" i="10"/>
  <c r="AP79" i="10"/>
  <c r="AO79" i="10"/>
  <c r="AN79" i="10"/>
  <c r="AM79" i="10"/>
  <c r="AK79" i="10"/>
  <c r="AJ79" i="10"/>
  <c r="AI79" i="10"/>
  <c r="AH79" i="10"/>
  <c r="AF79" i="10"/>
  <c r="AE79" i="10"/>
  <c r="AD79" i="10"/>
  <c r="AC79" i="10"/>
  <c r="AB79" i="10"/>
  <c r="AA79" i="10"/>
  <c r="Z79" i="10"/>
  <c r="Y79" i="10"/>
  <c r="X79" i="10"/>
  <c r="V79" i="10"/>
  <c r="U79" i="10"/>
  <c r="T79" i="10"/>
  <c r="S79" i="10"/>
  <c r="Q79" i="10"/>
  <c r="P79" i="10"/>
  <c r="O79" i="10"/>
  <c r="N79" i="10"/>
  <c r="BU78" i="10"/>
  <c r="BT78" i="10"/>
  <c r="BS78" i="10"/>
  <c r="BR78" i="10"/>
  <c r="BQ78" i="10"/>
  <c r="BP78" i="10"/>
  <c r="BO78" i="10"/>
  <c r="BN78" i="10"/>
  <c r="BM78" i="10"/>
  <c r="BL78" i="10"/>
  <c r="BK78" i="10"/>
  <c r="BJ78" i="10"/>
  <c r="BI78" i="10"/>
  <c r="BH78" i="10"/>
  <c r="BG78" i="10"/>
  <c r="BF78" i="10"/>
  <c r="BE78" i="10"/>
  <c r="BD78" i="10"/>
  <c r="BC78" i="10"/>
  <c r="BB78" i="10"/>
  <c r="BA78" i="10"/>
  <c r="AZ78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BI77" i="10"/>
  <c r="BH77" i="10"/>
  <c r="BG77" i="10"/>
  <c r="BF77" i="10"/>
  <c r="BE77" i="10"/>
  <c r="BD77" i="10"/>
  <c r="BC77" i="10"/>
  <c r="BB77" i="10"/>
  <c r="BA77" i="10"/>
  <c r="AZ77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BU76" i="10"/>
  <c r="BT76" i="10"/>
  <c r="BS76" i="10"/>
  <c r="BR76" i="10"/>
  <c r="BQ76" i="10"/>
  <c r="BP76" i="10"/>
  <c r="BO76" i="10"/>
  <c r="BN76" i="10"/>
  <c r="BM76" i="10"/>
  <c r="BL76" i="10"/>
  <c r="BK76" i="10"/>
  <c r="BJ76" i="10"/>
  <c r="BI76" i="10"/>
  <c r="BH76" i="10"/>
  <c r="BG76" i="10"/>
  <c r="BF76" i="10"/>
  <c r="BE76" i="10"/>
  <c r="BD76" i="10"/>
  <c r="BC76" i="10"/>
  <c r="BB76" i="10"/>
  <c r="BA76" i="10"/>
  <c r="AZ76" i="10"/>
  <c r="AY76" i="10"/>
  <c r="AX76" i="10"/>
  <c r="AW76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BT73" i="10"/>
  <c r="BS73" i="10"/>
  <c r="BR73" i="10"/>
  <c r="BQ73" i="10"/>
  <c r="BO73" i="10"/>
  <c r="BN73" i="10"/>
  <c r="BM73" i="10"/>
  <c r="BL73" i="10"/>
  <c r="BJ73" i="10"/>
  <c r="BI73" i="10"/>
  <c r="BH73" i="10"/>
  <c r="BG73" i="10"/>
  <c r="BE73" i="10"/>
  <c r="BD73" i="10"/>
  <c r="BC73" i="10"/>
  <c r="BB73" i="10"/>
  <c r="AZ73" i="10"/>
  <c r="AY73" i="10"/>
  <c r="AX73" i="10"/>
  <c r="AW73" i="10"/>
  <c r="AU73" i="10"/>
  <c r="AT73" i="10"/>
  <c r="AS73" i="10"/>
  <c r="AR73" i="10"/>
  <c r="AP73" i="10"/>
  <c r="AO73" i="10"/>
  <c r="AN73" i="10"/>
  <c r="AM73" i="10"/>
  <c r="AK73" i="10"/>
  <c r="AJ73" i="10"/>
  <c r="AI73" i="10"/>
  <c r="AH73" i="10"/>
  <c r="AF73" i="10"/>
  <c r="AE73" i="10"/>
  <c r="AD73" i="10"/>
  <c r="AC73" i="10"/>
  <c r="AA73" i="10"/>
  <c r="Z73" i="10"/>
  <c r="Y73" i="10"/>
  <c r="X73" i="10"/>
  <c r="V73" i="10"/>
  <c r="U73" i="10"/>
  <c r="T73" i="10"/>
  <c r="S73" i="10"/>
  <c r="Q73" i="10"/>
  <c r="P73" i="10"/>
  <c r="O73" i="10"/>
  <c r="N73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BT68" i="10"/>
  <c r="BS68" i="10"/>
  <c r="BR68" i="10"/>
  <c r="BQ68" i="10"/>
  <c r="BO68" i="10"/>
  <c r="BN68" i="10"/>
  <c r="BM68" i="10"/>
  <c r="BL68" i="10"/>
  <c r="BJ68" i="10"/>
  <c r="BI68" i="10"/>
  <c r="BH68" i="10"/>
  <c r="BG68" i="10"/>
  <c r="BE68" i="10"/>
  <c r="BD68" i="10"/>
  <c r="BC68" i="10"/>
  <c r="BB68" i="10"/>
  <c r="AZ68" i="10"/>
  <c r="AY68" i="10"/>
  <c r="AX68" i="10"/>
  <c r="AW68" i="10"/>
  <c r="AU68" i="10"/>
  <c r="AT68" i="10"/>
  <c r="AS68" i="10"/>
  <c r="AR68" i="10"/>
  <c r="AP68" i="10"/>
  <c r="AO68" i="10"/>
  <c r="AN68" i="10"/>
  <c r="AM68" i="10"/>
  <c r="AK68" i="10"/>
  <c r="AJ68" i="10"/>
  <c r="AI68" i="10"/>
  <c r="AH68" i="10"/>
  <c r="AF68" i="10"/>
  <c r="AE68" i="10"/>
  <c r="AD68" i="10"/>
  <c r="AC68" i="10"/>
  <c r="AA68" i="10"/>
  <c r="Z68" i="10"/>
  <c r="Y68" i="10"/>
  <c r="X68" i="10"/>
  <c r="V68" i="10"/>
  <c r="U68" i="10"/>
  <c r="T68" i="10"/>
  <c r="S68" i="10"/>
  <c r="Q68" i="10"/>
  <c r="P68" i="10"/>
  <c r="O68" i="10"/>
  <c r="N68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BT64" i="10"/>
  <c r="BS64" i="10"/>
  <c r="BR64" i="10"/>
  <c r="BQ64" i="10"/>
  <c r="BO64" i="10"/>
  <c r="BN64" i="10"/>
  <c r="BM64" i="10"/>
  <c r="BL64" i="10"/>
  <c r="BK64" i="10"/>
  <c r="BJ64" i="10"/>
  <c r="BI64" i="10"/>
  <c r="BH64" i="10"/>
  <c r="BG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BT58" i="10"/>
  <c r="BS58" i="10"/>
  <c r="BR58" i="10"/>
  <c r="BQ58" i="10"/>
  <c r="BO58" i="10"/>
  <c r="BN58" i="10"/>
  <c r="BM58" i="10"/>
  <c r="BL58" i="10"/>
  <c r="BJ58" i="10"/>
  <c r="BI58" i="10"/>
  <c r="BH58" i="10"/>
  <c r="BG58" i="10"/>
  <c r="BE58" i="10"/>
  <c r="BD58" i="10"/>
  <c r="BC58" i="10"/>
  <c r="BB58" i="10"/>
  <c r="AZ58" i="10"/>
  <c r="AY58" i="10"/>
  <c r="AX58" i="10"/>
  <c r="AW58" i="10"/>
  <c r="AU58" i="10"/>
  <c r="AT58" i="10"/>
  <c r="AS58" i="10"/>
  <c r="AR58" i="10"/>
  <c r="AP58" i="10"/>
  <c r="AO58" i="10"/>
  <c r="AN58" i="10"/>
  <c r="AM58" i="10"/>
  <c r="AK58" i="10"/>
  <c r="AJ58" i="10"/>
  <c r="AI58" i="10"/>
  <c r="AH58" i="10"/>
  <c r="AF58" i="10"/>
  <c r="AE58" i="10"/>
  <c r="AD58" i="10"/>
  <c r="AC58" i="10"/>
  <c r="AA58" i="10"/>
  <c r="Z58" i="10"/>
  <c r="Y58" i="10"/>
  <c r="X58" i="10"/>
  <c r="V58" i="10"/>
  <c r="U58" i="10"/>
  <c r="T58" i="10"/>
  <c r="S58" i="10"/>
  <c r="Q58" i="10"/>
  <c r="P58" i="10"/>
  <c r="O58" i="10"/>
  <c r="N58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BT56" i="10"/>
  <c r="BS56" i="10"/>
  <c r="BR56" i="10"/>
  <c r="BQ56" i="10"/>
  <c r="BO56" i="10"/>
  <c r="BN56" i="10"/>
  <c r="BM56" i="10"/>
  <c r="BL56" i="10"/>
  <c r="BJ56" i="10"/>
  <c r="BI56" i="10"/>
  <c r="BH56" i="10"/>
  <c r="BG56" i="10"/>
  <c r="BE56" i="10"/>
  <c r="BD56" i="10"/>
  <c r="BC56" i="10"/>
  <c r="BB56" i="10"/>
  <c r="AZ56" i="10"/>
  <c r="AY56" i="10"/>
  <c r="AX56" i="10"/>
  <c r="AW56" i="10"/>
  <c r="AU56" i="10"/>
  <c r="AT56" i="10"/>
  <c r="AS56" i="10"/>
  <c r="AR56" i="10"/>
  <c r="AP56" i="10"/>
  <c r="AO56" i="10"/>
  <c r="AN56" i="10"/>
  <c r="AM56" i="10"/>
  <c r="AK56" i="10"/>
  <c r="AJ56" i="10"/>
  <c r="AI56" i="10"/>
  <c r="AH56" i="10"/>
  <c r="AF56" i="10"/>
  <c r="AE56" i="10"/>
  <c r="AD56" i="10"/>
  <c r="AC56" i="10"/>
  <c r="AA56" i="10"/>
  <c r="Z56" i="10"/>
  <c r="Y56" i="10"/>
  <c r="X56" i="10"/>
  <c r="V56" i="10"/>
  <c r="U56" i="10"/>
  <c r="T56" i="10"/>
  <c r="S56" i="10"/>
  <c r="Q56" i="10"/>
  <c r="P56" i="10"/>
  <c r="O56" i="10"/>
  <c r="N56" i="10"/>
  <c r="M56" i="10"/>
  <c r="BT55" i="10"/>
  <c r="BS55" i="10"/>
  <c r="BR55" i="10"/>
  <c r="BQ55" i="10"/>
  <c r="BO55" i="10"/>
  <c r="BN55" i="10"/>
  <c r="BM55" i="10"/>
  <c r="BL55" i="10"/>
  <c r="BJ55" i="10"/>
  <c r="BI55" i="10"/>
  <c r="BH55" i="10"/>
  <c r="BG55" i="10"/>
  <c r="BE55" i="10"/>
  <c r="BD55" i="10"/>
  <c r="BC55" i="10"/>
  <c r="BB55" i="10"/>
  <c r="AZ55" i="10"/>
  <c r="AY55" i="10"/>
  <c r="AX55" i="10"/>
  <c r="AW55" i="10"/>
  <c r="AU55" i="10"/>
  <c r="AT55" i="10"/>
  <c r="AS55" i="10"/>
  <c r="AR55" i="10"/>
  <c r="AP55" i="10"/>
  <c r="AO55" i="10"/>
  <c r="AN55" i="10"/>
  <c r="AM55" i="10"/>
  <c r="AK55" i="10"/>
  <c r="AJ55" i="10"/>
  <c r="AI55" i="10"/>
  <c r="AH55" i="10"/>
  <c r="AF55" i="10"/>
  <c r="AE55" i="10"/>
  <c r="AD55" i="10"/>
  <c r="AC55" i="10"/>
  <c r="AA55" i="10"/>
  <c r="Z55" i="10"/>
  <c r="Y55" i="10"/>
  <c r="X55" i="10"/>
  <c r="V55" i="10"/>
  <c r="U55" i="10"/>
  <c r="T55" i="10"/>
  <c r="S55" i="10"/>
  <c r="Q55" i="10"/>
  <c r="P55" i="10"/>
  <c r="O55" i="10"/>
  <c r="N55" i="10"/>
  <c r="M55" i="10"/>
  <c r="BT54" i="10"/>
  <c r="BS54" i="10"/>
  <c r="BR54" i="10"/>
  <c r="BQ54" i="10"/>
  <c r="BO54" i="10"/>
  <c r="BN54" i="10"/>
  <c r="BM54" i="10"/>
  <c r="BL54" i="10"/>
  <c r="BJ54" i="10"/>
  <c r="BI54" i="10"/>
  <c r="BH54" i="10"/>
  <c r="BG54" i="10"/>
  <c r="BE54" i="10"/>
  <c r="BD54" i="10"/>
  <c r="BC54" i="10"/>
  <c r="BB54" i="10"/>
  <c r="AZ54" i="10"/>
  <c r="AY54" i="10"/>
  <c r="AX54" i="10"/>
  <c r="AW54" i="10"/>
  <c r="AU54" i="10"/>
  <c r="AT54" i="10"/>
  <c r="AS54" i="10"/>
  <c r="AR54" i="10"/>
  <c r="AP54" i="10"/>
  <c r="AO54" i="10"/>
  <c r="AN54" i="10"/>
  <c r="AM54" i="10"/>
  <c r="AK54" i="10"/>
  <c r="AJ54" i="10"/>
  <c r="AI54" i="10"/>
  <c r="AH54" i="10"/>
  <c r="AF54" i="10"/>
  <c r="AE54" i="10"/>
  <c r="AD54" i="10"/>
  <c r="AC54" i="10"/>
  <c r="AA54" i="10"/>
  <c r="Z54" i="10"/>
  <c r="Y54" i="10"/>
  <c r="X54" i="10"/>
  <c r="V54" i="10"/>
  <c r="U54" i="10"/>
  <c r="T54" i="10"/>
  <c r="S54" i="10"/>
  <c r="Q54" i="10"/>
  <c r="P54" i="10"/>
  <c r="O54" i="10"/>
  <c r="N54" i="10"/>
  <c r="BT53" i="10"/>
  <c r="BS53" i="10"/>
  <c r="BR53" i="10"/>
  <c r="BQ53" i="10"/>
  <c r="BO53" i="10"/>
  <c r="BN53" i="10"/>
  <c r="BM53" i="10"/>
  <c r="BL53" i="10"/>
  <c r="BJ53" i="10"/>
  <c r="BI53" i="10"/>
  <c r="BH53" i="10"/>
  <c r="BG53" i="10"/>
  <c r="BE53" i="10"/>
  <c r="BD53" i="10"/>
  <c r="BC53" i="10"/>
  <c r="BB53" i="10"/>
  <c r="AZ53" i="10"/>
  <c r="AY53" i="10"/>
  <c r="AX53" i="10"/>
  <c r="AW53" i="10"/>
  <c r="AU53" i="10"/>
  <c r="AT53" i="10"/>
  <c r="AS53" i="10"/>
  <c r="AR53" i="10"/>
  <c r="AP53" i="10"/>
  <c r="AO53" i="10"/>
  <c r="AN53" i="10"/>
  <c r="AM53" i="10"/>
  <c r="AK53" i="10"/>
  <c r="AJ53" i="10"/>
  <c r="AI53" i="10"/>
  <c r="AH53" i="10"/>
  <c r="AF53" i="10"/>
  <c r="AE53" i="10"/>
  <c r="AD53" i="10"/>
  <c r="AC53" i="10"/>
  <c r="AA53" i="10"/>
  <c r="Z53" i="10"/>
  <c r="Y53" i="10"/>
  <c r="X53" i="10"/>
  <c r="V53" i="10"/>
  <c r="U53" i="10"/>
  <c r="T53" i="10"/>
  <c r="S53" i="10"/>
  <c r="Q53" i="10"/>
  <c r="P53" i="10"/>
  <c r="O53" i="10"/>
  <c r="N53" i="10"/>
  <c r="CA39" i="10"/>
  <c r="BP38" i="10"/>
  <c r="BP79" i="10" s="1"/>
  <c r="BK38" i="10"/>
  <c r="BF38" i="10"/>
  <c r="BF79" i="10" s="1"/>
  <c r="BA38" i="10"/>
  <c r="BA79" i="10" s="1"/>
  <c r="AV38" i="10"/>
  <c r="AV79" i="10" s="1"/>
  <c r="AQ38" i="10"/>
  <c r="AL38" i="10"/>
  <c r="AL79" i="10" s="1"/>
  <c r="AG38" i="10"/>
  <c r="AG79" i="10" s="1"/>
  <c r="AB38" i="10"/>
  <c r="W38" i="10"/>
  <c r="R38" i="10"/>
  <c r="R79" i="10" s="1"/>
  <c r="M38" i="10"/>
  <c r="M79" i="10" s="1"/>
  <c r="CA37" i="10"/>
  <c r="CA36" i="10"/>
  <c r="CA35" i="10"/>
  <c r="CA34" i="10"/>
  <c r="BU34" i="10"/>
  <c r="BU33" i="10"/>
  <c r="BP32" i="10"/>
  <c r="BP73" i="10" s="1"/>
  <c r="BK32" i="10"/>
  <c r="BK73" i="10" s="1"/>
  <c r="BF32" i="10"/>
  <c r="BA32" i="10"/>
  <c r="AV32" i="10"/>
  <c r="AV73" i="10" s="1"/>
  <c r="AQ32" i="10"/>
  <c r="AQ73" i="10" s="1"/>
  <c r="AL32" i="10"/>
  <c r="AG32" i="10"/>
  <c r="AB32" i="10"/>
  <c r="AB73" i="10" s="1"/>
  <c r="W32" i="10"/>
  <c r="W73" i="10" s="1"/>
  <c r="R32" i="10"/>
  <c r="M32" i="10"/>
  <c r="H32" i="10"/>
  <c r="CA31" i="10"/>
  <c r="CA30" i="10"/>
  <c r="CA29" i="10"/>
  <c r="BU29" i="10"/>
  <c r="BU27" i="10" s="1"/>
  <c r="CA28" i="10"/>
  <c r="BU28" i="10"/>
  <c r="BU69" i="10" s="1"/>
  <c r="CA27" i="10"/>
  <c r="BP27" i="10"/>
  <c r="BK27" i="10"/>
  <c r="BK68" i="10" s="1"/>
  <c r="BF27" i="10"/>
  <c r="BF68" i="10" s="1"/>
  <c r="BA27" i="10"/>
  <c r="AV27" i="10"/>
  <c r="AQ27" i="10"/>
  <c r="AQ68" i="10" s="1"/>
  <c r="AL27" i="10"/>
  <c r="AL68" i="10" s="1"/>
  <c r="AG27" i="10"/>
  <c r="AB27" i="10"/>
  <c r="W27" i="10"/>
  <c r="W68" i="10" s="1"/>
  <c r="R27" i="10"/>
  <c r="R68" i="10" s="1"/>
  <c r="M27" i="10"/>
  <c r="H27" i="10"/>
  <c r="CA26" i="10"/>
  <c r="CA25" i="10"/>
  <c r="BU25" i="10"/>
  <c r="CA24" i="10"/>
  <c r="CA23" i="10"/>
  <c r="BP23" i="10"/>
  <c r="BP64" i="10" s="1"/>
  <c r="BF23" i="10"/>
  <c r="BF64" i="10" s="1"/>
  <c r="AG23" i="10"/>
  <c r="AG64" i="10" s="1"/>
  <c r="CA19" i="10"/>
  <c r="BU19" i="10"/>
  <c r="BU18" i="10"/>
  <c r="BU17" i="10" s="1"/>
  <c r="BP17" i="10"/>
  <c r="BP58" i="10" s="1"/>
  <c r="BK17" i="10"/>
  <c r="BK58" i="10" s="1"/>
  <c r="BF17" i="10"/>
  <c r="BA17" i="10"/>
  <c r="AV17" i="10"/>
  <c r="AV58" i="10" s="1"/>
  <c r="AQ17" i="10"/>
  <c r="AQ58" i="10" s="1"/>
  <c r="AL17" i="10"/>
  <c r="AG17" i="10"/>
  <c r="AB17" i="10"/>
  <c r="AB58" i="10" s="1"/>
  <c r="W17" i="10"/>
  <c r="W58" i="10" s="1"/>
  <c r="R17" i="10"/>
  <c r="M17" i="10"/>
  <c r="H17" i="10"/>
  <c r="CA15" i="10"/>
  <c r="BU15" i="10"/>
  <c r="BP15" i="10"/>
  <c r="BP56" i="10" s="1"/>
  <c r="BK15" i="10"/>
  <c r="BK56" i="10" s="1"/>
  <c r="BF15" i="10"/>
  <c r="BF56" i="10" s="1"/>
  <c r="BA15" i="10"/>
  <c r="AV15" i="10"/>
  <c r="AV56" i="10" s="1"/>
  <c r="AQ15" i="10"/>
  <c r="AQ56" i="10" s="1"/>
  <c r="AL15" i="10"/>
  <c r="AL56" i="10" s="1"/>
  <c r="AG15" i="10"/>
  <c r="AB15" i="10"/>
  <c r="AB56" i="10" s="1"/>
  <c r="W15" i="10"/>
  <c r="W56" i="10" s="1"/>
  <c r="R15" i="10"/>
  <c r="R56" i="10" s="1"/>
  <c r="CA14" i="10"/>
  <c r="BU14" i="10"/>
  <c r="BU55" i="10" s="1"/>
  <c r="BP14" i="10"/>
  <c r="BP55" i="10" s="1"/>
  <c r="BK14" i="10"/>
  <c r="BF14" i="10"/>
  <c r="BF55" i="10" s="1"/>
  <c r="BA14" i="10"/>
  <c r="BA55" i="10" s="1"/>
  <c r="AV14" i="10"/>
  <c r="AQ14" i="10"/>
  <c r="AL14" i="10"/>
  <c r="AL55" i="10" s="1"/>
  <c r="AG14" i="10"/>
  <c r="AG55" i="10" s="1"/>
  <c r="AB14" i="10"/>
  <c r="AB55" i="10" s="1"/>
  <c r="W14" i="10"/>
  <c r="R14" i="10"/>
  <c r="R55" i="10" s="1"/>
  <c r="R13" i="10"/>
  <c r="R54" i="10" s="1"/>
  <c r="M13" i="10"/>
  <c r="H13" i="10"/>
  <c r="H12" i="10" s="1"/>
  <c r="H40" i="10" s="1"/>
  <c r="H9" i="10"/>
  <c r="H8" i="10"/>
  <c r="BT186" i="8"/>
  <c r="BT185" i="8"/>
  <c r="BT184" i="8" s="1"/>
  <c r="BO184" i="8"/>
  <c r="BJ184" i="8"/>
  <c r="BE184" i="8"/>
  <c r="AZ184" i="8"/>
  <c r="AU184" i="8"/>
  <c r="AP184" i="8"/>
  <c r="AK184" i="8"/>
  <c r="AF184" i="8"/>
  <c r="AA184" i="8"/>
  <c r="V184" i="8"/>
  <c r="Q184" i="8"/>
  <c r="L184" i="8"/>
  <c r="G184" i="8"/>
  <c r="BT182" i="8"/>
  <c r="BT181" i="8"/>
  <c r="BT180" i="8" s="1"/>
  <c r="BO180" i="8"/>
  <c r="BJ180" i="8"/>
  <c r="BE180" i="8"/>
  <c r="AZ180" i="8"/>
  <c r="AU180" i="8"/>
  <c r="AP180" i="8"/>
  <c r="AK180" i="8"/>
  <c r="AF180" i="8"/>
  <c r="AA180" i="8"/>
  <c r="V180" i="8"/>
  <c r="Q180" i="8"/>
  <c r="L180" i="8"/>
  <c r="G180" i="8"/>
  <c r="BT178" i="8"/>
  <c r="BT177" i="8"/>
  <c r="BO176" i="8"/>
  <c r="BJ176" i="8"/>
  <c r="BE176" i="8"/>
  <c r="AZ176" i="8"/>
  <c r="AU176" i="8"/>
  <c r="AP176" i="8"/>
  <c r="AK176" i="8"/>
  <c r="AF176" i="8"/>
  <c r="AA176" i="8"/>
  <c r="V176" i="8"/>
  <c r="Q176" i="8"/>
  <c r="L176" i="8"/>
  <c r="G176" i="8"/>
  <c r="BT174" i="8"/>
  <c r="BT173" i="8"/>
  <c r="BO172" i="8"/>
  <c r="BJ172" i="8"/>
  <c r="BE172" i="8"/>
  <c r="AZ172" i="8"/>
  <c r="AU172" i="8"/>
  <c r="AP172" i="8"/>
  <c r="AK172" i="8"/>
  <c r="AF172" i="8"/>
  <c r="AA172" i="8"/>
  <c r="V172" i="8"/>
  <c r="Q172" i="8"/>
  <c r="L172" i="8"/>
  <c r="BO170" i="8"/>
  <c r="BJ170" i="8"/>
  <c r="BE170" i="8"/>
  <c r="AZ170" i="8"/>
  <c r="AU170" i="8"/>
  <c r="AP170" i="8"/>
  <c r="AK170" i="8"/>
  <c r="AF170" i="8"/>
  <c r="AA170" i="8"/>
  <c r="V170" i="8"/>
  <c r="Q170" i="8"/>
  <c r="L170" i="8"/>
  <c r="BO169" i="8"/>
  <c r="BJ169" i="8"/>
  <c r="BJ168" i="8" s="1"/>
  <c r="BJ106" i="8" s="1"/>
  <c r="BE169" i="8"/>
  <c r="AZ169" i="8"/>
  <c r="AU169" i="8"/>
  <c r="AP169" i="8"/>
  <c r="AP168" i="8" s="1"/>
  <c r="AP106" i="8" s="1"/>
  <c r="AK169" i="8"/>
  <c r="AF169" i="8"/>
  <c r="AA169" i="8"/>
  <c r="V169" i="8"/>
  <c r="V168" i="8" s="1"/>
  <c r="V106" i="8" s="1"/>
  <c r="Q169" i="8"/>
  <c r="L169" i="8"/>
  <c r="AK168" i="8"/>
  <c r="AK106" i="8" s="1"/>
  <c r="BT166" i="8"/>
  <c r="BT165" i="8"/>
  <c r="BO164" i="8"/>
  <c r="BJ164" i="8"/>
  <c r="BE164" i="8"/>
  <c r="AZ164" i="8"/>
  <c r="AU164" i="8"/>
  <c r="AP164" i="8"/>
  <c r="AK164" i="8"/>
  <c r="AF164" i="8"/>
  <c r="AA164" i="8"/>
  <c r="V164" i="8"/>
  <c r="Q164" i="8"/>
  <c r="L164" i="8"/>
  <c r="BT162" i="8"/>
  <c r="BT161" i="8"/>
  <c r="BO160" i="8"/>
  <c r="BJ160" i="8"/>
  <c r="BE160" i="8"/>
  <c r="AZ160" i="8"/>
  <c r="AU160" i="8"/>
  <c r="AP160" i="8"/>
  <c r="AK160" i="8"/>
  <c r="AF160" i="8"/>
  <c r="AA160" i="8"/>
  <c r="V160" i="8"/>
  <c r="Q160" i="8"/>
  <c r="L160" i="8"/>
  <c r="BT158" i="8"/>
  <c r="BO158" i="8"/>
  <c r="BJ158" i="8"/>
  <c r="BE158" i="8"/>
  <c r="AZ158" i="8"/>
  <c r="AU158" i="8"/>
  <c r="AK158" i="8"/>
  <c r="AF158" i="8"/>
  <c r="AA158" i="8"/>
  <c r="V158" i="8"/>
  <c r="Q158" i="8"/>
  <c r="L158" i="8"/>
  <c r="BO157" i="8"/>
  <c r="BJ157" i="8"/>
  <c r="BE157" i="8"/>
  <c r="AZ157" i="8"/>
  <c r="AU157" i="8"/>
  <c r="AK157" i="8"/>
  <c r="AF157" i="8"/>
  <c r="AA157" i="8"/>
  <c r="V157" i="8"/>
  <c r="Q157" i="8"/>
  <c r="L157" i="8"/>
  <c r="AP156" i="8"/>
  <c r="AP105" i="8" s="1"/>
  <c r="L156" i="8"/>
  <c r="G156" i="8"/>
  <c r="G105" i="8" s="1"/>
  <c r="BT154" i="8"/>
  <c r="BT153" i="8"/>
  <c r="BO152" i="8"/>
  <c r="BJ152" i="8"/>
  <c r="BE152" i="8"/>
  <c r="AZ152" i="8"/>
  <c r="AU152" i="8"/>
  <c r="AP152" i="8"/>
  <c r="AK152" i="8"/>
  <c r="AF152" i="8"/>
  <c r="AA152" i="8"/>
  <c r="V152" i="8"/>
  <c r="Q152" i="8"/>
  <c r="L152" i="8"/>
  <c r="BT150" i="8"/>
  <c r="BT149" i="8"/>
  <c r="BO148" i="8"/>
  <c r="BJ148" i="8"/>
  <c r="BE148" i="8"/>
  <c r="AZ148" i="8"/>
  <c r="AU148" i="8"/>
  <c r="AP148" i="8"/>
  <c r="AK148" i="8"/>
  <c r="AF148" i="8"/>
  <c r="AA148" i="8"/>
  <c r="V148" i="8"/>
  <c r="Q148" i="8"/>
  <c r="L148" i="8"/>
  <c r="BT146" i="8"/>
  <c r="BT145" i="8"/>
  <c r="BO144" i="8"/>
  <c r="BJ144" i="8"/>
  <c r="BE144" i="8"/>
  <c r="AZ144" i="8"/>
  <c r="AU144" i="8"/>
  <c r="AP144" i="8"/>
  <c r="AK144" i="8"/>
  <c r="AF144" i="8"/>
  <c r="AA144" i="8"/>
  <c r="V144" i="8"/>
  <c r="Q144" i="8"/>
  <c r="L144" i="8"/>
  <c r="BT142" i="8"/>
  <c r="BT141" i="8"/>
  <c r="BO140" i="8"/>
  <c r="BJ140" i="8"/>
  <c r="BE140" i="8"/>
  <c r="AZ140" i="8"/>
  <c r="AU140" i="8"/>
  <c r="AP140" i="8"/>
  <c r="AK140" i="8"/>
  <c r="AF140" i="8"/>
  <c r="AA140" i="8"/>
  <c r="V140" i="8"/>
  <c r="Q140" i="8"/>
  <c r="L140" i="8"/>
  <c r="BT138" i="8"/>
  <c r="BT137" i="8"/>
  <c r="BT136" i="8" s="1"/>
  <c r="BO136" i="8"/>
  <c r="BJ136" i="8"/>
  <c r="BE136" i="8"/>
  <c r="AZ136" i="8"/>
  <c r="AU136" i="8"/>
  <c r="AP136" i="8"/>
  <c r="AK136" i="8"/>
  <c r="AF136" i="8"/>
  <c r="AA136" i="8"/>
  <c r="V136" i="8"/>
  <c r="Q136" i="8"/>
  <c r="L136" i="8"/>
  <c r="BT134" i="8"/>
  <c r="BT133" i="8"/>
  <c r="BO132" i="8"/>
  <c r="BJ132" i="8"/>
  <c r="BE132" i="8"/>
  <c r="AZ132" i="8"/>
  <c r="AU132" i="8"/>
  <c r="AP132" i="8"/>
  <c r="AK132" i="8"/>
  <c r="AF132" i="8"/>
  <c r="AA132" i="8"/>
  <c r="V132" i="8"/>
  <c r="Q132" i="8"/>
  <c r="L132" i="8"/>
  <c r="G132" i="8"/>
  <c r="BT130" i="8"/>
  <c r="BT129" i="8"/>
  <c r="BT128" i="8" s="1"/>
  <c r="BO128" i="8"/>
  <c r="BJ128" i="8"/>
  <c r="BE128" i="8"/>
  <c r="AZ128" i="8"/>
  <c r="AU128" i="8"/>
  <c r="AP128" i="8"/>
  <c r="AK128" i="8"/>
  <c r="AF128" i="8"/>
  <c r="AA128" i="8"/>
  <c r="V128" i="8"/>
  <c r="Q128" i="8"/>
  <c r="L128" i="8"/>
  <c r="BT126" i="8"/>
  <c r="BT125" i="8"/>
  <c r="BO124" i="8"/>
  <c r="BJ124" i="8"/>
  <c r="BE124" i="8"/>
  <c r="AZ124" i="8"/>
  <c r="AU124" i="8"/>
  <c r="AP124" i="8"/>
  <c r="AK124" i="8"/>
  <c r="AF124" i="8"/>
  <c r="AA124" i="8"/>
  <c r="V124" i="8"/>
  <c r="Q124" i="8"/>
  <c r="L124" i="8"/>
  <c r="BT122" i="8"/>
  <c r="BT121" i="8"/>
  <c r="BO120" i="8"/>
  <c r="BJ120" i="8"/>
  <c r="BE120" i="8"/>
  <c r="AZ120" i="8"/>
  <c r="AU120" i="8"/>
  <c r="AP120" i="8"/>
  <c r="AK120" i="8"/>
  <c r="AF120" i="8"/>
  <c r="AA120" i="8"/>
  <c r="V120" i="8"/>
  <c r="Q120" i="8"/>
  <c r="L120" i="8"/>
  <c r="G120" i="8"/>
  <c r="BT118" i="8"/>
  <c r="BT117" i="8"/>
  <c r="BT116" i="8" s="1"/>
  <c r="BO116" i="8"/>
  <c r="BJ116" i="8"/>
  <c r="BE116" i="8"/>
  <c r="AZ116" i="8"/>
  <c r="AU116" i="8"/>
  <c r="AP116" i="8"/>
  <c r="AK116" i="8"/>
  <c r="AF116" i="8"/>
  <c r="AA116" i="8"/>
  <c r="V116" i="8"/>
  <c r="Q116" i="8"/>
  <c r="L116" i="8"/>
  <c r="G116" i="8"/>
  <c r="AU114" i="8"/>
  <c r="AU113" i="8"/>
  <c r="BO112" i="8"/>
  <c r="BJ112" i="8"/>
  <c r="BE112" i="8"/>
  <c r="AZ112" i="8"/>
  <c r="AP112" i="8"/>
  <c r="AK112" i="8"/>
  <c r="AF112" i="8"/>
  <c r="AA112" i="8"/>
  <c r="V112" i="8"/>
  <c r="Q112" i="8"/>
  <c r="L112" i="8"/>
  <c r="G112" i="8"/>
  <c r="BO110" i="8"/>
  <c r="BJ110" i="8"/>
  <c r="BE110" i="8"/>
  <c r="AZ110" i="8"/>
  <c r="AP110" i="8"/>
  <c r="AK110" i="8"/>
  <c r="AF110" i="8"/>
  <c r="AA110" i="8"/>
  <c r="V110" i="8"/>
  <c r="Q110" i="8"/>
  <c r="L110" i="8"/>
  <c r="BO109" i="8"/>
  <c r="BO108" i="8" s="1"/>
  <c r="BO104" i="8" s="1"/>
  <c r="BJ109" i="8"/>
  <c r="BJ108" i="8" s="1"/>
  <c r="BJ104" i="8" s="1"/>
  <c r="BE109" i="8"/>
  <c r="AZ109" i="8"/>
  <c r="AP109" i="8"/>
  <c r="AK109" i="8"/>
  <c r="AF109" i="8"/>
  <c r="AA109" i="8"/>
  <c r="AA108" i="8" s="1"/>
  <c r="AA104" i="8" s="1"/>
  <c r="V109" i="8"/>
  <c r="V108" i="8" s="1"/>
  <c r="V104" i="8" s="1"/>
  <c r="Q109" i="8"/>
  <c r="L109" i="8"/>
  <c r="AP108" i="8"/>
  <c r="AP104" i="8" s="1"/>
  <c r="G108" i="8"/>
  <c r="G106" i="8"/>
  <c r="G104" i="8"/>
  <c r="BT101" i="8"/>
  <c r="BT100" i="8"/>
  <c r="BT99" i="8"/>
  <c r="BT98" i="8" s="1"/>
  <c r="BO98" i="8"/>
  <c r="BJ98" i="8"/>
  <c r="BE98" i="8"/>
  <c r="AZ98" i="8"/>
  <c r="AU98" i="8"/>
  <c r="AP98" i="8"/>
  <c r="AK98" i="8"/>
  <c r="AF98" i="8"/>
  <c r="AA98" i="8"/>
  <c r="V98" i="8"/>
  <c r="Q98" i="8"/>
  <c r="L98" i="8"/>
  <c r="BT96" i="8"/>
  <c r="BT95" i="8"/>
  <c r="BT94" i="8"/>
  <c r="BO93" i="8"/>
  <c r="BJ93" i="8"/>
  <c r="BE93" i="8"/>
  <c r="AZ93" i="8"/>
  <c r="AU93" i="8"/>
  <c r="AP93" i="8"/>
  <c r="AK93" i="8"/>
  <c r="AF93" i="8"/>
  <c r="AA93" i="8"/>
  <c r="V93" i="8"/>
  <c r="Q93" i="8"/>
  <c r="L93" i="8"/>
  <c r="BT91" i="8"/>
  <c r="BT90" i="8"/>
  <c r="BT89" i="8"/>
  <c r="BO88" i="8"/>
  <c r="BJ88" i="8"/>
  <c r="BE88" i="8"/>
  <c r="AZ88" i="8"/>
  <c r="AU88" i="8"/>
  <c r="AP88" i="8"/>
  <c r="AK88" i="8"/>
  <c r="AF88" i="8"/>
  <c r="AA88" i="8"/>
  <c r="V88" i="8"/>
  <c r="Q88" i="8"/>
  <c r="L88" i="8"/>
  <c r="BT86" i="8"/>
  <c r="BT85" i="8"/>
  <c r="BT84" i="8"/>
  <c r="BO83" i="8"/>
  <c r="BJ83" i="8"/>
  <c r="BE83" i="8"/>
  <c r="AZ83" i="8"/>
  <c r="AU83" i="8"/>
  <c r="AP83" i="8"/>
  <c r="AK83" i="8"/>
  <c r="AF83" i="8"/>
  <c r="AA83" i="8"/>
  <c r="V83" i="8"/>
  <c r="Q83" i="8"/>
  <c r="L83" i="8"/>
  <c r="BT81" i="8"/>
  <c r="BT76" i="8" s="1"/>
  <c r="BT80" i="8"/>
  <c r="BT79" i="8"/>
  <c r="BO78" i="8"/>
  <c r="BJ78" i="8"/>
  <c r="BE78" i="8"/>
  <c r="AZ78" i="8"/>
  <c r="AU78" i="8"/>
  <c r="AP78" i="8"/>
  <c r="AK78" i="8"/>
  <c r="AF78" i="8"/>
  <c r="AA78" i="8"/>
  <c r="V78" i="8"/>
  <c r="Q78" i="8"/>
  <c r="L78" i="8"/>
  <c r="BO76" i="8"/>
  <c r="BJ76" i="8"/>
  <c r="BE76" i="8"/>
  <c r="AZ76" i="8"/>
  <c r="AU76" i="8"/>
  <c r="AP76" i="8"/>
  <c r="AK76" i="8"/>
  <c r="AF76" i="8"/>
  <c r="AA76" i="8"/>
  <c r="V76" i="8"/>
  <c r="Q76" i="8"/>
  <c r="L76" i="8"/>
  <c r="BT75" i="8"/>
  <c r="BO75" i="8"/>
  <c r="BJ75" i="8"/>
  <c r="BE75" i="8"/>
  <c r="AZ75" i="8"/>
  <c r="AU75" i="8"/>
  <c r="AP75" i="8"/>
  <c r="AK75" i="8"/>
  <c r="AF75" i="8"/>
  <c r="AA75" i="8"/>
  <c r="V75" i="8"/>
  <c r="Q75" i="8"/>
  <c r="L75" i="8"/>
  <c r="BO74" i="8"/>
  <c r="BJ74" i="8"/>
  <c r="BE74" i="8"/>
  <c r="AZ74" i="8"/>
  <c r="AZ73" i="8" s="1"/>
  <c r="AZ15" i="8" s="1"/>
  <c r="AU74" i="8"/>
  <c r="AP74" i="8"/>
  <c r="AK74" i="8"/>
  <c r="AF74" i="8"/>
  <c r="AA74" i="8"/>
  <c r="V74" i="8"/>
  <c r="Q74" i="8"/>
  <c r="L74" i="8"/>
  <c r="L73" i="8" s="1"/>
  <c r="L15" i="8" s="1"/>
  <c r="BT71" i="8"/>
  <c r="BT66" i="8" s="1"/>
  <c r="BT70" i="8"/>
  <c r="BT69" i="8"/>
  <c r="BT68" i="8" s="1"/>
  <c r="BO68" i="8"/>
  <c r="BJ68" i="8"/>
  <c r="BE68" i="8"/>
  <c r="AZ68" i="8"/>
  <c r="AU68" i="8"/>
  <c r="AP68" i="8"/>
  <c r="AK68" i="8"/>
  <c r="AF68" i="8"/>
  <c r="AA68" i="8"/>
  <c r="V68" i="8"/>
  <c r="Q68" i="8"/>
  <c r="L68" i="8"/>
  <c r="BO66" i="8"/>
  <c r="BJ66" i="8"/>
  <c r="BE66" i="8"/>
  <c r="AZ66" i="8"/>
  <c r="AU66" i="8"/>
  <c r="AP66" i="8"/>
  <c r="AK66" i="8"/>
  <c r="AF66" i="8"/>
  <c r="AA66" i="8"/>
  <c r="V66" i="8"/>
  <c r="Q66" i="8"/>
  <c r="L66" i="8"/>
  <c r="BT65" i="8"/>
  <c r="BO65" i="8"/>
  <c r="BJ65" i="8"/>
  <c r="BE65" i="8"/>
  <c r="AZ65" i="8"/>
  <c r="AU65" i="8"/>
  <c r="AP65" i="8"/>
  <c r="AK65" i="8"/>
  <c r="AF65" i="8"/>
  <c r="AA65" i="8"/>
  <c r="V65" i="8"/>
  <c r="Q65" i="8"/>
  <c r="L65" i="8"/>
  <c r="BO64" i="8"/>
  <c r="BJ64" i="8"/>
  <c r="BE64" i="8"/>
  <c r="AZ64" i="8"/>
  <c r="AZ63" i="8" s="1"/>
  <c r="AZ14" i="8" s="1"/>
  <c r="AU64" i="8"/>
  <c r="AP64" i="8"/>
  <c r="AK64" i="8"/>
  <c r="AF64" i="8"/>
  <c r="AA64" i="8"/>
  <c r="V64" i="8"/>
  <c r="Q64" i="8"/>
  <c r="L64" i="8"/>
  <c r="BJ63" i="8"/>
  <c r="G63" i="8"/>
  <c r="G14" i="8" s="1"/>
  <c r="BT61" i="8"/>
  <c r="BT60" i="8"/>
  <c r="BT59" i="8"/>
  <c r="BT58" i="8"/>
  <c r="BO57" i="8"/>
  <c r="BO18" i="8" s="1"/>
  <c r="BJ57" i="8"/>
  <c r="BE57" i="8"/>
  <c r="AZ57" i="8"/>
  <c r="AZ18" i="8" s="1"/>
  <c r="AU57" i="8"/>
  <c r="AP57" i="8"/>
  <c r="AP18" i="8" s="1"/>
  <c r="AK57" i="8"/>
  <c r="AF57" i="8"/>
  <c r="AA57" i="8"/>
  <c r="V57" i="8"/>
  <c r="V18" i="8" s="1"/>
  <c r="Q57" i="8"/>
  <c r="L57" i="8"/>
  <c r="BT55" i="8"/>
  <c r="BT54" i="8"/>
  <c r="BT53" i="8"/>
  <c r="BO52" i="8"/>
  <c r="BJ52" i="8"/>
  <c r="BE52" i="8"/>
  <c r="AZ52" i="8"/>
  <c r="AU52" i="8"/>
  <c r="AP52" i="8"/>
  <c r="AK52" i="8"/>
  <c r="AF52" i="8"/>
  <c r="AA52" i="8"/>
  <c r="V52" i="8"/>
  <c r="Q52" i="8"/>
  <c r="L52" i="8"/>
  <c r="BT50" i="8"/>
  <c r="BT49" i="8"/>
  <c r="BT48" i="8"/>
  <c r="BO47" i="8"/>
  <c r="BJ47" i="8"/>
  <c r="BE47" i="8"/>
  <c r="AZ47" i="8"/>
  <c r="AU47" i="8"/>
  <c r="AP47" i="8"/>
  <c r="AK47" i="8"/>
  <c r="AF47" i="8"/>
  <c r="AA47" i="8"/>
  <c r="V47" i="8"/>
  <c r="Q47" i="8"/>
  <c r="L47" i="8"/>
  <c r="BT45" i="8"/>
  <c r="BT44" i="8"/>
  <c r="BT43" i="8"/>
  <c r="BO42" i="8"/>
  <c r="BJ42" i="8"/>
  <c r="BE42" i="8"/>
  <c r="AZ42" i="8"/>
  <c r="AU42" i="8"/>
  <c r="AP42" i="8"/>
  <c r="AK42" i="8"/>
  <c r="AF42" i="8"/>
  <c r="AA42" i="8"/>
  <c r="V42" i="8"/>
  <c r="Q42" i="8"/>
  <c r="L42" i="8"/>
  <c r="BT40" i="8"/>
  <c r="BT39" i="8"/>
  <c r="BT38" i="8"/>
  <c r="BO37" i="8"/>
  <c r="BJ37" i="8"/>
  <c r="BE37" i="8"/>
  <c r="AZ37" i="8"/>
  <c r="AU37" i="8"/>
  <c r="AP37" i="8"/>
  <c r="AK37" i="8"/>
  <c r="AF37" i="8"/>
  <c r="AA37" i="8"/>
  <c r="V37" i="8"/>
  <c r="Q37" i="8"/>
  <c r="L37" i="8"/>
  <c r="BT35" i="8"/>
  <c r="BT34" i="8"/>
  <c r="BT33" i="8"/>
  <c r="BT32" i="8" s="1"/>
  <c r="BO32" i="8"/>
  <c r="BJ32" i="8"/>
  <c r="BE32" i="8"/>
  <c r="AZ32" i="8"/>
  <c r="AU32" i="8"/>
  <c r="AP32" i="8"/>
  <c r="AK32" i="8"/>
  <c r="AF32" i="8"/>
  <c r="AA32" i="8"/>
  <c r="V32" i="8"/>
  <c r="Q32" i="8"/>
  <c r="L32" i="8"/>
  <c r="BT30" i="8"/>
  <c r="BT29" i="8"/>
  <c r="BT28" i="8"/>
  <c r="BT27" i="8" s="1"/>
  <c r="BO27" i="8"/>
  <c r="BJ27" i="8"/>
  <c r="BE27" i="8"/>
  <c r="AZ27" i="8"/>
  <c r="AU27" i="8"/>
  <c r="AP27" i="8"/>
  <c r="AK27" i="8"/>
  <c r="AF27" i="8"/>
  <c r="AA27" i="8"/>
  <c r="V27" i="8"/>
  <c r="Q27" i="8"/>
  <c r="L27" i="8"/>
  <c r="G27" i="8"/>
  <c r="BT25" i="8"/>
  <c r="BT24" i="8"/>
  <c r="BT23" i="8"/>
  <c r="BO22" i="8"/>
  <c r="BJ22" i="8"/>
  <c r="BE22" i="8"/>
  <c r="AZ22" i="8"/>
  <c r="AU22" i="8"/>
  <c r="AP22" i="8"/>
  <c r="AK22" i="8"/>
  <c r="AF22" i="8"/>
  <c r="AA22" i="8"/>
  <c r="V22" i="8"/>
  <c r="Q22" i="8"/>
  <c r="L22" i="8"/>
  <c r="G22" i="8"/>
  <c r="BO20" i="8"/>
  <c r="BJ20" i="8"/>
  <c r="BE20" i="8"/>
  <c r="AZ20" i="8"/>
  <c r="AU20" i="8"/>
  <c r="AP20" i="8"/>
  <c r="AK20" i="8"/>
  <c r="AF20" i="8"/>
  <c r="AA20" i="8"/>
  <c r="V20" i="8"/>
  <c r="Q20" i="8"/>
  <c r="L20" i="8"/>
  <c r="BO19" i="8"/>
  <c r="BJ19" i="8"/>
  <c r="BJ17" i="8" s="1"/>
  <c r="BJ13" i="8" s="1"/>
  <c r="BE19" i="8"/>
  <c r="AZ19" i="8"/>
  <c r="AU19" i="8"/>
  <c r="AP19" i="8"/>
  <c r="AK19" i="8"/>
  <c r="AF19" i="8"/>
  <c r="AA19" i="8"/>
  <c r="V19" i="8"/>
  <c r="Q19" i="8"/>
  <c r="L19" i="8"/>
  <c r="BJ18" i="8"/>
  <c r="AF18" i="8"/>
  <c r="L18" i="8"/>
  <c r="G18" i="8"/>
  <c r="G17" i="8" s="1"/>
  <c r="G13" i="8" s="1"/>
  <c r="BJ14" i="8"/>
  <c r="G9" i="8"/>
  <c r="G8" i="8"/>
  <c r="M1" i="8"/>
  <c r="BT155" i="7"/>
  <c r="BT154" i="7"/>
  <c r="BT153" i="7"/>
  <c r="BO152" i="7"/>
  <c r="BJ152" i="7"/>
  <c r="BE152" i="7"/>
  <c r="AZ152" i="7"/>
  <c r="AU152" i="7"/>
  <c r="AP152" i="7"/>
  <c r="AK152" i="7"/>
  <c r="AF152" i="7"/>
  <c r="AA152" i="7"/>
  <c r="V152" i="7"/>
  <c r="Q152" i="7"/>
  <c r="L152" i="7"/>
  <c r="G152" i="7"/>
  <c r="BT150" i="7"/>
  <c r="BT149" i="7"/>
  <c r="BT148" i="7"/>
  <c r="BT147" i="7" s="1"/>
  <c r="BO147" i="7"/>
  <c r="BJ147" i="7"/>
  <c r="BE147" i="7"/>
  <c r="AZ147" i="7"/>
  <c r="AU147" i="7"/>
  <c r="AP147" i="7"/>
  <c r="AK147" i="7"/>
  <c r="AF147" i="7"/>
  <c r="AA147" i="7"/>
  <c r="V147" i="7"/>
  <c r="Q147" i="7"/>
  <c r="L147" i="7"/>
  <c r="G147" i="7"/>
  <c r="BT145" i="7"/>
  <c r="BT144" i="7"/>
  <c r="BT143" i="7"/>
  <c r="BO142" i="7"/>
  <c r="BJ142" i="7"/>
  <c r="BE142" i="7"/>
  <c r="AZ142" i="7"/>
  <c r="AU142" i="7"/>
  <c r="AP142" i="7"/>
  <c r="AK142" i="7"/>
  <c r="AF142" i="7"/>
  <c r="AA142" i="7"/>
  <c r="V142" i="7"/>
  <c r="Q142" i="7"/>
  <c r="L142" i="7"/>
  <c r="G142" i="7"/>
  <c r="BT140" i="7"/>
  <c r="BT139" i="7"/>
  <c r="BT138" i="7"/>
  <c r="BO137" i="7"/>
  <c r="BJ137" i="7"/>
  <c r="BE137" i="7"/>
  <c r="AZ137" i="7"/>
  <c r="AU137" i="7"/>
  <c r="AP137" i="7"/>
  <c r="AK137" i="7"/>
  <c r="AF137" i="7"/>
  <c r="AA137" i="7"/>
  <c r="V137" i="7"/>
  <c r="Q137" i="7"/>
  <c r="L137" i="7"/>
  <c r="G137" i="7"/>
  <c r="BT135" i="7"/>
  <c r="BT132" i="7" s="1"/>
  <c r="BT134" i="7"/>
  <c r="BT133" i="7"/>
  <c r="BO132" i="7"/>
  <c r="BJ132" i="7"/>
  <c r="BE132" i="7"/>
  <c r="AZ132" i="7"/>
  <c r="AU132" i="7"/>
  <c r="AP132" i="7"/>
  <c r="AK132" i="7"/>
  <c r="AF132" i="7"/>
  <c r="AA132" i="7"/>
  <c r="V132" i="7"/>
  <c r="Q132" i="7"/>
  <c r="L132" i="7"/>
  <c r="G132" i="7"/>
  <c r="BT130" i="7"/>
  <c r="BT129" i="7"/>
  <c r="BT128" i="7"/>
  <c r="BO127" i="7"/>
  <c r="BJ127" i="7"/>
  <c r="BE127" i="7"/>
  <c r="AZ127" i="7"/>
  <c r="AU127" i="7"/>
  <c r="AP127" i="7"/>
  <c r="AK127" i="7"/>
  <c r="AF127" i="7"/>
  <c r="AA127" i="7"/>
  <c r="V127" i="7"/>
  <c r="Q127" i="7"/>
  <c r="L127" i="7"/>
  <c r="G127" i="7"/>
  <c r="BO125" i="7"/>
  <c r="BJ125" i="7"/>
  <c r="BE125" i="7"/>
  <c r="AZ125" i="7"/>
  <c r="AU125" i="7"/>
  <c r="AP125" i="7"/>
  <c r="AK125" i="7"/>
  <c r="AF125" i="7"/>
  <c r="AA125" i="7"/>
  <c r="V125" i="7"/>
  <c r="Q125" i="7"/>
  <c r="L125" i="7"/>
  <c r="G125" i="7"/>
  <c r="BO124" i="7"/>
  <c r="BJ124" i="7"/>
  <c r="BE124" i="7"/>
  <c r="AZ124" i="7"/>
  <c r="AU124" i="7"/>
  <c r="AP124" i="7"/>
  <c r="AK124" i="7"/>
  <c r="AF124" i="7"/>
  <c r="AA124" i="7"/>
  <c r="V124" i="7"/>
  <c r="Q124" i="7"/>
  <c r="L124" i="7"/>
  <c r="G124" i="7"/>
  <c r="BT123" i="7"/>
  <c r="BO123" i="7"/>
  <c r="BJ123" i="7"/>
  <c r="BE123" i="7"/>
  <c r="AZ123" i="7"/>
  <c r="AU123" i="7"/>
  <c r="AP123" i="7"/>
  <c r="AK123" i="7"/>
  <c r="AF123" i="7"/>
  <c r="AA123" i="7"/>
  <c r="V123" i="7"/>
  <c r="Q123" i="7"/>
  <c r="L123" i="7"/>
  <c r="G123" i="7"/>
  <c r="L122" i="7"/>
  <c r="BT120" i="7"/>
  <c r="BT119" i="7"/>
  <c r="BO119" i="7"/>
  <c r="BJ119" i="7"/>
  <c r="BE119" i="7"/>
  <c r="AZ119" i="7"/>
  <c r="AU119" i="7"/>
  <c r="AP119" i="7"/>
  <c r="AK119" i="7"/>
  <c r="AF119" i="7"/>
  <c r="AA119" i="7"/>
  <c r="V119" i="7"/>
  <c r="Q119" i="7"/>
  <c r="L119" i="7"/>
  <c r="G119" i="7"/>
  <c r="BT117" i="7"/>
  <c r="BT116" i="7" s="1"/>
  <c r="BO116" i="7"/>
  <c r="BJ116" i="7"/>
  <c r="BE116" i="7"/>
  <c r="AZ116" i="7"/>
  <c r="AU116" i="7"/>
  <c r="AP116" i="7"/>
  <c r="AK116" i="7"/>
  <c r="AF116" i="7"/>
  <c r="AA116" i="7"/>
  <c r="V116" i="7"/>
  <c r="Q116" i="7"/>
  <c r="L116" i="7"/>
  <c r="G116" i="7"/>
  <c r="BT114" i="7"/>
  <c r="BT113" i="7"/>
  <c r="BO113" i="7"/>
  <c r="BJ113" i="7"/>
  <c r="BE113" i="7"/>
  <c r="AZ113" i="7"/>
  <c r="AU113" i="7"/>
  <c r="AP113" i="7"/>
  <c r="AK113" i="7"/>
  <c r="AF113" i="7"/>
  <c r="AA113" i="7"/>
  <c r="V113" i="7"/>
  <c r="Q113" i="7"/>
  <c r="L113" i="7"/>
  <c r="G113" i="7"/>
  <c r="BT111" i="7"/>
  <c r="BO110" i="7"/>
  <c r="BJ110" i="7"/>
  <c r="BE110" i="7"/>
  <c r="AZ110" i="7"/>
  <c r="AU110" i="7"/>
  <c r="AP110" i="7"/>
  <c r="AK110" i="7"/>
  <c r="AF110" i="7"/>
  <c r="AA110" i="7"/>
  <c r="V110" i="7"/>
  <c r="Q110" i="7"/>
  <c r="L110" i="7"/>
  <c r="G110" i="7"/>
  <c r="BT108" i="7"/>
  <c r="BT107" i="7"/>
  <c r="BO107" i="7"/>
  <c r="BJ107" i="7"/>
  <c r="BE107" i="7"/>
  <c r="AZ107" i="7"/>
  <c r="AU107" i="7"/>
  <c r="AP107" i="7"/>
  <c r="AK107" i="7"/>
  <c r="AF107" i="7"/>
  <c r="AA107" i="7"/>
  <c r="V107" i="7"/>
  <c r="Q107" i="7"/>
  <c r="L107" i="7"/>
  <c r="G107" i="7"/>
  <c r="D107" i="7"/>
  <c r="BT105" i="7"/>
  <c r="BT104" i="7"/>
  <c r="BO104" i="7"/>
  <c r="BJ104" i="7"/>
  <c r="BE104" i="7"/>
  <c r="AZ104" i="7"/>
  <c r="AU104" i="7"/>
  <c r="AP104" i="7"/>
  <c r="AK104" i="7"/>
  <c r="AF104" i="7"/>
  <c r="AA104" i="7"/>
  <c r="V104" i="7"/>
  <c r="Q104" i="7"/>
  <c r="L104" i="7"/>
  <c r="G104" i="7"/>
  <c r="BT102" i="7"/>
  <c r="BO101" i="7"/>
  <c r="BJ101" i="7"/>
  <c r="BE101" i="7"/>
  <c r="AZ101" i="7"/>
  <c r="AU101" i="7"/>
  <c r="AP101" i="7"/>
  <c r="AK101" i="7"/>
  <c r="AF101" i="7"/>
  <c r="AA101" i="7"/>
  <c r="V101" i="7"/>
  <c r="Q101" i="7"/>
  <c r="L101" i="7"/>
  <c r="G101" i="7"/>
  <c r="BT99" i="7"/>
  <c r="BT98" i="7" s="1"/>
  <c r="BO98" i="7"/>
  <c r="BJ98" i="7"/>
  <c r="BE98" i="7"/>
  <c r="AZ98" i="7"/>
  <c r="AU98" i="7"/>
  <c r="AP98" i="7"/>
  <c r="AK98" i="7"/>
  <c r="AF98" i="7"/>
  <c r="AA98" i="7"/>
  <c r="V98" i="7"/>
  <c r="Q98" i="7"/>
  <c r="L98" i="7"/>
  <c r="G98" i="7"/>
  <c r="BT96" i="7"/>
  <c r="BT95" i="7" s="1"/>
  <c r="BO95" i="7"/>
  <c r="BJ95" i="7"/>
  <c r="BE95" i="7"/>
  <c r="AZ95" i="7"/>
  <c r="AU95" i="7"/>
  <c r="AP95" i="7"/>
  <c r="AK95" i="7"/>
  <c r="AF95" i="7"/>
  <c r="AA95" i="7"/>
  <c r="V95" i="7"/>
  <c r="Q95" i="7"/>
  <c r="L95" i="7"/>
  <c r="G95" i="7"/>
  <c r="BT93" i="7"/>
  <c r="BO92" i="7"/>
  <c r="BJ92" i="7"/>
  <c r="BE92" i="7"/>
  <c r="AZ92" i="7"/>
  <c r="AU92" i="7"/>
  <c r="AP92" i="7"/>
  <c r="AK92" i="7"/>
  <c r="AF92" i="7"/>
  <c r="AA92" i="7"/>
  <c r="V92" i="7"/>
  <c r="Q92" i="7"/>
  <c r="L92" i="7"/>
  <c r="G92" i="7"/>
  <c r="D92" i="7"/>
  <c r="BT90" i="7"/>
  <c r="BT89" i="7"/>
  <c r="BO89" i="7"/>
  <c r="BJ89" i="7"/>
  <c r="BE89" i="7"/>
  <c r="AZ89" i="7"/>
  <c r="AU89" i="7"/>
  <c r="AP89" i="7"/>
  <c r="AK89" i="7"/>
  <c r="AF89" i="7"/>
  <c r="AA89" i="7"/>
  <c r="V89" i="7"/>
  <c r="Q89" i="7"/>
  <c r="L89" i="7"/>
  <c r="G89" i="7"/>
  <c r="D89" i="7"/>
  <c r="BT87" i="7"/>
  <c r="BT86" i="7"/>
  <c r="BO86" i="7"/>
  <c r="BJ86" i="7"/>
  <c r="BE86" i="7"/>
  <c r="AZ86" i="7"/>
  <c r="AU86" i="7"/>
  <c r="AP86" i="7"/>
  <c r="AK86" i="7"/>
  <c r="AF86" i="7"/>
  <c r="AA86" i="7"/>
  <c r="V86" i="7"/>
  <c r="Q86" i="7"/>
  <c r="L86" i="7"/>
  <c r="G86" i="7"/>
  <c r="BT84" i="7"/>
  <c r="BO83" i="7"/>
  <c r="BJ83" i="7"/>
  <c r="BE83" i="7"/>
  <c r="AZ83" i="7"/>
  <c r="AU83" i="7"/>
  <c r="AP83" i="7"/>
  <c r="AK83" i="7"/>
  <c r="AF83" i="7"/>
  <c r="AA83" i="7"/>
  <c r="V83" i="7"/>
  <c r="Q83" i="7"/>
  <c r="L83" i="7"/>
  <c r="G83" i="7"/>
  <c r="BT81" i="7"/>
  <c r="BO80" i="7"/>
  <c r="BJ80" i="7"/>
  <c r="BE80" i="7"/>
  <c r="AZ80" i="7"/>
  <c r="AU80" i="7"/>
  <c r="AP80" i="7"/>
  <c r="AK80" i="7"/>
  <c r="AF80" i="7"/>
  <c r="AA80" i="7"/>
  <c r="V80" i="7"/>
  <c r="Q80" i="7"/>
  <c r="M80" i="7"/>
  <c r="L80" i="7"/>
  <c r="G80" i="7"/>
  <c r="BT78" i="7"/>
  <c r="BO77" i="7"/>
  <c r="BJ77" i="7"/>
  <c r="BE77" i="7"/>
  <c r="AZ77" i="7"/>
  <c r="AU77" i="7"/>
  <c r="AP77" i="7"/>
  <c r="AK77" i="7"/>
  <c r="AF77" i="7"/>
  <c r="AA77" i="7"/>
  <c r="V77" i="7"/>
  <c r="Q77" i="7"/>
  <c r="L77" i="7"/>
  <c r="G77" i="7"/>
  <c r="BT75" i="7"/>
  <c r="BT74" i="7" s="1"/>
  <c r="BO74" i="7"/>
  <c r="BJ74" i="7"/>
  <c r="BE74" i="7"/>
  <c r="AZ74" i="7"/>
  <c r="AU74" i="7"/>
  <c r="AP74" i="7"/>
  <c r="AK74" i="7"/>
  <c r="AF74" i="7"/>
  <c r="AA74" i="7"/>
  <c r="V74" i="7"/>
  <c r="Q74" i="7"/>
  <c r="L74" i="7"/>
  <c r="G74" i="7"/>
  <c r="D74" i="7"/>
  <c r="BT72" i="7"/>
  <c r="BT71" i="7"/>
  <c r="BO71" i="7"/>
  <c r="BJ71" i="7"/>
  <c r="BE71" i="7"/>
  <c r="AZ71" i="7"/>
  <c r="AU71" i="7"/>
  <c r="AP71" i="7"/>
  <c r="AK71" i="7"/>
  <c r="AF71" i="7"/>
  <c r="AA71" i="7"/>
  <c r="V71" i="7"/>
  <c r="Q71" i="7"/>
  <c r="L71" i="7"/>
  <c r="BT69" i="7"/>
  <c r="BT68" i="7"/>
  <c r="BO68" i="7"/>
  <c r="BJ68" i="7"/>
  <c r="BE68" i="7"/>
  <c r="AZ68" i="7"/>
  <c r="AU68" i="7"/>
  <c r="AP68" i="7"/>
  <c r="AK68" i="7"/>
  <c r="AF68" i="7"/>
  <c r="AA68" i="7"/>
  <c r="V68" i="7"/>
  <c r="Q68" i="7"/>
  <c r="L68" i="7"/>
  <c r="BO66" i="7"/>
  <c r="AU66" i="7"/>
  <c r="AU65" i="7" s="1"/>
  <c r="AU15" i="7" s="1"/>
  <c r="AP66" i="7"/>
  <c r="AK66" i="7"/>
  <c r="AF66" i="7"/>
  <c r="L66" i="7"/>
  <c r="L65" i="7" s="1"/>
  <c r="L15" i="7" s="1"/>
  <c r="G66" i="7"/>
  <c r="BJ65" i="7"/>
  <c r="BE65" i="7"/>
  <c r="BE15" i="7" s="1"/>
  <c r="AZ65" i="7"/>
  <c r="AZ15" i="7" s="1"/>
  <c r="AP65" i="7"/>
  <c r="AP15" i="7" s="1"/>
  <c r="AA65" i="7"/>
  <c r="V65" i="7"/>
  <c r="Q65" i="7"/>
  <c r="G65" i="7"/>
  <c r="G15" i="7" s="1"/>
  <c r="BT63" i="7"/>
  <c r="BT62" i="7"/>
  <c r="BT61" i="7"/>
  <c r="BO60" i="7"/>
  <c r="BJ60" i="7"/>
  <c r="BE60" i="7"/>
  <c r="AZ60" i="7"/>
  <c r="AU60" i="7"/>
  <c r="AP60" i="7"/>
  <c r="AK60" i="7"/>
  <c r="AF60" i="7"/>
  <c r="AA60" i="7"/>
  <c r="V60" i="7"/>
  <c r="Q60" i="7"/>
  <c r="L60" i="7"/>
  <c r="G60" i="7"/>
  <c r="BT58" i="7"/>
  <c r="BT55" i="7" s="1"/>
  <c r="BT57" i="7"/>
  <c r="BT56" i="7"/>
  <c r="BO55" i="7"/>
  <c r="BJ55" i="7"/>
  <c r="BE55" i="7"/>
  <c r="AZ55" i="7"/>
  <c r="AU55" i="7"/>
  <c r="AP55" i="7"/>
  <c r="AK55" i="7"/>
  <c r="AF55" i="7"/>
  <c r="AA55" i="7"/>
  <c r="V55" i="7"/>
  <c r="Q55" i="7"/>
  <c r="L55" i="7"/>
  <c r="G55" i="7"/>
  <c r="BT53" i="7"/>
  <c r="BT52" i="7"/>
  <c r="BT51" i="7"/>
  <c r="BO50" i="7"/>
  <c r="BJ50" i="7"/>
  <c r="BE50" i="7"/>
  <c r="AZ50" i="7"/>
  <c r="AU50" i="7"/>
  <c r="AP50" i="7"/>
  <c r="AK50" i="7"/>
  <c r="AF50" i="7"/>
  <c r="AA50" i="7"/>
  <c r="V50" i="7"/>
  <c r="Q50" i="7"/>
  <c r="L50" i="7"/>
  <c r="BT48" i="7"/>
  <c r="BT47" i="7"/>
  <c r="BT46" i="7"/>
  <c r="BO45" i="7"/>
  <c r="BJ45" i="7"/>
  <c r="BE45" i="7"/>
  <c r="AZ45" i="7"/>
  <c r="AU45" i="7"/>
  <c r="AP45" i="7"/>
  <c r="AK45" i="7"/>
  <c r="AF45" i="7"/>
  <c r="AA45" i="7"/>
  <c r="V45" i="7"/>
  <c r="Q45" i="7"/>
  <c r="L45" i="7"/>
  <c r="G45" i="7"/>
  <c r="BT43" i="7"/>
  <c r="BT42" i="7"/>
  <c r="BT41" i="7"/>
  <c r="BO40" i="7"/>
  <c r="BJ40" i="7"/>
  <c r="BE40" i="7"/>
  <c r="AZ40" i="7"/>
  <c r="AU40" i="7"/>
  <c r="AP40" i="7"/>
  <c r="AK40" i="7"/>
  <c r="AF40" i="7"/>
  <c r="AA40" i="7"/>
  <c r="V40" i="7"/>
  <c r="Q40" i="7"/>
  <c r="L40" i="7"/>
  <c r="BT38" i="7"/>
  <c r="BT37" i="7"/>
  <c r="BT36" i="7"/>
  <c r="BO35" i="7"/>
  <c r="BJ35" i="7"/>
  <c r="BE35" i="7"/>
  <c r="AZ35" i="7"/>
  <c r="AU35" i="7"/>
  <c r="AP35" i="7"/>
  <c r="AK35" i="7"/>
  <c r="AF35" i="7"/>
  <c r="AA35" i="7"/>
  <c r="V35" i="7"/>
  <c r="Q35" i="7"/>
  <c r="L35" i="7"/>
  <c r="Q31" i="7"/>
  <c r="G31" i="7"/>
  <c r="BO30" i="7"/>
  <c r="BJ30" i="7"/>
  <c r="BJ14" i="7" s="1"/>
  <c r="BE30" i="7"/>
  <c r="AZ30" i="7"/>
  <c r="AZ14" i="7" s="1"/>
  <c r="AU30" i="7"/>
  <c r="AP30" i="7"/>
  <c r="AP14" i="7" s="1"/>
  <c r="AK30" i="7"/>
  <c r="AK14" i="7" s="1"/>
  <c r="AF30" i="7"/>
  <c r="AF14" i="7" s="1"/>
  <c r="AA30" i="7"/>
  <c r="V30" i="7"/>
  <c r="Q30" i="7"/>
  <c r="L30" i="7"/>
  <c r="G30" i="7"/>
  <c r="G14" i="7" s="1"/>
  <c r="BT28" i="7"/>
  <c r="BT27" i="7"/>
  <c r="BT26" i="7"/>
  <c r="BT25" i="7"/>
  <c r="BT24" i="7"/>
  <c r="BT23" i="7"/>
  <c r="BT22" i="7"/>
  <c r="BT21" i="7"/>
  <c r="BT18" i="7" s="1"/>
  <c r="BT20" i="7"/>
  <c r="BT19" i="7"/>
  <c r="BO18" i="7"/>
  <c r="BJ18" i="7"/>
  <c r="BE18" i="7"/>
  <c r="AZ18" i="7"/>
  <c r="AU18" i="7"/>
  <c r="AP18" i="7"/>
  <c r="AK18" i="7"/>
  <c r="AF18" i="7"/>
  <c r="AA18" i="7"/>
  <c r="V18" i="7"/>
  <c r="V13" i="7" s="1"/>
  <c r="Q18" i="7"/>
  <c r="L18" i="7"/>
  <c r="G18" i="7"/>
  <c r="G13" i="7" s="1"/>
  <c r="G16" i="7"/>
  <c r="BJ15" i="7"/>
  <c r="Q15" i="7"/>
  <c r="BE14" i="7"/>
  <c r="Q14" i="7"/>
  <c r="L14" i="7"/>
  <c r="BJ13" i="7"/>
  <c r="BE13" i="7"/>
  <c r="AP13" i="7"/>
  <c r="AK13" i="7"/>
  <c r="Q13" i="7"/>
  <c r="G9" i="7"/>
  <c r="G8" i="7"/>
  <c r="M1" i="7"/>
  <c r="BT342" i="6"/>
  <c r="BO341" i="6"/>
  <c r="BJ341" i="6"/>
  <c r="BE341" i="6"/>
  <c r="AZ341" i="6"/>
  <c r="AU341" i="6"/>
  <c r="AP341" i="6"/>
  <c r="AK341" i="6"/>
  <c r="AF341" i="6"/>
  <c r="AA341" i="6"/>
  <c r="V341" i="6"/>
  <c r="Q341" i="6"/>
  <c r="L341" i="6"/>
  <c r="BT339" i="6"/>
  <c r="BT338" i="6" s="1"/>
  <c r="BO338" i="6"/>
  <c r="BJ338" i="6"/>
  <c r="BE338" i="6"/>
  <c r="AZ338" i="6"/>
  <c r="AU338" i="6"/>
  <c r="AP338" i="6"/>
  <c r="AK338" i="6"/>
  <c r="AF338" i="6"/>
  <c r="AA338" i="6"/>
  <c r="V338" i="6"/>
  <c r="Q338" i="6"/>
  <c r="L338" i="6"/>
  <c r="G338" i="6"/>
  <c r="BT336" i="6"/>
  <c r="BO335" i="6"/>
  <c r="BJ335" i="6"/>
  <c r="BE335" i="6"/>
  <c r="AZ335" i="6"/>
  <c r="AU335" i="6"/>
  <c r="AP335" i="6"/>
  <c r="AK335" i="6"/>
  <c r="AF335" i="6"/>
  <c r="AA335" i="6"/>
  <c r="V335" i="6"/>
  <c r="Q335" i="6"/>
  <c r="L335" i="6"/>
  <c r="BT333" i="6"/>
  <c r="BO332" i="6"/>
  <c r="BJ332" i="6"/>
  <c r="BE332" i="6"/>
  <c r="AZ332" i="6"/>
  <c r="AU332" i="6"/>
  <c r="AP332" i="6"/>
  <c r="AK332" i="6"/>
  <c r="AF332" i="6"/>
  <c r="AA332" i="6"/>
  <c r="V332" i="6"/>
  <c r="Q332" i="6"/>
  <c r="L332" i="6"/>
  <c r="BT330" i="6"/>
  <c r="BT329" i="6" s="1"/>
  <c r="BO329" i="6"/>
  <c r="BJ329" i="6"/>
  <c r="BE329" i="6"/>
  <c r="AZ329" i="6"/>
  <c r="AU329" i="6"/>
  <c r="AP329" i="6"/>
  <c r="AK329" i="6"/>
  <c r="AF329" i="6"/>
  <c r="AA329" i="6"/>
  <c r="V329" i="6"/>
  <c r="Q329" i="6"/>
  <c r="L329" i="6"/>
  <c r="G329" i="6"/>
  <c r="BT327" i="6"/>
  <c r="BT326" i="6" s="1"/>
  <c r="BO326" i="6"/>
  <c r="BJ326" i="6"/>
  <c r="BE326" i="6"/>
  <c r="AZ326" i="6"/>
  <c r="AU326" i="6"/>
  <c r="AP326" i="6"/>
  <c r="AK326" i="6"/>
  <c r="AF326" i="6"/>
  <c r="AA326" i="6"/>
  <c r="V326" i="6"/>
  <c r="Q326" i="6"/>
  <c r="L326" i="6"/>
  <c r="BT324" i="6"/>
  <c r="BT323" i="6" s="1"/>
  <c r="BO323" i="6"/>
  <c r="BJ323" i="6"/>
  <c r="BE323" i="6"/>
  <c r="AZ323" i="6"/>
  <c r="AU323" i="6"/>
  <c r="AP323" i="6"/>
  <c r="AK323" i="6"/>
  <c r="AF323" i="6"/>
  <c r="AA323" i="6"/>
  <c r="V323" i="6"/>
  <c r="Q323" i="6"/>
  <c r="L323" i="6"/>
  <c r="BT321" i="6"/>
  <c r="BT320" i="6" s="1"/>
  <c r="BO320" i="6"/>
  <c r="BJ320" i="6"/>
  <c r="BE320" i="6"/>
  <c r="AZ320" i="6"/>
  <c r="AU320" i="6"/>
  <c r="AP320" i="6"/>
  <c r="AK320" i="6"/>
  <c r="AF320" i="6"/>
  <c r="AA320" i="6"/>
  <c r="V320" i="6"/>
  <c r="Q320" i="6"/>
  <c r="L320" i="6"/>
  <c r="V280" i="6"/>
  <c r="AP11" i="6"/>
  <c r="Q11" i="6"/>
  <c r="BT301" i="6"/>
  <c r="BO300" i="6"/>
  <c r="BJ300" i="6"/>
  <c r="BE300" i="6"/>
  <c r="AZ300" i="6"/>
  <c r="AU300" i="6"/>
  <c r="AP300" i="6"/>
  <c r="AK300" i="6"/>
  <c r="AF300" i="6"/>
  <c r="AA300" i="6"/>
  <c r="V300" i="6"/>
  <c r="Q300" i="6"/>
  <c r="L300" i="6"/>
  <c r="G300" i="6"/>
  <c r="BT298" i="6"/>
  <c r="BT297" i="6" s="1"/>
  <c r="BO297" i="6"/>
  <c r="BJ297" i="6"/>
  <c r="BE297" i="6"/>
  <c r="AZ297" i="6"/>
  <c r="AU297" i="6"/>
  <c r="AP297" i="6"/>
  <c r="AK297" i="6"/>
  <c r="AF297" i="6"/>
  <c r="AA297" i="6"/>
  <c r="V297" i="6"/>
  <c r="Q297" i="6"/>
  <c r="L297" i="6"/>
  <c r="G297" i="6"/>
  <c r="BT295" i="6"/>
  <c r="BO294" i="6"/>
  <c r="BJ294" i="6"/>
  <c r="BE294" i="6"/>
  <c r="AK294" i="6"/>
  <c r="AA294" i="6"/>
  <c r="Q294" i="6"/>
  <c r="L294" i="6"/>
  <c r="G294" i="6"/>
  <c r="BT292" i="6"/>
  <c r="BT291" i="6" s="1"/>
  <c r="BO291" i="6"/>
  <c r="BJ291" i="6"/>
  <c r="BE291" i="6"/>
  <c r="AZ291" i="6"/>
  <c r="AU291" i="6"/>
  <c r="AP291" i="6"/>
  <c r="AK291" i="6"/>
  <c r="AF291" i="6"/>
  <c r="AA291" i="6"/>
  <c r="V291" i="6"/>
  <c r="Q291" i="6"/>
  <c r="L291" i="6"/>
  <c r="G291" i="6"/>
  <c r="BT289" i="6"/>
  <c r="BO288" i="6"/>
  <c r="BJ288" i="6"/>
  <c r="BE288" i="6"/>
  <c r="AZ288" i="6"/>
  <c r="AU288" i="6"/>
  <c r="AP288" i="6"/>
  <c r="AK288" i="6"/>
  <c r="AF288" i="6"/>
  <c r="AA288" i="6"/>
  <c r="V288" i="6"/>
  <c r="Q288" i="6"/>
  <c r="L288" i="6"/>
  <c r="G288" i="6"/>
  <c r="BT286" i="6"/>
  <c r="BT285" i="6" s="1"/>
  <c r="BO285" i="6"/>
  <c r="BJ285" i="6"/>
  <c r="BE285" i="6"/>
  <c r="AZ285" i="6"/>
  <c r="AU285" i="6"/>
  <c r="AP285" i="6"/>
  <c r="AK285" i="6"/>
  <c r="AF285" i="6"/>
  <c r="AA285" i="6"/>
  <c r="V285" i="6"/>
  <c r="Q285" i="6"/>
  <c r="L285" i="6"/>
  <c r="G285" i="6"/>
  <c r="BT283" i="6"/>
  <c r="BT282" i="6" s="1"/>
  <c r="BO282" i="6"/>
  <c r="BJ282" i="6"/>
  <c r="BE282" i="6"/>
  <c r="AZ282" i="6"/>
  <c r="AU282" i="6"/>
  <c r="AP282" i="6"/>
  <c r="AK282" i="6"/>
  <c r="AF282" i="6"/>
  <c r="AA282" i="6"/>
  <c r="V282" i="6"/>
  <c r="Q282" i="6"/>
  <c r="L282" i="6"/>
  <c r="Q280" i="6"/>
  <c r="Q279" i="6" s="1"/>
  <c r="Q10" i="6" s="1"/>
  <c r="G280" i="6"/>
  <c r="G279" i="6" s="1"/>
  <c r="G10" i="6" s="1"/>
  <c r="BJ279" i="6"/>
  <c r="BJ10" i="6" s="1"/>
  <c r="BE279" i="6"/>
  <c r="BE10" i="6" s="1"/>
  <c r="AZ279" i="6"/>
  <c r="AZ10" i="6" s="1"/>
  <c r="BT277" i="6"/>
  <c r="BT276" i="6"/>
  <c r="Q275" i="6"/>
  <c r="BO274" i="6"/>
  <c r="BJ274" i="6"/>
  <c r="BE274" i="6"/>
  <c r="AZ274" i="6"/>
  <c r="AU274" i="6"/>
  <c r="AP274" i="6"/>
  <c r="AK274" i="6"/>
  <c r="AF274" i="6"/>
  <c r="AA274" i="6"/>
  <c r="V274" i="6"/>
  <c r="L274" i="6"/>
  <c r="G274" i="6"/>
  <c r="BT272" i="6"/>
  <c r="BT271" i="6"/>
  <c r="Q270" i="6"/>
  <c r="BO269" i="6"/>
  <c r="BJ269" i="6"/>
  <c r="BE269" i="6"/>
  <c r="AZ269" i="6"/>
  <c r="AU269" i="6"/>
  <c r="AP269" i="6"/>
  <c r="AK269" i="6"/>
  <c r="AF269" i="6"/>
  <c r="AA269" i="6"/>
  <c r="V269" i="6"/>
  <c r="L269" i="6"/>
  <c r="G269" i="6"/>
  <c r="BT267" i="6"/>
  <c r="BT266" i="6"/>
  <c r="Q265" i="6"/>
  <c r="BO264" i="6"/>
  <c r="BJ264" i="6"/>
  <c r="BE264" i="6"/>
  <c r="AZ264" i="6"/>
  <c r="AU264" i="6"/>
  <c r="AP264" i="6"/>
  <c r="AK264" i="6"/>
  <c r="AF264" i="6"/>
  <c r="AA264" i="6"/>
  <c r="V264" i="6"/>
  <c r="Q264" i="6"/>
  <c r="L264" i="6"/>
  <c r="G264" i="6"/>
  <c r="BT262" i="6"/>
  <c r="BT261" i="6"/>
  <c r="BT260" i="6"/>
  <c r="Q259" i="6"/>
  <c r="Q258" i="6" s="1"/>
  <c r="BO258" i="6"/>
  <c r="BJ258" i="6"/>
  <c r="BE258" i="6"/>
  <c r="AZ258" i="6"/>
  <c r="AU258" i="6"/>
  <c r="AP258" i="6"/>
  <c r="AK258" i="6"/>
  <c r="AF258" i="6"/>
  <c r="AA258" i="6"/>
  <c r="V258" i="6"/>
  <c r="L258" i="6"/>
  <c r="BT256" i="6"/>
  <c r="BT255" i="6"/>
  <c r="BT254" i="6"/>
  <c r="Q253" i="6"/>
  <c r="Q252" i="6" s="1"/>
  <c r="BO252" i="6"/>
  <c r="BJ252" i="6"/>
  <c r="BE252" i="6"/>
  <c r="AZ252" i="6"/>
  <c r="AU252" i="6"/>
  <c r="AP252" i="6"/>
  <c r="AK252" i="6"/>
  <c r="AF252" i="6"/>
  <c r="AA252" i="6"/>
  <c r="V252" i="6"/>
  <c r="L252" i="6"/>
  <c r="BT250" i="6"/>
  <c r="BT249" i="6"/>
  <c r="BT248" i="6"/>
  <c r="Q247" i="6"/>
  <c r="BT247" i="6" s="1"/>
  <c r="AP246" i="6"/>
  <c r="AF246" i="6"/>
  <c r="V246" i="6"/>
  <c r="Q246" i="6"/>
  <c r="BT244" i="6"/>
  <c r="BT243" i="6"/>
  <c r="BT242" i="6"/>
  <c r="BO241" i="6"/>
  <c r="BJ241" i="6"/>
  <c r="BE241" i="6"/>
  <c r="AZ241" i="6"/>
  <c r="AU241" i="6"/>
  <c r="AP241" i="6"/>
  <c r="AK241" i="6"/>
  <c r="AF241" i="6"/>
  <c r="AA241" i="6"/>
  <c r="V241" i="6"/>
  <c r="Q241" i="6"/>
  <c r="L241" i="6"/>
  <c r="G241" i="6"/>
  <c r="BT239" i="6"/>
  <c r="BT238" i="6"/>
  <c r="Q237" i="6"/>
  <c r="BT237" i="6" s="1"/>
  <c r="BO236" i="6"/>
  <c r="BJ236" i="6"/>
  <c r="BE236" i="6"/>
  <c r="AZ236" i="6"/>
  <c r="AU236" i="6"/>
  <c r="AP236" i="6"/>
  <c r="AK236" i="6"/>
  <c r="AF236" i="6"/>
  <c r="AA236" i="6"/>
  <c r="V236" i="6"/>
  <c r="L236" i="6"/>
  <c r="G236" i="6"/>
  <c r="BT234" i="6"/>
  <c r="BT233" i="6"/>
  <c r="Q232" i="6"/>
  <c r="Q231" i="6" s="1"/>
  <c r="BO231" i="6"/>
  <c r="BJ231" i="6"/>
  <c r="BE231" i="6"/>
  <c r="AZ231" i="6"/>
  <c r="AU231" i="6"/>
  <c r="AP231" i="6"/>
  <c r="AK231" i="6"/>
  <c r="AF231" i="6"/>
  <c r="AA231" i="6"/>
  <c r="V231" i="6"/>
  <c r="L231" i="6"/>
  <c r="G231" i="6"/>
  <c r="BT229" i="6"/>
  <c r="BT228" i="6"/>
  <c r="BT227" i="6"/>
  <c r="Q226" i="6"/>
  <c r="BJ225" i="6"/>
  <c r="AZ225" i="6"/>
  <c r="AU225" i="6"/>
  <c r="AK225" i="6"/>
  <c r="AF225" i="6"/>
  <c r="D225" i="6"/>
  <c r="BT223" i="6"/>
  <c r="BT222" i="6"/>
  <c r="Q221" i="6"/>
  <c r="BT221" i="6" s="1"/>
  <c r="BO220" i="6"/>
  <c r="BJ220" i="6"/>
  <c r="BE220" i="6"/>
  <c r="AZ220" i="6"/>
  <c r="AU220" i="6"/>
  <c r="AP220" i="6"/>
  <c r="AK220" i="6"/>
  <c r="AF220" i="6"/>
  <c r="AA220" i="6"/>
  <c r="V220" i="6"/>
  <c r="L220" i="6"/>
  <c r="G220" i="6"/>
  <c r="BT218" i="6"/>
  <c r="BT217" i="6"/>
  <c r="Q216" i="6"/>
  <c r="BT216" i="6" s="1"/>
  <c r="BO215" i="6"/>
  <c r="BJ215" i="6"/>
  <c r="BE215" i="6"/>
  <c r="AZ215" i="6"/>
  <c r="AU215" i="6"/>
  <c r="AP215" i="6"/>
  <c r="AK215" i="6"/>
  <c r="AF215" i="6"/>
  <c r="AA215" i="6"/>
  <c r="V215" i="6"/>
  <c r="L215" i="6"/>
  <c r="G215" i="6"/>
  <c r="BO213" i="6"/>
  <c r="BJ213" i="6"/>
  <c r="BE213" i="6"/>
  <c r="AZ213" i="6"/>
  <c r="AU213" i="6"/>
  <c r="AP213" i="6"/>
  <c r="AK213" i="6"/>
  <c r="AF213" i="6"/>
  <c r="AA213" i="6"/>
  <c r="V213" i="6"/>
  <c r="Q213" i="6"/>
  <c r="L213" i="6"/>
  <c r="BO212" i="6"/>
  <c r="BJ212" i="6"/>
  <c r="BE212" i="6"/>
  <c r="AZ212" i="6"/>
  <c r="AU212" i="6"/>
  <c r="AP212" i="6"/>
  <c r="AK212" i="6"/>
  <c r="AF212" i="6"/>
  <c r="AA212" i="6"/>
  <c r="V212" i="6"/>
  <c r="Q212" i="6"/>
  <c r="L212" i="6"/>
  <c r="BO211" i="6"/>
  <c r="BJ211" i="6"/>
  <c r="BE211" i="6"/>
  <c r="AZ211" i="6"/>
  <c r="AU211" i="6"/>
  <c r="AP211" i="6"/>
  <c r="AK211" i="6"/>
  <c r="AF211" i="6"/>
  <c r="AA211" i="6"/>
  <c r="V211" i="6"/>
  <c r="Q211" i="6"/>
  <c r="L211" i="6"/>
  <c r="BO210" i="6"/>
  <c r="BJ210" i="6"/>
  <c r="BE210" i="6"/>
  <c r="AZ210" i="6"/>
  <c r="AU210" i="6"/>
  <c r="AP210" i="6"/>
  <c r="AK210" i="6"/>
  <c r="AF210" i="6"/>
  <c r="AA210" i="6"/>
  <c r="V210" i="6"/>
  <c r="L210" i="6"/>
  <c r="G209" i="6"/>
  <c r="G9" i="6" s="1"/>
  <c r="BT198" i="6"/>
  <c r="BT197" i="6"/>
  <c r="BT196" i="6"/>
  <c r="BT195" i="6"/>
  <c r="BT194" i="6"/>
  <c r="BT193" i="6"/>
  <c r="BT192" i="6"/>
  <c r="BT191" i="6"/>
  <c r="BT190" i="6"/>
  <c r="BT189" i="6"/>
  <c r="BT188" i="6"/>
  <c r="BT187" i="6"/>
  <c r="BO186" i="6"/>
  <c r="BJ186" i="6"/>
  <c r="BE186" i="6"/>
  <c r="AZ186" i="6"/>
  <c r="AU186" i="6"/>
  <c r="AP186" i="6"/>
  <c r="AK186" i="6"/>
  <c r="AF186" i="6"/>
  <c r="AA186" i="6"/>
  <c r="V186" i="6"/>
  <c r="Q186" i="6"/>
  <c r="L186" i="6"/>
  <c r="BT176" i="6"/>
  <c r="BT175" i="6"/>
  <c r="BO174" i="6"/>
  <c r="BO173" i="6" s="1"/>
  <c r="BJ174" i="6"/>
  <c r="BJ173" i="6" s="1"/>
  <c r="AU174" i="6"/>
  <c r="AP174" i="6"/>
  <c r="AP173" i="6" s="1"/>
  <c r="AK174" i="6"/>
  <c r="AK173" i="6" s="1"/>
  <c r="AF174" i="6"/>
  <c r="AF173" i="6" s="1"/>
  <c r="V174" i="6"/>
  <c r="Q174" i="6"/>
  <c r="Q173" i="6" s="1"/>
  <c r="L174" i="6"/>
  <c r="L173" i="6" s="1"/>
  <c r="BE173" i="6"/>
  <c r="AZ173" i="6"/>
  <c r="AA173" i="6"/>
  <c r="V173" i="6"/>
  <c r="G173" i="6"/>
  <c r="BT171" i="6"/>
  <c r="BT170" i="6"/>
  <c r="BJ169" i="6"/>
  <c r="BJ168" i="6" s="1"/>
  <c r="BE169" i="6"/>
  <c r="BE168" i="6" s="1"/>
  <c r="AZ169" i="6"/>
  <c r="AZ168" i="6" s="1"/>
  <c r="AU169" i="6"/>
  <c r="AU168" i="6" s="1"/>
  <c r="AF169" i="6"/>
  <c r="AF168" i="6" s="1"/>
  <c r="Q169" i="6"/>
  <c r="Q168" i="6" s="1"/>
  <c r="L169" i="6"/>
  <c r="L168" i="6" s="1"/>
  <c r="BO168" i="6"/>
  <c r="AP168" i="6"/>
  <c r="AK168" i="6"/>
  <c r="AA168" i="6"/>
  <c r="V168" i="6"/>
  <c r="G168" i="6"/>
  <c r="BT166" i="6"/>
  <c r="BT165" i="6"/>
  <c r="BO164" i="6"/>
  <c r="BO163" i="6" s="1"/>
  <c r="BJ164" i="6"/>
  <c r="BE164" i="6"/>
  <c r="BE163" i="6" s="1"/>
  <c r="AZ164" i="6"/>
  <c r="AZ163" i="6" s="1"/>
  <c r="AU164" i="6"/>
  <c r="AP164" i="6"/>
  <c r="AK164" i="6"/>
  <c r="AK163" i="6" s="1"/>
  <c r="AF164" i="6"/>
  <c r="AF163" i="6" s="1"/>
  <c r="AA164" i="6"/>
  <c r="AA163" i="6" s="1"/>
  <c r="Q164" i="6"/>
  <c r="L164" i="6"/>
  <c r="L163" i="6" s="1"/>
  <c r="AU163" i="6"/>
  <c r="V163" i="6"/>
  <c r="G163" i="6"/>
  <c r="BT161" i="6"/>
  <c r="BT160" i="6"/>
  <c r="BO159" i="6"/>
  <c r="BJ159" i="6"/>
  <c r="BJ158" i="6" s="1"/>
  <c r="BE159" i="6"/>
  <c r="BE158" i="6" s="1"/>
  <c r="AU159" i="6"/>
  <c r="AU158" i="6" s="1"/>
  <c r="AP159" i="6"/>
  <c r="AK159" i="6"/>
  <c r="AK158" i="6" s="1"/>
  <c r="AA159" i="6"/>
  <c r="AA158" i="6" s="1"/>
  <c r="V159" i="6"/>
  <c r="V158" i="6" s="1"/>
  <c r="Q159" i="6"/>
  <c r="L159" i="6"/>
  <c r="L158" i="6" s="1"/>
  <c r="AZ158" i="6"/>
  <c r="AF158" i="6"/>
  <c r="Q158" i="6"/>
  <c r="G158" i="6"/>
  <c r="BT156" i="6"/>
  <c r="BT155" i="6"/>
  <c r="BO154" i="6"/>
  <c r="BJ154" i="6"/>
  <c r="BJ153" i="6" s="1"/>
  <c r="BE154" i="6"/>
  <c r="BE153" i="6" s="1"/>
  <c r="AZ154" i="6"/>
  <c r="AZ153" i="6" s="1"/>
  <c r="AU154" i="6"/>
  <c r="AU153" i="6" s="1"/>
  <c r="AP154" i="6"/>
  <c r="AP153" i="6" s="1"/>
  <c r="AK154" i="6"/>
  <c r="AK153" i="6" s="1"/>
  <c r="AF154" i="6"/>
  <c r="AF153" i="6" s="1"/>
  <c r="AA154" i="6"/>
  <c r="AA153" i="6" s="1"/>
  <c r="V154" i="6"/>
  <c r="Q154" i="6"/>
  <c r="Q153" i="6" s="1"/>
  <c r="L154" i="6"/>
  <c r="L153" i="6" s="1"/>
  <c r="BO153" i="6"/>
  <c r="V153" i="6"/>
  <c r="G153" i="6"/>
  <c r="BT151" i="6"/>
  <c r="BT150" i="6"/>
  <c r="AZ149" i="6"/>
  <c r="AU149" i="6"/>
  <c r="AU148" i="6" s="1"/>
  <c r="AP149" i="6"/>
  <c r="AP148" i="6" s="1"/>
  <c r="AK149" i="6"/>
  <c r="AK148" i="6" s="1"/>
  <c r="AA149" i="6"/>
  <c r="AA148" i="6" s="1"/>
  <c r="V149" i="6"/>
  <c r="V148" i="6" s="1"/>
  <c r="Q149" i="6"/>
  <c r="Q148" i="6" s="1"/>
  <c r="L149" i="6"/>
  <c r="L148" i="6" s="1"/>
  <c r="BO148" i="6"/>
  <c r="BJ148" i="6"/>
  <c r="BE148" i="6"/>
  <c r="AF148" i="6"/>
  <c r="G148" i="6"/>
  <c r="BT146" i="6"/>
  <c r="BT145" i="6"/>
  <c r="Q144" i="6"/>
  <c r="BO143" i="6"/>
  <c r="BJ143" i="6"/>
  <c r="BE143" i="6"/>
  <c r="AZ143" i="6"/>
  <c r="AU143" i="6"/>
  <c r="AP143" i="6"/>
  <c r="AK143" i="6"/>
  <c r="AF143" i="6"/>
  <c r="AA143" i="6"/>
  <c r="V143" i="6"/>
  <c r="Q143" i="6"/>
  <c r="L143" i="6"/>
  <c r="G143" i="6"/>
  <c r="BT124" i="6"/>
  <c r="BT123" i="6"/>
  <c r="BT122" i="6"/>
  <c r="BT121" i="6"/>
  <c r="BO120" i="6"/>
  <c r="BJ120" i="6"/>
  <c r="BE120" i="6"/>
  <c r="AZ120" i="6"/>
  <c r="AU120" i="6"/>
  <c r="AP120" i="6"/>
  <c r="AK120" i="6"/>
  <c r="AF120" i="6"/>
  <c r="AA120" i="6"/>
  <c r="V120" i="6"/>
  <c r="Q120" i="6"/>
  <c r="L120" i="6"/>
  <c r="G120" i="6"/>
  <c r="BT118" i="6"/>
  <c r="BT117" i="6"/>
  <c r="BJ116" i="6"/>
  <c r="BJ115" i="6" s="1"/>
  <c r="AZ116" i="6"/>
  <c r="AU116" i="6"/>
  <c r="AU115" i="6" s="1"/>
  <c r="AK116" i="6"/>
  <c r="AK115" i="6" s="1"/>
  <c r="AF116" i="6"/>
  <c r="AA116" i="6"/>
  <c r="V116" i="6"/>
  <c r="V115" i="6" s="1"/>
  <c r="Q116" i="6"/>
  <c r="Q115" i="6" s="1"/>
  <c r="L116" i="6"/>
  <c r="L115" i="6" s="1"/>
  <c r="BO115" i="6"/>
  <c r="BE115" i="6"/>
  <c r="AP115" i="6"/>
  <c r="AF115" i="6"/>
  <c r="AA115" i="6"/>
  <c r="G115" i="6"/>
  <c r="BT113" i="6"/>
  <c r="BT112" i="6"/>
  <c r="BT111" i="6"/>
  <c r="BO110" i="6"/>
  <c r="BJ110" i="6"/>
  <c r="BE110" i="6"/>
  <c r="AZ110" i="6"/>
  <c r="AU110" i="6"/>
  <c r="AP110" i="6"/>
  <c r="AK110" i="6"/>
  <c r="AF110" i="6"/>
  <c r="AA110" i="6"/>
  <c r="V110" i="6"/>
  <c r="Q110" i="6"/>
  <c r="L110" i="6"/>
  <c r="G110" i="6"/>
  <c r="BT108" i="6"/>
  <c r="BT107" i="6"/>
  <c r="BT106" i="6"/>
  <c r="BO105" i="6"/>
  <c r="BJ105" i="6"/>
  <c r="BE105" i="6"/>
  <c r="AZ105" i="6"/>
  <c r="AU105" i="6"/>
  <c r="AP105" i="6"/>
  <c r="AK105" i="6"/>
  <c r="AF105" i="6"/>
  <c r="AA105" i="6"/>
  <c r="V105" i="6"/>
  <c r="Q105" i="6"/>
  <c r="L105" i="6"/>
  <c r="G105" i="6"/>
  <c r="BT103" i="6"/>
  <c r="BT102" i="6"/>
  <c r="BT101" i="6"/>
  <c r="BO100" i="6"/>
  <c r="BJ100" i="6"/>
  <c r="BE100" i="6"/>
  <c r="AZ100" i="6"/>
  <c r="AU100" i="6"/>
  <c r="AP100" i="6"/>
  <c r="AK100" i="6"/>
  <c r="AF100" i="6"/>
  <c r="AA100" i="6"/>
  <c r="V100" i="6"/>
  <c r="Q100" i="6"/>
  <c r="L100" i="6"/>
  <c r="G100" i="6"/>
  <c r="BT98" i="6"/>
  <c r="BT97" i="6"/>
  <c r="BT96" i="6"/>
  <c r="BO95" i="6"/>
  <c r="BJ95" i="6"/>
  <c r="BE95" i="6"/>
  <c r="AZ95" i="6"/>
  <c r="AU95" i="6"/>
  <c r="AP95" i="6"/>
  <c r="AK95" i="6"/>
  <c r="AF95" i="6"/>
  <c r="AA95" i="6"/>
  <c r="V95" i="6"/>
  <c r="Q95" i="6"/>
  <c r="L95" i="6"/>
  <c r="G95" i="6"/>
  <c r="BT93" i="6"/>
  <c r="BT92" i="6"/>
  <c r="BT91" i="6"/>
  <c r="BO90" i="6"/>
  <c r="BJ90" i="6"/>
  <c r="BE90" i="6"/>
  <c r="AZ90" i="6"/>
  <c r="AU90" i="6"/>
  <c r="AP90" i="6"/>
  <c r="AK90" i="6"/>
  <c r="AF90" i="6"/>
  <c r="AA90" i="6"/>
  <c r="V90" i="6"/>
  <c r="Q90" i="6"/>
  <c r="L90" i="6"/>
  <c r="G90" i="6"/>
  <c r="BT88" i="6"/>
  <c r="BT87" i="6"/>
  <c r="BT86" i="6"/>
  <c r="BO85" i="6"/>
  <c r="BJ85" i="6"/>
  <c r="BE85" i="6"/>
  <c r="AZ85" i="6"/>
  <c r="AU85" i="6"/>
  <c r="AP85" i="6"/>
  <c r="AK85" i="6"/>
  <c r="AF85" i="6"/>
  <c r="AA85" i="6"/>
  <c r="V85" i="6"/>
  <c r="Q85" i="6"/>
  <c r="L85" i="6"/>
  <c r="G85" i="6"/>
  <c r="BT83" i="6"/>
  <c r="BT82" i="6"/>
  <c r="BT81" i="6"/>
  <c r="BT80" i="6"/>
  <c r="BO79" i="6"/>
  <c r="BJ79" i="6"/>
  <c r="BE79" i="6"/>
  <c r="AZ79" i="6"/>
  <c r="AU79" i="6"/>
  <c r="AP79" i="6"/>
  <c r="AK79" i="6"/>
  <c r="AF79" i="6"/>
  <c r="AA79" i="6"/>
  <c r="V79" i="6"/>
  <c r="Q79" i="6"/>
  <c r="L79" i="6"/>
  <c r="G79" i="6"/>
  <c r="BT77" i="6"/>
  <c r="BT76" i="6"/>
  <c r="Q75" i="6"/>
  <c r="BO74" i="6"/>
  <c r="BJ74" i="6"/>
  <c r="BE74" i="6"/>
  <c r="AZ74" i="6"/>
  <c r="AU74" i="6"/>
  <c r="AP74" i="6"/>
  <c r="AK74" i="6"/>
  <c r="AF74" i="6"/>
  <c r="AA74" i="6"/>
  <c r="V74" i="6"/>
  <c r="L74" i="6"/>
  <c r="G74" i="6"/>
  <c r="BT72" i="6"/>
  <c r="BT71" i="6"/>
  <c r="BE70" i="6"/>
  <c r="BE15" i="6" s="1"/>
  <c r="BO69" i="6"/>
  <c r="BO68" i="6" s="1"/>
  <c r="BJ69" i="6"/>
  <c r="BE69" i="6"/>
  <c r="AZ69" i="6"/>
  <c r="AU69" i="6"/>
  <c r="AU68" i="6" s="1"/>
  <c r="AK69" i="6"/>
  <c r="AF69" i="6"/>
  <c r="AF68" i="6" s="1"/>
  <c r="AA69" i="6"/>
  <c r="AA68" i="6" s="1"/>
  <c r="V69" i="6"/>
  <c r="V68" i="6" s="1"/>
  <c r="Q69" i="6"/>
  <c r="Q68" i="6" s="1"/>
  <c r="L69" i="6"/>
  <c r="AZ68" i="6"/>
  <c r="AP68" i="6"/>
  <c r="AK68" i="6"/>
  <c r="L68" i="6"/>
  <c r="G68" i="6"/>
  <c r="BT66" i="6"/>
  <c r="BT65" i="6"/>
  <c r="BT64" i="6"/>
  <c r="BT63" i="6"/>
  <c r="BO62" i="6"/>
  <c r="BJ62" i="6"/>
  <c r="BE62" i="6"/>
  <c r="AZ62" i="6"/>
  <c r="AU62" i="6"/>
  <c r="AP62" i="6"/>
  <c r="AK62" i="6"/>
  <c r="AF62" i="6"/>
  <c r="AA62" i="6"/>
  <c r="V62" i="6"/>
  <c r="Q62" i="6"/>
  <c r="L62" i="6"/>
  <c r="G62" i="6"/>
  <c r="BT60" i="6"/>
  <c r="BT59" i="6"/>
  <c r="BO58" i="6"/>
  <c r="BO57" i="6" s="1"/>
  <c r="BJ58" i="6"/>
  <c r="BJ57" i="6" s="1"/>
  <c r="BE58" i="6"/>
  <c r="AZ58" i="6"/>
  <c r="AU58" i="6"/>
  <c r="AU57" i="6" s="1"/>
  <c r="AK58" i="6"/>
  <c r="AF58" i="6"/>
  <c r="AA58" i="6"/>
  <c r="AA57" i="6" s="1"/>
  <c r="V58" i="6"/>
  <c r="V57" i="6" s="1"/>
  <c r="Q58" i="6"/>
  <c r="Q57" i="6" s="1"/>
  <c r="L58" i="6"/>
  <c r="AZ57" i="6"/>
  <c r="AP57" i="6"/>
  <c r="AK57" i="6"/>
  <c r="AF57" i="6"/>
  <c r="L57" i="6"/>
  <c r="G57" i="6"/>
  <c r="BT55" i="6"/>
  <c r="BT54" i="6"/>
  <c r="BJ53" i="6"/>
  <c r="BE53" i="6"/>
  <c r="AZ53" i="6"/>
  <c r="AU53" i="6"/>
  <c r="AP53" i="6"/>
  <c r="AK53" i="6"/>
  <c r="AF53" i="6"/>
  <c r="AA53" i="6"/>
  <c r="V53" i="6"/>
  <c r="Q53" i="6"/>
  <c r="L53" i="6"/>
  <c r="BO52" i="6"/>
  <c r="BJ52" i="6"/>
  <c r="BE52" i="6"/>
  <c r="AZ52" i="6"/>
  <c r="AU52" i="6"/>
  <c r="AP52" i="6"/>
  <c r="AK52" i="6"/>
  <c r="AF52" i="6"/>
  <c r="AA52" i="6"/>
  <c r="V52" i="6"/>
  <c r="Q52" i="6"/>
  <c r="L52" i="6"/>
  <c r="G52" i="6"/>
  <c r="BT50" i="6"/>
  <c r="BT49" i="6"/>
  <c r="BT48" i="6"/>
  <c r="BO47" i="6"/>
  <c r="BJ47" i="6"/>
  <c r="BJ46" i="6" s="1"/>
  <c r="BE47" i="6"/>
  <c r="BE46" i="6" s="1"/>
  <c r="AZ47" i="6"/>
  <c r="AZ46" i="6" s="1"/>
  <c r="AU47" i="6"/>
  <c r="AU46" i="6" s="1"/>
  <c r="AP47" i="6"/>
  <c r="AP46" i="6" s="1"/>
  <c r="AK47" i="6"/>
  <c r="AK46" i="6" s="1"/>
  <c r="AF47" i="6"/>
  <c r="AF46" i="6" s="1"/>
  <c r="AA47" i="6"/>
  <c r="AA46" i="6" s="1"/>
  <c r="V47" i="6"/>
  <c r="V46" i="6" s="1"/>
  <c r="Q47" i="6"/>
  <c r="Q46" i="6" s="1"/>
  <c r="L47" i="6"/>
  <c r="L46" i="6" s="1"/>
  <c r="BO46" i="6"/>
  <c r="G46" i="6"/>
  <c r="BT44" i="6"/>
  <c r="BT43" i="6"/>
  <c r="BT42" i="6"/>
  <c r="BO41" i="6"/>
  <c r="BO40" i="6" s="1"/>
  <c r="BJ41" i="6"/>
  <c r="BJ40" i="6" s="1"/>
  <c r="BE41" i="6"/>
  <c r="BE40" i="6" s="1"/>
  <c r="AZ41" i="6"/>
  <c r="AZ40" i="6" s="1"/>
  <c r="AU41" i="6"/>
  <c r="AU40" i="6" s="1"/>
  <c r="AP41" i="6"/>
  <c r="AP40" i="6" s="1"/>
  <c r="AK41" i="6"/>
  <c r="AK40" i="6" s="1"/>
  <c r="AF41" i="6"/>
  <c r="AF40" i="6" s="1"/>
  <c r="AA41" i="6"/>
  <c r="AA40" i="6" s="1"/>
  <c r="V41" i="6"/>
  <c r="V40" i="6" s="1"/>
  <c r="Q41" i="6"/>
  <c r="Q40" i="6" s="1"/>
  <c r="L41" i="6"/>
  <c r="L40" i="6" s="1"/>
  <c r="G40" i="6"/>
  <c r="BT38" i="6"/>
  <c r="BT37" i="6"/>
  <c r="BT36" i="6"/>
  <c r="BO35" i="6"/>
  <c r="BO34" i="6" s="1"/>
  <c r="BJ35" i="6"/>
  <c r="BJ34" i="6" s="1"/>
  <c r="BE35" i="6"/>
  <c r="AZ35" i="6"/>
  <c r="AZ34" i="6" s="1"/>
  <c r="AU35" i="6"/>
  <c r="AP35" i="6"/>
  <c r="AP34" i="6" s="1"/>
  <c r="AK35" i="6"/>
  <c r="AK34" i="6" s="1"/>
  <c r="AF35" i="6"/>
  <c r="AF34" i="6" s="1"/>
  <c r="AA35" i="6"/>
  <c r="AA34" i="6" s="1"/>
  <c r="V35" i="6"/>
  <c r="V34" i="6" s="1"/>
  <c r="Q35" i="6"/>
  <c r="Q34" i="6" s="1"/>
  <c r="L35" i="6"/>
  <c r="AU34" i="6"/>
  <c r="L34" i="6"/>
  <c r="G34" i="6"/>
  <c r="BT32" i="6"/>
  <c r="BT31" i="6"/>
  <c r="BT30" i="6"/>
  <c r="BO29" i="6"/>
  <c r="BJ29" i="6"/>
  <c r="AZ29" i="6"/>
  <c r="AZ28" i="6" s="1"/>
  <c r="AU29" i="6"/>
  <c r="AU28" i="6" s="1"/>
  <c r="AP29" i="6"/>
  <c r="AP28" i="6" s="1"/>
  <c r="AK29" i="6"/>
  <c r="AF29" i="6"/>
  <c r="AF28" i="6" s="1"/>
  <c r="AA29" i="6"/>
  <c r="AA28" i="6" s="1"/>
  <c r="V29" i="6"/>
  <c r="V28" i="6" s="1"/>
  <c r="Q29" i="6"/>
  <c r="Q28" i="6" s="1"/>
  <c r="L29" i="6"/>
  <c r="L28" i="6" s="1"/>
  <c r="BJ28" i="6"/>
  <c r="BE28" i="6"/>
  <c r="AK28" i="6"/>
  <c r="G28" i="6"/>
  <c r="BT26" i="6"/>
  <c r="BT25" i="6"/>
  <c r="BT24" i="6"/>
  <c r="BO23" i="6"/>
  <c r="BO22" i="6" s="1"/>
  <c r="BJ23" i="6"/>
  <c r="BJ22" i="6" s="1"/>
  <c r="BE23" i="6"/>
  <c r="BE22" i="6" s="1"/>
  <c r="AZ23" i="6"/>
  <c r="AZ22" i="6" s="1"/>
  <c r="AU23" i="6"/>
  <c r="AU22" i="6" s="1"/>
  <c r="AP23" i="6"/>
  <c r="AP22" i="6" s="1"/>
  <c r="AK23" i="6"/>
  <c r="AK22" i="6" s="1"/>
  <c r="AF23" i="6"/>
  <c r="AF22" i="6" s="1"/>
  <c r="AA23" i="6"/>
  <c r="AA22" i="6" s="1"/>
  <c r="V23" i="6"/>
  <c r="V22" i="6" s="1"/>
  <c r="Q23" i="6"/>
  <c r="L23" i="6"/>
  <c r="L22" i="6" s="1"/>
  <c r="Q22" i="6"/>
  <c r="G22" i="6"/>
  <c r="BT20" i="6"/>
  <c r="BT19" i="6" s="1"/>
  <c r="BO19" i="6"/>
  <c r="BJ19" i="6"/>
  <c r="BE19" i="6"/>
  <c r="AZ19" i="6"/>
  <c r="AU19" i="6"/>
  <c r="AP19" i="6"/>
  <c r="AK19" i="6"/>
  <c r="AF19" i="6"/>
  <c r="AA19" i="6"/>
  <c r="V19" i="6"/>
  <c r="Q19" i="6"/>
  <c r="L19" i="6"/>
  <c r="G19" i="6"/>
  <c r="BO17" i="6"/>
  <c r="BJ17" i="6"/>
  <c r="BE17" i="6"/>
  <c r="AZ17" i="6"/>
  <c r="AU17" i="6"/>
  <c r="AP17" i="6"/>
  <c r="AK17" i="6"/>
  <c r="AF17" i="6"/>
  <c r="AA17" i="6"/>
  <c r="V17" i="6"/>
  <c r="Q17" i="6"/>
  <c r="L17" i="6"/>
  <c r="BO16" i="6"/>
  <c r="BJ16" i="6"/>
  <c r="BE16" i="6"/>
  <c r="AZ16" i="6"/>
  <c r="AU16" i="6"/>
  <c r="AP16" i="6"/>
  <c r="AK16" i="6"/>
  <c r="AF16" i="6"/>
  <c r="AA16" i="6"/>
  <c r="V16" i="6"/>
  <c r="Q16" i="6"/>
  <c r="L16" i="6"/>
  <c r="BO15" i="6"/>
  <c r="BJ15" i="6"/>
  <c r="AZ15" i="6"/>
  <c r="AU15" i="6"/>
  <c r="AP15" i="6"/>
  <c r="AK15" i="6"/>
  <c r="AF15" i="6"/>
  <c r="AA15" i="6"/>
  <c r="V15" i="6"/>
  <c r="Q15" i="6"/>
  <c r="L15" i="6"/>
  <c r="G15" i="6"/>
  <c r="G14" i="6"/>
  <c r="BJ11" i="6"/>
  <c r="G4" i="6"/>
  <c r="G183" i="6" s="1"/>
  <c r="G3" i="6"/>
  <c r="G182" i="6" s="1"/>
  <c r="M1" i="6"/>
  <c r="BW146" i="5"/>
  <c r="BW144" i="5"/>
  <c r="BW143" i="5"/>
  <c r="BW142" i="5"/>
  <c r="BW141" i="5"/>
  <c r="BW139" i="5"/>
  <c r="BW135" i="5"/>
  <c r="BW134" i="5"/>
  <c r="BW132" i="5"/>
  <c r="BW131" i="5"/>
  <c r="BW130" i="5"/>
  <c r="BW128" i="5"/>
  <c r="BW127" i="5"/>
  <c r="BW125" i="5"/>
  <c r="BW124" i="5"/>
  <c r="BW123" i="5" s="1"/>
  <c r="BW121" i="5"/>
  <c r="BW120" i="5"/>
  <c r="BW117" i="5"/>
  <c r="BW116" i="5"/>
  <c r="BU113" i="5"/>
  <c r="BT113" i="5"/>
  <c r="BS113" i="5"/>
  <c r="BR113" i="5"/>
  <c r="BQ113" i="5"/>
  <c r="BP113" i="5"/>
  <c r="BO113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BT112" i="5"/>
  <c r="BS112" i="5"/>
  <c r="BR112" i="5"/>
  <c r="BQ112" i="5"/>
  <c r="BO112" i="5"/>
  <c r="BN112" i="5"/>
  <c r="BM112" i="5"/>
  <c r="BL112" i="5"/>
  <c r="BJ112" i="5"/>
  <c r="BI112" i="5"/>
  <c r="BH112" i="5"/>
  <c r="BG112" i="5"/>
  <c r="BE112" i="5"/>
  <c r="BD112" i="5"/>
  <c r="BC112" i="5"/>
  <c r="BB112" i="5"/>
  <c r="AZ112" i="5"/>
  <c r="AY112" i="5"/>
  <c r="AX112" i="5"/>
  <c r="AW112" i="5"/>
  <c r="AU112" i="5"/>
  <c r="AT112" i="5"/>
  <c r="AS112" i="5"/>
  <c r="AR112" i="5"/>
  <c r="AP112" i="5"/>
  <c r="AO112" i="5"/>
  <c r="AN112" i="5"/>
  <c r="AM112" i="5"/>
  <c r="AK112" i="5"/>
  <c r="AJ112" i="5"/>
  <c r="AI112" i="5"/>
  <c r="AH112" i="5"/>
  <c r="AF112" i="5"/>
  <c r="AE112" i="5"/>
  <c r="AD112" i="5"/>
  <c r="AC112" i="5"/>
  <c r="AA112" i="5"/>
  <c r="Z112" i="5"/>
  <c r="Y112" i="5"/>
  <c r="X112" i="5"/>
  <c r="V112" i="5"/>
  <c r="U112" i="5"/>
  <c r="T112" i="5"/>
  <c r="S112" i="5"/>
  <c r="Q112" i="5"/>
  <c r="P112" i="5"/>
  <c r="O112" i="5"/>
  <c r="N112" i="5"/>
  <c r="BT111" i="5"/>
  <c r="BS111" i="5"/>
  <c r="BR111" i="5"/>
  <c r="BQ111" i="5"/>
  <c r="BO111" i="5"/>
  <c r="BN111" i="5"/>
  <c r="BM111" i="5"/>
  <c r="BL111" i="5"/>
  <c r="BJ111" i="5"/>
  <c r="BI111" i="5"/>
  <c r="BH111" i="5"/>
  <c r="BG111" i="5"/>
  <c r="BE111" i="5"/>
  <c r="BD111" i="5"/>
  <c r="BC111" i="5"/>
  <c r="BB111" i="5"/>
  <c r="AZ111" i="5"/>
  <c r="AY111" i="5"/>
  <c r="AX111" i="5"/>
  <c r="AW111" i="5"/>
  <c r="AU111" i="5"/>
  <c r="AT111" i="5"/>
  <c r="AS111" i="5"/>
  <c r="AR111" i="5"/>
  <c r="AP111" i="5"/>
  <c r="AO111" i="5"/>
  <c r="AN111" i="5"/>
  <c r="AM111" i="5"/>
  <c r="AK111" i="5"/>
  <c r="AJ111" i="5"/>
  <c r="AI111" i="5"/>
  <c r="AH111" i="5"/>
  <c r="AF111" i="5"/>
  <c r="AE111" i="5"/>
  <c r="AD111" i="5"/>
  <c r="AC111" i="5"/>
  <c r="AA111" i="5"/>
  <c r="Z111" i="5"/>
  <c r="Y111" i="5"/>
  <c r="X111" i="5"/>
  <c r="V111" i="5"/>
  <c r="U111" i="5"/>
  <c r="T111" i="5"/>
  <c r="S111" i="5"/>
  <c r="Q111" i="5"/>
  <c r="P111" i="5"/>
  <c r="O111" i="5"/>
  <c r="N111" i="5"/>
  <c r="BW110" i="5"/>
  <c r="BU110" i="5"/>
  <c r="BT110" i="5"/>
  <c r="BS110" i="5"/>
  <c r="BR110" i="5"/>
  <c r="BQ110" i="5"/>
  <c r="BP110" i="5"/>
  <c r="BO110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BW109" i="5"/>
  <c r="BT109" i="5"/>
  <c r="BS109" i="5"/>
  <c r="BR109" i="5"/>
  <c r="BQ109" i="5"/>
  <c r="BO109" i="5"/>
  <c r="BN109" i="5"/>
  <c r="BM109" i="5"/>
  <c r="BL109" i="5"/>
  <c r="BJ109" i="5"/>
  <c r="BI109" i="5"/>
  <c r="BH109" i="5"/>
  <c r="BG109" i="5"/>
  <c r="BE109" i="5"/>
  <c r="BD109" i="5"/>
  <c r="BC109" i="5"/>
  <c r="BB109" i="5"/>
  <c r="AZ109" i="5"/>
  <c r="AY109" i="5"/>
  <c r="AX109" i="5"/>
  <c r="AW109" i="5"/>
  <c r="AU109" i="5"/>
  <c r="AT109" i="5"/>
  <c r="AS109" i="5"/>
  <c r="AR109" i="5"/>
  <c r="AP109" i="5"/>
  <c r="AO109" i="5"/>
  <c r="AN109" i="5"/>
  <c r="AM109" i="5"/>
  <c r="AK109" i="5"/>
  <c r="AJ109" i="5"/>
  <c r="AI109" i="5"/>
  <c r="AH109" i="5"/>
  <c r="AF109" i="5"/>
  <c r="AE109" i="5"/>
  <c r="AD109" i="5"/>
  <c r="AC109" i="5"/>
  <c r="AA109" i="5"/>
  <c r="Z109" i="5"/>
  <c r="Y109" i="5"/>
  <c r="X109" i="5"/>
  <c r="V109" i="5"/>
  <c r="U109" i="5"/>
  <c r="T109" i="5"/>
  <c r="S109" i="5"/>
  <c r="Q109" i="5"/>
  <c r="P109" i="5"/>
  <c r="O109" i="5"/>
  <c r="N109" i="5"/>
  <c r="BT108" i="5"/>
  <c r="BS108" i="5"/>
  <c r="BR108" i="5"/>
  <c r="BQ108" i="5"/>
  <c r="BO108" i="5"/>
  <c r="BN108" i="5"/>
  <c r="BM108" i="5"/>
  <c r="BL108" i="5"/>
  <c r="BJ108" i="5"/>
  <c r="BI108" i="5"/>
  <c r="BH108" i="5"/>
  <c r="BG108" i="5"/>
  <c r="BE108" i="5"/>
  <c r="BD108" i="5"/>
  <c r="BC108" i="5"/>
  <c r="BB108" i="5"/>
  <c r="AZ108" i="5"/>
  <c r="AY108" i="5"/>
  <c r="AX108" i="5"/>
  <c r="AW108" i="5"/>
  <c r="AU108" i="5"/>
  <c r="AT108" i="5"/>
  <c r="AS108" i="5"/>
  <c r="AR108" i="5"/>
  <c r="AP108" i="5"/>
  <c r="AO108" i="5"/>
  <c r="AN108" i="5"/>
  <c r="AM108" i="5"/>
  <c r="AK108" i="5"/>
  <c r="AJ108" i="5"/>
  <c r="AI108" i="5"/>
  <c r="AH108" i="5"/>
  <c r="AF108" i="5"/>
  <c r="AE108" i="5"/>
  <c r="AD108" i="5"/>
  <c r="AC108" i="5"/>
  <c r="AA108" i="5"/>
  <c r="Z108" i="5"/>
  <c r="Y108" i="5"/>
  <c r="X108" i="5"/>
  <c r="V108" i="5"/>
  <c r="U108" i="5"/>
  <c r="T108" i="5"/>
  <c r="S108" i="5"/>
  <c r="Q108" i="5"/>
  <c r="P108" i="5"/>
  <c r="O108" i="5"/>
  <c r="N108" i="5"/>
  <c r="BW107" i="5"/>
  <c r="BT107" i="5"/>
  <c r="BS107" i="5"/>
  <c r="BR107" i="5"/>
  <c r="BQ107" i="5"/>
  <c r="BO107" i="5"/>
  <c r="BN107" i="5"/>
  <c r="BM107" i="5"/>
  <c r="BL107" i="5"/>
  <c r="BJ107" i="5"/>
  <c r="BI107" i="5"/>
  <c r="BH107" i="5"/>
  <c r="BG107" i="5"/>
  <c r="BE107" i="5"/>
  <c r="BD107" i="5"/>
  <c r="BC107" i="5"/>
  <c r="BB107" i="5"/>
  <c r="AZ107" i="5"/>
  <c r="AY107" i="5"/>
  <c r="AX107" i="5"/>
  <c r="AW107" i="5"/>
  <c r="AU107" i="5"/>
  <c r="AT107" i="5"/>
  <c r="AS107" i="5"/>
  <c r="AR107" i="5"/>
  <c r="AP107" i="5"/>
  <c r="AO107" i="5"/>
  <c r="AN107" i="5"/>
  <c r="AM107" i="5"/>
  <c r="AK107" i="5"/>
  <c r="AJ107" i="5"/>
  <c r="AI107" i="5"/>
  <c r="AH107" i="5"/>
  <c r="AF107" i="5"/>
  <c r="AE107" i="5"/>
  <c r="AD107" i="5"/>
  <c r="AC107" i="5"/>
  <c r="AA107" i="5"/>
  <c r="Z107" i="5"/>
  <c r="Y107" i="5"/>
  <c r="X107" i="5"/>
  <c r="V107" i="5"/>
  <c r="U107" i="5"/>
  <c r="T107" i="5"/>
  <c r="S107" i="5"/>
  <c r="Q107" i="5"/>
  <c r="P107" i="5"/>
  <c r="O107" i="5"/>
  <c r="N107" i="5"/>
  <c r="BW106" i="5"/>
  <c r="BU106" i="5"/>
  <c r="BT106" i="5"/>
  <c r="BS106" i="5"/>
  <c r="BR106" i="5"/>
  <c r="BQ106" i="5"/>
  <c r="BP10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BT105" i="5"/>
  <c r="BS105" i="5"/>
  <c r="BR105" i="5"/>
  <c r="BQ105" i="5"/>
  <c r="BO105" i="5"/>
  <c r="BN105" i="5"/>
  <c r="BM105" i="5"/>
  <c r="BL105" i="5"/>
  <c r="BJ105" i="5"/>
  <c r="BI105" i="5"/>
  <c r="BH105" i="5"/>
  <c r="BG105" i="5"/>
  <c r="BE105" i="5"/>
  <c r="BD105" i="5"/>
  <c r="BC105" i="5"/>
  <c r="BB105" i="5"/>
  <c r="AZ105" i="5"/>
  <c r="AY105" i="5"/>
  <c r="AX105" i="5"/>
  <c r="AW105" i="5"/>
  <c r="AU105" i="5"/>
  <c r="AT105" i="5"/>
  <c r="AS105" i="5"/>
  <c r="AR105" i="5"/>
  <c r="AP105" i="5"/>
  <c r="AO105" i="5"/>
  <c r="AN105" i="5"/>
  <c r="AM105" i="5"/>
  <c r="AK105" i="5"/>
  <c r="AJ105" i="5"/>
  <c r="AI105" i="5"/>
  <c r="AH105" i="5"/>
  <c r="AF105" i="5"/>
  <c r="AE105" i="5"/>
  <c r="AD105" i="5"/>
  <c r="AC105" i="5"/>
  <c r="AA105" i="5"/>
  <c r="Z105" i="5"/>
  <c r="Y105" i="5"/>
  <c r="X105" i="5"/>
  <c r="V105" i="5"/>
  <c r="U105" i="5"/>
  <c r="T105" i="5"/>
  <c r="S105" i="5"/>
  <c r="Q105" i="5"/>
  <c r="P105" i="5"/>
  <c r="O105" i="5"/>
  <c r="N105" i="5"/>
  <c r="BT104" i="5"/>
  <c r="BS104" i="5"/>
  <c r="BR104" i="5"/>
  <c r="BQ104" i="5"/>
  <c r="BO104" i="5"/>
  <c r="BN104" i="5"/>
  <c r="BM104" i="5"/>
  <c r="BL104" i="5"/>
  <c r="BJ104" i="5"/>
  <c r="BI104" i="5"/>
  <c r="BH104" i="5"/>
  <c r="BG104" i="5"/>
  <c r="BE104" i="5"/>
  <c r="BD104" i="5"/>
  <c r="BC104" i="5"/>
  <c r="BB104" i="5"/>
  <c r="AZ104" i="5"/>
  <c r="AY104" i="5"/>
  <c r="AX104" i="5"/>
  <c r="AW104" i="5"/>
  <c r="AU104" i="5"/>
  <c r="AT104" i="5"/>
  <c r="AS104" i="5"/>
  <c r="AR104" i="5"/>
  <c r="AP104" i="5"/>
  <c r="AO104" i="5"/>
  <c r="AN104" i="5"/>
  <c r="AM104" i="5"/>
  <c r="AK104" i="5"/>
  <c r="AJ104" i="5"/>
  <c r="AI104" i="5"/>
  <c r="AH104" i="5"/>
  <c r="AF104" i="5"/>
  <c r="AE104" i="5"/>
  <c r="AD104" i="5"/>
  <c r="AC104" i="5"/>
  <c r="AA104" i="5"/>
  <c r="Z104" i="5"/>
  <c r="Y104" i="5"/>
  <c r="X104" i="5"/>
  <c r="V104" i="5"/>
  <c r="U104" i="5"/>
  <c r="T104" i="5"/>
  <c r="S104" i="5"/>
  <c r="Q104" i="5"/>
  <c r="P104" i="5"/>
  <c r="O104" i="5"/>
  <c r="N104" i="5"/>
  <c r="BW103" i="5"/>
  <c r="BT103" i="5"/>
  <c r="BS103" i="5"/>
  <c r="BR103" i="5"/>
  <c r="BQ103" i="5"/>
  <c r="BO103" i="5"/>
  <c r="BN103" i="5"/>
  <c r="BM103" i="5"/>
  <c r="BL103" i="5"/>
  <c r="BJ103" i="5"/>
  <c r="BI103" i="5"/>
  <c r="BH103" i="5"/>
  <c r="BG103" i="5"/>
  <c r="BE103" i="5"/>
  <c r="BD103" i="5"/>
  <c r="BC103" i="5"/>
  <c r="BB103" i="5"/>
  <c r="AZ103" i="5"/>
  <c r="AY103" i="5"/>
  <c r="AX103" i="5"/>
  <c r="AW103" i="5"/>
  <c r="AU103" i="5"/>
  <c r="AT103" i="5"/>
  <c r="AS103" i="5"/>
  <c r="AR103" i="5"/>
  <c r="AP103" i="5"/>
  <c r="AO103" i="5"/>
  <c r="AN103" i="5"/>
  <c r="AM103" i="5"/>
  <c r="AK103" i="5"/>
  <c r="AJ103" i="5"/>
  <c r="AI103" i="5"/>
  <c r="AH103" i="5"/>
  <c r="AF103" i="5"/>
  <c r="AE103" i="5"/>
  <c r="AD103" i="5"/>
  <c r="AC103" i="5"/>
  <c r="AA103" i="5"/>
  <c r="Z103" i="5"/>
  <c r="Y103" i="5"/>
  <c r="X103" i="5"/>
  <c r="V103" i="5"/>
  <c r="U103" i="5"/>
  <c r="T103" i="5"/>
  <c r="S103" i="5"/>
  <c r="Q103" i="5"/>
  <c r="P103" i="5"/>
  <c r="O103" i="5"/>
  <c r="N103" i="5"/>
  <c r="BW102" i="5"/>
  <c r="BT102" i="5"/>
  <c r="BS102" i="5"/>
  <c r="BR102" i="5"/>
  <c r="BQ102" i="5"/>
  <c r="BO102" i="5"/>
  <c r="BN102" i="5"/>
  <c r="BM102" i="5"/>
  <c r="BL102" i="5"/>
  <c r="BJ102" i="5"/>
  <c r="BI102" i="5"/>
  <c r="BH102" i="5"/>
  <c r="BG102" i="5"/>
  <c r="BE102" i="5"/>
  <c r="BD102" i="5"/>
  <c r="BC102" i="5"/>
  <c r="BB102" i="5"/>
  <c r="AZ102" i="5"/>
  <c r="AY102" i="5"/>
  <c r="AX102" i="5"/>
  <c r="AW102" i="5"/>
  <c r="AU102" i="5"/>
  <c r="AT102" i="5"/>
  <c r="AS102" i="5"/>
  <c r="AR102" i="5"/>
  <c r="AP102" i="5"/>
  <c r="AO102" i="5"/>
  <c r="AN102" i="5"/>
  <c r="AM102" i="5"/>
  <c r="AK102" i="5"/>
  <c r="AJ102" i="5"/>
  <c r="AI102" i="5"/>
  <c r="AH102" i="5"/>
  <c r="AF102" i="5"/>
  <c r="AE102" i="5"/>
  <c r="AD102" i="5"/>
  <c r="AC102" i="5"/>
  <c r="AA102" i="5"/>
  <c r="Z102" i="5"/>
  <c r="Y102" i="5"/>
  <c r="X102" i="5"/>
  <c r="V102" i="5"/>
  <c r="U102" i="5"/>
  <c r="T102" i="5"/>
  <c r="S102" i="5"/>
  <c r="Q102" i="5"/>
  <c r="P102" i="5"/>
  <c r="O102" i="5"/>
  <c r="N102" i="5"/>
  <c r="BW101" i="5"/>
  <c r="BU101" i="5"/>
  <c r="BT101" i="5"/>
  <c r="BS101" i="5"/>
  <c r="BR101" i="5"/>
  <c r="BQ101" i="5"/>
  <c r="BP101" i="5"/>
  <c r="BO101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BW100" i="5"/>
  <c r="BT100" i="5"/>
  <c r="BS100" i="5"/>
  <c r="BR100" i="5"/>
  <c r="BQ100" i="5"/>
  <c r="BO100" i="5"/>
  <c r="BN100" i="5"/>
  <c r="BM100" i="5"/>
  <c r="BL100" i="5"/>
  <c r="BJ100" i="5"/>
  <c r="BI100" i="5"/>
  <c r="BH100" i="5"/>
  <c r="BG100" i="5"/>
  <c r="BE100" i="5"/>
  <c r="BD100" i="5"/>
  <c r="BC100" i="5"/>
  <c r="BB100" i="5"/>
  <c r="AZ100" i="5"/>
  <c r="AY100" i="5"/>
  <c r="AX100" i="5"/>
  <c r="AW100" i="5"/>
  <c r="AU100" i="5"/>
  <c r="AT100" i="5"/>
  <c r="AS100" i="5"/>
  <c r="AR100" i="5"/>
  <c r="AP100" i="5"/>
  <c r="AO100" i="5"/>
  <c r="AN100" i="5"/>
  <c r="AM100" i="5"/>
  <c r="AK100" i="5"/>
  <c r="AJ100" i="5"/>
  <c r="AI100" i="5"/>
  <c r="AH100" i="5"/>
  <c r="AF100" i="5"/>
  <c r="AE100" i="5"/>
  <c r="AD100" i="5"/>
  <c r="AC100" i="5"/>
  <c r="AA100" i="5"/>
  <c r="Z100" i="5"/>
  <c r="Y100" i="5"/>
  <c r="X100" i="5"/>
  <c r="V100" i="5"/>
  <c r="U100" i="5"/>
  <c r="T100" i="5"/>
  <c r="S100" i="5"/>
  <c r="Q100" i="5"/>
  <c r="P100" i="5"/>
  <c r="O100" i="5"/>
  <c r="N100" i="5"/>
  <c r="BT99" i="5"/>
  <c r="BS99" i="5"/>
  <c r="BR99" i="5"/>
  <c r="BQ99" i="5"/>
  <c r="BO99" i="5"/>
  <c r="BN99" i="5"/>
  <c r="BM99" i="5"/>
  <c r="BL99" i="5"/>
  <c r="BJ99" i="5"/>
  <c r="BI99" i="5"/>
  <c r="BH99" i="5"/>
  <c r="BG99" i="5"/>
  <c r="BE99" i="5"/>
  <c r="BD99" i="5"/>
  <c r="BC99" i="5"/>
  <c r="BB99" i="5"/>
  <c r="AZ99" i="5"/>
  <c r="AY99" i="5"/>
  <c r="AX99" i="5"/>
  <c r="AW99" i="5"/>
  <c r="AU99" i="5"/>
  <c r="AT99" i="5"/>
  <c r="AS99" i="5"/>
  <c r="AR99" i="5"/>
  <c r="AP99" i="5"/>
  <c r="AO99" i="5"/>
  <c r="AN99" i="5"/>
  <c r="AM99" i="5"/>
  <c r="AK99" i="5"/>
  <c r="AJ99" i="5"/>
  <c r="AI99" i="5"/>
  <c r="AH99" i="5"/>
  <c r="AF99" i="5"/>
  <c r="AE99" i="5"/>
  <c r="AD99" i="5"/>
  <c r="AC99" i="5"/>
  <c r="AA99" i="5"/>
  <c r="Z99" i="5"/>
  <c r="Y99" i="5"/>
  <c r="X99" i="5"/>
  <c r="V99" i="5"/>
  <c r="U99" i="5"/>
  <c r="T99" i="5"/>
  <c r="S99" i="5"/>
  <c r="Q99" i="5"/>
  <c r="P99" i="5"/>
  <c r="O99" i="5"/>
  <c r="N99" i="5"/>
  <c r="BW98" i="5"/>
  <c r="BU98" i="5"/>
  <c r="BT98" i="5"/>
  <c r="BS98" i="5"/>
  <c r="BR98" i="5"/>
  <c r="BQ98" i="5"/>
  <c r="BP98" i="5"/>
  <c r="BO98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BW97" i="5"/>
  <c r="BT97" i="5"/>
  <c r="BS97" i="5"/>
  <c r="BR97" i="5"/>
  <c r="BQ97" i="5"/>
  <c r="BO97" i="5"/>
  <c r="BN97" i="5"/>
  <c r="BM97" i="5"/>
  <c r="BL97" i="5"/>
  <c r="BJ97" i="5"/>
  <c r="BI97" i="5"/>
  <c r="BH97" i="5"/>
  <c r="BG97" i="5"/>
  <c r="BE97" i="5"/>
  <c r="BD97" i="5"/>
  <c r="BC97" i="5"/>
  <c r="BB97" i="5"/>
  <c r="AZ97" i="5"/>
  <c r="AY97" i="5"/>
  <c r="AX97" i="5"/>
  <c r="AW97" i="5"/>
  <c r="AU97" i="5"/>
  <c r="AT97" i="5"/>
  <c r="AS97" i="5"/>
  <c r="AR97" i="5"/>
  <c r="AP97" i="5"/>
  <c r="AO97" i="5"/>
  <c r="AN97" i="5"/>
  <c r="AM97" i="5"/>
  <c r="AK97" i="5"/>
  <c r="AJ97" i="5"/>
  <c r="AI97" i="5"/>
  <c r="AH97" i="5"/>
  <c r="AF97" i="5"/>
  <c r="AE97" i="5"/>
  <c r="AD97" i="5"/>
  <c r="AC97" i="5"/>
  <c r="AA97" i="5"/>
  <c r="Z97" i="5"/>
  <c r="Y97" i="5"/>
  <c r="X97" i="5"/>
  <c r="V97" i="5"/>
  <c r="U97" i="5"/>
  <c r="T97" i="5"/>
  <c r="S97" i="5"/>
  <c r="Q97" i="5"/>
  <c r="P97" i="5"/>
  <c r="O97" i="5"/>
  <c r="N97" i="5"/>
  <c r="BT96" i="5"/>
  <c r="BS96" i="5"/>
  <c r="BR96" i="5"/>
  <c r="BQ96" i="5"/>
  <c r="BO96" i="5"/>
  <c r="BN96" i="5"/>
  <c r="BM96" i="5"/>
  <c r="BL96" i="5"/>
  <c r="BJ96" i="5"/>
  <c r="BI96" i="5"/>
  <c r="BH96" i="5"/>
  <c r="BG96" i="5"/>
  <c r="BE96" i="5"/>
  <c r="BD96" i="5"/>
  <c r="BC96" i="5"/>
  <c r="BB96" i="5"/>
  <c r="AZ96" i="5"/>
  <c r="AY96" i="5"/>
  <c r="AX96" i="5"/>
  <c r="AW96" i="5"/>
  <c r="AU96" i="5"/>
  <c r="AT96" i="5"/>
  <c r="AS96" i="5"/>
  <c r="AR96" i="5"/>
  <c r="AP96" i="5"/>
  <c r="AO96" i="5"/>
  <c r="AN96" i="5"/>
  <c r="AM96" i="5"/>
  <c r="AK96" i="5"/>
  <c r="AJ96" i="5"/>
  <c r="AI96" i="5"/>
  <c r="AH96" i="5"/>
  <c r="AF96" i="5"/>
  <c r="AE96" i="5"/>
  <c r="AD96" i="5"/>
  <c r="AC96" i="5"/>
  <c r="AA96" i="5"/>
  <c r="Z96" i="5"/>
  <c r="Y96" i="5"/>
  <c r="X96" i="5"/>
  <c r="V96" i="5"/>
  <c r="U96" i="5"/>
  <c r="T96" i="5"/>
  <c r="S96" i="5"/>
  <c r="Q96" i="5"/>
  <c r="P96" i="5"/>
  <c r="O96" i="5"/>
  <c r="N96" i="5"/>
  <c r="BT95" i="5"/>
  <c r="BS95" i="5"/>
  <c r="BR95" i="5"/>
  <c r="BQ95" i="5"/>
  <c r="BO95" i="5"/>
  <c r="BN95" i="5"/>
  <c r="BM95" i="5"/>
  <c r="BL95" i="5"/>
  <c r="BJ95" i="5"/>
  <c r="BI95" i="5"/>
  <c r="BH95" i="5"/>
  <c r="BG95" i="5"/>
  <c r="BE95" i="5"/>
  <c r="BD95" i="5"/>
  <c r="BC95" i="5"/>
  <c r="BB95" i="5"/>
  <c r="AZ95" i="5"/>
  <c r="AY95" i="5"/>
  <c r="AX95" i="5"/>
  <c r="AW95" i="5"/>
  <c r="AU95" i="5"/>
  <c r="AT95" i="5"/>
  <c r="AS95" i="5"/>
  <c r="AR95" i="5"/>
  <c r="AP95" i="5"/>
  <c r="AO95" i="5"/>
  <c r="AN95" i="5"/>
  <c r="AM95" i="5"/>
  <c r="AK95" i="5"/>
  <c r="AJ95" i="5"/>
  <c r="AI95" i="5"/>
  <c r="AH95" i="5"/>
  <c r="AF95" i="5"/>
  <c r="AE95" i="5"/>
  <c r="AD95" i="5"/>
  <c r="AC95" i="5"/>
  <c r="AA95" i="5"/>
  <c r="Z95" i="5"/>
  <c r="Y95" i="5"/>
  <c r="X95" i="5"/>
  <c r="V95" i="5"/>
  <c r="U95" i="5"/>
  <c r="T95" i="5"/>
  <c r="S95" i="5"/>
  <c r="Q95" i="5"/>
  <c r="P95" i="5"/>
  <c r="O95" i="5"/>
  <c r="N95" i="5"/>
  <c r="BT94" i="5"/>
  <c r="BS94" i="5"/>
  <c r="BR94" i="5"/>
  <c r="BQ94" i="5"/>
  <c r="BO94" i="5"/>
  <c r="BN94" i="5"/>
  <c r="BM94" i="5"/>
  <c r="BL94" i="5"/>
  <c r="BJ94" i="5"/>
  <c r="BI94" i="5"/>
  <c r="BH94" i="5"/>
  <c r="BG94" i="5"/>
  <c r="BE94" i="5"/>
  <c r="BD94" i="5"/>
  <c r="BC94" i="5"/>
  <c r="BB94" i="5"/>
  <c r="AZ94" i="5"/>
  <c r="AY94" i="5"/>
  <c r="AX94" i="5"/>
  <c r="AW94" i="5"/>
  <c r="AU94" i="5"/>
  <c r="AT94" i="5"/>
  <c r="AS94" i="5"/>
  <c r="AR94" i="5"/>
  <c r="AP94" i="5"/>
  <c r="AO94" i="5"/>
  <c r="AN94" i="5"/>
  <c r="AM94" i="5"/>
  <c r="AK94" i="5"/>
  <c r="AJ94" i="5"/>
  <c r="AI94" i="5"/>
  <c r="AH94" i="5"/>
  <c r="AF94" i="5"/>
  <c r="AE94" i="5"/>
  <c r="AD94" i="5"/>
  <c r="AC94" i="5"/>
  <c r="AA94" i="5"/>
  <c r="Z94" i="5"/>
  <c r="Y94" i="5"/>
  <c r="X94" i="5"/>
  <c r="V94" i="5"/>
  <c r="U94" i="5"/>
  <c r="T94" i="5"/>
  <c r="S94" i="5"/>
  <c r="Q94" i="5"/>
  <c r="P94" i="5"/>
  <c r="O94" i="5"/>
  <c r="N94" i="5"/>
  <c r="BU93" i="5"/>
  <c r="BT93" i="5"/>
  <c r="BS93" i="5"/>
  <c r="BR93" i="5"/>
  <c r="BQ93" i="5"/>
  <c r="BP93" i="5"/>
  <c r="BO93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BT92" i="5"/>
  <c r="BS92" i="5"/>
  <c r="BR92" i="5"/>
  <c r="BQ92" i="5"/>
  <c r="BP92" i="5"/>
  <c r="BO92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BT90" i="5"/>
  <c r="BS90" i="5"/>
  <c r="BR90" i="5"/>
  <c r="BQ90" i="5"/>
  <c r="BP90" i="5"/>
  <c r="BO90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BT89" i="5"/>
  <c r="BS89" i="5"/>
  <c r="BR89" i="5"/>
  <c r="BQ89" i="5"/>
  <c r="BP89" i="5"/>
  <c r="BO89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BT88" i="5"/>
  <c r="BS88" i="5"/>
  <c r="BR88" i="5"/>
  <c r="BQ88" i="5"/>
  <c r="BP88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BT87" i="5"/>
  <c r="BS87" i="5"/>
  <c r="BR87" i="5"/>
  <c r="BQ87" i="5"/>
  <c r="BP87" i="5"/>
  <c r="BO87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BT85" i="5"/>
  <c r="BS85" i="5"/>
  <c r="BR85" i="5"/>
  <c r="BQ85" i="5"/>
  <c r="BO85" i="5"/>
  <c r="BN85" i="5"/>
  <c r="BM85" i="5"/>
  <c r="BL85" i="5"/>
  <c r="BJ85" i="5"/>
  <c r="BI85" i="5"/>
  <c r="BH85" i="5"/>
  <c r="BG85" i="5"/>
  <c r="BE85" i="5"/>
  <c r="BD85" i="5"/>
  <c r="BC85" i="5"/>
  <c r="BB85" i="5"/>
  <c r="AZ85" i="5"/>
  <c r="AY85" i="5"/>
  <c r="AX85" i="5"/>
  <c r="AW85" i="5"/>
  <c r="AU85" i="5"/>
  <c r="AT85" i="5"/>
  <c r="AS85" i="5"/>
  <c r="AR85" i="5"/>
  <c r="AP85" i="5"/>
  <c r="AO85" i="5"/>
  <c r="AN85" i="5"/>
  <c r="AM85" i="5"/>
  <c r="AK85" i="5"/>
  <c r="AJ85" i="5"/>
  <c r="AI85" i="5"/>
  <c r="AH85" i="5"/>
  <c r="AF85" i="5"/>
  <c r="AE85" i="5"/>
  <c r="AD85" i="5"/>
  <c r="AC85" i="5"/>
  <c r="AA85" i="5"/>
  <c r="Z85" i="5"/>
  <c r="Y85" i="5"/>
  <c r="X85" i="5"/>
  <c r="V85" i="5"/>
  <c r="U85" i="5"/>
  <c r="T85" i="5"/>
  <c r="S85" i="5"/>
  <c r="Q85" i="5"/>
  <c r="P85" i="5"/>
  <c r="O85" i="5"/>
  <c r="N85" i="5"/>
  <c r="BT84" i="5"/>
  <c r="BS84" i="5"/>
  <c r="BR84" i="5"/>
  <c r="BQ84" i="5"/>
  <c r="BO84" i="5"/>
  <c r="BN84" i="5"/>
  <c r="BM84" i="5"/>
  <c r="BL84" i="5"/>
  <c r="BJ84" i="5"/>
  <c r="BI84" i="5"/>
  <c r="BH84" i="5"/>
  <c r="BG84" i="5"/>
  <c r="BE84" i="5"/>
  <c r="BD84" i="5"/>
  <c r="BC84" i="5"/>
  <c r="BB84" i="5"/>
  <c r="AZ84" i="5"/>
  <c r="AY84" i="5"/>
  <c r="AX84" i="5"/>
  <c r="AW84" i="5"/>
  <c r="AU84" i="5"/>
  <c r="AT84" i="5"/>
  <c r="AS84" i="5"/>
  <c r="AR84" i="5"/>
  <c r="AP84" i="5"/>
  <c r="AO84" i="5"/>
  <c r="AN84" i="5"/>
  <c r="AM84" i="5"/>
  <c r="AK84" i="5"/>
  <c r="AJ84" i="5"/>
  <c r="AI84" i="5"/>
  <c r="AH84" i="5"/>
  <c r="AF84" i="5"/>
  <c r="AE84" i="5"/>
  <c r="AD84" i="5"/>
  <c r="AC84" i="5"/>
  <c r="AA84" i="5"/>
  <c r="Z84" i="5"/>
  <c r="Y84" i="5"/>
  <c r="X84" i="5"/>
  <c r="V84" i="5"/>
  <c r="U84" i="5"/>
  <c r="T84" i="5"/>
  <c r="S84" i="5"/>
  <c r="Q84" i="5"/>
  <c r="P84" i="5"/>
  <c r="O84" i="5"/>
  <c r="N84" i="5"/>
  <c r="BU76" i="5"/>
  <c r="BP76" i="5"/>
  <c r="BK76" i="5"/>
  <c r="BF76" i="5"/>
  <c r="BA76" i="5"/>
  <c r="AV76" i="5"/>
  <c r="AQ76" i="5"/>
  <c r="AL76" i="5"/>
  <c r="AG76" i="5"/>
  <c r="AB76" i="5"/>
  <c r="W76" i="5"/>
  <c r="R76" i="5"/>
  <c r="M76" i="5"/>
  <c r="H76" i="5"/>
  <c r="BU74" i="5"/>
  <c r="BP74" i="5"/>
  <c r="BK74" i="5"/>
  <c r="BF74" i="5"/>
  <c r="BA74" i="5"/>
  <c r="AV74" i="5"/>
  <c r="AQ74" i="5"/>
  <c r="AL74" i="5"/>
  <c r="AG74" i="5"/>
  <c r="AB74" i="5"/>
  <c r="W74" i="5"/>
  <c r="R74" i="5"/>
  <c r="M74" i="5"/>
  <c r="H74" i="5"/>
  <c r="BU73" i="5"/>
  <c r="BP73" i="5"/>
  <c r="BK73" i="5"/>
  <c r="BF73" i="5"/>
  <c r="BA73" i="5"/>
  <c r="AV73" i="5"/>
  <c r="AQ73" i="5"/>
  <c r="AL73" i="5"/>
  <c r="AG73" i="5"/>
  <c r="AB73" i="5"/>
  <c r="W73" i="5"/>
  <c r="R73" i="5"/>
  <c r="M73" i="5"/>
  <c r="H73" i="5"/>
  <c r="BU72" i="5"/>
  <c r="BP72" i="5"/>
  <c r="BK72" i="5"/>
  <c r="BF72" i="5"/>
  <c r="BA72" i="5"/>
  <c r="AV72" i="5"/>
  <c r="AQ72" i="5"/>
  <c r="AL72" i="5"/>
  <c r="AG72" i="5"/>
  <c r="AB72" i="5"/>
  <c r="W72" i="5"/>
  <c r="R72" i="5"/>
  <c r="M72" i="5"/>
  <c r="H72" i="5"/>
  <c r="BU71" i="5"/>
  <c r="BP71" i="5"/>
  <c r="BK71" i="5"/>
  <c r="BF71" i="5"/>
  <c r="BA71" i="5"/>
  <c r="AV71" i="5"/>
  <c r="AQ71" i="5"/>
  <c r="AL71" i="5"/>
  <c r="AG71" i="5"/>
  <c r="AB71" i="5"/>
  <c r="W71" i="5"/>
  <c r="R71" i="5"/>
  <c r="M71" i="5"/>
  <c r="H71" i="5"/>
  <c r="BU69" i="5"/>
  <c r="BP69" i="5"/>
  <c r="BK69" i="5"/>
  <c r="BF69" i="5"/>
  <c r="BA69" i="5"/>
  <c r="AV69" i="5"/>
  <c r="AQ69" i="5"/>
  <c r="AL69" i="5"/>
  <c r="AG69" i="5"/>
  <c r="AB69" i="5"/>
  <c r="W69" i="5"/>
  <c r="R69" i="5"/>
  <c r="M69" i="5"/>
  <c r="H69" i="5"/>
  <c r="BU65" i="5"/>
  <c r="BP65" i="5"/>
  <c r="BK65" i="5"/>
  <c r="BF65" i="5"/>
  <c r="BA65" i="5"/>
  <c r="AV65" i="5"/>
  <c r="AQ65" i="5"/>
  <c r="AL65" i="5"/>
  <c r="AG65" i="5"/>
  <c r="AB65" i="5"/>
  <c r="W65" i="5"/>
  <c r="R65" i="5"/>
  <c r="M65" i="5"/>
  <c r="BU64" i="5"/>
  <c r="BP64" i="5"/>
  <c r="BK64" i="5"/>
  <c r="BF64" i="5"/>
  <c r="BA64" i="5"/>
  <c r="AV64" i="5"/>
  <c r="AQ64" i="5"/>
  <c r="AL64" i="5"/>
  <c r="AG64" i="5"/>
  <c r="AB64" i="5"/>
  <c r="W64" i="5"/>
  <c r="R64" i="5"/>
  <c r="M64" i="5"/>
  <c r="BU62" i="5"/>
  <c r="BP62" i="5"/>
  <c r="BK62" i="5"/>
  <c r="BF62" i="5"/>
  <c r="BA62" i="5"/>
  <c r="AV62" i="5"/>
  <c r="AQ62" i="5"/>
  <c r="AL62" i="5"/>
  <c r="AG62" i="5"/>
  <c r="AB62" i="5"/>
  <c r="AB60" i="5" s="1"/>
  <c r="W62" i="5"/>
  <c r="R62" i="5"/>
  <c r="M62" i="5"/>
  <c r="BU61" i="5"/>
  <c r="BU60" i="5" s="1"/>
  <c r="BP61" i="5"/>
  <c r="BK61" i="5"/>
  <c r="BF61" i="5"/>
  <c r="BA61" i="5"/>
  <c r="BA60" i="5" s="1"/>
  <c r="AV61" i="5"/>
  <c r="AQ61" i="5"/>
  <c r="AL61" i="5"/>
  <c r="AG61" i="5"/>
  <c r="AG60" i="5" s="1"/>
  <c r="AB61" i="5"/>
  <c r="W61" i="5"/>
  <c r="R61" i="5"/>
  <c r="M61" i="5"/>
  <c r="M60" i="5" s="1"/>
  <c r="BU58" i="5"/>
  <c r="BP58" i="5"/>
  <c r="BK58" i="5"/>
  <c r="BF58" i="5"/>
  <c r="BA58" i="5"/>
  <c r="AV58" i="5"/>
  <c r="AQ58" i="5"/>
  <c r="AL58" i="5"/>
  <c r="AG58" i="5"/>
  <c r="AB58" i="5"/>
  <c r="W58" i="5"/>
  <c r="R58" i="5"/>
  <c r="M58" i="5"/>
  <c r="H58" i="5"/>
  <c r="BU57" i="5"/>
  <c r="BP57" i="5"/>
  <c r="BK57" i="5"/>
  <c r="BF57" i="5"/>
  <c r="BA57" i="5"/>
  <c r="AV57" i="5"/>
  <c r="AQ57" i="5"/>
  <c r="AL57" i="5"/>
  <c r="AG57" i="5"/>
  <c r="AB57" i="5"/>
  <c r="W57" i="5"/>
  <c r="R57" i="5"/>
  <c r="M57" i="5"/>
  <c r="H57" i="5"/>
  <c r="BU55" i="5"/>
  <c r="BP55" i="5"/>
  <c r="BK55" i="5"/>
  <c r="BF55" i="5"/>
  <c r="BA55" i="5"/>
  <c r="AV55" i="5"/>
  <c r="AQ55" i="5"/>
  <c r="AL55" i="5"/>
  <c r="AG55" i="5"/>
  <c r="AB55" i="5"/>
  <c r="W55" i="5"/>
  <c r="R55" i="5"/>
  <c r="M55" i="5"/>
  <c r="H55" i="5"/>
  <c r="BU54" i="5"/>
  <c r="BP54" i="5"/>
  <c r="BK54" i="5"/>
  <c r="BF54" i="5"/>
  <c r="BA54" i="5"/>
  <c r="AV54" i="5"/>
  <c r="AQ54" i="5"/>
  <c r="AL54" i="5"/>
  <c r="AG54" i="5"/>
  <c r="AB54" i="5"/>
  <c r="W54" i="5"/>
  <c r="R54" i="5"/>
  <c r="M54" i="5"/>
  <c r="H54" i="5"/>
  <c r="BU51" i="5"/>
  <c r="BP51" i="5"/>
  <c r="BK51" i="5"/>
  <c r="BF51" i="5"/>
  <c r="BA51" i="5"/>
  <c r="AV51" i="5"/>
  <c r="AQ51" i="5"/>
  <c r="AL51" i="5"/>
  <c r="AG51" i="5"/>
  <c r="AB51" i="5"/>
  <c r="W51" i="5"/>
  <c r="R51" i="5"/>
  <c r="M51" i="5"/>
  <c r="H51" i="5"/>
  <c r="BU50" i="5"/>
  <c r="BP50" i="5"/>
  <c r="BK50" i="5"/>
  <c r="BF50" i="5"/>
  <c r="BA50" i="5"/>
  <c r="AV50" i="5"/>
  <c r="AQ50" i="5"/>
  <c r="AL50" i="5"/>
  <c r="AG50" i="5"/>
  <c r="AB50" i="5"/>
  <c r="W50" i="5"/>
  <c r="R50" i="5"/>
  <c r="M50" i="5"/>
  <c r="H50" i="5"/>
  <c r="BU48" i="5"/>
  <c r="BP48" i="5"/>
  <c r="BK48" i="5"/>
  <c r="BK46" i="5" s="1"/>
  <c r="BF48" i="5"/>
  <c r="BA48" i="5"/>
  <c r="AV48" i="5"/>
  <c r="AQ48" i="5"/>
  <c r="AL48" i="5"/>
  <c r="AG48" i="5"/>
  <c r="AB48" i="5"/>
  <c r="W48" i="5"/>
  <c r="R48" i="5"/>
  <c r="M48" i="5"/>
  <c r="H48" i="5"/>
  <c r="BU47" i="5"/>
  <c r="BP47" i="5"/>
  <c r="BP46" i="5" s="1"/>
  <c r="BK47" i="5"/>
  <c r="BF47" i="5"/>
  <c r="BA47" i="5"/>
  <c r="AV47" i="5"/>
  <c r="AV46" i="5" s="1"/>
  <c r="AQ47" i="5"/>
  <c r="AL47" i="5"/>
  <c r="AG47" i="5"/>
  <c r="AB47" i="5"/>
  <c r="AB46" i="5" s="1"/>
  <c r="W47" i="5"/>
  <c r="R47" i="5"/>
  <c r="M47" i="5"/>
  <c r="H47" i="5"/>
  <c r="H46" i="5" s="1"/>
  <c r="BU41" i="5"/>
  <c r="BP41" i="5"/>
  <c r="BK41" i="5"/>
  <c r="BF41" i="5"/>
  <c r="BF40" i="5" s="1"/>
  <c r="BF111" i="5" s="1"/>
  <c r="BA41" i="5"/>
  <c r="AV41" i="5"/>
  <c r="AV40" i="5" s="1"/>
  <c r="AQ41" i="5"/>
  <c r="AL41" i="5"/>
  <c r="AL40" i="5" s="1"/>
  <c r="AL111" i="5" s="1"/>
  <c r="AG41" i="5"/>
  <c r="AG40" i="5" s="1"/>
  <c r="AB41" i="5"/>
  <c r="W41" i="5"/>
  <c r="R41" i="5"/>
  <c r="R112" i="5" s="1"/>
  <c r="M41" i="5"/>
  <c r="BU40" i="5"/>
  <c r="BP40" i="5"/>
  <c r="BA40" i="5"/>
  <c r="AB40" i="5"/>
  <c r="R40" i="5"/>
  <c r="M40" i="5"/>
  <c r="BU38" i="5"/>
  <c r="BP38" i="5"/>
  <c r="BK38" i="5"/>
  <c r="BF38" i="5"/>
  <c r="BF109" i="5" s="1"/>
  <c r="BA38" i="5"/>
  <c r="AV38" i="5"/>
  <c r="AQ38" i="5"/>
  <c r="AQ109" i="5" s="1"/>
  <c r="AL38" i="5"/>
  <c r="AL109" i="5" s="1"/>
  <c r="AG38" i="5"/>
  <c r="AB38" i="5"/>
  <c r="W38" i="5"/>
  <c r="R38" i="5"/>
  <c r="R109" i="5" s="1"/>
  <c r="M38" i="5"/>
  <c r="H38" i="5"/>
  <c r="BU37" i="5"/>
  <c r="BU36" i="5" s="1"/>
  <c r="BP37" i="5"/>
  <c r="BK37" i="5"/>
  <c r="BK108" i="5" s="1"/>
  <c r="BF37" i="5"/>
  <c r="BF36" i="5" s="1"/>
  <c r="BF107" i="5" s="1"/>
  <c r="BA37" i="5"/>
  <c r="BA36" i="5" s="1"/>
  <c r="BA107" i="5" s="1"/>
  <c r="AV37" i="5"/>
  <c r="AQ37" i="5"/>
  <c r="AQ108" i="5" s="1"/>
  <c r="AL37" i="5"/>
  <c r="AL36" i="5" s="1"/>
  <c r="AL107" i="5" s="1"/>
  <c r="AG37" i="5"/>
  <c r="AG36" i="5" s="1"/>
  <c r="AB37" i="5"/>
  <c r="W37" i="5"/>
  <c r="W108" i="5" s="1"/>
  <c r="R37" i="5"/>
  <c r="R36" i="5" s="1"/>
  <c r="R107" i="5" s="1"/>
  <c r="M37" i="5"/>
  <c r="M36" i="5" s="1"/>
  <c r="H37" i="5"/>
  <c r="BU34" i="5"/>
  <c r="BP34" i="5"/>
  <c r="BK34" i="5"/>
  <c r="BF34" i="5"/>
  <c r="BF105" i="5" s="1"/>
  <c r="BA34" i="5"/>
  <c r="AV34" i="5"/>
  <c r="AQ34" i="5"/>
  <c r="AL34" i="5"/>
  <c r="AG34" i="5"/>
  <c r="AB34" i="5"/>
  <c r="W34" i="5"/>
  <c r="R34" i="5"/>
  <c r="R105" i="5" s="1"/>
  <c r="M34" i="5"/>
  <c r="H34" i="5"/>
  <c r="BU33" i="5"/>
  <c r="BP33" i="5"/>
  <c r="BP104" i="5" s="1"/>
  <c r="BK33" i="5"/>
  <c r="BF33" i="5"/>
  <c r="BF31" i="5" s="1"/>
  <c r="BA33" i="5"/>
  <c r="AV33" i="5"/>
  <c r="AV104" i="5" s="1"/>
  <c r="AQ33" i="5"/>
  <c r="AQ104" i="5" s="1"/>
  <c r="AL33" i="5"/>
  <c r="AL31" i="5" s="1"/>
  <c r="AG33" i="5"/>
  <c r="AB33" i="5"/>
  <c r="AB104" i="5" s="1"/>
  <c r="W33" i="5"/>
  <c r="R33" i="5"/>
  <c r="R31" i="5" s="1"/>
  <c r="M33" i="5"/>
  <c r="H33" i="5"/>
  <c r="BU32" i="5"/>
  <c r="BU103" i="5" s="1"/>
  <c r="BP32" i="5"/>
  <c r="BK32" i="5"/>
  <c r="BF32" i="5"/>
  <c r="BA32" i="5"/>
  <c r="BA103" i="5" s="1"/>
  <c r="AV32" i="5"/>
  <c r="AV103" i="5" s="1"/>
  <c r="AQ32" i="5"/>
  <c r="AL32" i="5"/>
  <c r="AG32" i="5"/>
  <c r="AG103" i="5" s="1"/>
  <c r="AB32" i="5"/>
  <c r="AB103" i="5" s="1"/>
  <c r="W32" i="5"/>
  <c r="R32" i="5"/>
  <c r="M32" i="5"/>
  <c r="M103" i="5" s="1"/>
  <c r="H32" i="5"/>
  <c r="H31" i="5" s="1"/>
  <c r="BU29" i="5"/>
  <c r="BP29" i="5"/>
  <c r="BK29" i="5"/>
  <c r="BF29" i="5"/>
  <c r="BA29" i="5"/>
  <c r="AV29" i="5"/>
  <c r="AQ29" i="5"/>
  <c r="AL29" i="5"/>
  <c r="AG29" i="5"/>
  <c r="AB29" i="5"/>
  <c r="W29" i="5"/>
  <c r="R29" i="5"/>
  <c r="M29" i="5"/>
  <c r="H29" i="5"/>
  <c r="BU28" i="5"/>
  <c r="BP28" i="5"/>
  <c r="BP99" i="5" s="1"/>
  <c r="BK28" i="5"/>
  <c r="BK99" i="5" s="1"/>
  <c r="BF28" i="5"/>
  <c r="BA28" i="5"/>
  <c r="AV28" i="5"/>
  <c r="AV99" i="5" s="1"/>
  <c r="AQ28" i="5"/>
  <c r="AQ99" i="5" s="1"/>
  <c r="AL28" i="5"/>
  <c r="AG28" i="5"/>
  <c r="AB28" i="5"/>
  <c r="AB99" i="5" s="1"/>
  <c r="W28" i="5"/>
  <c r="W99" i="5" s="1"/>
  <c r="R28" i="5"/>
  <c r="M28" i="5"/>
  <c r="H28" i="5"/>
  <c r="BU26" i="5"/>
  <c r="BP26" i="5"/>
  <c r="BK26" i="5"/>
  <c r="BF26" i="5"/>
  <c r="BA26" i="5"/>
  <c r="AV26" i="5"/>
  <c r="AQ26" i="5"/>
  <c r="AL26" i="5"/>
  <c r="AG26" i="5"/>
  <c r="AB26" i="5"/>
  <c r="W26" i="5"/>
  <c r="R26" i="5"/>
  <c r="M26" i="5"/>
  <c r="H26" i="5"/>
  <c r="BU25" i="5"/>
  <c r="BP25" i="5"/>
  <c r="BK25" i="5"/>
  <c r="BK96" i="5" s="1"/>
  <c r="BF25" i="5"/>
  <c r="BA25" i="5"/>
  <c r="AV25" i="5"/>
  <c r="AQ25" i="5"/>
  <c r="AQ96" i="5" s="1"/>
  <c r="AL25" i="5"/>
  <c r="AG25" i="5"/>
  <c r="AB25" i="5"/>
  <c r="W25" i="5"/>
  <c r="W96" i="5" s="1"/>
  <c r="R25" i="5"/>
  <c r="M25" i="5"/>
  <c r="H25" i="5"/>
  <c r="BU21" i="5"/>
  <c r="BU91" i="5"/>
  <c r="BU19" i="5"/>
  <c r="BU18" i="5"/>
  <c r="BU17" i="5"/>
  <c r="BU88" i="5" s="1"/>
  <c r="BU16" i="5"/>
  <c r="BU15" i="5"/>
  <c r="BP14" i="5"/>
  <c r="BP13" i="5" s="1"/>
  <c r="BK14" i="5"/>
  <c r="BF14" i="5"/>
  <c r="BF13" i="5" s="1"/>
  <c r="BA14" i="5"/>
  <c r="BA13" i="5" s="1"/>
  <c r="AV14" i="5"/>
  <c r="AV13" i="5" s="1"/>
  <c r="AQ14" i="5"/>
  <c r="AL14" i="5"/>
  <c r="AG14" i="5"/>
  <c r="AG13" i="5" s="1"/>
  <c r="AB14" i="5"/>
  <c r="AB13" i="5" s="1"/>
  <c r="W14" i="5"/>
  <c r="R14" i="5"/>
  <c r="M14" i="5"/>
  <c r="M13" i="5" s="1"/>
  <c r="H14" i="5"/>
  <c r="H13" i="5" s="1"/>
  <c r="BV72" i="4"/>
  <c r="BQ72" i="4"/>
  <c r="BL72" i="4"/>
  <c r="BG72" i="4"/>
  <c r="BB72" i="4"/>
  <c r="BV71" i="4"/>
  <c r="BQ71" i="4"/>
  <c r="BL71" i="4"/>
  <c r="BG71" i="4"/>
  <c r="BB71" i="4"/>
  <c r="BV70" i="4"/>
  <c r="BX70" i="4" s="1"/>
  <c r="BQ70" i="4"/>
  <c r="BM70" i="4"/>
  <c r="BH70" i="4"/>
  <c r="BL70" i="4" s="1"/>
  <c r="BG70" i="4"/>
  <c r="BC70" i="4"/>
  <c r="AX70" i="4"/>
  <c r="BB70" i="4" s="1"/>
  <c r="AW70" i="4"/>
  <c r="AS70" i="4"/>
  <c r="AN70" i="4"/>
  <c r="AR70" i="4" s="1"/>
  <c r="AM70" i="4"/>
  <c r="AI70" i="4"/>
  <c r="AD70" i="4"/>
  <c r="AH70" i="4" s="1"/>
  <c r="AC70" i="4"/>
  <c r="Y70" i="4"/>
  <c r="T70" i="4"/>
  <c r="X70" i="4" s="1"/>
  <c r="S70" i="4"/>
  <c r="O70" i="4"/>
  <c r="N70" i="4"/>
  <c r="BV68" i="4"/>
  <c r="BM68" i="4"/>
  <c r="BQ68" i="4" s="1"/>
  <c r="BH68" i="4"/>
  <c r="BL68" i="4" s="1"/>
  <c r="BC68" i="4"/>
  <c r="BG68" i="4" s="1"/>
  <c r="BB68" i="4"/>
  <c r="AX68" i="4"/>
  <c r="AS68" i="4"/>
  <c r="AW68" i="4" s="1"/>
  <c r="AR68" i="4"/>
  <c r="AI68" i="4"/>
  <c r="AM68" i="4" s="1"/>
  <c r="AH68" i="4"/>
  <c r="AD68" i="4"/>
  <c r="AC68" i="4"/>
  <c r="T68" i="4"/>
  <c r="X68" i="4" s="1"/>
  <c r="S68" i="4"/>
  <c r="O68" i="4"/>
  <c r="N68" i="4"/>
  <c r="BC67" i="4"/>
  <c r="AL67" i="4"/>
  <c r="AK67" i="4"/>
  <c r="AJ67" i="4"/>
  <c r="AI67" i="4"/>
  <c r="AE67" i="4"/>
  <c r="K67" i="4"/>
  <c r="BU66" i="4"/>
  <c r="BT66" i="4"/>
  <c r="BS66" i="4"/>
  <c r="BR66" i="4"/>
  <c r="BQ66" i="4"/>
  <c r="BL66" i="4"/>
  <c r="BG66" i="4"/>
  <c r="BB66" i="4"/>
  <c r="AW66" i="4"/>
  <c r="AR66" i="4"/>
  <c r="AM66" i="4"/>
  <c r="AH66" i="4"/>
  <c r="AC66" i="4"/>
  <c r="X66" i="4"/>
  <c r="S66" i="4"/>
  <c r="N66" i="4"/>
  <c r="I66" i="4"/>
  <c r="BU65" i="4"/>
  <c r="BT65" i="4"/>
  <c r="BN65" i="4"/>
  <c r="BS65" i="4" s="1"/>
  <c r="BM65" i="4"/>
  <c r="BR65" i="4" s="1"/>
  <c r="BL65" i="4"/>
  <c r="BG65" i="4"/>
  <c r="BB65" i="4"/>
  <c r="AW65" i="4"/>
  <c r="AR65" i="4"/>
  <c r="AM65" i="4"/>
  <c r="AH65" i="4"/>
  <c r="AC65" i="4"/>
  <c r="X65" i="4"/>
  <c r="S65" i="4"/>
  <c r="N65" i="4"/>
  <c r="I65" i="4"/>
  <c r="BU64" i="4"/>
  <c r="BT64" i="4"/>
  <c r="BR64" i="4"/>
  <c r="BN64" i="4"/>
  <c r="BS64" i="4" s="1"/>
  <c r="BM64" i="4"/>
  <c r="BL64" i="4"/>
  <c r="BG64" i="4"/>
  <c r="BB64" i="4"/>
  <c r="AW64" i="4"/>
  <c r="AR64" i="4"/>
  <c r="AM64" i="4"/>
  <c r="AH64" i="4"/>
  <c r="AC64" i="4"/>
  <c r="X64" i="4"/>
  <c r="S64" i="4"/>
  <c r="N64" i="4"/>
  <c r="I64" i="4"/>
  <c r="BU63" i="4"/>
  <c r="BT63" i="4"/>
  <c r="BS63" i="4"/>
  <c r="BR63" i="4"/>
  <c r="BN63" i="4"/>
  <c r="BQ63" i="4" s="1"/>
  <c r="BL63" i="4"/>
  <c r="BG63" i="4"/>
  <c r="BB63" i="4"/>
  <c r="AW63" i="4"/>
  <c r="AR63" i="4"/>
  <c r="AM63" i="4"/>
  <c r="AH63" i="4"/>
  <c r="AC63" i="4"/>
  <c r="X63" i="4"/>
  <c r="U63" i="4"/>
  <c r="S63" i="4"/>
  <c r="K63" i="4"/>
  <c r="N63" i="4" s="1"/>
  <c r="I63" i="4"/>
  <c r="BX62" i="4"/>
  <c r="BX61" i="4"/>
  <c r="BX60" i="4"/>
  <c r="BX59" i="4"/>
  <c r="BU58" i="4"/>
  <c r="BT58" i="4"/>
  <c r="BS58" i="4"/>
  <c r="BR58" i="4"/>
  <c r="BV58" i="4" s="1"/>
  <c r="BG58" i="4"/>
  <c r="BB58" i="4"/>
  <c r="AW58" i="4"/>
  <c r="AR58" i="4"/>
  <c r="AM58" i="4"/>
  <c r="AH58" i="4"/>
  <c r="AC58" i="4"/>
  <c r="X58" i="4"/>
  <c r="S58" i="4"/>
  <c r="N58" i="4"/>
  <c r="I58" i="4"/>
  <c r="BT57" i="4"/>
  <c r="BS57" i="4"/>
  <c r="BR57" i="4"/>
  <c r="BP57" i="4"/>
  <c r="BQ57" i="4" s="1"/>
  <c r="BK57" i="4"/>
  <c r="BL57" i="4" s="1"/>
  <c r="BF57" i="4"/>
  <c r="BG57" i="4" s="1"/>
  <c r="BA57" i="4"/>
  <c r="BB57" i="4" s="1"/>
  <c r="AW57" i="4"/>
  <c r="AV57" i="4"/>
  <c r="AQ57" i="4"/>
  <c r="AR57" i="4" s="1"/>
  <c r="AM57" i="4"/>
  <c r="AH57" i="4"/>
  <c r="AG57" i="4"/>
  <c r="AB57" i="4"/>
  <c r="AC57" i="4" s="1"/>
  <c r="W57" i="4"/>
  <c r="X57" i="4" s="1"/>
  <c r="R57" i="4"/>
  <c r="S57" i="4" s="1"/>
  <c r="M57" i="4"/>
  <c r="N57" i="4" s="1"/>
  <c r="I57" i="4"/>
  <c r="BU56" i="4"/>
  <c r="BT56" i="4"/>
  <c r="BS56" i="4"/>
  <c r="BR56" i="4"/>
  <c r="BQ56" i="4"/>
  <c r="BL56" i="4"/>
  <c r="BG56" i="4"/>
  <c r="BB56" i="4"/>
  <c r="AW56" i="4"/>
  <c r="AR56" i="4"/>
  <c r="AM56" i="4"/>
  <c r="AH56" i="4"/>
  <c r="AC56" i="4"/>
  <c r="X56" i="4"/>
  <c r="S56" i="4"/>
  <c r="N56" i="4"/>
  <c r="I56" i="4"/>
  <c r="BU55" i="4"/>
  <c r="BT55" i="4"/>
  <c r="BS55" i="4"/>
  <c r="BR55" i="4"/>
  <c r="BQ55" i="4"/>
  <c r="BL55" i="4"/>
  <c r="BG55" i="4"/>
  <c r="BB55" i="4"/>
  <c r="AW55" i="4"/>
  <c r="AR55" i="4"/>
  <c r="AM55" i="4"/>
  <c r="AH55" i="4"/>
  <c r="AC55" i="4"/>
  <c r="X55" i="4"/>
  <c r="S55" i="4"/>
  <c r="N55" i="4"/>
  <c r="I55" i="4"/>
  <c r="BU54" i="4"/>
  <c r="BT54" i="4"/>
  <c r="BS54" i="4"/>
  <c r="BM54" i="4"/>
  <c r="BQ54" i="4" s="1"/>
  <c r="BL54" i="4"/>
  <c r="BG54" i="4"/>
  <c r="BB54" i="4"/>
  <c r="AW54" i="4"/>
  <c r="AR54" i="4"/>
  <c r="AM54" i="4"/>
  <c r="AH54" i="4"/>
  <c r="Y54" i="4"/>
  <c r="AC54" i="4" s="1"/>
  <c r="T54" i="4"/>
  <c r="X54" i="4" s="1"/>
  <c r="O54" i="4"/>
  <c r="S54" i="4" s="1"/>
  <c r="J54" i="4"/>
  <c r="J52" i="4" s="1"/>
  <c r="J67" i="4" s="1"/>
  <c r="E54" i="4"/>
  <c r="I54" i="4" s="1"/>
  <c r="BU53" i="4"/>
  <c r="BT53" i="4"/>
  <c r="BS53" i="4"/>
  <c r="BM53" i="4"/>
  <c r="BQ53" i="4" s="1"/>
  <c r="BL53" i="4"/>
  <c r="BL52" i="4" s="1"/>
  <c r="BG53" i="4"/>
  <c r="BG52" i="4" s="1"/>
  <c r="BB53" i="4"/>
  <c r="AW53" i="4"/>
  <c r="AR53" i="4"/>
  <c r="AR52" i="4" s="1"/>
  <c r="AM53" i="4"/>
  <c r="AM52" i="4" s="1"/>
  <c r="AH53" i="4"/>
  <c r="AC53" i="4"/>
  <c r="T53" i="4"/>
  <c r="O53" i="4"/>
  <c r="S53" i="4" s="1"/>
  <c r="J53" i="4"/>
  <c r="N53" i="4" s="1"/>
  <c r="E53" i="4"/>
  <c r="I53" i="4" s="1"/>
  <c r="I52" i="4" s="1"/>
  <c r="BT52" i="4"/>
  <c r="BS52" i="4"/>
  <c r="BP52" i="4"/>
  <c r="BO52" i="4"/>
  <c r="BN52" i="4"/>
  <c r="BM52" i="4"/>
  <c r="BK52" i="4"/>
  <c r="BJ52" i="4"/>
  <c r="BI52" i="4"/>
  <c r="BH52" i="4"/>
  <c r="BH67" i="4" s="1"/>
  <c r="BF52" i="4"/>
  <c r="BE52" i="4"/>
  <c r="BD52" i="4"/>
  <c r="BC52" i="4"/>
  <c r="BB52" i="4"/>
  <c r="BA52" i="4"/>
  <c r="AZ52" i="4"/>
  <c r="AY52" i="4"/>
  <c r="AX52" i="4"/>
  <c r="AX67" i="4" s="1"/>
  <c r="AW52" i="4"/>
  <c r="AV52" i="4"/>
  <c r="AU52" i="4"/>
  <c r="AT52" i="4"/>
  <c r="AS52" i="4"/>
  <c r="AS67" i="4" s="1"/>
  <c r="AQ52" i="4"/>
  <c r="AQ67" i="4" s="1"/>
  <c r="AP52" i="4"/>
  <c r="AP67" i="4" s="1"/>
  <c r="AO52" i="4"/>
  <c r="AO67" i="4" s="1"/>
  <c r="AN52" i="4"/>
  <c r="AN67" i="4" s="1"/>
  <c r="AG52" i="4"/>
  <c r="AG67" i="4" s="1"/>
  <c r="AF52" i="4"/>
  <c r="AF67" i="4" s="1"/>
  <c r="AE52" i="4"/>
  <c r="AD52" i="4"/>
  <c r="AD67" i="4" s="1"/>
  <c r="AB52" i="4"/>
  <c r="AB67" i="4" s="1"/>
  <c r="AA52" i="4"/>
  <c r="AA67" i="4" s="1"/>
  <c r="Z52" i="4"/>
  <c r="Z67" i="4" s="1"/>
  <c r="Y52" i="4"/>
  <c r="Y67" i="4" s="1"/>
  <c r="W52" i="4"/>
  <c r="V52" i="4"/>
  <c r="V67" i="4" s="1"/>
  <c r="U52" i="4"/>
  <c r="U67" i="4" s="1"/>
  <c r="R52" i="4"/>
  <c r="R67" i="4" s="1"/>
  <c r="Q52" i="4"/>
  <c r="Q67" i="4" s="1"/>
  <c r="P52" i="4"/>
  <c r="P67" i="4" s="1"/>
  <c r="O52" i="4"/>
  <c r="O67" i="4" s="1"/>
  <c r="M52" i="4"/>
  <c r="M67" i="4" s="1"/>
  <c r="L52" i="4"/>
  <c r="L67" i="4" s="1"/>
  <c r="K52" i="4"/>
  <c r="H52" i="4"/>
  <c r="H67" i="4" s="1"/>
  <c r="G52" i="4"/>
  <c r="G67" i="4" s="1"/>
  <c r="F52" i="4"/>
  <c r="F67" i="4" s="1"/>
  <c r="E52" i="4"/>
  <c r="E67" i="4" s="1"/>
  <c r="BU51" i="4"/>
  <c r="BT51" i="4"/>
  <c r="BS51" i="4"/>
  <c r="BM51" i="4"/>
  <c r="BR51" i="4" s="1"/>
  <c r="BL51" i="4"/>
  <c r="BG51" i="4"/>
  <c r="BB51" i="4"/>
  <c r="AW51" i="4"/>
  <c r="AR51" i="4"/>
  <c r="AM51" i="4"/>
  <c r="AH51" i="4"/>
  <c r="AC51" i="4"/>
  <c r="X51" i="4"/>
  <c r="S51" i="4"/>
  <c r="N51" i="4"/>
  <c r="I51" i="4"/>
  <c r="BR50" i="4"/>
  <c r="BP50" i="4"/>
  <c r="BO50" i="4"/>
  <c r="BO67" i="4" s="1"/>
  <c r="BK50" i="4"/>
  <c r="BK67" i="4" s="1"/>
  <c r="BI50" i="4"/>
  <c r="BE50" i="4"/>
  <c r="BA50" i="4"/>
  <c r="AY50" i="4"/>
  <c r="AY67" i="4" s="1"/>
  <c r="AU50" i="4"/>
  <c r="AU67" i="4" s="1"/>
  <c r="AR50" i="4"/>
  <c r="AM50" i="4"/>
  <c r="AH50" i="4"/>
  <c r="AC50" i="4"/>
  <c r="X50" i="4"/>
  <c r="S50" i="4"/>
  <c r="N50" i="4"/>
  <c r="I50" i="4"/>
  <c r="BK47" i="4"/>
  <c r="BJ47" i="4"/>
  <c r="BI47" i="4"/>
  <c r="BH47" i="4"/>
  <c r="BH69" i="4" s="1"/>
  <c r="BH73" i="4" s="1"/>
  <c r="BF47" i="4"/>
  <c r="BE47" i="4"/>
  <c r="BC47" i="4"/>
  <c r="BA47" i="4"/>
  <c r="AZ47" i="4"/>
  <c r="AY47" i="4"/>
  <c r="AX47" i="4"/>
  <c r="AV47" i="4"/>
  <c r="AU47" i="4"/>
  <c r="AT47" i="4"/>
  <c r="AS47" i="4"/>
  <c r="AS69" i="4" s="1"/>
  <c r="AS73" i="4" s="1"/>
  <c r="AQ47" i="4"/>
  <c r="AP47" i="4"/>
  <c r="AP69" i="4" s="1"/>
  <c r="AP73" i="4" s="1"/>
  <c r="AO47" i="4"/>
  <c r="AN47" i="4"/>
  <c r="AN69" i="4" s="1"/>
  <c r="AN73" i="4" s="1"/>
  <c r="AL47" i="4"/>
  <c r="AL69" i="4" s="1"/>
  <c r="AL73" i="4" s="1"/>
  <c r="AK47" i="4"/>
  <c r="AK69" i="4" s="1"/>
  <c r="AK73" i="4" s="1"/>
  <c r="AJ47" i="4"/>
  <c r="AJ69" i="4" s="1"/>
  <c r="AJ73" i="4" s="1"/>
  <c r="AI47" i="4"/>
  <c r="AI69" i="4" s="1"/>
  <c r="AI73" i="4" s="1"/>
  <c r="AG47" i="4"/>
  <c r="AG69" i="4" s="1"/>
  <c r="AG73" i="4" s="1"/>
  <c r="AF47" i="4"/>
  <c r="AF69" i="4" s="1"/>
  <c r="AF73" i="4" s="1"/>
  <c r="AE47" i="4"/>
  <c r="AD47" i="4"/>
  <c r="AD69" i="4" s="1"/>
  <c r="AD73" i="4" s="1"/>
  <c r="AB47" i="4"/>
  <c r="AB69" i="4" s="1"/>
  <c r="AB73" i="4" s="1"/>
  <c r="AA47" i="4"/>
  <c r="Z47" i="4"/>
  <c r="Z69" i="4" s="1"/>
  <c r="Z73" i="4" s="1"/>
  <c r="Y47" i="4"/>
  <c r="Y69" i="4" s="1"/>
  <c r="Y73" i="4" s="1"/>
  <c r="W47" i="4"/>
  <c r="V47" i="4"/>
  <c r="V69" i="4" s="1"/>
  <c r="V73" i="4" s="1"/>
  <c r="U47" i="4"/>
  <c r="U69" i="4" s="1"/>
  <c r="U73" i="4" s="1"/>
  <c r="T47" i="4"/>
  <c r="R47" i="4"/>
  <c r="R69" i="4" s="1"/>
  <c r="R73" i="4" s="1"/>
  <c r="Q47" i="4"/>
  <c r="P47" i="4"/>
  <c r="P69" i="4" s="1"/>
  <c r="P73" i="4" s="1"/>
  <c r="O47" i="4"/>
  <c r="M47" i="4"/>
  <c r="M69" i="4" s="1"/>
  <c r="M73" i="4" s="1"/>
  <c r="L47" i="4"/>
  <c r="K47" i="4"/>
  <c r="J47" i="4"/>
  <c r="H47" i="4"/>
  <c r="H69" i="4" s="1"/>
  <c r="H73" i="4" s="1"/>
  <c r="G47" i="4"/>
  <c r="BU46" i="4"/>
  <c r="BO46" i="4"/>
  <c r="BT46" i="4" s="1"/>
  <c r="BN46" i="4"/>
  <c r="BS46" i="4" s="1"/>
  <c r="BM46" i="4"/>
  <c r="BR46" i="4" s="1"/>
  <c r="BL46" i="4"/>
  <c r="BG46" i="4"/>
  <c r="BB46" i="4"/>
  <c r="AW46" i="4"/>
  <c r="AR46" i="4"/>
  <c r="AM46" i="4"/>
  <c r="AH46" i="4"/>
  <c r="AC46" i="4"/>
  <c r="X46" i="4"/>
  <c r="S46" i="4"/>
  <c r="N46" i="4"/>
  <c r="I46" i="4"/>
  <c r="BU45" i="4"/>
  <c r="BO45" i="4"/>
  <c r="BT45" i="4" s="1"/>
  <c r="BN45" i="4"/>
  <c r="BS45" i="4" s="1"/>
  <c r="BM45" i="4"/>
  <c r="BR45" i="4" s="1"/>
  <c r="BL45" i="4"/>
  <c r="BG45" i="4"/>
  <c r="BB45" i="4"/>
  <c r="AW45" i="4"/>
  <c r="AR45" i="4"/>
  <c r="AM45" i="4"/>
  <c r="AH45" i="4"/>
  <c r="AC45" i="4"/>
  <c r="X45" i="4"/>
  <c r="S45" i="4"/>
  <c r="N45" i="4"/>
  <c r="I45" i="4"/>
  <c r="BP44" i="4"/>
  <c r="BU44" i="4" s="1"/>
  <c r="BO44" i="4"/>
  <c r="BT44" i="4" s="1"/>
  <c r="BN44" i="4"/>
  <c r="BS44" i="4" s="1"/>
  <c r="BM44" i="4"/>
  <c r="BQ44" i="4" s="1"/>
  <c r="BL44" i="4"/>
  <c r="BG44" i="4"/>
  <c r="BB44" i="4"/>
  <c r="AW44" i="4"/>
  <c r="AR44" i="4"/>
  <c r="AM44" i="4"/>
  <c r="AH44" i="4"/>
  <c r="AC44" i="4"/>
  <c r="X44" i="4"/>
  <c r="S44" i="4"/>
  <c r="N44" i="4"/>
  <c r="E44" i="4"/>
  <c r="I44" i="4" s="1"/>
  <c r="BS43" i="4"/>
  <c r="BP43" i="4"/>
  <c r="BU43" i="4" s="1"/>
  <c r="BO43" i="4"/>
  <c r="BT43" i="4" s="1"/>
  <c r="BM43" i="4"/>
  <c r="BR43" i="4" s="1"/>
  <c r="BL43" i="4"/>
  <c r="BG43" i="4"/>
  <c r="BB43" i="4"/>
  <c r="AW43" i="4"/>
  <c r="AR43" i="4"/>
  <c r="AM43" i="4"/>
  <c r="AH43" i="4"/>
  <c r="AC43" i="4"/>
  <c r="X43" i="4"/>
  <c r="S43" i="4"/>
  <c r="N43" i="4"/>
  <c r="I43" i="4"/>
  <c r="BU42" i="4"/>
  <c r="BO42" i="4"/>
  <c r="BT42" i="4" s="1"/>
  <c r="BN42" i="4"/>
  <c r="BS42" i="4" s="1"/>
  <c r="BM42" i="4"/>
  <c r="BR42" i="4" s="1"/>
  <c r="BL42" i="4"/>
  <c r="BG42" i="4"/>
  <c r="BB42" i="4"/>
  <c r="AW42" i="4"/>
  <c r="AR42" i="4"/>
  <c r="AM42" i="4"/>
  <c r="AH42" i="4"/>
  <c r="AC42" i="4"/>
  <c r="X42" i="4"/>
  <c r="S42" i="4"/>
  <c r="N42" i="4"/>
  <c r="I42" i="4"/>
  <c r="BS41" i="4"/>
  <c r="BP41" i="4"/>
  <c r="BU41" i="4" s="1"/>
  <c r="BO41" i="4"/>
  <c r="BT41" i="4" s="1"/>
  <c r="BM41" i="4"/>
  <c r="BR41" i="4" s="1"/>
  <c r="BL41" i="4"/>
  <c r="BG41" i="4"/>
  <c r="BB41" i="4"/>
  <c r="AW41" i="4"/>
  <c r="AR41" i="4"/>
  <c r="AM41" i="4"/>
  <c r="AH41" i="4"/>
  <c r="AC41" i="4"/>
  <c r="X41" i="4"/>
  <c r="S41" i="4"/>
  <c r="N41" i="4"/>
  <c r="I41" i="4"/>
  <c r="F41" i="4"/>
  <c r="BS40" i="4"/>
  <c r="BP40" i="4"/>
  <c r="BU40" i="4" s="1"/>
  <c r="BO40" i="4"/>
  <c r="BT40" i="4" s="1"/>
  <c r="BM40" i="4"/>
  <c r="BR40" i="4" s="1"/>
  <c r="BL40" i="4"/>
  <c r="BG40" i="4"/>
  <c r="BB40" i="4"/>
  <c r="AW40" i="4"/>
  <c r="AR40" i="4"/>
  <c r="AM40" i="4"/>
  <c r="AH40" i="4"/>
  <c r="AC40" i="4"/>
  <c r="X40" i="4"/>
  <c r="S40" i="4"/>
  <c r="N40" i="4"/>
  <c r="I40" i="4"/>
  <c r="BT39" i="4"/>
  <c r="BP39" i="4"/>
  <c r="BU39" i="4" s="1"/>
  <c r="BO39" i="4"/>
  <c r="BN39" i="4"/>
  <c r="BS39" i="4" s="1"/>
  <c r="BM39" i="4"/>
  <c r="BR39" i="4" s="1"/>
  <c r="BL39" i="4"/>
  <c r="BG39" i="4"/>
  <c r="BB39" i="4"/>
  <c r="AW39" i="4"/>
  <c r="AR39" i="4"/>
  <c r="AM39" i="4"/>
  <c r="AH39" i="4"/>
  <c r="AC39" i="4"/>
  <c r="X39" i="4"/>
  <c r="S39" i="4"/>
  <c r="N39" i="4"/>
  <c r="I39" i="4"/>
  <c r="BU38" i="4"/>
  <c r="BO38" i="4"/>
  <c r="BT38" i="4" s="1"/>
  <c r="BN38" i="4"/>
  <c r="BS38" i="4" s="1"/>
  <c r="BM38" i="4"/>
  <c r="BR38" i="4" s="1"/>
  <c r="BL38" i="4"/>
  <c r="BG38" i="4"/>
  <c r="BB38" i="4"/>
  <c r="AW38" i="4"/>
  <c r="AR38" i="4"/>
  <c r="AM38" i="4"/>
  <c r="AH38" i="4"/>
  <c r="AC38" i="4"/>
  <c r="X38" i="4"/>
  <c r="S38" i="4"/>
  <c r="N38" i="4"/>
  <c r="I38" i="4"/>
  <c r="BU37" i="4"/>
  <c r="BO37" i="4"/>
  <c r="BT37" i="4" s="1"/>
  <c r="BN37" i="4"/>
  <c r="BS37" i="4" s="1"/>
  <c r="BM37" i="4"/>
  <c r="BR37" i="4" s="1"/>
  <c r="BL37" i="4"/>
  <c r="BG37" i="4"/>
  <c r="BB37" i="4"/>
  <c r="AW37" i="4"/>
  <c r="AR37" i="4"/>
  <c r="AM37" i="4"/>
  <c r="AH37" i="4"/>
  <c r="AC37" i="4"/>
  <c r="X37" i="4"/>
  <c r="S37" i="4"/>
  <c r="N37" i="4"/>
  <c r="I37" i="4"/>
  <c r="BR36" i="4"/>
  <c r="BP36" i="4"/>
  <c r="BU36" i="4" s="1"/>
  <c r="BO36" i="4"/>
  <c r="BT36" i="4" s="1"/>
  <c r="BN36" i="4"/>
  <c r="BS36" i="4" s="1"/>
  <c r="BM36" i="4"/>
  <c r="BQ36" i="4" s="1"/>
  <c r="BL36" i="4"/>
  <c r="BG36" i="4"/>
  <c r="BB36" i="4"/>
  <c r="AW36" i="4"/>
  <c r="AR36" i="4"/>
  <c r="AM36" i="4"/>
  <c r="AH36" i="4"/>
  <c r="AC36" i="4"/>
  <c r="X36" i="4"/>
  <c r="S36" i="4"/>
  <c r="N36" i="4"/>
  <c r="E36" i="4"/>
  <c r="I36" i="4" s="1"/>
  <c r="BS35" i="4"/>
  <c r="BP35" i="4"/>
  <c r="BU35" i="4" s="1"/>
  <c r="BO35" i="4"/>
  <c r="BT35" i="4" s="1"/>
  <c r="BM35" i="4"/>
  <c r="BR35" i="4" s="1"/>
  <c r="BL35" i="4"/>
  <c r="BG35" i="4"/>
  <c r="BB35" i="4"/>
  <c r="AW35" i="4"/>
  <c r="AR35" i="4"/>
  <c r="AM35" i="4"/>
  <c r="AH35" i="4"/>
  <c r="AC35" i="4"/>
  <c r="X35" i="4"/>
  <c r="S35" i="4"/>
  <c r="N35" i="4"/>
  <c r="I35" i="4"/>
  <c r="BU34" i="4"/>
  <c r="BO34" i="4"/>
  <c r="BT34" i="4" s="1"/>
  <c r="BN34" i="4"/>
  <c r="BS34" i="4" s="1"/>
  <c r="BM34" i="4"/>
  <c r="BR34" i="4" s="1"/>
  <c r="BL34" i="4"/>
  <c r="BG34" i="4"/>
  <c r="BB34" i="4"/>
  <c r="AW34" i="4"/>
  <c r="AR34" i="4"/>
  <c r="AM34" i="4"/>
  <c r="AH34" i="4"/>
  <c r="AC34" i="4"/>
  <c r="X34" i="4"/>
  <c r="S34" i="4"/>
  <c r="N34" i="4"/>
  <c r="I34" i="4"/>
  <c r="BP33" i="4"/>
  <c r="BU33" i="4" s="1"/>
  <c r="BO33" i="4"/>
  <c r="BT33" i="4" s="1"/>
  <c r="BN33" i="4"/>
  <c r="BS33" i="4" s="1"/>
  <c r="BM33" i="4"/>
  <c r="BR33" i="4" s="1"/>
  <c r="BL33" i="4"/>
  <c r="BG33" i="4"/>
  <c r="BB33" i="4"/>
  <c r="AW33" i="4"/>
  <c r="AR33" i="4"/>
  <c r="AM33" i="4"/>
  <c r="AH33" i="4"/>
  <c r="AC33" i="4"/>
  <c r="X33" i="4"/>
  <c r="S33" i="4"/>
  <c r="N33" i="4"/>
  <c r="E33" i="4"/>
  <c r="I33" i="4" s="1"/>
  <c r="BP32" i="4"/>
  <c r="BU32" i="4" s="1"/>
  <c r="BO32" i="4"/>
  <c r="BT32" i="4" s="1"/>
  <c r="BN32" i="4"/>
  <c r="BS32" i="4" s="1"/>
  <c r="BM32" i="4"/>
  <c r="BR32" i="4" s="1"/>
  <c r="BL32" i="4"/>
  <c r="BG32" i="4"/>
  <c r="BB32" i="4"/>
  <c r="AW32" i="4"/>
  <c r="AR32" i="4"/>
  <c r="AM32" i="4"/>
  <c r="AH32" i="4"/>
  <c r="AC32" i="4"/>
  <c r="X32" i="4"/>
  <c r="S32" i="4"/>
  <c r="N32" i="4"/>
  <c r="I32" i="4"/>
  <c r="BU31" i="4"/>
  <c r="BT31" i="4"/>
  <c r="BN31" i="4"/>
  <c r="BS31" i="4" s="1"/>
  <c r="BM31" i="4"/>
  <c r="BQ31" i="4" s="1"/>
  <c r="BL31" i="4"/>
  <c r="BG31" i="4"/>
  <c r="BB31" i="4"/>
  <c r="AW31" i="4"/>
  <c r="AR31" i="4"/>
  <c r="AM31" i="4"/>
  <c r="AH31" i="4"/>
  <c r="AC31" i="4"/>
  <c r="X31" i="4"/>
  <c r="S31" i="4"/>
  <c r="N31" i="4"/>
  <c r="E31" i="4"/>
  <c r="I31" i="4" s="1"/>
  <c r="BU30" i="4"/>
  <c r="BO30" i="4"/>
  <c r="BT30" i="4" s="1"/>
  <c r="BN30" i="4"/>
  <c r="BS30" i="4" s="1"/>
  <c r="BM30" i="4"/>
  <c r="BR30" i="4" s="1"/>
  <c r="BL30" i="4"/>
  <c r="BG30" i="4"/>
  <c r="BB30" i="4"/>
  <c r="AW30" i="4"/>
  <c r="AR30" i="4"/>
  <c r="AM30" i="4"/>
  <c r="AH30" i="4"/>
  <c r="AC30" i="4"/>
  <c r="X30" i="4"/>
  <c r="S30" i="4"/>
  <c r="N30" i="4"/>
  <c r="I30" i="4"/>
  <c r="BU29" i="4"/>
  <c r="BO29" i="4"/>
  <c r="BT29" i="4" s="1"/>
  <c r="BN29" i="4"/>
  <c r="BS29" i="4" s="1"/>
  <c r="BM29" i="4"/>
  <c r="BR29" i="4" s="1"/>
  <c r="BL29" i="4"/>
  <c r="BG29" i="4"/>
  <c r="BB29" i="4"/>
  <c r="AW29" i="4"/>
  <c r="AR29" i="4"/>
  <c r="AM29" i="4"/>
  <c r="AH29" i="4"/>
  <c r="AC29" i="4"/>
  <c r="X29" i="4"/>
  <c r="S29" i="4"/>
  <c r="N29" i="4"/>
  <c r="I29" i="4"/>
  <c r="BU28" i="4"/>
  <c r="BO28" i="4"/>
  <c r="BT28" i="4" s="1"/>
  <c r="BN28" i="4"/>
  <c r="BS28" i="4" s="1"/>
  <c r="BM28" i="4"/>
  <c r="BR28" i="4" s="1"/>
  <c r="BL28" i="4"/>
  <c r="BG28" i="4"/>
  <c r="BB28" i="4"/>
  <c r="AW28" i="4"/>
  <c r="AR28" i="4"/>
  <c r="AM28" i="4"/>
  <c r="AH28" i="4"/>
  <c r="AC28" i="4"/>
  <c r="X28" i="4"/>
  <c r="S28" i="4"/>
  <c r="N28" i="4"/>
  <c r="F28" i="4"/>
  <c r="E28" i="4"/>
  <c r="I28" i="4" s="1"/>
  <c r="BP27" i="4"/>
  <c r="BU27" i="4" s="1"/>
  <c r="BO27" i="4"/>
  <c r="BT27" i="4" s="1"/>
  <c r="BN27" i="4"/>
  <c r="BS27" i="4" s="1"/>
  <c r="BM27" i="4"/>
  <c r="BR27" i="4" s="1"/>
  <c r="BL27" i="4"/>
  <c r="BG27" i="4"/>
  <c r="BB27" i="4"/>
  <c r="AW27" i="4"/>
  <c r="AR27" i="4"/>
  <c r="AM27" i="4"/>
  <c r="AH27" i="4"/>
  <c r="AC27" i="4"/>
  <c r="X27" i="4"/>
  <c r="S27" i="4"/>
  <c r="N27" i="4"/>
  <c r="F27" i="4"/>
  <c r="E27" i="4"/>
  <c r="I27" i="4" s="1"/>
  <c r="BU26" i="4"/>
  <c r="BO26" i="4"/>
  <c r="BT26" i="4" s="1"/>
  <c r="BN26" i="4"/>
  <c r="BS26" i="4" s="1"/>
  <c r="BM26" i="4"/>
  <c r="BR26" i="4" s="1"/>
  <c r="BL26" i="4"/>
  <c r="BG26" i="4"/>
  <c r="BB26" i="4"/>
  <c r="AW26" i="4"/>
  <c r="AR26" i="4"/>
  <c r="AM26" i="4"/>
  <c r="AH26" i="4"/>
  <c r="AC26" i="4"/>
  <c r="X26" i="4"/>
  <c r="S26" i="4"/>
  <c r="N26" i="4"/>
  <c r="I26" i="4"/>
  <c r="BP25" i="4"/>
  <c r="BU25" i="4" s="1"/>
  <c r="BO25" i="4"/>
  <c r="BT25" i="4" s="1"/>
  <c r="BN25" i="4"/>
  <c r="BS25" i="4" s="1"/>
  <c r="BM25" i="4"/>
  <c r="BR25" i="4" s="1"/>
  <c r="BL25" i="4"/>
  <c r="BG25" i="4"/>
  <c r="BB25" i="4"/>
  <c r="AW25" i="4"/>
  <c r="AR25" i="4"/>
  <c r="AM25" i="4"/>
  <c r="AH25" i="4"/>
  <c r="AC25" i="4"/>
  <c r="X25" i="4"/>
  <c r="S25" i="4"/>
  <c r="N25" i="4"/>
  <c r="I25" i="4"/>
  <c r="BP24" i="4"/>
  <c r="BU24" i="4" s="1"/>
  <c r="BO24" i="4"/>
  <c r="BT24" i="4" s="1"/>
  <c r="BN24" i="4"/>
  <c r="BS24" i="4" s="1"/>
  <c r="BM24" i="4"/>
  <c r="BL24" i="4"/>
  <c r="BG24" i="4"/>
  <c r="BB24" i="4"/>
  <c r="AW24" i="4"/>
  <c r="AR24" i="4"/>
  <c r="AM24" i="4"/>
  <c r="AH24" i="4"/>
  <c r="AC24" i="4"/>
  <c r="X24" i="4"/>
  <c r="S24" i="4"/>
  <c r="N24" i="4"/>
  <c r="E24" i="4"/>
  <c r="I24" i="4" s="1"/>
  <c r="BR23" i="4"/>
  <c r="BP23" i="4"/>
  <c r="BU23" i="4" s="1"/>
  <c r="BO23" i="4"/>
  <c r="BT23" i="4" s="1"/>
  <c r="BN23" i="4"/>
  <c r="BM23" i="4"/>
  <c r="BQ23" i="4" s="1"/>
  <c r="BL23" i="4"/>
  <c r="BD23" i="4"/>
  <c r="BD47" i="4" s="1"/>
  <c r="BB23" i="4"/>
  <c r="AW23" i="4"/>
  <c r="AR23" i="4"/>
  <c r="AM23" i="4"/>
  <c r="AH23" i="4"/>
  <c r="AC23" i="4"/>
  <c r="X23" i="4"/>
  <c r="S23" i="4"/>
  <c r="N23" i="4"/>
  <c r="I23" i="4"/>
  <c r="E23" i="4"/>
  <c r="BU22" i="4"/>
  <c r="BO22" i="4"/>
  <c r="BT22" i="4" s="1"/>
  <c r="BN22" i="4"/>
  <c r="BS22" i="4" s="1"/>
  <c r="BM22" i="4"/>
  <c r="BR22" i="4" s="1"/>
  <c r="BL22" i="4"/>
  <c r="BG22" i="4"/>
  <c r="BB22" i="4"/>
  <c r="AW22" i="4"/>
  <c r="AR22" i="4"/>
  <c r="AM22" i="4"/>
  <c r="AH22" i="4"/>
  <c r="AC22" i="4"/>
  <c r="X22" i="4"/>
  <c r="S22" i="4"/>
  <c r="N22" i="4"/>
  <c r="I22" i="4"/>
  <c r="BU21" i="4"/>
  <c r="BS21" i="4"/>
  <c r="BQ21" i="4"/>
  <c r="BP21" i="4"/>
  <c r="BO21" i="4"/>
  <c r="BT21" i="4" s="1"/>
  <c r="BM21" i="4"/>
  <c r="BR21" i="4" s="1"/>
  <c r="BL21" i="4"/>
  <c r="BG21" i="4"/>
  <c r="BB21" i="4"/>
  <c r="AW21" i="4"/>
  <c r="AR21" i="4"/>
  <c r="AM21" i="4"/>
  <c r="AH21" i="4"/>
  <c r="AC21" i="4"/>
  <c r="X21" i="4"/>
  <c r="S21" i="4"/>
  <c r="N21" i="4"/>
  <c r="F21" i="4"/>
  <c r="F47" i="4" s="1"/>
  <c r="E21" i="4"/>
  <c r="I21" i="4" s="1"/>
  <c r="BS20" i="4"/>
  <c r="BP20" i="4"/>
  <c r="BU20" i="4" s="1"/>
  <c r="BO20" i="4"/>
  <c r="BT20" i="4" s="1"/>
  <c r="BN20" i="4"/>
  <c r="BM20" i="4"/>
  <c r="BL20" i="4"/>
  <c r="BG20" i="4"/>
  <c r="BB20" i="4"/>
  <c r="AW20" i="4"/>
  <c r="AR20" i="4"/>
  <c r="AM20" i="4"/>
  <c r="AH20" i="4"/>
  <c r="AC20" i="4"/>
  <c r="X20" i="4"/>
  <c r="S20" i="4"/>
  <c r="N20" i="4"/>
  <c r="I20" i="4"/>
  <c r="BU19" i="4"/>
  <c r="BS19" i="4"/>
  <c r="BO19" i="4"/>
  <c r="BT19" i="4" s="1"/>
  <c r="BM19" i="4"/>
  <c r="BL19" i="4"/>
  <c r="BG19" i="4"/>
  <c r="BB19" i="4"/>
  <c r="AW19" i="4"/>
  <c r="AR19" i="4"/>
  <c r="AM19" i="4"/>
  <c r="AH19" i="4"/>
  <c r="AC19" i="4"/>
  <c r="X19" i="4"/>
  <c r="S19" i="4"/>
  <c r="N19" i="4"/>
  <c r="I19" i="4"/>
  <c r="BU18" i="4"/>
  <c r="BP18" i="4"/>
  <c r="BO18" i="4"/>
  <c r="BT18" i="4" s="1"/>
  <c r="BN18" i="4"/>
  <c r="BS18" i="4" s="1"/>
  <c r="BM18" i="4"/>
  <c r="BL18" i="4"/>
  <c r="BG18" i="4"/>
  <c r="BB18" i="4"/>
  <c r="AW18" i="4"/>
  <c r="AR18" i="4"/>
  <c r="AM18" i="4"/>
  <c r="AH18" i="4"/>
  <c r="AC18" i="4"/>
  <c r="X18" i="4"/>
  <c r="S18" i="4"/>
  <c r="N18" i="4"/>
  <c r="I18" i="4"/>
  <c r="BU17" i="4"/>
  <c r="BO17" i="4"/>
  <c r="BT17" i="4" s="1"/>
  <c r="BN17" i="4"/>
  <c r="BS17" i="4" s="1"/>
  <c r="BM17" i="4"/>
  <c r="BR17" i="4" s="1"/>
  <c r="BL17" i="4"/>
  <c r="BG17" i="4"/>
  <c r="BB17" i="4"/>
  <c r="AW17" i="4"/>
  <c r="AR17" i="4"/>
  <c r="AM17" i="4"/>
  <c r="AH17" i="4"/>
  <c r="AC17" i="4"/>
  <c r="X17" i="4"/>
  <c r="S17" i="4"/>
  <c r="N17" i="4"/>
  <c r="I17" i="4"/>
  <c r="BU16" i="4"/>
  <c r="BO16" i="4"/>
  <c r="BT16" i="4" s="1"/>
  <c r="BN16" i="4"/>
  <c r="BS16" i="4" s="1"/>
  <c r="BM16" i="4"/>
  <c r="BR16" i="4" s="1"/>
  <c r="BL16" i="4"/>
  <c r="BG16" i="4"/>
  <c r="BB16" i="4"/>
  <c r="AW16" i="4"/>
  <c r="AR16" i="4"/>
  <c r="AM16" i="4"/>
  <c r="AH16" i="4"/>
  <c r="AC16" i="4"/>
  <c r="X16" i="4"/>
  <c r="S16" i="4"/>
  <c r="N16" i="4"/>
  <c r="I16" i="4"/>
  <c r="E16" i="4"/>
  <c r="BU15" i="4"/>
  <c r="BQ15" i="4"/>
  <c r="BO15" i="4"/>
  <c r="BT15" i="4" s="1"/>
  <c r="BN15" i="4"/>
  <c r="BS15" i="4" s="1"/>
  <c r="BM15" i="4"/>
  <c r="BR15" i="4" s="1"/>
  <c r="BL15" i="4"/>
  <c r="BG15" i="4"/>
  <c r="BB15" i="4"/>
  <c r="AW15" i="4"/>
  <c r="AR15" i="4"/>
  <c r="AM15" i="4"/>
  <c r="AH15" i="4"/>
  <c r="AC15" i="4"/>
  <c r="X15" i="4"/>
  <c r="S15" i="4"/>
  <c r="N15" i="4"/>
  <c r="E15" i="4"/>
  <c r="I15" i="4" s="1"/>
  <c r="BT14" i="4"/>
  <c r="BS14" i="4"/>
  <c r="BR14" i="4"/>
  <c r="BP14" i="4"/>
  <c r="BU14" i="4" s="1"/>
  <c r="BO14" i="4"/>
  <c r="BQ14" i="4" s="1"/>
  <c r="BL14" i="4"/>
  <c r="BG14" i="4"/>
  <c r="BB14" i="4"/>
  <c r="AW14" i="4"/>
  <c r="AR14" i="4"/>
  <c r="AM14" i="4"/>
  <c r="AH14" i="4"/>
  <c r="AC14" i="4"/>
  <c r="X14" i="4"/>
  <c r="S14" i="4"/>
  <c r="N14" i="4"/>
  <c r="E14" i="4"/>
  <c r="I14" i="4" s="1"/>
  <c r="BP13" i="4"/>
  <c r="BU13" i="4" s="1"/>
  <c r="BO13" i="4"/>
  <c r="BT13" i="4" s="1"/>
  <c r="BN13" i="4"/>
  <c r="BS13" i="4" s="1"/>
  <c r="BM13" i="4"/>
  <c r="BL13" i="4"/>
  <c r="BG13" i="4"/>
  <c r="BB13" i="4"/>
  <c r="AW13" i="4"/>
  <c r="AR13" i="4"/>
  <c r="AM13" i="4"/>
  <c r="AH13" i="4"/>
  <c r="AC13" i="4"/>
  <c r="X13" i="4"/>
  <c r="S13" i="4"/>
  <c r="N13" i="4"/>
  <c r="I13" i="4"/>
  <c r="BS12" i="4"/>
  <c r="BP12" i="4"/>
  <c r="BU12" i="4" s="1"/>
  <c r="BO12" i="4"/>
  <c r="BT12" i="4" s="1"/>
  <c r="BN12" i="4"/>
  <c r="BM12" i="4"/>
  <c r="BQ12" i="4" s="1"/>
  <c r="BL12" i="4"/>
  <c r="BG12" i="4"/>
  <c r="BB12" i="4"/>
  <c r="AW12" i="4"/>
  <c r="AR12" i="4"/>
  <c r="AM12" i="4"/>
  <c r="AH12" i="4"/>
  <c r="AC12" i="4"/>
  <c r="X12" i="4"/>
  <c r="S12" i="4"/>
  <c r="N12" i="4"/>
  <c r="I12" i="4"/>
  <c r="BU11" i="4"/>
  <c r="BR11" i="4"/>
  <c r="BO11" i="4"/>
  <c r="BT11" i="4" s="1"/>
  <c r="BN11" i="4"/>
  <c r="BS11" i="4" s="1"/>
  <c r="BM11" i="4"/>
  <c r="BL11" i="4"/>
  <c r="BG11" i="4"/>
  <c r="BB11" i="4"/>
  <c r="AW11" i="4"/>
  <c r="AR11" i="4"/>
  <c r="AM11" i="4"/>
  <c r="AH11" i="4"/>
  <c r="AC11" i="4"/>
  <c r="X11" i="4"/>
  <c r="S11" i="4"/>
  <c r="N11" i="4"/>
  <c r="I11" i="4"/>
  <c r="BT10" i="4"/>
  <c r="BP10" i="4"/>
  <c r="BU10" i="4" s="1"/>
  <c r="BO10" i="4"/>
  <c r="BN10" i="4"/>
  <c r="BS10" i="4" s="1"/>
  <c r="BM10" i="4"/>
  <c r="BR10" i="4" s="1"/>
  <c r="BL10" i="4"/>
  <c r="BG10" i="4"/>
  <c r="BB10" i="4"/>
  <c r="AW10" i="4"/>
  <c r="AR10" i="4"/>
  <c r="AM10" i="4"/>
  <c r="AH10" i="4"/>
  <c r="AC10" i="4"/>
  <c r="X10" i="4"/>
  <c r="S10" i="4"/>
  <c r="N10" i="4"/>
  <c r="I10" i="4"/>
  <c r="BU9" i="4"/>
  <c r="BO9" i="4"/>
  <c r="BT9" i="4" s="1"/>
  <c r="BN9" i="4"/>
  <c r="BS9" i="4" s="1"/>
  <c r="BM9" i="4"/>
  <c r="BR9" i="4" s="1"/>
  <c r="BL9" i="4"/>
  <c r="BG9" i="4"/>
  <c r="BB9" i="4"/>
  <c r="AW9" i="4"/>
  <c r="AR9" i="4"/>
  <c r="AM9" i="4"/>
  <c r="AH9" i="4"/>
  <c r="AC9" i="4"/>
  <c r="X9" i="4"/>
  <c r="S9" i="4"/>
  <c r="N9" i="4"/>
  <c r="I9" i="4"/>
  <c r="BU8" i="4"/>
  <c r="BT8" i="4"/>
  <c r="BS8" i="4"/>
  <c r="BR8" i="4"/>
  <c r="BQ8" i="4"/>
  <c r="BL8" i="4"/>
  <c r="BG8" i="4"/>
  <c r="BB8" i="4"/>
  <c r="AW8" i="4"/>
  <c r="AR8" i="4"/>
  <c r="AM8" i="4"/>
  <c r="AH8" i="4"/>
  <c r="AC8" i="4"/>
  <c r="X8" i="4"/>
  <c r="S8" i="4"/>
  <c r="N8" i="4"/>
  <c r="I8" i="4"/>
  <c r="BP7" i="4"/>
  <c r="BP47" i="4" s="1"/>
  <c r="BO7" i="4"/>
  <c r="BT7" i="4" s="1"/>
  <c r="BN7" i="4"/>
  <c r="BM7" i="4"/>
  <c r="BR7" i="4" s="1"/>
  <c r="BL7" i="4"/>
  <c r="BG7" i="4"/>
  <c r="BB7" i="4"/>
  <c r="AW7" i="4"/>
  <c r="AR7" i="4"/>
  <c r="AM7" i="4"/>
  <c r="AH7" i="4"/>
  <c r="AC7" i="4"/>
  <c r="X7" i="4"/>
  <c r="S7" i="4"/>
  <c r="N7" i="4"/>
  <c r="I7" i="4"/>
  <c r="E7" i="4"/>
  <c r="E47" i="4" s="1"/>
  <c r="CD5" i="4"/>
  <c r="CC5" i="4"/>
  <c r="CB5" i="4"/>
  <c r="CA5" i="4"/>
  <c r="BX5" i="4"/>
  <c r="CE4" i="4"/>
  <c r="CD4" i="4"/>
  <c r="CC4" i="4"/>
  <c r="CB4" i="4"/>
  <c r="CA4" i="4"/>
  <c r="BV76" i="3"/>
  <c r="BQ76" i="3"/>
  <c r="BL76" i="3"/>
  <c r="BG76" i="3"/>
  <c r="BB76" i="3"/>
  <c r="AW76" i="3"/>
  <c r="AR76" i="3"/>
  <c r="AM76" i="3"/>
  <c r="AH76" i="3"/>
  <c r="AC76" i="3"/>
  <c r="BV75" i="3"/>
  <c r="BX75" i="3" s="1"/>
  <c r="BQ75" i="3"/>
  <c r="BL75" i="3"/>
  <c r="BG75" i="3"/>
  <c r="BB75" i="3"/>
  <c r="AW75" i="3"/>
  <c r="AR75" i="3"/>
  <c r="AM75" i="3"/>
  <c r="AH75" i="3"/>
  <c r="AC75" i="3"/>
  <c r="BV74" i="3"/>
  <c r="BX74" i="3" s="1"/>
  <c r="BQ74" i="3"/>
  <c r="BL74" i="3"/>
  <c r="BG74" i="3"/>
  <c r="BB74" i="3"/>
  <c r="AW74" i="3"/>
  <c r="AR74" i="3"/>
  <c r="AM74" i="3"/>
  <c r="AH74" i="3"/>
  <c r="AC74" i="3"/>
  <c r="AA73" i="3"/>
  <c r="AA77" i="3" s="1"/>
  <c r="BX72" i="3"/>
  <c r="BU71" i="3"/>
  <c r="BT71" i="3"/>
  <c r="BS71" i="3"/>
  <c r="BR71" i="3"/>
  <c r="N71" i="3"/>
  <c r="BX70" i="3"/>
  <c r="BX69" i="3"/>
  <c r="BD68" i="3"/>
  <c r="H68" i="3"/>
  <c r="BU67" i="3"/>
  <c r="BT67" i="3"/>
  <c r="BS67" i="3"/>
  <c r="BR67" i="3"/>
  <c r="BV67" i="3" s="1"/>
  <c r="BX67" i="3" s="1"/>
  <c r="BQ67" i="3"/>
  <c r="BL67" i="3"/>
  <c r="BG67" i="3"/>
  <c r="BB67" i="3"/>
  <c r="AW67" i="3"/>
  <c r="AR67" i="3"/>
  <c r="AM67" i="3"/>
  <c r="AH67" i="3"/>
  <c r="AC67" i="3"/>
  <c r="X67" i="3"/>
  <c r="S67" i="3"/>
  <c r="N67" i="3"/>
  <c r="I67" i="3"/>
  <c r="BU66" i="3"/>
  <c r="BT66" i="3"/>
  <c r="BS66" i="3"/>
  <c r="BR66" i="3"/>
  <c r="BQ66" i="3"/>
  <c r="BL66" i="3"/>
  <c r="BG66" i="3"/>
  <c r="BB66" i="3"/>
  <c r="AW66" i="3"/>
  <c r="AR66" i="3"/>
  <c r="AM66" i="3"/>
  <c r="AH66" i="3"/>
  <c r="AC66" i="3"/>
  <c r="X66" i="3"/>
  <c r="S66" i="3"/>
  <c r="N66" i="3"/>
  <c r="I66" i="3"/>
  <c r="BU65" i="3"/>
  <c r="BT65" i="3"/>
  <c r="BS65" i="3"/>
  <c r="BR65" i="3"/>
  <c r="BQ65" i="3"/>
  <c r="BL65" i="3"/>
  <c r="BG65" i="3"/>
  <c r="BB65" i="3"/>
  <c r="AW65" i="3"/>
  <c r="AR65" i="3"/>
  <c r="AM65" i="3"/>
  <c r="AH65" i="3"/>
  <c r="AC65" i="3"/>
  <c r="X65" i="3"/>
  <c r="S65" i="3"/>
  <c r="N65" i="3"/>
  <c r="I65" i="3"/>
  <c r="BU64" i="3"/>
  <c r="BT64" i="3"/>
  <c r="BS64" i="3"/>
  <c r="BR64" i="3"/>
  <c r="BQ64" i="3"/>
  <c r="BL64" i="3"/>
  <c r="BG64" i="3"/>
  <c r="BB64" i="3"/>
  <c r="AW64" i="3"/>
  <c r="AR64" i="3"/>
  <c r="AM64" i="3"/>
  <c r="AH64" i="3"/>
  <c r="AC64" i="3"/>
  <c r="X64" i="3"/>
  <c r="S64" i="3"/>
  <c r="N64" i="3"/>
  <c r="I64" i="3"/>
  <c r="BU63" i="3"/>
  <c r="BT63" i="3"/>
  <c r="BS63" i="3"/>
  <c r="BR63" i="3"/>
  <c r="BV63" i="3" s="1"/>
  <c r="BQ63" i="3"/>
  <c r="BL63" i="3"/>
  <c r="BG63" i="3"/>
  <c r="BB63" i="3"/>
  <c r="AW63" i="3"/>
  <c r="AR63" i="3"/>
  <c r="AM63" i="3"/>
  <c r="AH63" i="3"/>
  <c r="AC63" i="3"/>
  <c r="X63" i="3"/>
  <c r="S63" i="3"/>
  <c r="N63" i="3"/>
  <c r="I63" i="3"/>
  <c r="BU62" i="3"/>
  <c r="BT62" i="3"/>
  <c r="BS62" i="3"/>
  <c r="BQ62" i="3"/>
  <c r="BL62" i="3"/>
  <c r="BG62" i="3"/>
  <c r="BB62" i="3"/>
  <c r="AS62" i="3"/>
  <c r="AR62" i="3"/>
  <c r="AM62" i="3"/>
  <c r="AH62" i="3"/>
  <c r="I62" i="3"/>
  <c r="BU61" i="3"/>
  <c r="BT61" i="3"/>
  <c r="BS61" i="3"/>
  <c r="BQ61" i="3"/>
  <c r="BL61" i="3"/>
  <c r="BG61" i="3"/>
  <c r="BB61" i="3"/>
  <c r="AR61" i="3"/>
  <c r="AS61" i="3" s="1"/>
  <c r="AM61" i="3"/>
  <c r="AH61" i="3"/>
  <c r="AC61" i="3"/>
  <c r="X61" i="3"/>
  <c r="S61" i="3"/>
  <c r="N61" i="3"/>
  <c r="I61" i="3"/>
  <c r="BU60" i="3"/>
  <c r="BT60" i="3"/>
  <c r="BS60" i="3"/>
  <c r="BQ60" i="3"/>
  <c r="BL60" i="3"/>
  <c r="BG60" i="3"/>
  <c r="BB60" i="3"/>
  <c r="AR60" i="3"/>
  <c r="AS60" i="3" s="1"/>
  <c r="AW60" i="3" s="1"/>
  <c r="AM60" i="3"/>
  <c r="AH60" i="3"/>
  <c r="AC60" i="3"/>
  <c r="X60" i="3"/>
  <c r="S60" i="3"/>
  <c r="N60" i="3"/>
  <c r="I60" i="3"/>
  <c r="BP59" i="3"/>
  <c r="BO59" i="3"/>
  <c r="BN59" i="3"/>
  <c r="BM59" i="3"/>
  <c r="BK59" i="3"/>
  <c r="BJ59" i="3"/>
  <c r="BI59" i="3"/>
  <c r="BH59" i="3"/>
  <c r="BH68" i="3" s="1"/>
  <c r="BF59" i="3"/>
  <c r="BE59" i="3"/>
  <c r="BD59" i="3"/>
  <c r="BC59" i="3"/>
  <c r="BA59" i="3"/>
  <c r="AZ59" i="3"/>
  <c r="AY59" i="3"/>
  <c r="AX59" i="3"/>
  <c r="AV59" i="3"/>
  <c r="AU59" i="3"/>
  <c r="AT59" i="3"/>
  <c r="AQ59" i="3"/>
  <c r="AP59" i="3"/>
  <c r="AO59" i="3"/>
  <c r="AN59" i="3"/>
  <c r="AL59" i="3"/>
  <c r="AK59" i="3"/>
  <c r="AJ59" i="3"/>
  <c r="AI59" i="3"/>
  <c r="AG59" i="3"/>
  <c r="AF59" i="3"/>
  <c r="AE59" i="3"/>
  <c r="AD59" i="3"/>
  <c r="AC59" i="3"/>
  <c r="X59" i="3"/>
  <c r="S59" i="3"/>
  <c r="N59" i="3"/>
  <c r="I59" i="3"/>
  <c r="BU58" i="3"/>
  <c r="BT58" i="3"/>
  <c r="BS58" i="3"/>
  <c r="BQ58" i="3"/>
  <c r="BL58" i="3"/>
  <c r="BG58" i="3"/>
  <c r="BB58" i="3"/>
  <c r="AR58" i="3"/>
  <c r="AS58" i="3" s="1"/>
  <c r="BR58" i="3" s="1"/>
  <c r="AM58" i="3"/>
  <c r="AH58" i="3"/>
  <c r="AC58" i="3"/>
  <c r="X58" i="3"/>
  <c r="S58" i="3"/>
  <c r="N58" i="3"/>
  <c r="I58" i="3"/>
  <c r="BP57" i="3"/>
  <c r="BK57" i="3"/>
  <c r="BF57" i="3"/>
  <c r="BG57" i="3" s="1"/>
  <c r="BA57" i="3"/>
  <c r="BB57" i="3" s="1"/>
  <c r="AV57" i="3"/>
  <c r="AW57" i="3" s="1"/>
  <c r="AQ57" i="3"/>
  <c r="AR57" i="3" s="1"/>
  <c r="AL57" i="3"/>
  <c r="AM57" i="3" s="1"/>
  <c r="AG57" i="3"/>
  <c r="AH57" i="3" s="1"/>
  <c r="AB57" i="3"/>
  <c r="AC57" i="3" s="1"/>
  <c r="W57" i="3"/>
  <c r="X57" i="3" s="1"/>
  <c r="R57" i="3"/>
  <c r="S57" i="3" s="1"/>
  <c r="M57" i="3"/>
  <c r="N57" i="3" s="1"/>
  <c r="I57" i="3"/>
  <c r="BU56" i="3"/>
  <c r="BT56" i="3"/>
  <c r="BS56" i="3"/>
  <c r="BR56" i="3"/>
  <c r="BQ56" i="3"/>
  <c r="BL56" i="3"/>
  <c r="BG56" i="3"/>
  <c r="BB56" i="3"/>
  <c r="AW56" i="3"/>
  <c r="AR56" i="3"/>
  <c r="AM56" i="3"/>
  <c r="AH56" i="3"/>
  <c r="AC56" i="3"/>
  <c r="X56" i="3"/>
  <c r="S56" i="3"/>
  <c r="N56" i="3"/>
  <c r="I56" i="3"/>
  <c r="BU55" i="3"/>
  <c r="BT55" i="3"/>
  <c r="BS55" i="3"/>
  <c r="BR55" i="3"/>
  <c r="BV55" i="3" s="1"/>
  <c r="BX55" i="3" s="1"/>
  <c r="BQ55" i="3"/>
  <c r="BL55" i="3"/>
  <c r="BG55" i="3"/>
  <c r="BB55" i="3"/>
  <c r="AW55" i="3"/>
  <c r="AR55" i="3"/>
  <c r="AM55" i="3"/>
  <c r="AH55" i="3"/>
  <c r="AC55" i="3"/>
  <c r="X55" i="3"/>
  <c r="S55" i="3"/>
  <c r="N55" i="3"/>
  <c r="I55" i="3"/>
  <c r="BU54" i="3"/>
  <c r="BT54" i="3"/>
  <c r="BS54" i="3"/>
  <c r="BS52" i="3" s="1"/>
  <c r="BR54" i="3"/>
  <c r="BQ54" i="3"/>
  <c r="BL54" i="3"/>
  <c r="BL52" i="3" s="1"/>
  <c r="BG54" i="3"/>
  <c r="BG52" i="3" s="1"/>
  <c r="BB54" i="3"/>
  <c r="AW54" i="3"/>
  <c r="AR54" i="3"/>
  <c r="AR52" i="3" s="1"/>
  <c r="AM54" i="3"/>
  <c r="AM52" i="3" s="1"/>
  <c r="AH54" i="3"/>
  <c r="AC54" i="3"/>
  <c r="X54" i="3"/>
  <c r="S54" i="3"/>
  <c r="S52" i="3" s="1"/>
  <c r="S68" i="3" s="1"/>
  <c r="N54" i="3"/>
  <c r="I54" i="3"/>
  <c r="E54" i="3"/>
  <c r="BU53" i="3"/>
  <c r="BU52" i="3" s="1"/>
  <c r="BT53" i="3"/>
  <c r="BS53" i="3"/>
  <c r="BR53" i="3"/>
  <c r="BQ53" i="3"/>
  <c r="BQ52" i="3" s="1"/>
  <c r="BL53" i="3"/>
  <c r="BG53" i="3"/>
  <c r="BB53" i="3"/>
  <c r="AW53" i="3"/>
  <c r="AR53" i="3"/>
  <c r="AM53" i="3"/>
  <c r="AH53" i="3"/>
  <c r="AH52" i="3" s="1"/>
  <c r="AC53" i="3"/>
  <c r="AC52" i="3" s="1"/>
  <c r="AC68" i="3" s="1"/>
  <c r="X53" i="3"/>
  <c r="S53" i="3"/>
  <c r="N53" i="3"/>
  <c r="N52" i="3" s="1"/>
  <c r="I53" i="3"/>
  <c r="I52" i="3" s="1"/>
  <c r="I68" i="3" s="1"/>
  <c r="E53" i="3"/>
  <c r="BT52" i="3"/>
  <c r="BR52" i="3"/>
  <c r="BP52" i="3"/>
  <c r="BO52" i="3"/>
  <c r="BN52" i="3"/>
  <c r="BM52" i="3"/>
  <c r="BK52" i="3"/>
  <c r="BJ52" i="3"/>
  <c r="BJ68" i="3" s="1"/>
  <c r="BI52" i="3"/>
  <c r="BI68" i="3" s="1"/>
  <c r="BH52" i="3"/>
  <c r="BF52" i="3"/>
  <c r="BE52" i="3"/>
  <c r="BE68" i="3" s="1"/>
  <c r="BD52" i="3"/>
  <c r="BC52" i="3"/>
  <c r="BB52" i="3"/>
  <c r="BA52" i="3"/>
  <c r="BA68" i="3" s="1"/>
  <c r="AZ52" i="3"/>
  <c r="AZ68" i="3" s="1"/>
  <c r="AY52" i="3"/>
  <c r="AY68" i="3" s="1"/>
  <c r="AX52" i="3"/>
  <c r="AX68" i="3" s="1"/>
  <c r="AW52" i="3"/>
  <c r="AV52" i="3"/>
  <c r="AU52" i="3"/>
  <c r="AU68" i="3" s="1"/>
  <c r="AT52" i="3"/>
  <c r="AT68" i="3" s="1"/>
  <c r="AS52" i="3"/>
  <c r="AQ52" i="3"/>
  <c r="AP52" i="3"/>
  <c r="AO52" i="3"/>
  <c r="AO68" i="3" s="1"/>
  <c r="AN52" i="3"/>
  <c r="AN68" i="3" s="1"/>
  <c r="AL52" i="3"/>
  <c r="AK52" i="3"/>
  <c r="AJ52" i="3"/>
  <c r="AJ68" i="3" s="1"/>
  <c r="AI52" i="3"/>
  <c r="AG52" i="3"/>
  <c r="AG68" i="3" s="1"/>
  <c r="AF52" i="3"/>
  <c r="AF68" i="3" s="1"/>
  <c r="AE52" i="3"/>
  <c r="AE68" i="3" s="1"/>
  <c r="AD52" i="3"/>
  <c r="AD68" i="3" s="1"/>
  <c r="AB52" i="3"/>
  <c r="AA52" i="3"/>
  <c r="AA68" i="3" s="1"/>
  <c r="Z52" i="3"/>
  <c r="Z68" i="3" s="1"/>
  <c r="Y52" i="3"/>
  <c r="Y68" i="3" s="1"/>
  <c r="X52" i="3"/>
  <c r="W52" i="3"/>
  <c r="W68" i="3" s="1"/>
  <c r="V52" i="3"/>
  <c r="V68" i="3" s="1"/>
  <c r="U52" i="3"/>
  <c r="U68" i="3" s="1"/>
  <c r="T52" i="3"/>
  <c r="T68" i="3" s="1"/>
  <c r="R52" i="3"/>
  <c r="Q52" i="3"/>
  <c r="Q68" i="3" s="1"/>
  <c r="P52" i="3"/>
  <c r="P68" i="3" s="1"/>
  <c r="O52" i="3"/>
  <c r="O68" i="3" s="1"/>
  <c r="O73" i="3" s="1"/>
  <c r="O77" i="3" s="1"/>
  <c r="M52" i="3"/>
  <c r="M68" i="3" s="1"/>
  <c r="L52" i="3"/>
  <c r="L68" i="3" s="1"/>
  <c r="K52" i="3"/>
  <c r="K68" i="3" s="1"/>
  <c r="J52" i="3"/>
  <c r="J68" i="3" s="1"/>
  <c r="H52" i="3"/>
  <c r="G52" i="3"/>
  <c r="G68" i="3" s="1"/>
  <c r="G73" i="3" s="1"/>
  <c r="G77" i="3" s="1"/>
  <c r="F52" i="3"/>
  <c r="F68" i="3" s="1"/>
  <c r="E52" i="3"/>
  <c r="E68" i="3" s="1"/>
  <c r="BU51" i="3"/>
  <c r="BT51" i="3"/>
  <c r="BS51" i="3"/>
  <c r="BR51" i="3"/>
  <c r="BQ51" i="3"/>
  <c r="BL51" i="3"/>
  <c r="BH51" i="3"/>
  <c r="BG51" i="3"/>
  <c r="BB51" i="3"/>
  <c r="AW51" i="3"/>
  <c r="AR51" i="3"/>
  <c r="AM51" i="3"/>
  <c r="AH51" i="3"/>
  <c r="AC51" i="3"/>
  <c r="X51" i="3"/>
  <c r="S51" i="3"/>
  <c r="N51" i="3"/>
  <c r="I51" i="3"/>
  <c r="BU50" i="3"/>
  <c r="BT50" i="3"/>
  <c r="BS50" i="3"/>
  <c r="BR50" i="3"/>
  <c r="BV50" i="3" s="1"/>
  <c r="BX50" i="3" s="1"/>
  <c r="BQ50" i="3"/>
  <c r="BL50" i="3"/>
  <c r="BC50" i="3"/>
  <c r="BG50" i="3" s="1"/>
  <c r="BB50" i="3"/>
  <c r="AW50" i="3"/>
  <c r="AR50" i="3"/>
  <c r="AM50" i="3"/>
  <c r="AH50" i="3"/>
  <c r="AC50" i="3"/>
  <c r="X50" i="3"/>
  <c r="S50" i="3"/>
  <c r="N50" i="3"/>
  <c r="I50" i="3"/>
  <c r="BP47" i="3"/>
  <c r="BK47" i="3"/>
  <c r="BJ47" i="3"/>
  <c r="BJ73" i="3" s="1"/>
  <c r="BJ77" i="3" s="1"/>
  <c r="BI47" i="3"/>
  <c r="BH47" i="3"/>
  <c r="BF47" i="3"/>
  <c r="BE47" i="3"/>
  <c r="BD47" i="3"/>
  <c r="BA47" i="3"/>
  <c r="AZ47" i="3"/>
  <c r="AY47" i="3"/>
  <c r="AX47" i="3"/>
  <c r="AV47" i="3"/>
  <c r="AU47" i="3"/>
  <c r="AT47" i="3"/>
  <c r="AT73" i="3" s="1"/>
  <c r="AT77" i="3" s="1"/>
  <c r="AS47" i="3"/>
  <c r="AQ47" i="3"/>
  <c r="AP47" i="3"/>
  <c r="AO47" i="3"/>
  <c r="AN47" i="3"/>
  <c r="AL47" i="3"/>
  <c r="AK47" i="3"/>
  <c r="AJ47" i="3"/>
  <c r="AI47" i="3"/>
  <c r="AG47" i="3"/>
  <c r="AF47" i="3"/>
  <c r="AE47" i="3"/>
  <c r="AD47" i="3"/>
  <c r="AD73" i="3" s="1"/>
  <c r="AD77" i="3" s="1"/>
  <c r="AB47" i="3"/>
  <c r="AA47" i="3"/>
  <c r="Z47" i="3"/>
  <c r="Z73" i="3" s="1"/>
  <c r="Z77" i="3" s="1"/>
  <c r="Y47" i="3"/>
  <c r="W47" i="3"/>
  <c r="V47" i="3"/>
  <c r="V73" i="3" s="1"/>
  <c r="V77" i="3" s="1"/>
  <c r="U47" i="3"/>
  <c r="T47" i="3"/>
  <c r="R47" i="3"/>
  <c r="Q47" i="3"/>
  <c r="Q73" i="3" s="1"/>
  <c r="Q77" i="3" s="1"/>
  <c r="P47" i="3"/>
  <c r="O47" i="3"/>
  <c r="M47" i="3"/>
  <c r="M73" i="3" s="1"/>
  <c r="M77" i="3" s="1"/>
  <c r="L47" i="3"/>
  <c r="K47" i="3"/>
  <c r="K73" i="3" s="1"/>
  <c r="K77" i="3" s="1"/>
  <c r="J47" i="3"/>
  <c r="J73" i="3" s="1"/>
  <c r="J77" i="3" s="1"/>
  <c r="H47" i="3"/>
  <c r="G47" i="3"/>
  <c r="F47" i="3"/>
  <c r="F73" i="3" s="1"/>
  <c r="F77" i="3" s="1"/>
  <c r="E47" i="3"/>
  <c r="BU46" i="3"/>
  <c r="BT46" i="3"/>
  <c r="BS46" i="3"/>
  <c r="BR46" i="3"/>
  <c r="BQ46" i="3"/>
  <c r="BL46" i="3"/>
  <c r="BG46" i="3"/>
  <c r="BB46" i="3"/>
  <c r="AW46" i="3"/>
  <c r="AR46" i="3"/>
  <c r="AM46" i="3"/>
  <c r="AH46" i="3"/>
  <c r="AC46" i="3"/>
  <c r="X46" i="3"/>
  <c r="S46" i="3"/>
  <c r="N46" i="3"/>
  <c r="I46" i="3"/>
  <c r="BU45" i="3"/>
  <c r="BT45" i="3"/>
  <c r="BS45" i="3"/>
  <c r="BR45" i="3"/>
  <c r="BQ45" i="3"/>
  <c r="BL45" i="3"/>
  <c r="BG45" i="3"/>
  <c r="BB45" i="3"/>
  <c r="AW45" i="3"/>
  <c r="AR45" i="3"/>
  <c r="AM45" i="3"/>
  <c r="AH45" i="3"/>
  <c r="AC45" i="3"/>
  <c r="X45" i="3"/>
  <c r="S45" i="3"/>
  <c r="N45" i="3"/>
  <c r="I45" i="3"/>
  <c r="BU44" i="3"/>
  <c r="BT44" i="3"/>
  <c r="BS44" i="3"/>
  <c r="BR44" i="3"/>
  <c r="BQ44" i="3"/>
  <c r="BL44" i="3"/>
  <c r="BG44" i="3"/>
  <c r="BB44" i="3"/>
  <c r="AW44" i="3"/>
  <c r="AR44" i="3"/>
  <c r="AM44" i="3"/>
  <c r="AH44" i="3"/>
  <c r="AC44" i="3"/>
  <c r="X44" i="3"/>
  <c r="S44" i="3"/>
  <c r="N44" i="3"/>
  <c r="I44" i="3"/>
  <c r="BU43" i="3"/>
  <c r="BT43" i="3"/>
  <c r="BS43" i="3"/>
  <c r="BR43" i="3"/>
  <c r="BV43" i="3" s="1"/>
  <c r="BX43" i="3" s="1"/>
  <c r="BQ43" i="3"/>
  <c r="BL43" i="3"/>
  <c r="BG43" i="3"/>
  <c r="BB43" i="3"/>
  <c r="AW43" i="3"/>
  <c r="AR43" i="3"/>
  <c r="AM43" i="3"/>
  <c r="AH43" i="3"/>
  <c r="AC43" i="3"/>
  <c r="X43" i="3"/>
  <c r="S43" i="3"/>
  <c r="N43" i="3"/>
  <c r="I43" i="3"/>
  <c r="BU42" i="3"/>
  <c r="BT42" i="3"/>
  <c r="BS42" i="3"/>
  <c r="BR42" i="3"/>
  <c r="BQ42" i="3"/>
  <c r="BL42" i="3"/>
  <c r="BG42" i="3"/>
  <c r="BB42" i="3"/>
  <c r="AW42" i="3"/>
  <c r="AR42" i="3"/>
  <c r="AM42" i="3"/>
  <c r="AH42" i="3"/>
  <c r="AC42" i="3"/>
  <c r="X42" i="3"/>
  <c r="S42" i="3"/>
  <c r="N42" i="3"/>
  <c r="I42" i="3"/>
  <c r="BU41" i="3"/>
  <c r="BT41" i="3"/>
  <c r="BS41" i="3"/>
  <c r="BR41" i="3"/>
  <c r="BQ41" i="3"/>
  <c r="BL41" i="3"/>
  <c r="BG41" i="3"/>
  <c r="BB41" i="3"/>
  <c r="AW41" i="3"/>
  <c r="AR41" i="3"/>
  <c r="AM41" i="3"/>
  <c r="AH41" i="3"/>
  <c r="AC41" i="3"/>
  <c r="X41" i="3"/>
  <c r="S41" i="3"/>
  <c r="N41" i="3"/>
  <c r="I41" i="3"/>
  <c r="BU40" i="3"/>
  <c r="BT40" i="3"/>
  <c r="BS40" i="3"/>
  <c r="BR40" i="3"/>
  <c r="BQ40" i="3"/>
  <c r="BL40" i="3"/>
  <c r="BG40" i="3"/>
  <c r="BB40" i="3"/>
  <c r="AW40" i="3"/>
  <c r="AR40" i="3"/>
  <c r="AM40" i="3"/>
  <c r="AH40" i="3"/>
  <c r="AC40" i="3"/>
  <c r="X40" i="3"/>
  <c r="S40" i="3"/>
  <c r="N40" i="3"/>
  <c r="I40" i="3"/>
  <c r="BU39" i="3"/>
  <c r="BT39" i="3"/>
  <c r="BS39" i="3"/>
  <c r="BR39" i="3"/>
  <c r="BV39" i="3" s="1"/>
  <c r="BX39" i="3" s="1"/>
  <c r="BQ39" i="3"/>
  <c r="BL39" i="3"/>
  <c r="BG39" i="3"/>
  <c r="BB39" i="3"/>
  <c r="AW39" i="3"/>
  <c r="AR39" i="3"/>
  <c r="AM39" i="3"/>
  <c r="AH39" i="3"/>
  <c r="AC39" i="3"/>
  <c r="X39" i="3"/>
  <c r="S39" i="3"/>
  <c r="N39" i="3"/>
  <c r="I39" i="3"/>
  <c r="BU38" i="3"/>
  <c r="BT38" i="3"/>
  <c r="BS38" i="3"/>
  <c r="BR38" i="3"/>
  <c r="BQ38" i="3"/>
  <c r="BL38" i="3"/>
  <c r="BG38" i="3"/>
  <c r="BB38" i="3"/>
  <c r="AW38" i="3"/>
  <c r="AR38" i="3"/>
  <c r="AM38" i="3"/>
  <c r="AH38" i="3"/>
  <c r="AC38" i="3"/>
  <c r="X38" i="3"/>
  <c r="S38" i="3"/>
  <c r="N38" i="3"/>
  <c r="I38" i="3"/>
  <c r="BU37" i="3"/>
  <c r="BT37" i="3"/>
  <c r="BS37" i="3"/>
  <c r="BR37" i="3"/>
  <c r="BQ37" i="3"/>
  <c r="BL37" i="3"/>
  <c r="BG37" i="3"/>
  <c r="BB37" i="3"/>
  <c r="AW37" i="3"/>
  <c r="AR37" i="3"/>
  <c r="AM37" i="3"/>
  <c r="AH37" i="3"/>
  <c r="AC37" i="3"/>
  <c r="X37" i="3"/>
  <c r="S37" i="3"/>
  <c r="N37" i="3"/>
  <c r="I37" i="3"/>
  <c r="BU36" i="3"/>
  <c r="BT36" i="3"/>
  <c r="BS36" i="3"/>
  <c r="BR36" i="3"/>
  <c r="BQ36" i="3"/>
  <c r="BL36" i="3"/>
  <c r="BG36" i="3"/>
  <c r="BB36" i="3"/>
  <c r="AW36" i="3"/>
  <c r="AR36" i="3"/>
  <c r="AM36" i="3"/>
  <c r="AH36" i="3"/>
  <c r="AC36" i="3"/>
  <c r="X36" i="3"/>
  <c r="S36" i="3"/>
  <c r="N36" i="3"/>
  <c r="I36" i="3"/>
  <c r="BU35" i="3"/>
  <c r="BT35" i="3"/>
  <c r="BS35" i="3"/>
  <c r="BR35" i="3"/>
  <c r="BV35" i="3" s="1"/>
  <c r="BX35" i="3" s="1"/>
  <c r="BQ35" i="3"/>
  <c r="BL35" i="3"/>
  <c r="BG35" i="3"/>
  <c r="BB35" i="3"/>
  <c r="AW35" i="3"/>
  <c r="AR35" i="3"/>
  <c r="AM35" i="3"/>
  <c r="AH35" i="3"/>
  <c r="AC35" i="3"/>
  <c r="X35" i="3"/>
  <c r="S35" i="3"/>
  <c r="N35" i="3"/>
  <c r="I35" i="3"/>
  <c r="BU34" i="3"/>
  <c r="BT34" i="3"/>
  <c r="BS34" i="3"/>
  <c r="BR34" i="3"/>
  <c r="BQ34" i="3"/>
  <c r="BL34" i="3"/>
  <c r="BG34" i="3"/>
  <c r="BB34" i="3"/>
  <c r="AW34" i="3"/>
  <c r="AR34" i="3"/>
  <c r="AM34" i="3"/>
  <c r="AH34" i="3"/>
  <c r="AC34" i="3"/>
  <c r="X34" i="3"/>
  <c r="S34" i="3"/>
  <c r="N34" i="3"/>
  <c r="I34" i="3"/>
  <c r="BU33" i="3"/>
  <c r="BT33" i="3"/>
  <c r="BS33" i="3"/>
  <c r="BR33" i="3"/>
  <c r="BQ33" i="3"/>
  <c r="BL33" i="3"/>
  <c r="BG33" i="3"/>
  <c r="BB33" i="3"/>
  <c r="AW33" i="3"/>
  <c r="AR33" i="3"/>
  <c r="AM33" i="3"/>
  <c r="AH33" i="3"/>
  <c r="AC33" i="3"/>
  <c r="X33" i="3"/>
  <c r="S33" i="3"/>
  <c r="N33" i="3"/>
  <c r="I33" i="3"/>
  <c r="BU32" i="3"/>
  <c r="BT32" i="3"/>
  <c r="BS32" i="3"/>
  <c r="BR32" i="3"/>
  <c r="BQ32" i="3"/>
  <c r="BL32" i="3"/>
  <c r="BG32" i="3"/>
  <c r="BB32" i="3"/>
  <c r="AW32" i="3"/>
  <c r="AR32" i="3"/>
  <c r="AM32" i="3"/>
  <c r="AH32" i="3"/>
  <c r="AC32" i="3"/>
  <c r="X32" i="3"/>
  <c r="S32" i="3"/>
  <c r="N32" i="3"/>
  <c r="I32" i="3"/>
  <c r="BU31" i="3"/>
  <c r="BT31" i="3"/>
  <c r="BS31" i="3"/>
  <c r="BR31" i="3"/>
  <c r="BV31" i="3" s="1"/>
  <c r="BX31" i="3" s="1"/>
  <c r="BQ31" i="3"/>
  <c r="BL31" i="3"/>
  <c r="BG31" i="3"/>
  <c r="BB31" i="3"/>
  <c r="AW31" i="3"/>
  <c r="AR31" i="3"/>
  <c r="AM31" i="3"/>
  <c r="AH31" i="3"/>
  <c r="AC31" i="3"/>
  <c r="X31" i="3"/>
  <c r="S31" i="3"/>
  <c r="N31" i="3"/>
  <c r="I31" i="3"/>
  <c r="BU30" i="3"/>
  <c r="BT30" i="3"/>
  <c r="BS30" i="3"/>
  <c r="BR30" i="3"/>
  <c r="BQ30" i="3"/>
  <c r="BL30" i="3"/>
  <c r="BG30" i="3"/>
  <c r="BB30" i="3"/>
  <c r="AW30" i="3"/>
  <c r="AR30" i="3"/>
  <c r="AM30" i="3"/>
  <c r="AH30" i="3"/>
  <c r="AC30" i="3"/>
  <c r="X30" i="3"/>
  <c r="S30" i="3"/>
  <c r="N30" i="3"/>
  <c r="I30" i="3"/>
  <c r="BU29" i="3"/>
  <c r="BT29" i="3"/>
  <c r="BS29" i="3"/>
  <c r="BR29" i="3"/>
  <c r="BQ29" i="3"/>
  <c r="BL29" i="3"/>
  <c r="BG29" i="3"/>
  <c r="BB29" i="3"/>
  <c r="AW29" i="3"/>
  <c r="AR29" i="3"/>
  <c r="AM29" i="3"/>
  <c r="AH29" i="3"/>
  <c r="AC29" i="3"/>
  <c r="X29" i="3"/>
  <c r="S29" i="3"/>
  <c r="N29" i="3"/>
  <c r="I29" i="3"/>
  <c r="BU28" i="3"/>
  <c r="BT28" i="3"/>
  <c r="BS28" i="3"/>
  <c r="BR28" i="3"/>
  <c r="BQ28" i="3"/>
  <c r="BL28" i="3"/>
  <c r="BG28" i="3"/>
  <c r="BB28" i="3"/>
  <c r="AW28" i="3"/>
  <c r="AR28" i="3"/>
  <c r="AM28" i="3"/>
  <c r="AH28" i="3"/>
  <c r="AC28" i="3"/>
  <c r="X28" i="3"/>
  <c r="S28" i="3"/>
  <c r="N28" i="3"/>
  <c r="I28" i="3"/>
  <c r="BU27" i="3"/>
  <c r="BT27" i="3"/>
  <c r="BS27" i="3"/>
  <c r="BR27" i="3"/>
  <c r="BV27" i="3" s="1"/>
  <c r="BX27" i="3" s="1"/>
  <c r="BQ27" i="3"/>
  <c r="BL27" i="3"/>
  <c r="BG27" i="3"/>
  <c r="BB27" i="3"/>
  <c r="AW27" i="3"/>
  <c r="AR27" i="3"/>
  <c r="AM27" i="3"/>
  <c r="AH27" i="3"/>
  <c r="AC27" i="3"/>
  <c r="X27" i="3"/>
  <c r="S27" i="3"/>
  <c r="N27" i="3"/>
  <c r="I27" i="3"/>
  <c r="BU26" i="3"/>
  <c r="BT26" i="3"/>
  <c r="BS26" i="3"/>
  <c r="BR26" i="3"/>
  <c r="BQ26" i="3"/>
  <c r="BL26" i="3"/>
  <c r="BG26" i="3"/>
  <c r="BB26" i="3"/>
  <c r="AW26" i="3"/>
  <c r="AR26" i="3"/>
  <c r="AM26" i="3"/>
  <c r="AH26" i="3"/>
  <c r="AC26" i="3"/>
  <c r="X26" i="3"/>
  <c r="S26" i="3"/>
  <c r="N26" i="3"/>
  <c r="I26" i="3"/>
  <c r="BU25" i="3"/>
  <c r="BT25" i="3"/>
  <c r="BS25" i="3"/>
  <c r="BR25" i="3"/>
  <c r="BQ25" i="3"/>
  <c r="BL25" i="3"/>
  <c r="BG25" i="3"/>
  <c r="BB25" i="3"/>
  <c r="AW25" i="3"/>
  <c r="AR25" i="3"/>
  <c r="AM25" i="3"/>
  <c r="AH25" i="3"/>
  <c r="AC25" i="3"/>
  <c r="X25" i="3"/>
  <c r="S25" i="3"/>
  <c r="N25" i="3"/>
  <c r="I25" i="3"/>
  <c r="BU24" i="3"/>
  <c r="BT24" i="3"/>
  <c r="BS24" i="3"/>
  <c r="BR24" i="3"/>
  <c r="BQ24" i="3"/>
  <c r="BL24" i="3"/>
  <c r="BG24" i="3"/>
  <c r="BB24" i="3"/>
  <c r="AW24" i="3"/>
  <c r="AR24" i="3"/>
  <c r="AM24" i="3"/>
  <c r="AH24" i="3"/>
  <c r="AC24" i="3"/>
  <c r="X24" i="3"/>
  <c r="S24" i="3"/>
  <c r="N24" i="3"/>
  <c r="I24" i="3"/>
  <c r="BU23" i="3"/>
  <c r="BR23" i="3"/>
  <c r="BO23" i="3"/>
  <c r="BO47" i="3" s="1"/>
  <c r="BN23" i="3"/>
  <c r="BN47" i="3" s="1"/>
  <c r="BM23" i="3"/>
  <c r="BM47" i="3" s="1"/>
  <c r="BL23" i="3"/>
  <c r="BG23" i="3"/>
  <c r="BB23" i="3"/>
  <c r="AW23" i="3"/>
  <c r="AR23" i="3"/>
  <c r="AM23" i="3"/>
  <c r="AH23" i="3"/>
  <c r="AC23" i="3"/>
  <c r="X23" i="3"/>
  <c r="S23" i="3"/>
  <c r="N23" i="3"/>
  <c r="I23" i="3"/>
  <c r="BU22" i="3"/>
  <c r="BT22" i="3"/>
  <c r="BS22" i="3"/>
  <c r="BR22" i="3"/>
  <c r="BQ22" i="3"/>
  <c r="BL22" i="3"/>
  <c r="BG22" i="3"/>
  <c r="BB22" i="3"/>
  <c r="AW22" i="3"/>
  <c r="AR22" i="3"/>
  <c r="AM22" i="3"/>
  <c r="AH22" i="3"/>
  <c r="AC22" i="3"/>
  <c r="X22" i="3"/>
  <c r="S22" i="3"/>
  <c r="N22" i="3"/>
  <c r="I22" i="3"/>
  <c r="BU21" i="3"/>
  <c r="BT21" i="3"/>
  <c r="BS21" i="3"/>
  <c r="BR21" i="3"/>
  <c r="BQ21" i="3"/>
  <c r="BL21" i="3"/>
  <c r="BG21" i="3"/>
  <c r="BB21" i="3"/>
  <c r="AW21" i="3"/>
  <c r="AR21" i="3"/>
  <c r="AM21" i="3"/>
  <c r="AH21" i="3"/>
  <c r="AC21" i="3"/>
  <c r="X21" i="3"/>
  <c r="S21" i="3"/>
  <c r="N21" i="3"/>
  <c r="I21" i="3"/>
  <c r="BU20" i="3"/>
  <c r="BT20" i="3"/>
  <c r="BS20" i="3"/>
  <c r="BR20" i="3"/>
  <c r="BQ20" i="3"/>
  <c r="BL20" i="3"/>
  <c r="BG20" i="3"/>
  <c r="BB20" i="3"/>
  <c r="AW20" i="3"/>
  <c r="AR20" i="3"/>
  <c r="AM20" i="3"/>
  <c r="AH20" i="3"/>
  <c r="AC20" i="3"/>
  <c r="X20" i="3"/>
  <c r="S20" i="3"/>
  <c r="N20" i="3"/>
  <c r="I20" i="3"/>
  <c r="BU19" i="3"/>
  <c r="BT19" i="3"/>
  <c r="BS19" i="3"/>
  <c r="BR19" i="3"/>
  <c r="BV19" i="3" s="1"/>
  <c r="BX19" i="3" s="1"/>
  <c r="BQ19" i="3"/>
  <c r="BL19" i="3"/>
  <c r="BG19" i="3"/>
  <c r="BB19" i="3"/>
  <c r="AW19" i="3"/>
  <c r="AR19" i="3"/>
  <c r="AM19" i="3"/>
  <c r="AH19" i="3"/>
  <c r="AC19" i="3"/>
  <c r="X19" i="3"/>
  <c r="S19" i="3"/>
  <c r="N19" i="3"/>
  <c r="I19" i="3"/>
  <c r="BU18" i="3"/>
  <c r="BT18" i="3"/>
  <c r="BS18" i="3"/>
  <c r="BR18" i="3"/>
  <c r="BQ18" i="3"/>
  <c r="BL18" i="3"/>
  <c r="BG18" i="3"/>
  <c r="BB18" i="3"/>
  <c r="AW18" i="3"/>
  <c r="AR18" i="3"/>
  <c r="AM18" i="3"/>
  <c r="AH18" i="3"/>
  <c r="AC18" i="3"/>
  <c r="X18" i="3"/>
  <c r="S18" i="3"/>
  <c r="N18" i="3"/>
  <c r="I18" i="3"/>
  <c r="BU17" i="3"/>
  <c r="BT17" i="3"/>
  <c r="BS17" i="3"/>
  <c r="BR17" i="3"/>
  <c r="BQ17" i="3"/>
  <c r="BL17" i="3"/>
  <c r="BG17" i="3"/>
  <c r="BB17" i="3"/>
  <c r="AW17" i="3"/>
  <c r="AR17" i="3"/>
  <c r="AM17" i="3"/>
  <c r="AH17" i="3"/>
  <c r="AC17" i="3"/>
  <c r="X17" i="3"/>
  <c r="S17" i="3"/>
  <c r="N17" i="3"/>
  <c r="I17" i="3"/>
  <c r="BU16" i="3"/>
  <c r="BT16" i="3"/>
  <c r="BS16" i="3"/>
  <c r="BR16" i="3"/>
  <c r="BQ16" i="3"/>
  <c r="BL16" i="3"/>
  <c r="BG16" i="3"/>
  <c r="BB16" i="3"/>
  <c r="AW16" i="3"/>
  <c r="AR16" i="3"/>
  <c r="AM16" i="3"/>
  <c r="AH16" i="3"/>
  <c r="AC16" i="3"/>
  <c r="X16" i="3"/>
  <c r="S16" i="3"/>
  <c r="N16" i="3"/>
  <c r="I16" i="3"/>
  <c r="BU15" i="3"/>
  <c r="BT15" i="3"/>
  <c r="BS15" i="3"/>
  <c r="BR15" i="3"/>
  <c r="BV15" i="3" s="1"/>
  <c r="BX15" i="3" s="1"/>
  <c r="BQ15" i="3"/>
  <c r="BL15" i="3"/>
  <c r="BG15" i="3"/>
  <c r="BF15" i="3"/>
  <c r="BB15" i="3"/>
  <c r="AW15" i="3"/>
  <c r="AR15" i="3"/>
  <c r="AM15" i="3"/>
  <c r="AH15" i="3"/>
  <c r="AC15" i="3"/>
  <c r="X15" i="3"/>
  <c r="S15" i="3"/>
  <c r="N15" i="3"/>
  <c r="I15" i="3"/>
  <c r="BU14" i="3"/>
  <c r="BT14" i="3"/>
  <c r="BS14" i="3"/>
  <c r="BR14" i="3"/>
  <c r="BQ14" i="3"/>
  <c r="BL14" i="3"/>
  <c r="BG14" i="3"/>
  <c r="BB14" i="3"/>
  <c r="AW14" i="3"/>
  <c r="AR14" i="3"/>
  <c r="AM14" i="3"/>
  <c r="AH14" i="3"/>
  <c r="AC14" i="3"/>
  <c r="X14" i="3"/>
  <c r="S14" i="3"/>
  <c r="N14" i="3"/>
  <c r="I14" i="3"/>
  <c r="BU13" i="3"/>
  <c r="BT13" i="3"/>
  <c r="BS13" i="3"/>
  <c r="BR13" i="3"/>
  <c r="BQ13" i="3"/>
  <c r="BL13" i="3"/>
  <c r="BG13" i="3"/>
  <c r="BB13" i="3"/>
  <c r="AW13" i="3"/>
  <c r="AR13" i="3"/>
  <c r="AM13" i="3"/>
  <c r="AH13" i="3"/>
  <c r="AC13" i="3"/>
  <c r="X13" i="3"/>
  <c r="S13" i="3"/>
  <c r="N13" i="3"/>
  <c r="I13" i="3"/>
  <c r="BU12" i="3"/>
  <c r="BT12" i="3"/>
  <c r="BS12" i="3"/>
  <c r="BR12" i="3"/>
  <c r="BV12" i="3" s="1"/>
  <c r="BX12" i="3" s="1"/>
  <c r="BQ12" i="3"/>
  <c r="BL12" i="3"/>
  <c r="BG12" i="3"/>
  <c r="BB12" i="3"/>
  <c r="AW12" i="3"/>
  <c r="AR12" i="3"/>
  <c r="AM12" i="3"/>
  <c r="AH12" i="3"/>
  <c r="AC12" i="3"/>
  <c r="X12" i="3"/>
  <c r="S12" i="3"/>
  <c r="N12" i="3"/>
  <c r="I12" i="3"/>
  <c r="BU11" i="3"/>
  <c r="BT11" i="3"/>
  <c r="BS11" i="3"/>
  <c r="BR11" i="3"/>
  <c r="BQ11" i="3"/>
  <c r="BL11" i="3"/>
  <c r="BG11" i="3"/>
  <c r="BB11" i="3"/>
  <c r="AW11" i="3"/>
  <c r="AR11" i="3"/>
  <c r="AM11" i="3"/>
  <c r="AH11" i="3"/>
  <c r="AC11" i="3"/>
  <c r="X11" i="3"/>
  <c r="S11" i="3"/>
  <c r="N11" i="3"/>
  <c r="I11" i="3"/>
  <c r="BU10" i="3"/>
  <c r="BT10" i="3"/>
  <c r="BS10" i="3"/>
  <c r="BR10" i="3"/>
  <c r="BQ10" i="3"/>
  <c r="BL10" i="3"/>
  <c r="BG10" i="3"/>
  <c r="BB10" i="3"/>
  <c r="AW10" i="3"/>
  <c r="AR10" i="3"/>
  <c r="AM10" i="3"/>
  <c r="AH10" i="3"/>
  <c r="AC10" i="3"/>
  <c r="X10" i="3"/>
  <c r="S10" i="3"/>
  <c r="N10" i="3"/>
  <c r="I10" i="3"/>
  <c r="BT9" i="3"/>
  <c r="BS9" i="3"/>
  <c r="BR9" i="3"/>
  <c r="BQ9" i="3"/>
  <c r="BL9" i="3"/>
  <c r="BF9" i="3"/>
  <c r="BG9" i="3" s="1"/>
  <c r="BB9" i="3"/>
  <c r="AW9" i="3"/>
  <c r="AR9" i="3"/>
  <c r="AM9" i="3"/>
  <c r="AH9" i="3"/>
  <c r="AC9" i="3"/>
  <c r="X9" i="3"/>
  <c r="S9" i="3"/>
  <c r="N9" i="3"/>
  <c r="I9" i="3"/>
  <c r="BU8" i="3"/>
  <c r="BT8" i="3"/>
  <c r="BS8" i="3"/>
  <c r="BR8" i="3"/>
  <c r="BQ8" i="3"/>
  <c r="BL8" i="3"/>
  <c r="BG8" i="3"/>
  <c r="BB8" i="3"/>
  <c r="AW8" i="3"/>
  <c r="AR8" i="3"/>
  <c r="AM8" i="3"/>
  <c r="AH8" i="3"/>
  <c r="AC8" i="3"/>
  <c r="X8" i="3"/>
  <c r="S8" i="3"/>
  <c r="N8" i="3"/>
  <c r="I8" i="3"/>
  <c r="BU7" i="3"/>
  <c r="BT7" i="3"/>
  <c r="BS7" i="3"/>
  <c r="BQ7" i="3"/>
  <c r="BL7" i="3"/>
  <c r="BG7" i="3"/>
  <c r="BC7" i="3"/>
  <c r="BC47" i="3" s="1"/>
  <c r="BB7" i="3"/>
  <c r="BB47" i="3" s="1"/>
  <c r="AW7" i="3"/>
  <c r="AR7" i="3"/>
  <c r="AM7" i="3"/>
  <c r="AH7" i="3"/>
  <c r="AH47" i="3" s="1"/>
  <c r="AC7" i="3"/>
  <c r="X7" i="3"/>
  <c r="S7" i="3"/>
  <c r="N7" i="3"/>
  <c r="N47" i="3" s="1"/>
  <c r="I7" i="3"/>
  <c r="BX5" i="3"/>
  <c r="T144" i="2"/>
  <c r="R144" i="2"/>
  <c r="O144" i="2"/>
  <c r="N144" i="2"/>
  <c r="L144" i="2"/>
  <c r="I144" i="2"/>
  <c r="U143" i="2"/>
  <c r="U142" i="2"/>
  <c r="U141" i="2"/>
  <c r="U140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O126" i="2"/>
  <c r="O119" i="2" s="1"/>
  <c r="N126" i="2"/>
  <c r="U125" i="2"/>
  <c r="U124" i="2"/>
  <c r="K123" i="2"/>
  <c r="U123" i="2" s="1"/>
  <c r="U122" i="2"/>
  <c r="N121" i="2"/>
  <c r="U121" i="2" s="1"/>
  <c r="U120" i="2"/>
  <c r="T119" i="2"/>
  <c r="S119" i="2"/>
  <c r="R119" i="2"/>
  <c r="Q119" i="2"/>
  <c r="P119" i="2"/>
  <c r="M119" i="2"/>
  <c r="L119" i="2"/>
  <c r="K119" i="2"/>
  <c r="J119" i="2"/>
  <c r="I119" i="2"/>
  <c r="T118" i="2"/>
  <c r="S118" i="2"/>
  <c r="Q118" i="2"/>
  <c r="O118" i="2"/>
  <c r="N118" i="2"/>
  <c r="M118" i="2"/>
  <c r="L118" i="2"/>
  <c r="K118" i="2"/>
  <c r="J118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U110" i="2"/>
  <c r="U109" i="2"/>
  <c r="U108" i="2"/>
  <c r="U107" i="2"/>
  <c r="U106" i="2"/>
  <c r="U105" i="2"/>
  <c r="U104" i="2"/>
  <c r="U103" i="2"/>
  <c r="U102" i="2"/>
  <c r="U101" i="2"/>
  <c r="U100" i="2"/>
  <c r="T99" i="2"/>
  <c r="S99" i="2"/>
  <c r="R99" i="2"/>
  <c r="Q99" i="2"/>
  <c r="Q95" i="2" s="1"/>
  <c r="Q79" i="2" s="1"/>
  <c r="P99" i="2"/>
  <c r="O99" i="2"/>
  <c r="N99" i="2"/>
  <c r="M99" i="2"/>
  <c r="M95" i="2" s="1"/>
  <c r="M79" i="2" s="1"/>
  <c r="L99" i="2"/>
  <c r="K99" i="2"/>
  <c r="J99" i="2"/>
  <c r="I99" i="2"/>
  <c r="I95" i="2" s="1"/>
  <c r="I79" i="2" s="1"/>
  <c r="U98" i="2"/>
  <c r="U97" i="2"/>
  <c r="U96" i="2"/>
  <c r="T95" i="2"/>
  <c r="T79" i="2" s="1"/>
  <c r="H95" i="2"/>
  <c r="U94" i="2"/>
  <c r="U93" i="2"/>
  <c r="U91" i="2"/>
  <c r="U90" i="2"/>
  <c r="U89" i="2"/>
  <c r="U87" i="2"/>
  <c r="U86" i="2"/>
  <c r="U85" i="2"/>
  <c r="U84" i="2"/>
  <c r="U83" i="2"/>
  <c r="U82" i="2"/>
  <c r="U81" i="2"/>
  <c r="H79" i="2"/>
  <c r="U75" i="2"/>
  <c r="Q73" i="2"/>
  <c r="P73" i="2"/>
  <c r="N73" i="2"/>
  <c r="M73" i="2"/>
  <c r="L73" i="2"/>
  <c r="K73" i="2"/>
  <c r="J73" i="2"/>
  <c r="U72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U70" i="2"/>
  <c r="U69" i="2"/>
  <c r="U67" i="2"/>
  <c r="U66" i="2"/>
  <c r="U65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U62" i="2"/>
  <c r="U60" i="2"/>
  <c r="U59" i="2"/>
  <c r="U58" i="2"/>
  <c r="U57" i="2"/>
  <c r="U56" i="2"/>
  <c r="U55" i="2"/>
  <c r="U54" i="2"/>
  <c r="U52" i="2"/>
  <c r="U51" i="2"/>
  <c r="T50" i="2"/>
  <c r="S50" i="2"/>
  <c r="R50" i="2"/>
  <c r="Q50" i="2"/>
  <c r="P50" i="2"/>
  <c r="O50" i="2"/>
  <c r="N50" i="2"/>
  <c r="M50" i="2"/>
  <c r="L50" i="2"/>
  <c r="K50" i="2"/>
  <c r="J50" i="2"/>
  <c r="H50" i="2"/>
  <c r="U48" i="2"/>
  <c r="M48" i="2"/>
  <c r="U47" i="2"/>
  <c r="U46" i="2"/>
  <c r="U45" i="2"/>
  <c r="U44" i="2"/>
  <c r="U43" i="2"/>
  <c r="U42" i="2"/>
  <c r="U41" i="2"/>
  <c r="U40" i="2"/>
  <c r="U39" i="2"/>
  <c r="U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U35" i="2"/>
  <c r="U34" i="2"/>
  <c r="U33" i="2"/>
  <c r="U32" i="2"/>
  <c r="T31" i="2"/>
  <c r="S31" i="2"/>
  <c r="R31" i="2"/>
  <c r="Q31" i="2"/>
  <c r="P31" i="2"/>
  <c r="O31" i="2"/>
  <c r="O30" i="2" s="1"/>
  <c r="N31" i="2"/>
  <c r="M31" i="2"/>
  <c r="L31" i="2"/>
  <c r="K31" i="2"/>
  <c r="J31" i="2"/>
  <c r="I31" i="2"/>
  <c r="H31" i="2"/>
  <c r="U29" i="2"/>
  <c r="U28" i="2"/>
  <c r="U26" i="2"/>
  <c r="U25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U22" i="2"/>
  <c r="U21" i="2" s="1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U20" i="2"/>
  <c r="S19" i="2"/>
  <c r="R19" i="2"/>
  <c r="Q19" i="2"/>
  <c r="P19" i="2"/>
  <c r="O19" i="2"/>
  <c r="N19" i="2"/>
  <c r="M19" i="2"/>
  <c r="L19" i="2"/>
  <c r="K19" i="2"/>
  <c r="J19" i="2"/>
  <c r="U17" i="2"/>
  <c r="L16" i="2"/>
  <c r="U16" i="2" s="1"/>
  <c r="U15" i="2"/>
  <c r="S14" i="2"/>
  <c r="R14" i="2"/>
  <c r="Q14" i="2"/>
  <c r="P14" i="2"/>
  <c r="O14" i="2"/>
  <c r="N14" i="2"/>
  <c r="M14" i="2"/>
  <c r="L14" i="2"/>
  <c r="K14" i="2"/>
  <c r="J14" i="2"/>
  <c r="O12" i="2"/>
  <c r="N12" i="2"/>
  <c r="M12" i="2"/>
  <c r="L12" i="2"/>
  <c r="K12" i="2"/>
  <c r="J12" i="2"/>
  <c r="O11" i="2"/>
  <c r="N11" i="2"/>
  <c r="M11" i="2"/>
  <c r="L11" i="2"/>
  <c r="K11" i="2"/>
  <c r="J11" i="2"/>
  <c r="N10" i="2"/>
  <c r="M10" i="2"/>
  <c r="L10" i="2"/>
  <c r="K10" i="2"/>
  <c r="J10" i="2"/>
  <c r="U10" i="2" s="1"/>
  <c r="S9" i="2"/>
  <c r="R9" i="2"/>
  <c r="Q9" i="2"/>
  <c r="P9" i="2"/>
  <c r="O9" i="2"/>
  <c r="N9" i="2"/>
  <c r="M9" i="2"/>
  <c r="L9" i="2"/>
  <c r="L7" i="2" s="1"/>
  <c r="L6" i="2" s="1"/>
  <c r="K9" i="2"/>
  <c r="J9" i="2"/>
  <c r="S8" i="2"/>
  <c r="R8" i="2"/>
  <c r="Q8" i="2"/>
  <c r="P8" i="2"/>
  <c r="O8" i="2"/>
  <c r="N8" i="2"/>
  <c r="M8" i="2"/>
  <c r="L8" i="2"/>
  <c r="K8" i="2"/>
  <c r="J8" i="2"/>
  <c r="T7" i="2"/>
  <c r="T6" i="2" s="1"/>
  <c r="I7" i="2"/>
  <c r="H7" i="2"/>
  <c r="I6" i="2"/>
  <c r="H3" i="2"/>
  <c r="M24" i="5" l="1"/>
  <c r="AG24" i="5"/>
  <c r="BA24" i="5"/>
  <c r="BU24" i="5"/>
  <c r="R53" i="5"/>
  <c r="AL53" i="5"/>
  <c r="BF53" i="5"/>
  <c r="BP24" i="5"/>
  <c r="BP95" i="5" s="1"/>
  <c r="H36" i="5"/>
  <c r="AB36" i="5"/>
  <c r="W46" i="5"/>
  <c r="AQ46" i="5"/>
  <c r="AQ45" i="5" s="1"/>
  <c r="W53" i="5"/>
  <c r="AQ53" i="5"/>
  <c r="BK53" i="5"/>
  <c r="BU32" i="10"/>
  <c r="BU23" i="10"/>
  <c r="AB13" i="10"/>
  <c r="AV13" i="10"/>
  <c r="BP13" i="10"/>
  <c r="BT42" i="8"/>
  <c r="BT83" i="8"/>
  <c r="BT22" i="8"/>
  <c r="BT93" i="8"/>
  <c r="BT124" i="8"/>
  <c r="L63" i="8"/>
  <c r="BT20" i="8"/>
  <c r="G12" i="8"/>
  <c r="BT47" i="8"/>
  <c r="BT52" i="8"/>
  <c r="V17" i="8"/>
  <c r="V13" i="8" s="1"/>
  <c r="AP17" i="8"/>
  <c r="AP13" i="8" s="1"/>
  <c r="V73" i="8"/>
  <c r="V15" i="8" s="1"/>
  <c r="BJ73" i="8"/>
  <c r="BT120" i="8"/>
  <c r="BT148" i="8"/>
  <c r="BT164" i="8"/>
  <c r="BT152" i="7"/>
  <c r="Q236" i="6"/>
  <c r="G13" i="6"/>
  <c r="Q215" i="6"/>
  <c r="Q220" i="6"/>
  <c r="BT110" i="6"/>
  <c r="BF85" i="5"/>
  <c r="AB53" i="5"/>
  <c r="R60" i="5"/>
  <c r="AL60" i="5"/>
  <c r="BF60" i="5"/>
  <c r="H24" i="5"/>
  <c r="AB24" i="5"/>
  <c r="AV24" i="5"/>
  <c r="M46" i="5"/>
  <c r="M45" i="5" s="1"/>
  <c r="AG46" i="5"/>
  <c r="BA46" i="5"/>
  <c r="BU46" i="5"/>
  <c r="M53" i="5"/>
  <c r="AG53" i="5"/>
  <c r="BA53" i="5"/>
  <c r="BU53" i="5"/>
  <c r="AV60" i="5"/>
  <c r="W60" i="5"/>
  <c r="AQ60" i="5"/>
  <c r="BK60" i="5"/>
  <c r="M7" i="2"/>
  <c r="M6" i="2" s="1"/>
  <c r="Q7" i="2"/>
  <c r="Q6" i="2" s="1"/>
  <c r="K95" i="2"/>
  <c r="K79" i="2" s="1"/>
  <c r="K117" i="2" s="1"/>
  <c r="K116" i="2" s="1"/>
  <c r="S95" i="2"/>
  <c r="S79" i="2" s="1"/>
  <c r="S117" i="2" s="1"/>
  <c r="S116" i="2" s="1"/>
  <c r="P7" i="2"/>
  <c r="N7" i="2"/>
  <c r="N6" i="2" s="1"/>
  <c r="N74" i="2" s="1"/>
  <c r="N76" i="2" s="1"/>
  <c r="U14" i="2"/>
  <c r="J30" i="2"/>
  <c r="N30" i="2"/>
  <c r="R30" i="2"/>
  <c r="U37" i="2"/>
  <c r="U144" i="2"/>
  <c r="K30" i="2"/>
  <c r="R7" i="2"/>
  <c r="R6" i="2" s="1"/>
  <c r="S7" i="2"/>
  <c r="S6" i="2" s="1"/>
  <c r="S74" i="2" s="1"/>
  <c r="S76" i="2" s="1"/>
  <c r="S113" i="2" s="1"/>
  <c r="S115" i="2" s="1"/>
  <c r="S139" i="2" s="1"/>
  <c r="S145" i="2" s="1"/>
  <c r="U63" i="2"/>
  <c r="S30" i="2"/>
  <c r="U31" i="2"/>
  <c r="U73" i="2"/>
  <c r="L95" i="2"/>
  <c r="L79" i="2" s="1"/>
  <c r="P95" i="2"/>
  <c r="P79" i="2" s="1"/>
  <c r="U126" i="2"/>
  <c r="U9" i="2"/>
  <c r="U8" i="2"/>
  <c r="U11" i="2"/>
  <c r="U19" i="2"/>
  <c r="N119" i="2"/>
  <c r="U119" i="2" s="1"/>
  <c r="J7" i="2"/>
  <c r="J6" i="2" s="1"/>
  <c r="O95" i="2"/>
  <c r="O79" i="2" s="1"/>
  <c r="O117" i="2" s="1"/>
  <c r="O116" i="2" s="1"/>
  <c r="U118" i="2"/>
  <c r="M97" i="5"/>
  <c r="AG97" i="5"/>
  <c r="BA97" i="5"/>
  <c r="BU97" i="5"/>
  <c r="AV31" i="5"/>
  <c r="AV102" i="5" s="1"/>
  <c r="AL105" i="5"/>
  <c r="W109" i="5"/>
  <c r="BK109" i="5"/>
  <c r="BW105" i="5"/>
  <c r="BW115" i="5"/>
  <c r="AV53" i="5"/>
  <c r="AV45" i="5" s="1"/>
  <c r="BP60" i="5"/>
  <c r="AB68" i="5"/>
  <c r="BP68" i="5"/>
  <c r="R96" i="5"/>
  <c r="AL96" i="5"/>
  <c r="BF96" i="5"/>
  <c r="R97" i="5"/>
  <c r="AL97" i="5"/>
  <c r="BF97" i="5"/>
  <c r="AV97" i="5"/>
  <c r="W104" i="5"/>
  <c r="BK104" i="5"/>
  <c r="W105" i="5"/>
  <c r="AQ105" i="5"/>
  <c r="BK105" i="5"/>
  <c r="BK45" i="5"/>
  <c r="R68" i="5"/>
  <c r="AL68" i="5"/>
  <c r="BF68" i="5"/>
  <c r="H53" i="5"/>
  <c r="H45" i="5" s="1"/>
  <c r="BP53" i="5"/>
  <c r="H68" i="5"/>
  <c r="AV68" i="5"/>
  <c r="AG96" i="5"/>
  <c r="W100" i="5"/>
  <c r="AQ100" i="5"/>
  <c r="BK100" i="5"/>
  <c r="R111" i="5"/>
  <c r="AL112" i="5"/>
  <c r="BF112" i="5"/>
  <c r="W68" i="5"/>
  <c r="AQ68" i="5"/>
  <c r="BK68" i="5"/>
  <c r="W67" i="4"/>
  <c r="BP68" i="3"/>
  <c r="R12" i="10"/>
  <c r="AL13" i="10"/>
  <c r="AL54" i="10" s="1"/>
  <c r="AG58" i="10"/>
  <c r="BA58" i="10"/>
  <c r="BU60" i="10"/>
  <c r="M73" i="10"/>
  <c r="AG73" i="10"/>
  <c r="BA73" i="10"/>
  <c r="BU70" i="10"/>
  <c r="BF13" i="10"/>
  <c r="R58" i="10"/>
  <c r="AL58" i="10"/>
  <c r="BF58" i="10"/>
  <c r="BU66" i="10"/>
  <c r="AB68" i="10"/>
  <c r="AV68" i="10"/>
  <c r="BP68" i="10"/>
  <c r="R73" i="10"/>
  <c r="AL73" i="10"/>
  <c r="BF73" i="10"/>
  <c r="AV55" i="10"/>
  <c r="M54" i="10"/>
  <c r="BU64" i="10"/>
  <c r="M68" i="10"/>
  <c r="AG68" i="10"/>
  <c r="BA68" i="10"/>
  <c r="AB54" i="10"/>
  <c r="AB12" i="10"/>
  <c r="BU59" i="10"/>
  <c r="CA18" i="10"/>
  <c r="BU68" i="10"/>
  <c r="CA33" i="10"/>
  <c r="CA32" i="10"/>
  <c r="BU74" i="10"/>
  <c r="AV54" i="10"/>
  <c r="AV12" i="10"/>
  <c r="BU38" i="10"/>
  <c r="M12" i="10"/>
  <c r="M58" i="10"/>
  <c r="W79" i="10"/>
  <c r="AQ79" i="10"/>
  <c r="BK79" i="10"/>
  <c r="CA38" i="10"/>
  <c r="BP54" i="10"/>
  <c r="BP12" i="10"/>
  <c r="AL12" i="10"/>
  <c r="W55" i="10"/>
  <c r="W13" i="10"/>
  <c r="AQ55" i="10"/>
  <c r="AQ13" i="10"/>
  <c r="BK55" i="10"/>
  <c r="BK13" i="10"/>
  <c r="CA13" i="10"/>
  <c r="AG13" i="10"/>
  <c r="AG56" i="10"/>
  <c r="BA13" i="10"/>
  <c r="BA56" i="10"/>
  <c r="BU13" i="10"/>
  <c r="BU56" i="10"/>
  <c r="L14" i="8"/>
  <c r="BJ15" i="8"/>
  <c r="BJ12" i="8" s="1"/>
  <c r="AK108" i="8"/>
  <c r="V156" i="8"/>
  <c r="V105" i="8" s="1"/>
  <c r="V103" i="8" s="1"/>
  <c r="AU18" i="8"/>
  <c r="BT37" i="8"/>
  <c r="BT132" i="8"/>
  <c r="AZ156" i="8"/>
  <c r="BT170" i="8"/>
  <c r="BT172" i="8"/>
  <c r="Q108" i="8"/>
  <c r="AA18" i="8"/>
  <c r="BT19" i="8"/>
  <c r="V63" i="8"/>
  <c r="BT64" i="8"/>
  <c r="BT63" i="8" s="1"/>
  <c r="BT14" i="8" s="1"/>
  <c r="AP103" i="8"/>
  <c r="BE108" i="8"/>
  <c r="BT144" i="8"/>
  <c r="G103" i="8"/>
  <c r="BJ156" i="8"/>
  <c r="BJ105" i="8" s="1"/>
  <c r="BJ103" i="8" s="1"/>
  <c r="BT157" i="8"/>
  <c r="BT156" i="8" s="1"/>
  <c r="BT105" i="8" s="1"/>
  <c r="Q168" i="8"/>
  <c r="Q106" i="8" s="1"/>
  <c r="BE168" i="8"/>
  <c r="BE106" i="8" s="1"/>
  <c r="BT176" i="8"/>
  <c r="BT169" i="8"/>
  <c r="BT152" i="8"/>
  <c r="BT160" i="8"/>
  <c r="BT140" i="8"/>
  <c r="Q18" i="8"/>
  <c r="AK18" i="8"/>
  <c r="BE18" i="8"/>
  <c r="AF63" i="8"/>
  <c r="AF73" i="8"/>
  <c r="AF156" i="8"/>
  <c r="AA156" i="8"/>
  <c r="AA63" i="8"/>
  <c r="AU63" i="8"/>
  <c r="BO63" i="8"/>
  <c r="AA73" i="8"/>
  <c r="AU73" i="8"/>
  <c r="BO73" i="8"/>
  <c r="AA17" i="8"/>
  <c r="BO17" i="8"/>
  <c r="AP63" i="8"/>
  <c r="Q63" i="8"/>
  <c r="AK63" i="8"/>
  <c r="BE63" i="8"/>
  <c r="AP73" i="8"/>
  <c r="Q73" i="8"/>
  <c r="AK73" i="8"/>
  <c r="BE73" i="8"/>
  <c r="AZ108" i="8"/>
  <c r="BE156" i="8"/>
  <c r="L17" i="8"/>
  <c r="AF17" i="8"/>
  <c r="AZ17" i="8"/>
  <c r="BT57" i="8"/>
  <c r="BT18" i="8" s="1"/>
  <c r="BT17" i="8" s="1"/>
  <c r="BT13" i="8" s="1"/>
  <c r="BT74" i="8"/>
  <c r="BT73" i="8" s="1"/>
  <c r="BT15" i="8" s="1"/>
  <c r="BT78" i="8"/>
  <c r="BT88" i="8"/>
  <c r="L108" i="8"/>
  <c r="AF108" i="8"/>
  <c r="L105" i="8"/>
  <c r="AZ105" i="8"/>
  <c r="L168" i="8"/>
  <c r="AF168" i="8"/>
  <c r="AZ168" i="8"/>
  <c r="AU112" i="8"/>
  <c r="Q156" i="8"/>
  <c r="AK156" i="8"/>
  <c r="AA168" i="8"/>
  <c r="AU168" i="8"/>
  <c r="BO168" i="8"/>
  <c r="AU109" i="8"/>
  <c r="AU110" i="8"/>
  <c r="BT113" i="8"/>
  <c r="BT114" i="8"/>
  <c r="BT110" i="8" s="1"/>
  <c r="AU156" i="8"/>
  <c r="BO156" i="8"/>
  <c r="BT35" i="7"/>
  <c r="BT40" i="7"/>
  <c r="AA15" i="7"/>
  <c r="BT92" i="7"/>
  <c r="BO65" i="7"/>
  <c r="BT110" i="7"/>
  <c r="G12" i="7"/>
  <c r="BT83" i="7"/>
  <c r="BT31" i="7"/>
  <c r="BT142" i="7"/>
  <c r="AF65" i="7"/>
  <c r="BT77" i="7"/>
  <c r="AF122" i="7"/>
  <c r="AA13" i="7"/>
  <c r="AU13" i="7"/>
  <c r="BO13" i="7"/>
  <c r="V14" i="7"/>
  <c r="L16" i="7"/>
  <c r="BT45" i="7"/>
  <c r="AK65" i="7"/>
  <c r="BT66" i="7"/>
  <c r="BT101" i="7"/>
  <c r="AZ122" i="7"/>
  <c r="AA122" i="7"/>
  <c r="AU122" i="7"/>
  <c r="BO122" i="7"/>
  <c r="BT127" i="7"/>
  <c r="BT137" i="7"/>
  <c r="BT125" i="7"/>
  <c r="L13" i="7"/>
  <c r="AF13" i="7"/>
  <c r="AZ13" i="7"/>
  <c r="BT13" i="7"/>
  <c r="AA14" i="7"/>
  <c r="AU14" i="7"/>
  <c r="BO14" i="7"/>
  <c r="V15" i="7"/>
  <c r="BT32" i="7"/>
  <c r="BT33" i="7"/>
  <c r="BT50" i="7"/>
  <c r="BT80" i="7"/>
  <c r="BT124" i="7"/>
  <c r="Q122" i="7"/>
  <c r="AK122" i="7"/>
  <c r="BE122" i="7"/>
  <c r="BT60" i="7"/>
  <c r="V122" i="7"/>
  <c r="AP122" i="7"/>
  <c r="BJ122" i="7"/>
  <c r="AP14" i="6"/>
  <c r="AP13" i="6" s="1"/>
  <c r="BJ14" i="6"/>
  <c r="BJ13" i="6" s="1"/>
  <c r="BT95" i="6"/>
  <c r="BE14" i="6"/>
  <c r="BE13" i="6" s="1"/>
  <c r="BT85" i="6"/>
  <c r="BT105" i="6"/>
  <c r="AZ14" i="6"/>
  <c r="AZ13" i="6" s="1"/>
  <c r="AZ8" i="6" s="1"/>
  <c r="AF209" i="6"/>
  <c r="AF9" i="6" s="1"/>
  <c r="L14" i="6"/>
  <c r="L13" i="6" s="1"/>
  <c r="AF14" i="6"/>
  <c r="AF13" i="6" s="1"/>
  <c r="Q210" i="6"/>
  <c r="Q209" i="6" s="1"/>
  <c r="Q9" i="6" s="1"/>
  <c r="AU280" i="6"/>
  <c r="AU279" i="6" s="1"/>
  <c r="AU10" i="6" s="1"/>
  <c r="AU11" i="6"/>
  <c r="BT236" i="6"/>
  <c r="AP280" i="6"/>
  <c r="AP279" i="6" s="1"/>
  <c r="BE34" i="6"/>
  <c r="BT62" i="6"/>
  <c r="V14" i="6"/>
  <c r="V13" i="6" s="1"/>
  <c r="V8" i="6" s="1"/>
  <c r="AA14" i="6"/>
  <c r="AA13" i="6" s="1"/>
  <c r="AA8" i="6" s="1"/>
  <c r="V11" i="6"/>
  <c r="BT90" i="6"/>
  <c r="BT100" i="6"/>
  <c r="AU209" i="6"/>
  <c r="BT288" i="6"/>
  <c r="BT300" i="6"/>
  <c r="BO280" i="6"/>
  <c r="BO279" i="6" s="1"/>
  <c r="BO10" i="6" s="1"/>
  <c r="BO11" i="6"/>
  <c r="BT120" i="6"/>
  <c r="AU14" i="6"/>
  <c r="AU13" i="6" s="1"/>
  <c r="AU8" i="6" s="1"/>
  <c r="BT341" i="6"/>
  <c r="BO14" i="6"/>
  <c r="BO13" i="6" s="1"/>
  <c r="BO8" i="6" s="1"/>
  <c r="L209" i="6"/>
  <c r="AZ209" i="6"/>
  <c r="BE209" i="6"/>
  <c r="BE9" i="6" s="1"/>
  <c r="AA209" i="6"/>
  <c r="BO209" i="6"/>
  <c r="V209" i="6"/>
  <c r="AP209" i="6"/>
  <c r="BJ209" i="6"/>
  <c r="AK209" i="6"/>
  <c r="AK9" i="6" s="1"/>
  <c r="BT246" i="6"/>
  <c r="BT211" i="6"/>
  <c r="BT294" i="6"/>
  <c r="BT332" i="6"/>
  <c r="BT335" i="6"/>
  <c r="BT186" i="6"/>
  <c r="AZ11" i="6"/>
  <c r="G8" i="6"/>
  <c r="Q14" i="6"/>
  <c r="AK14" i="6"/>
  <c r="BT16" i="6"/>
  <c r="BT17" i="6"/>
  <c r="BO28" i="6"/>
  <c r="BT29" i="6"/>
  <c r="BT35" i="6"/>
  <c r="BT41" i="6"/>
  <c r="BT53" i="6"/>
  <c r="AZ115" i="6"/>
  <c r="AU173" i="6"/>
  <c r="BT69" i="6"/>
  <c r="BE68" i="6"/>
  <c r="BT79" i="6"/>
  <c r="AP163" i="6"/>
  <c r="BJ163" i="6"/>
  <c r="BT58" i="6"/>
  <c r="BE57" i="6"/>
  <c r="AZ148" i="6"/>
  <c r="BT154" i="6"/>
  <c r="AP158" i="6"/>
  <c r="BO158" i="6"/>
  <c r="Q163" i="6"/>
  <c r="BT23" i="6"/>
  <c r="BT215" i="6"/>
  <c r="BT220" i="6"/>
  <c r="BT213" i="6"/>
  <c r="BT47" i="6"/>
  <c r="BT149" i="6"/>
  <c r="BT159" i="6"/>
  <c r="BT212" i="6"/>
  <c r="BJ68" i="6"/>
  <c r="BT70" i="6"/>
  <c r="Q74" i="6"/>
  <c r="BT75" i="6"/>
  <c r="BT116" i="6"/>
  <c r="BT144" i="6"/>
  <c r="BT164" i="6"/>
  <c r="BT169" i="6"/>
  <c r="BT241" i="6"/>
  <c r="BT259" i="6"/>
  <c r="BT265" i="6"/>
  <c r="Q269" i="6"/>
  <c r="BT270" i="6"/>
  <c r="Q274" i="6"/>
  <c r="BT275" i="6"/>
  <c r="AF280" i="6"/>
  <c r="BT174" i="6"/>
  <c r="Q225" i="6"/>
  <c r="BT226" i="6"/>
  <c r="BT232" i="6"/>
  <c r="BT253" i="6"/>
  <c r="V279" i="6"/>
  <c r="AB45" i="5"/>
  <c r="R85" i="5"/>
  <c r="AL85" i="5"/>
  <c r="BW86" i="5"/>
  <c r="W85" i="5"/>
  <c r="AQ85" i="5"/>
  <c r="BK85" i="5"/>
  <c r="M84" i="5"/>
  <c r="AG84" i="5"/>
  <c r="BA84" i="5"/>
  <c r="BF84" i="5"/>
  <c r="H23" i="5"/>
  <c r="M95" i="5"/>
  <c r="BA95" i="5"/>
  <c r="BU95" i="5"/>
  <c r="AV84" i="5"/>
  <c r="AV95" i="5"/>
  <c r="AB85" i="5"/>
  <c r="AV85" i="5"/>
  <c r="BP85" i="5"/>
  <c r="BU87" i="5"/>
  <c r="AB96" i="5"/>
  <c r="AV96" i="5"/>
  <c r="BP96" i="5"/>
  <c r="W97" i="5"/>
  <c r="AQ97" i="5"/>
  <c r="BK97" i="5"/>
  <c r="M99" i="5"/>
  <c r="AG99" i="5"/>
  <c r="BA99" i="5"/>
  <c r="BU99" i="5"/>
  <c r="AB100" i="5"/>
  <c r="AV100" i="5"/>
  <c r="BP100" i="5"/>
  <c r="AB31" i="5"/>
  <c r="AB102" i="5" s="1"/>
  <c r="BA31" i="5"/>
  <c r="BU107" i="5"/>
  <c r="AB107" i="5"/>
  <c r="AV36" i="5"/>
  <c r="AV107" i="5" s="1"/>
  <c r="AV108" i="5"/>
  <c r="BP36" i="5"/>
  <c r="BP107" i="5" s="1"/>
  <c r="BP108" i="5"/>
  <c r="W112" i="5"/>
  <c r="W40" i="5"/>
  <c r="W111" i="5" s="1"/>
  <c r="AQ112" i="5"/>
  <c r="AQ40" i="5"/>
  <c r="AQ111" i="5" s="1"/>
  <c r="BK112" i="5"/>
  <c r="BK40" i="5"/>
  <c r="BK111" i="5" s="1"/>
  <c r="W45" i="5"/>
  <c r="AG45" i="5"/>
  <c r="BA45" i="5"/>
  <c r="BU45" i="5"/>
  <c r="R13" i="5"/>
  <c r="AL13" i="5"/>
  <c r="M85" i="5"/>
  <c r="AG85" i="5"/>
  <c r="BA85" i="5"/>
  <c r="BU14" i="5"/>
  <c r="BU86" i="5"/>
  <c r="BU90" i="5"/>
  <c r="R24" i="5"/>
  <c r="AL24" i="5"/>
  <c r="BF24" i="5"/>
  <c r="M96" i="5"/>
  <c r="BA96" i="5"/>
  <c r="BU96" i="5"/>
  <c r="AB97" i="5"/>
  <c r="BP97" i="5"/>
  <c r="R99" i="5"/>
  <c r="AL99" i="5"/>
  <c r="BF99" i="5"/>
  <c r="M100" i="5"/>
  <c r="AG100" i="5"/>
  <c r="BA100" i="5"/>
  <c r="BU100" i="5"/>
  <c r="AG31" i="5"/>
  <c r="W31" i="5"/>
  <c r="W102" i="5" s="1"/>
  <c r="AQ31" i="5"/>
  <c r="AQ102" i="5" s="1"/>
  <c r="BK31" i="5"/>
  <c r="BK102" i="5" s="1"/>
  <c r="M107" i="5"/>
  <c r="R46" i="5"/>
  <c r="R45" i="5" s="1"/>
  <c r="AL46" i="5"/>
  <c r="AL45" i="5" s="1"/>
  <c r="BF46" i="5"/>
  <c r="AB108" i="5"/>
  <c r="AB84" i="5"/>
  <c r="BP84" i="5"/>
  <c r="AB95" i="5"/>
  <c r="W13" i="5"/>
  <c r="AQ13" i="5"/>
  <c r="BK13" i="5"/>
  <c r="BW85" i="5"/>
  <c r="BU89" i="5"/>
  <c r="BU92" i="5"/>
  <c r="W24" i="5"/>
  <c r="AQ24" i="5"/>
  <c r="BK24" i="5"/>
  <c r="R100" i="5"/>
  <c r="AL100" i="5"/>
  <c r="BF100" i="5"/>
  <c r="M31" i="5"/>
  <c r="BU31" i="5"/>
  <c r="BU102" i="5" s="1"/>
  <c r="BP103" i="5"/>
  <c r="BP31" i="5"/>
  <c r="BP102" i="5" s="1"/>
  <c r="AG107" i="5"/>
  <c r="R103" i="5"/>
  <c r="AL103" i="5"/>
  <c r="BF103" i="5"/>
  <c r="M104" i="5"/>
  <c r="AG104" i="5"/>
  <c r="BA104" i="5"/>
  <c r="BU104" i="5"/>
  <c r="AB105" i="5"/>
  <c r="AV105" i="5"/>
  <c r="BP105" i="5"/>
  <c r="M108" i="5"/>
  <c r="AG108" i="5"/>
  <c r="BA108" i="5"/>
  <c r="BU108" i="5"/>
  <c r="AB109" i="5"/>
  <c r="AV109" i="5"/>
  <c r="BP109" i="5"/>
  <c r="AB112" i="5"/>
  <c r="AV112" i="5"/>
  <c r="BP112" i="5"/>
  <c r="BW114" i="5"/>
  <c r="BW138" i="5"/>
  <c r="W103" i="5"/>
  <c r="AQ103" i="5"/>
  <c r="BK103" i="5"/>
  <c r="R104" i="5"/>
  <c r="AL104" i="5"/>
  <c r="BF104" i="5"/>
  <c r="M105" i="5"/>
  <c r="AG105" i="5"/>
  <c r="BA105" i="5"/>
  <c r="BU105" i="5"/>
  <c r="W36" i="5"/>
  <c r="W107" i="5" s="1"/>
  <c r="AQ36" i="5"/>
  <c r="AQ107" i="5" s="1"/>
  <c r="BK36" i="5"/>
  <c r="BK107" i="5" s="1"/>
  <c r="R108" i="5"/>
  <c r="AL108" i="5"/>
  <c r="BF108" i="5"/>
  <c r="M109" i="5"/>
  <c r="AG109" i="5"/>
  <c r="BA109" i="5"/>
  <c r="BU109" i="5"/>
  <c r="AB111" i="5"/>
  <c r="AV111" i="5"/>
  <c r="BP111" i="5"/>
  <c r="M112" i="5"/>
  <c r="AG112" i="5"/>
  <c r="BA112" i="5"/>
  <c r="BU112" i="5"/>
  <c r="M68" i="5"/>
  <c r="AG68" i="5"/>
  <c r="BA68" i="5"/>
  <c r="BU68" i="5"/>
  <c r="M111" i="5"/>
  <c r="AG111" i="5"/>
  <c r="BA111" i="5"/>
  <c r="BU111" i="5"/>
  <c r="BV9" i="4"/>
  <c r="BX9" i="4" s="1"/>
  <c r="W69" i="4"/>
  <c r="W73" i="4" s="1"/>
  <c r="BI67" i="4"/>
  <c r="BI69" i="4" s="1"/>
  <c r="BI73" i="4" s="1"/>
  <c r="BV11" i="4"/>
  <c r="BX11" i="4" s="1"/>
  <c r="BQ19" i="4"/>
  <c r="BQ37" i="4"/>
  <c r="BQ45" i="4"/>
  <c r="O69" i="4"/>
  <c r="O73" i="4" s="1"/>
  <c r="BC69" i="4"/>
  <c r="BC73" i="4" s="1"/>
  <c r="AV50" i="4"/>
  <c r="AV67" i="4" s="1"/>
  <c r="AV69" i="4" s="1"/>
  <c r="AV73" i="4" s="1"/>
  <c r="BA67" i="4"/>
  <c r="BE67" i="4"/>
  <c r="I67" i="4"/>
  <c r="AC52" i="4"/>
  <c r="BU52" i="4"/>
  <c r="AQ69" i="4"/>
  <c r="AQ73" i="4" s="1"/>
  <c r="BA69" i="4"/>
  <c r="BA73" i="4" s="1"/>
  <c r="AR67" i="4"/>
  <c r="N47" i="4"/>
  <c r="AH47" i="4"/>
  <c r="BB47" i="4"/>
  <c r="BN47" i="4"/>
  <c r="BU7" i="4"/>
  <c r="BV10" i="4"/>
  <c r="BX10" i="4" s="1"/>
  <c r="BQ13" i="4"/>
  <c r="BR13" i="4"/>
  <c r="BV13" i="4" s="1"/>
  <c r="BX13" i="4" s="1"/>
  <c r="BV14" i="4"/>
  <c r="BX14" i="4" s="1"/>
  <c r="BQ20" i="4"/>
  <c r="BQ24" i="4"/>
  <c r="BR24" i="4"/>
  <c r="BV24" i="4" s="1"/>
  <c r="BX24" i="4" s="1"/>
  <c r="BV27" i="4"/>
  <c r="BX27" i="4" s="1"/>
  <c r="BR31" i="4"/>
  <c r="BV31" i="4" s="1"/>
  <c r="BX31" i="4" s="1"/>
  <c r="BV33" i="4"/>
  <c r="BQ34" i="4"/>
  <c r="BV37" i="4"/>
  <c r="BX37" i="4" s="1"/>
  <c r="BQ42" i="4"/>
  <c r="BV45" i="4"/>
  <c r="BX45" i="4" s="1"/>
  <c r="K69" i="4"/>
  <c r="K73" i="4" s="1"/>
  <c r="AE69" i="4"/>
  <c r="AE73" i="4" s="1"/>
  <c r="AY69" i="4"/>
  <c r="AY73" i="4" s="1"/>
  <c r="BE69" i="4"/>
  <c r="BE73" i="4" s="1"/>
  <c r="BD50" i="4"/>
  <c r="BD67" i="4" s="1"/>
  <c r="BD69" i="4" s="1"/>
  <c r="BD73" i="4" s="1"/>
  <c r="BQ51" i="4"/>
  <c r="AX69" i="4"/>
  <c r="AX73" i="4" s="1"/>
  <c r="BP67" i="4"/>
  <c r="AH52" i="4"/>
  <c r="AH67" i="4" s="1"/>
  <c r="BQ64" i="4"/>
  <c r="BQ65" i="4"/>
  <c r="BP69" i="4"/>
  <c r="BP73" i="4" s="1"/>
  <c r="BR44" i="4"/>
  <c r="BV44" i="4" s="1"/>
  <c r="BX44" i="4" s="1"/>
  <c r="BV64" i="4"/>
  <c r="BX64" i="4" s="1"/>
  <c r="BT47" i="4"/>
  <c r="BV16" i="4"/>
  <c r="BX16" i="4" s="1"/>
  <c r="BV17" i="4"/>
  <c r="BX17" i="4" s="1"/>
  <c r="BQ18" i="4"/>
  <c r="BR19" i="4"/>
  <c r="BV22" i="4"/>
  <c r="BX22" i="4" s="1"/>
  <c r="BQ26" i="4"/>
  <c r="BV34" i="4"/>
  <c r="BX34" i="4" s="1"/>
  <c r="BV38" i="4"/>
  <c r="BX38" i="4" s="1"/>
  <c r="BV41" i="4"/>
  <c r="BX41" i="4" s="1"/>
  <c r="BV42" i="4"/>
  <c r="BX42" i="4" s="1"/>
  <c r="BV46" i="4"/>
  <c r="BX46" i="4" s="1"/>
  <c r="L69" i="4"/>
  <c r="L73" i="4" s="1"/>
  <c r="Q69" i="4"/>
  <c r="Q73" i="4" s="1"/>
  <c r="AA69" i="4"/>
  <c r="AA73" i="4" s="1"/>
  <c r="AU69" i="4"/>
  <c r="AU73" i="4" s="1"/>
  <c r="BK69" i="4"/>
  <c r="BK73" i="4" s="1"/>
  <c r="AZ50" i="4"/>
  <c r="BB50" i="4" s="1"/>
  <c r="BB67" i="4" s="1"/>
  <c r="BB69" i="4" s="1"/>
  <c r="BB73" i="4" s="1"/>
  <c r="BM67" i="4"/>
  <c r="AM67" i="4"/>
  <c r="BV55" i="4"/>
  <c r="BX55" i="4" s="1"/>
  <c r="BV66" i="4"/>
  <c r="BX66" i="4" s="1"/>
  <c r="E69" i="4"/>
  <c r="E73" i="4" s="1"/>
  <c r="X47" i="4"/>
  <c r="AR47" i="4"/>
  <c r="AR69" i="4" s="1"/>
  <c r="AR73" i="4" s="1"/>
  <c r="BL47" i="4"/>
  <c r="BQ11" i="4"/>
  <c r="BV26" i="4"/>
  <c r="BX26" i="4" s="1"/>
  <c r="BV28" i="4"/>
  <c r="BX28" i="4" s="1"/>
  <c r="BV29" i="4"/>
  <c r="BX29" i="4" s="1"/>
  <c r="BV30" i="4"/>
  <c r="BX30" i="4" s="1"/>
  <c r="BV35" i="4"/>
  <c r="BX35" i="4" s="1"/>
  <c r="BV36" i="4"/>
  <c r="BX36" i="4" s="1"/>
  <c r="BV43" i="4"/>
  <c r="BX43" i="4" s="1"/>
  <c r="I47" i="4"/>
  <c r="AC47" i="4"/>
  <c r="AW47" i="4"/>
  <c r="BM47" i="4"/>
  <c r="BM69" i="4" s="1"/>
  <c r="BM73" i="4" s="1"/>
  <c r="BQ7" i="4"/>
  <c r="BU47" i="4"/>
  <c r="CD47" i="4" s="1"/>
  <c r="BV8" i="4"/>
  <c r="BX8" i="4" s="1"/>
  <c r="BQ9" i="4"/>
  <c r="BQ10" i="4"/>
  <c r="BV15" i="4"/>
  <c r="BX15" i="4" s="1"/>
  <c r="F69" i="4"/>
  <c r="F73" i="4" s="1"/>
  <c r="BV21" i="4"/>
  <c r="BX21" i="4" s="1"/>
  <c r="BV32" i="4"/>
  <c r="BX32" i="4" s="1"/>
  <c r="BV40" i="4"/>
  <c r="BX40" i="4" s="1"/>
  <c r="J69" i="4"/>
  <c r="J73" i="4" s="1"/>
  <c r="BX33" i="4"/>
  <c r="S47" i="4"/>
  <c r="AM47" i="4"/>
  <c r="AM69" i="4" s="1"/>
  <c r="AM73" i="4" s="1"/>
  <c r="BO47" i="4"/>
  <c r="BO69" i="4" s="1"/>
  <c r="BO73" i="4" s="1"/>
  <c r="BS7" i="4"/>
  <c r="BS47" i="4" s="1"/>
  <c r="CB47" i="4" s="1"/>
  <c r="BV19" i="4"/>
  <c r="BX19" i="4" s="1"/>
  <c r="BV25" i="4"/>
  <c r="BX25" i="4" s="1"/>
  <c r="BV39" i="4"/>
  <c r="BX39" i="4" s="1"/>
  <c r="BR12" i="4"/>
  <c r="BV12" i="4" s="1"/>
  <c r="BX12" i="4" s="1"/>
  <c r="BQ17" i="4"/>
  <c r="BR18" i="4"/>
  <c r="BV18" i="4" s="1"/>
  <c r="BX18" i="4" s="1"/>
  <c r="BR20" i="4"/>
  <c r="BV20" i="4" s="1"/>
  <c r="BX20" i="4" s="1"/>
  <c r="BG23" i="4"/>
  <c r="BG47" i="4" s="1"/>
  <c r="BS23" i="4"/>
  <c r="BV23" i="4" s="1"/>
  <c r="BX23" i="4" s="1"/>
  <c r="BQ27" i="4"/>
  <c r="BQ28" i="4"/>
  <c r="BQ30" i="4"/>
  <c r="BQ39" i="4"/>
  <c r="AO69" i="4"/>
  <c r="AO73" i="4" s="1"/>
  <c r="BQ52" i="4"/>
  <c r="BU57" i="4"/>
  <c r="BV57" i="4" s="1"/>
  <c r="BX57" i="4" s="1"/>
  <c r="BQ22" i="4"/>
  <c r="BQ25" i="4"/>
  <c r="BQ32" i="4"/>
  <c r="BQ33" i="4"/>
  <c r="BQ35" i="4"/>
  <c r="BQ38" i="4"/>
  <c r="BQ41" i="4"/>
  <c r="BQ43" i="4"/>
  <c r="BQ46" i="4"/>
  <c r="BV51" i="4"/>
  <c r="BX51" i="4" s="1"/>
  <c r="BN67" i="4"/>
  <c r="BN69" i="4" s="1"/>
  <c r="BN73" i="4" s="1"/>
  <c r="BN50" i="4"/>
  <c r="BQ50" i="4" s="1"/>
  <c r="BR53" i="4"/>
  <c r="BV65" i="4"/>
  <c r="BX65" i="4" s="1"/>
  <c r="BQ16" i="4"/>
  <c r="BQ29" i="4"/>
  <c r="BQ40" i="4"/>
  <c r="CC47" i="4"/>
  <c r="G69" i="4"/>
  <c r="G73" i="4" s="1"/>
  <c r="BJ50" i="4"/>
  <c r="BL50" i="4" s="1"/>
  <c r="BL67" i="4" s="1"/>
  <c r="S52" i="4"/>
  <c r="S67" i="4" s="1"/>
  <c r="AC67" i="4"/>
  <c r="BV56" i="4"/>
  <c r="BX56" i="4" s="1"/>
  <c r="BV63" i="4"/>
  <c r="BX63" i="4" s="1"/>
  <c r="AT50" i="4"/>
  <c r="AT67" i="4" s="1"/>
  <c r="AT69" i="4" s="1"/>
  <c r="AT73" i="4" s="1"/>
  <c r="BF50" i="4"/>
  <c r="BF67" i="4" s="1"/>
  <c r="BF69" i="4" s="1"/>
  <c r="BF73" i="4" s="1"/>
  <c r="T52" i="4"/>
  <c r="T67" i="4" s="1"/>
  <c r="T69" i="4" s="1"/>
  <c r="T73" i="4" s="1"/>
  <c r="X53" i="4"/>
  <c r="X52" i="4" s="1"/>
  <c r="X67" i="4" s="1"/>
  <c r="BR54" i="4"/>
  <c r="BV54" i="4" s="1"/>
  <c r="BX54" i="4" s="1"/>
  <c r="N54" i="4"/>
  <c r="N52" i="4" s="1"/>
  <c r="N67" i="4" s="1"/>
  <c r="BV8" i="3"/>
  <c r="BX8" i="3" s="1"/>
  <c r="BV16" i="3"/>
  <c r="BX16" i="3" s="1"/>
  <c r="BV20" i="3"/>
  <c r="BX20" i="3" s="1"/>
  <c r="BV24" i="3"/>
  <c r="BX24" i="3" s="1"/>
  <c r="BV28" i="3"/>
  <c r="BX28" i="3" s="1"/>
  <c r="BV32" i="3"/>
  <c r="BX32" i="3" s="1"/>
  <c r="BV36" i="3"/>
  <c r="BX36" i="3" s="1"/>
  <c r="BV40" i="3"/>
  <c r="BX40" i="3" s="1"/>
  <c r="BV44" i="3"/>
  <c r="BX44" i="3" s="1"/>
  <c r="L73" i="3"/>
  <c r="L77" i="3" s="1"/>
  <c r="AF73" i="3"/>
  <c r="AF77" i="3" s="1"/>
  <c r="AK68" i="3"/>
  <c r="AP68" i="3"/>
  <c r="AP73" i="3" s="1"/>
  <c r="AP77" i="3" s="1"/>
  <c r="BK68" i="3"/>
  <c r="BK73" i="3" s="1"/>
  <c r="BK77" i="3" s="1"/>
  <c r="BV53" i="3"/>
  <c r="BX53" i="3" s="1"/>
  <c r="BU59" i="3"/>
  <c r="BB59" i="3"/>
  <c r="BG59" i="3"/>
  <c r="BG68" i="3" s="1"/>
  <c r="BQ59" i="3"/>
  <c r="BV64" i="3"/>
  <c r="BX64" i="3" s="1"/>
  <c r="P73" i="3"/>
  <c r="P77" i="3" s="1"/>
  <c r="AM68" i="3"/>
  <c r="X47" i="3"/>
  <c r="AR47" i="3"/>
  <c r="BG47" i="3"/>
  <c r="BG73" i="3" s="1"/>
  <c r="BG77" i="3" s="1"/>
  <c r="BV10" i="3"/>
  <c r="BX10" i="3" s="1"/>
  <c r="BV14" i="3"/>
  <c r="BX14" i="3" s="1"/>
  <c r="BV17" i="3"/>
  <c r="BX17" i="3" s="1"/>
  <c r="BV21" i="3"/>
  <c r="BX21" i="3" s="1"/>
  <c r="BV25" i="3"/>
  <c r="BX25" i="3" s="1"/>
  <c r="BV29" i="3"/>
  <c r="BX29" i="3" s="1"/>
  <c r="BV33" i="3"/>
  <c r="BX33" i="3" s="1"/>
  <c r="BV37" i="3"/>
  <c r="BX37" i="3" s="1"/>
  <c r="BV41" i="3"/>
  <c r="BX41" i="3" s="1"/>
  <c r="BV45" i="3"/>
  <c r="BX45" i="3" s="1"/>
  <c r="H73" i="3"/>
  <c r="H77" i="3" s="1"/>
  <c r="BA73" i="3"/>
  <c r="BA77" i="3" s="1"/>
  <c r="BV51" i="3"/>
  <c r="BX51" i="3" s="1"/>
  <c r="AU73" i="3"/>
  <c r="AU77" i="3" s="1"/>
  <c r="AY73" i="3"/>
  <c r="AY77" i="3" s="1"/>
  <c r="BC68" i="3"/>
  <c r="BC73" i="3" s="1"/>
  <c r="BC77" i="3" s="1"/>
  <c r="X68" i="3"/>
  <c r="AM59" i="3"/>
  <c r="BV13" i="3"/>
  <c r="BX13" i="3" s="1"/>
  <c r="BL47" i="3"/>
  <c r="BV11" i="3"/>
  <c r="BX11" i="3" s="1"/>
  <c r="BV18" i="3"/>
  <c r="BX18" i="3" s="1"/>
  <c r="BV22" i="3"/>
  <c r="BX22" i="3" s="1"/>
  <c r="BV26" i="3"/>
  <c r="BX26" i="3" s="1"/>
  <c r="BV30" i="3"/>
  <c r="BX30" i="3" s="1"/>
  <c r="BV34" i="3"/>
  <c r="BX34" i="3" s="1"/>
  <c r="BV38" i="3"/>
  <c r="BX38" i="3" s="1"/>
  <c r="BV42" i="3"/>
  <c r="BX42" i="3" s="1"/>
  <c r="BV46" i="3"/>
  <c r="BX46" i="3" s="1"/>
  <c r="AN73" i="3"/>
  <c r="AN77" i="3" s="1"/>
  <c r="AX73" i="3"/>
  <c r="AX77" i="3" s="1"/>
  <c r="BD73" i="3"/>
  <c r="BD77" i="3" s="1"/>
  <c r="W73" i="3"/>
  <c r="W77" i="3" s="1"/>
  <c r="AE73" i="3"/>
  <c r="AE77" i="3" s="1"/>
  <c r="BV66" i="3"/>
  <c r="BX66" i="3" s="1"/>
  <c r="N73" i="3"/>
  <c r="N77" i="3" s="1"/>
  <c r="BU68" i="3"/>
  <c r="I47" i="3"/>
  <c r="I73" i="3" s="1"/>
  <c r="I77" i="3" s="1"/>
  <c r="AC47" i="3"/>
  <c r="AC73" i="3" s="1"/>
  <c r="AC77" i="3" s="1"/>
  <c r="AW47" i="3"/>
  <c r="BU9" i="3"/>
  <c r="BV9" i="3" s="1"/>
  <c r="BX9" i="3" s="1"/>
  <c r="BS23" i="3"/>
  <c r="BS47" i="3" s="1"/>
  <c r="E73" i="3"/>
  <c r="E77" i="3" s="1"/>
  <c r="AJ73" i="3"/>
  <c r="AJ77" i="3" s="1"/>
  <c r="AO73" i="3"/>
  <c r="AO77" i="3" s="1"/>
  <c r="BH73" i="3"/>
  <c r="BH77" i="3" s="1"/>
  <c r="N68" i="3"/>
  <c r="R68" i="3"/>
  <c r="R73" i="3" s="1"/>
  <c r="R77" i="3" s="1"/>
  <c r="AL68" i="3"/>
  <c r="AL73" i="3" s="1"/>
  <c r="AL77" i="3" s="1"/>
  <c r="BB68" i="3"/>
  <c r="BB73" i="3" s="1"/>
  <c r="BB77" i="3" s="1"/>
  <c r="BF68" i="3"/>
  <c r="BF73" i="3" s="1"/>
  <c r="BF77" i="3" s="1"/>
  <c r="BU57" i="3"/>
  <c r="BS59" i="3"/>
  <c r="AR59" i="3"/>
  <c r="AR68" i="3" s="1"/>
  <c r="AR73" i="3" s="1"/>
  <c r="AR77" i="3" s="1"/>
  <c r="AS59" i="3"/>
  <c r="AW59" i="3" s="1"/>
  <c r="AW68" i="3" s="1"/>
  <c r="BR60" i="3"/>
  <c r="BV60" i="3" s="1"/>
  <c r="BR61" i="3"/>
  <c r="BV61" i="3" s="1"/>
  <c r="AW61" i="3"/>
  <c r="BR62" i="3"/>
  <c r="BV62" i="3" s="1"/>
  <c r="AW62" i="3"/>
  <c r="BV65" i="3"/>
  <c r="BX65" i="3" s="1"/>
  <c r="BV71" i="3"/>
  <c r="BX71" i="3" s="1"/>
  <c r="BT23" i="3"/>
  <c r="BT47" i="3" s="1"/>
  <c r="T73" i="3"/>
  <c r="T77" i="3" s="1"/>
  <c r="AG73" i="3"/>
  <c r="AG77" i="3" s="1"/>
  <c r="AK73" i="3"/>
  <c r="AK77" i="3" s="1"/>
  <c r="BI73" i="3"/>
  <c r="BI77" i="3" s="1"/>
  <c r="AI68" i="3"/>
  <c r="AI73" i="3" s="1"/>
  <c r="AI77" i="3" s="1"/>
  <c r="AQ68" i="3"/>
  <c r="AQ73" i="3" s="1"/>
  <c r="AQ77" i="3" s="1"/>
  <c r="BV58" i="3"/>
  <c r="BT59" i="3"/>
  <c r="AB68" i="3"/>
  <c r="AB73" i="3" s="1"/>
  <c r="AB77" i="3" s="1"/>
  <c r="S47" i="3"/>
  <c r="S73" i="3" s="1"/>
  <c r="S77" i="3" s="1"/>
  <c r="AM47" i="3"/>
  <c r="BR7" i="3"/>
  <c r="BQ23" i="3"/>
  <c r="BQ47" i="3" s="1"/>
  <c r="U73" i="3"/>
  <c r="U77" i="3" s="1"/>
  <c r="Y73" i="3"/>
  <c r="Y77" i="3" s="1"/>
  <c r="AZ73" i="3"/>
  <c r="AZ77" i="3" s="1"/>
  <c r="BE73" i="3"/>
  <c r="BE77" i="3" s="1"/>
  <c r="BP73" i="3"/>
  <c r="BP77" i="3" s="1"/>
  <c r="BV54" i="3"/>
  <c r="BX54" i="3" s="1"/>
  <c r="BV56" i="3"/>
  <c r="BX56" i="3" s="1"/>
  <c r="BL57" i="3"/>
  <c r="BM57" i="3" s="1"/>
  <c r="BM68" i="3" s="1"/>
  <c r="BM73" i="3" s="1"/>
  <c r="BM77" i="3" s="1"/>
  <c r="AW58" i="3"/>
  <c r="BL59" i="3"/>
  <c r="AV68" i="3"/>
  <c r="AV73" i="3" s="1"/>
  <c r="AV77" i="3" s="1"/>
  <c r="AH59" i="3"/>
  <c r="AH68" i="3" s="1"/>
  <c r="AH73" i="3" s="1"/>
  <c r="AH77" i="3" s="1"/>
  <c r="J95" i="2"/>
  <c r="J79" i="2" s="1"/>
  <c r="N95" i="2"/>
  <c r="N79" i="2" s="1"/>
  <c r="N117" i="2" s="1"/>
  <c r="N116" i="2" s="1"/>
  <c r="R95" i="2"/>
  <c r="R79" i="2" s="1"/>
  <c r="R113" i="2" s="1"/>
  <c r="R115" i="2" s="1"/>
  <c r="I74" i="2"/>
  <c r="I76" i="2" s="1"/>
  <c r="I113" i="2" s="1"/>
  <c r="I115" i="2" s="1"/>
  <c r="R74" i="2"/>
  <c r="R76" i="2" s="1"/>
  <c r="J74" i="2"/>
  <c r="J76" i="2" s="1"/>
  <c r="J113" i="2" s="1"/>
  <c r="J115" i="2" s="1"/>
  <c r="I30" i="2"/>
  <c r="M30" i="2"/>
  <c r="M74" i="2" s="1"/>
  <c r="M76" i="2" s="1"/>
  <c r="M113" i="2" s="1"/>
  <c r="M115" i="2" s="1"/>
  <c r="Q30" i="2"/>
  <c r="Q74" i="2" s="1"/>
  <c r="Q76" i="2" s="1"/>
  <c r="Q113" i="2" s="1"/>
  <c r="Q115" i="2" s="1"/>
  <c r="H30" i="2"/>
  <c r="L30" i="2"/>
  <c r="L74" i="2" s="1"/>
  <c r="L76" i="2" s="1"/>
  <c r="L113" i="2" s="1"/>
  <c r="L115" i="2" s="1"/>
  <c r="P30" i="2"/>
  <c r="T30" i="2"/>
  <c r="T74" i="2" s="1"/>
  <c r="T76" i="2" s="1"/>
  <c r="T113" i="2" s="1"/>
  <c r="T115" i="2" s="1"/>
  <c r="U23" i="2"/>
  <c r="U30" i="2"/>
  <c r="L117" i="2"/>
  <c r="L116" i="2" s="1"/>
  <c r="K7" i="2"/>
  <c r="K6" i="2" s="1"/>
  <c r="K74" i="2" s="1"/>
  <c r="K76" i="2" s="1"/>
  <c r="K113" i="2" s="1"/>
  <c r="K115" i="2" s="1"/>
  <c r="K139" i="2" s="1"/>
  <c r="K145" i="2" s="1"/>
  <c r="O7" i="2"/>
  <c r="O6" i="2" s="1"/>
  <c r="O74" i="2" s="1"/>
  <c r="O76" i="2" s="1"/>
  <c r="O113" i="2" s="1"/>
  <c r="O115" i="2" s="1"/>
  <c r="O139" i="2" s="1"/>
  <c r="O145" i="2" s="1"/>
  <c r="U50" i="2"/>
  <c r="J117" i="2"/>
  <c r="J116" i="2" s="1"/>
  <c r="T117" i="2"/>
  <c r="T116" i="2" s="1"/>
  <c r="H6" i="2"/>
  <c r="U12" i="2"/>
  <c r="P6" i="2"/>
  <c r="P74" i="2" s="1"/>
  <c r="P76" i="2" s="1"/>
  <c r="P113" i="2" s="1"/>
  <c r="P115" i="2" s="1"/>
  <c r="U99" i="2"/>
  <c r="P117" i="2"/>
  <c r="P116" i="2" s="1"/>
  <c r="U112" i="2"/>
  <c r="I117" i="2"/>
  <c r="M117" i="2"/>
  <c r="M116" i="2" s="1"/>
  <c r="Q117" i="2"/>
  <c r="Q116" i="2" s="1"/>
  <c r="AV23" i="5" l="1"/>
  <c r="AV94" i="5" s="1"/>
  <c r="BF45" i="5"/>
  <c r="BT12" i="8"/>
  <c r="BP45" i="5"/>
  <c r="H78" i="5"/>
  <c r="N113" i="2"/>
  <c r="N115" i="2" s="1"/>
  <c r="N139" i="2" s="1"/>
  <c r="N145" i="2" s="1"/>
  <c r="R117" i="2"/>
  <c r="R116" i="2" s="1"/>
  <c r="AB23" i="5"/>
  <c r="AB94" i="5" s="1"/>
  <c r="BU79" i="10"/>
  <c r="BF54" i="10"/>
  <c r="BF12" i="10"/>
  <c r="R53" i="10"/>
  <c r="R40" i="10"/>
  <c r="R81" i="10" s="1"/>
  <c r="BU54" i="10"/>
  <c r="BU12" i="10"/>
  <c r="AG54" i="10"/>
  <c r="AG12" i="10"/>
  <c r="AQ54" i="10"/>
  <c r="AQ12" i="10"/>
  <c r="AL53" i="10"/>
  <c r="AL40" i="10"/>
  <c r="AL81" i="10" s="1"/>
  <c r="BU73" i="10"/>
  <c r="BU58" i="10"/>
  <c r="AV53" i="10"/>
  <c r="AV40" i="10"/>
  <c r="AV81" i="10" s="1"/>
  <c r="BP40" i="10"/>
  <c r="BP81" i="10" s="1"/>
  <c r="BP53" i="10"/>
  <c r="AB40" i="10"/>
  <c r="AB81" i="10" s="1"/>
  <c r="AB53" i="10"/>
  <c r="BA54" i="10"/>
  <c r="BA12" i="10"/>
  <c r="BK12" i="10"/>
  <c r="BK54" i="10"/>
  <c r="W12" i="10"/>
  <c r="W54" i="10"/>
  <c r="M40" i="10"/>
  <c r="M81" i="10" s="1"/>
  <c r="M53" i="10"/>
  <c r="CA40" i="10"/>
  <c r="CC38" i="10" s="1"/>
  <c r="Q104" i="8"/>
  <c r="BT168" i="8"/>
  <c r="BT106" i="8" s="1"/>
  <c r="AK104" i="8"/>
  <c r="BE104" i="8"/>
  <c r="AU17" i="8"/>
  <c r="V14" i="8"/>
  <c r="L104" i="8"/>
  <c r="BE105" i="8"/>
  <c r="AA13" i="8"/>
  <c r="BO106" i="8"/>
  <c r="AA106" i="8"/>
  <c r="AK105" i="8"/>
  <c r="AF106" i="8"/>
  <c r="AZ13" i="8"/>
  <c r="BE15" i="8"/>
  <c r="Q15" i="8"/>
  <c r="AP14" i="8"/>
  <c r="AU15" i="8"/>
  <c r="BO14" i="8"/>
  <c r="AA14" i="8"/>
  <c r="AF14" i="8"/>
  <c r="AK17" i="8"/>
  <c r="BE14" i="8"/>
  <c r="AA105" i="8"/>
  <c r="AF15" i="8"/>
  <c r="BE17" i="8"/>
  <c r="BO105" i="8"/>
  <c r="BT112" i="8"/>
  <c r="BT109" i="8"/>
  <c r="BT108" i="8" s="1"/>
  <c r="BT104" i="8" s="1"/>
  <c r="AU108" i="8"/>
  <c r="Q105" i="8"/>
  <c r="AF13" i="8"/>
  <c r="AZ104" i="8"/>
  <c r="AK14" i="8"/>
  <c r="BO13" i="8"/>
  <c r="AF105" i="8"/>
  <c r="Q17" i="8"/>
  <c r="Q14" i="8"/>
  <c r="AU105" i="8"/>
  <c r="AU106" i="8"/>
  <c r="AZ106" i="8"/>
  <c r="L106" i="8"/>
  <c r="AF104" i="8"/>
  <c r="L13" i="8"/>
  <c r="AK15" i="8"/>
  <c r="AP15" i="8"/>
  <c r="AU13" i="8"/>
  <c r="BO15" i="8"/>
  <c r="AA15" i="8"/>
  <c r="AU14" i="8"/>
  <c r="BT122" i="7"/>
  <c r="BT16" i="7" s="1"/>
  <c r="BO15" i="7"/>
  <c r="AP16" i="7"/>
  <c r="BO16" i="7"/>
  <c r="AA16" i="7"/>
  <c r="AK15" i="7"/>
  <c r="AF16" i="7"/>
  <c r="AF15" i="7"/>
  <c r="V16" i="7"/>
  <c r="BE16" i="7"/>
  <c r="L12" i="7"/>
  <c r="AA12" i="7"/>
  <c r="AK16" i="7"/>
  <c r="AU16" i="7"/>
  <c r="AZ16" i="7"/>
  <c r="V12" i="7"/>
  <c r="BT30" i="7"/>
  <c r="BJ16" i="7"/>
  <c r="Q16" i="7"/>
  <c r="BT65" i="7"/>
  <c r="AP9" i="6"/>
  <c r="BO9" i="6"/>
  <c r="BO7" i="6" s="1"/>
  <c r="L9" i="6"/>
  <c r="L280" i="6"/>
  <c r="L11" i="6"/>
  <c r="AA280" i="6"/>
  <c r="AA11" i="6"/>
  <c r="AA9" i="6"/>
  <c r="BJ8" i="6"/>
  <c r="AU9" i="6"/>
  <c r="BJ9" i="6"/>
  <c r="V9" i="6"/>
  <c r="AP8" i="6"/>
  <c r="AZ9" i="6"/>
  <c r="BE11" i="6"/>
  <c r="BT274" i="6"/>
  <c r="BT269" i="6"/>
  <c r="BT168" i="6"/>
  <c r="BT143" i="6"/>
  <c r="L8" i="6"/>
  <c r="BT34" i="6"/>
  <c r="AU7" i="6"/>
  <c r="AK280" i="6"/>
  <c r="BT173" i="6"/>
  <c r="AF279" i="6"/>
  <c r="BT264" i="6"/>
  <c r="BT163" i="6"/>
  <c r="BT115" i="6"/>
  <c r="BT148" i="6"/>
  <c r="BT22" i="6"/>
  <c r="BT14" i="6"/>
  <c r="BT52" i="6"/>
  <c r="BT40" i="6"/>
  <c r="AK13" i="6"/>
  <c r="AP10" i="6"/>
  <c r="BT231" i="6"/>
  <c r="BT258" i="6"/>
  <c r="BT153" i="6"/>
  <c r="BT68" i="6"/>
  <c r="BT28" i="6"/>
  <c r="Q13" i="6"/>
  <c r="BE8" i="6"/>
  <c r="V10" i="6"/>
  <c r="BT252" i="6"/>
  <c r="BT225" i="6"/>
  <c r="BT210" i="6"/>
  <c r="BT74" i="6"/>
  <c r="BT158" i="6"/>
  <c r="BT46" i="6"/>
  <c r="BT57" i="6"/>
  <c r="AF8" i="6"/>
  <c r="BT15" i="6"/>
  <c r="G7" i="6"/>
  <c r="AL102" i="5"/>
  <c r="BF102" i="5"/>
  <c r="AQ95" i="5"/>
  <c r="AQ23" i="5"/>
  <c r="AQ94" i="5" s="1"/>
  <c r="BK84" i="5"/>
  <c r="R102" i="5"/>
  <c r="AG102" i="5"/>
  <c r="BU23" i="5"/>
  <c r="BU94" i="5" s="1"/>
  <c r="AG23" i="5"/>
  <c r="W95" i="5"/>
  <c r="W23" i="5"/>
  <c r="W94" i="5" s="1"/>
  <c r="AQ84" i="5"/>
  <c r="BF95" i="5"/>
  <c r="BF23" i="5"/>
  <c r="BA102" i="5"/>
  <c r="AG95" i="5"/>
  <c r="BK95" i="5"/>
  <c r="BK23" i="5"/>
  <c r="BK94" i="5" s="1"/>
  <c r="R95" i="5"/>
  <c r="R23" i="5"/>
  <c r="R94" i="5" s="1"/>
  <c r="R78" i="5"/>
  <c r="R84" i="5"/>
  <c r="M102" i="5"/>
  <c r="BP23" i="5"/>
  <c r="W84" i="5"/>
  <c r="AL95" i="5"/>
  <c r="AL23" i="5"/>
  <c r="AL94" i="5" s="1"/>
  <c r="BU85" i="5"/>
  <c r="BU13" i="5"/>
  <c r="AL84" i="5"/>
  <c r="AV78" i="5"/>
  <c r="BA23" i="5"/>
  <c r="M23" i="5"/>
  <c r="P139" i="2"/>
  <c r="P145" i="2" s="1"/>
  <c r="M139" i="2"/>
  <c r="M145" i="2" s="1"/>
  <c r="L139" i="2"/>
  <c r="L145" i="2" s="1"/>
  <c r="I69" i="4"/>
  <c r="I73" i="4" s="1"/>
  <c r="N69" i="4"/>
  <c r="N73" i="4" s="1"/>
  <c r="AH69" i="4"/>
  <c r="AH73" i="4" s="1"/>
  <c r="AZ67" i="4"/>
  <c r="AZ69" i="4" s="1"/>
  <c r="AZ73" i="4" s="1"/>
  <c r="BR47" i="4"/>
  <c r="BJ67" i="4"/>
  <c r="BJ69" i="4" s="1"/>
  <c r="BJ73" i="4" s="1"/>
  <c r="X69" i="4"/>
  <c r="X73" i="4" s="1"/>
  <c r="BU50" i="4"/>
  <c r="BU67" i="4" s="1"/>
  <c r="BU69" i="4" s="1"/>
  <c r="BU73" i="4" s="1"/>
  <c r="CD73" i="4" s="1"/>
  <c r="BG50" i="4"/>
  <c r="BG67" i="4" s="1"/>
  <c r="BG69" i="4" s="1"/>
  <c r="BG73" i="4" s="1"/>
  <c r="BV53" i="4"/>
  <c r="BR52" i="4"/>
  <c r="BR67" i="4" s="1"/>
  <c r="BQ67" i="4"/>
  <c r="AC69" i="4"/>
  <c r="AC73" i="4" s="1"/>
  <c r="BS50" i="4"/>
  <c r="AW50" i="4"/>
  <c r="AW67" i="4" s="1"/>
  <c r="AW69" i="4" s="1"/>
  <c r="AW73" i="4" s="1"/>
  <c r="BT50" i="4"/>
  <c r="BT67" i="4" s="1"/>
  <c r="BT69" i="4" s="1"/>
  <c r="BT73" i="4" s="1"/>
  <c r="CC73" i="4" s="1"/>
  <c r="S69" i="4"/>
  <c r="S73" i="4" s="1"/>
  <c r="BV7" i="4"/>
  <c r="BQ47" i="4"/>
  <c r="BL69" i="4"/>
  <c r="BL73" i="4" s="1"/>
  <c r="BN57" i="3"/>
  <c r="BS57" i="3" s="1"/>
  <c r="BS68" i="3" s="1"/>
  <c r="BU47" i="3"/>
  <c r="BV23" i="3"/>
  <c r="BX23" i="3" s="1"/>
  <c r="BL68" i="3"/>
  <c r="BL73" i="3" s="1"/>
  <c r="BL77" i="3" s="1"/>
  <c r="AM73" i="3"/>
  <c r="AM77" i="3" s="1"/>
  <c r="BV52" i="3"/>
  <c r="BS73" i="3"/>
  <c r="BS77" i="3" s="1"/>
  <c r="X73" i="3"/>
  <c r="X77" i="3" s="1"/>
  <c r="BN68" i="3"/>
  <c r="BN73" i="3" s="1"/>
  <c r="BN77" i="3" s="1"/>
  <c r="BV7" i="3"/>
  <c r="BR47" i="3"/>
  <c r="BR57" i="3"/>
  <c r="BU73" i="3"/>
  <c r="BU77" i="3" s="1"/>
  <c r="AS68" i="3"/>
  <c r="AS73" i="3" s="1"/>
  <c r="AS77" i="3" s="1"/>
  <c r="BR59" i="3"/>
  <c r="AW73" i="3"/>
  <c r="AW77" i="3" s="1"/>
  <c r="BO57" i="3"/>
  <c r="BQ57" i="3" s="1"/>
  <c r="BQ68" i="3" s="1"/>
  <c r="BQ73" i="3" s="1"/>
  <c r="BQ77" i="3" s="1"/>
  <c r="BX52" i="3"/>
  <c r="T139" i="2"/>
  <c r="T145" i="2" s="1"/>
  <c r="Q139" i="2"/>
  <c r="Q145" i="2" s="1"/>
  <c r="U95" i="2"/>
  <c r="U79" i="2" s="1"/>
  <c r="U7" i="2"/>
  <c r="H74" i="2"/>
  <c r="H76" i="2" s="1"/>
  <c r="H113" i="2" s="1"/>
  <c r="I116" i="2"/>
  <c r="I139" i="2" s="1"/>
  <c r="I145" i="2" s="1"/>
  <c r="J139" i="2"/>
  <c r="J145" i="2" s="1"/>
  <c r="R139" i="2"/>
  <c r="R145" i="2" s="1"/>
  <c r="AB78" i="5" l="1"/>
  <c r="BT103" i="8"/>
  <c r="BO12" i="7"/>
  <c r="U117" i="2"/>
  <c r="U116" i="2" s="1"/>
  <c r="BK78" i="5"/>
  <c r="W78" i="5"/>
  <c r="AQ78" i="5"/>
  <c r="BF53" i="10"/>
  <c r="BF40" i="10"/>
  <c r="BF81" i="10" s="1"/>
  <c r="AG40" i="10"/>
  <c r="AG81" i="10" s="1"/>
  <c r="AG53" i="10"/>
  <c r="BA40" i="10"/>
  <c r="BA81" i="10" s="1"/>
  <c r="BA53" i="10"/>
  <c r="BK40" i="10"/>
  <c r="BK81" i="10" s="1"/>
  <c r="BK53" i="10"/>
  <c r="W40" i="10"/>
  <c r="W81" i="10" s="1"/>
  <c r="W53" i="10"/>
  <c r="AQ40" i="10"/>
  <c r="AQ81" i="10" s="1"/>
  <c r="AQ53" i="10"/>
  <c r="BU40" i="10"/>
  <c r="BU81" i="10" s="1"/>
  <c r="BU53" i="10"/>
  <c r="V12" i="8"/>
  <c r="BE103" i="8"/>
  <c r="L12" i="8"/>
  <c r="AF12" i="8"/>
  <c r="AU104" i="8"/>
  <c r="BO103" i="8"/>
  <c r="AK13" i="8"/>
  <c r="AP12" i="8"/>
  <c r="AZ12" i="8"/>
  <c r="AK103" i="8"/>
  <c r="AA12" i="8"/>
  <c r="L103" i="8"/>
  <c r="AU12" i="8"/>
  <c r="AF103" i="8"/>
  <c r="Q13" i="8"/>
  <c r="BO12" i="8"/>
  <c r="AZ103" i="8"/>
  <c r="Q103" i="8"/>
  <c r="BE13" i="8"/>
  <c r="AA103" i="8"/>
  <c r="AU12" i="7"/>
  <c r="BT15" i="7"/>
  <c r="Q12" i="7"/>
  <c r="AK12" i="7"/>
  <c r="AF12" i="7"/>
  <c r="AP12" i="7"/>
  <c r="BE12" i="7"/>
  <c r="AZ12" i="7"/>
  <c r="BJ12" i="7"/>
  <c r="BT14" i="7"/>
  <c r="BJ7" i="6"/>
  <c r="AA279" i="6"/>
  <c r="AZ7" i="6"/>
  <c r="L279" i="6"/>
  <c r="AK8" i="6"/>
  <c r="AF10" i="6"/>
  <c r="AF7" i="6" s="1"/>
  <c r="AP7" i="6"/>
  <c r="BT280" i="6"/>
  <c r="BT13" i="6"/>
  <c r="BT209" i="6"/>
  <c r="BE7" i="6"/>
  <c r="V7" i="6"/>
  <c r="Q8" i="6"/>
  <c r="AK279" i="6"/>
  <c r="BP94" i="5"/>
  <c r="BP78" i="5"/>
  <c r="M94" i="5"/>
  <c r="M78" i="5"/>
  <c r="AL78" i="5"/>
  <c r="BA94" i="5"/>
  <c r="BA78" i="5"/>
  <c r="BU78" i="5"/>
  <c r="BU84" i="5"/>
  <c r="BW84" i="5"/>
  <c r="BW83" i="5" s="1"/>
  <c r="BW82" i="5" s="1"/>
  <c r="BW148" i="5" s="1"/>
  <c r="BF94" i="5"/>
  <c r="BF78" i="5"/>
  <c r="AG94" i="5"/>
  <c r="AG78" i="5"/>
  <c r="BQ69" i="4"/>
  <c r="BQ73" i="4" s="1"/>
  <c r="BS67" i="4"/>
  <c r="BS69" i="4" s="1"/>
  <c r="BS73" i="4" s="1"/>
  <c r="CB73" i="4" s="1"/>
  <c r="BV50" i="4"/>
  <c r="BX50" i="4" s="1"/>
  <c r="BX53" i="4"/>
  <c r="BV52" i="4"/>
  <c r="BR69" i="4"/>
  <c r="BR73" i="4" s="1"/>
  <c r="CA73" i="4" s="1"/>
  <c r="CA47" i="4"/>
  <c r="BV47" i="4"/>
  <c r="BX7" i="4"/>
  <c r="BT57" i="3"/>
  <c r="BT68" i="3" s="1"/>
  <c r="BT73" i="3" s="1"/>
  <c r="BT77" i="3" s="1"/>
  <c r="BO68" i="3"/>
  <c r="BO73" i="3" s="1"/>
  <c r="BO77" i="3" s="1"/>
  <c r="BV59" i="3"/>
  <c r="BR68" i="3"/>
  <c r="BR73" i="3" s="1"/>
  <c r="BR77" i="3" s="1"/>
  <c r="BV57" i="3"/>
  <c r="BX57" i="3" s="1"/>
  <c r="BV47" i="3"/>
  <c r="BX7" i="3"/>
  <c r="H115" i="2"/>
  <c r="U6" i="2"/>
  <c r="BE12" i="8" l="1"/>
  <c r="Q12" i="8"/>
  <c r="AK12" i="8"/>
  <c r="AU103" i="8"/>
  <c r="BT12" i="7"/>
  <c r="AA10" i="6"/>
  <c r="L10" i="6"/>
  <c r="AK10" i="6"/>
  <c r="BT8" i="6"/>
  <c r="BT9" i="6"/>
  <c r="BT279" i="6"/>
  <c r="Q7" i="6"/>
  <c r="BV67" i="4"/>
  <c r="BX67" i="4" s="1"/>
  <c r="BX52" i="4"/>
  <c r="BX47" i="4"/>
  <c r="BV68" i="3"/>
  <c r="BX68" i="3" s="1"/>
  <c r="BX47" i="3"/>
  <c r="U74" i="2"/>
  <c r="U76" i="2" s="1"/>
  <c r="U113" i="2" s="1"/>
  <c r="U115" i="2" s="1"/>
  <c r="U139" i="2" s="1"/>
  <c r="U145" i="2" s="1"/>
  <c r="L7" i="6" l="1"/>
  <c r="AA7" i="6"/>
  <c r="AK7" i="6"/>
  <c r="BT10" i="6"/>
  <c r="BV69" i="4"/>
  <c r="BV73" i="3"/>
  <c r="BV77" i="3" s="1"/>
  <c r="BX77" i="3" s="1"/>
  <c r="BX73" i="3"/>
  <c r="BT7" i="6" l="1"/>
  <c r="BV73" i="4"/>
  <c r="BX73" i="4" s="1"/>
  <c r="BX69" i="4"/>
</calcChain>
</file>

<file path=xl/sharedStrings.xml><?xml version="1.0" encoding="utf-8"?>
<sst xmlns="http://schemas.openxmlformats.org/spreadsheetml/2006/main" count="1505" uniqueCount="597">
  <si>
    <t>Table 1 Revenue*</t>
  </si>
  <si>
    <t>Revised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</si>
  <si>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</si>
  <si>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</si>
  <si>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</si>
  <si>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</si>
  <si>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</si>
  <si>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</si>
  <si>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</si>
  <si>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</si>
  <si>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</si>
  <si>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</si>
  <si>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</si>
  <si>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</si>
  <si>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</si>
  <si>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</si>
  <si>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estimate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</si>
  <si>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</si>
  <si>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</si>
  <si>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</si>
  <si>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</si>
  <si>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</si>
  <si>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</si>
  <si>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</si>
  <si>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</si>
  <si>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</si>
  <si>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</si>
  <si>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</si>
  <si>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</si>
  <si>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</si>
  <si>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</si>
  <si>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</si>
  <si>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</si>
  <si>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</si>
  <si>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</si>
  <si>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</si>
  <si>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</si>
  <si>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</si>
  <si>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</si>
  <si>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</si>
  <si>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</si>
  <si>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</si>
  <si>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</si>
  <si>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</si>
  <si>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</si>
  <si>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</si>
  <si>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</si>
  <si>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</si>
  <si>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</si>
  <si>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</si>
  <si>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</si>
  <si>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</si>
  <si>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</si>
  <si>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Pipe tobacco and cigars</t>
  </si>
  <si>
    <t>Petroleum products</t>
  </si>
  <si>
    <t>1)</t>
  </si>
  <si>
    <t>Revenue from neighbouring countries</t>
  </si>
  <si>
    <t>2)</t>
  </si>
  <si>
    <t>Ad valorem excise duties</t>
  </si>
  <si>
    <t>Health promotion levy</t>
  </si>
  <si>
    <t>General 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</si>
  <si>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</si>
  <si>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</si>
  <si>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</si>
  <si>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</si>
  <si>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</si>
  <si>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</si>
  <si>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</si>
  <si>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</si>
  <si>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</si>
  <si>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</si>
  <si>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</si>
  <si>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</si>
  <si>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</si>
  <si>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</si>
  <si>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</si>
  <si>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</si>
  <si>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</si>
  <si>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</si>
  <si>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</si>
  <si>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</si>
  <si>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>Other taxes</t>
  </si>
  <si>
    <t>Stamp duties and fees</t>
  </si>
  <si>
    <t>State miscellaneous revenue</t>
  </si>
  <si>
    <t>3)</t>
  </si>
  <si>
    <t>Total tax revenue (gross)</t>
  </si>
  <si>
    <t>Less: SACU payments</t>
  </si>
  <si>
    <t>4)</t>
  </si>
  <si>
    <t>Total tax revenue (net of SACU payments)</t>
  </si>
  <si>
    <t>Departmental revenue</t>
  </si>
  <si>
    <t>Sales of goods and services other than capital assets</t>
  </si>
  <si>
    <t>Sales by market establishments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</si>
  <si>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</si>
  <si>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</si>
  <si>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</si>
  <si>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</si>
  <si>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</si>
  <si>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</si>
  <si>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</si>
  <si>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</si>
  <si>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</si>
  <si>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</si>
  <si>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</si>
  <si>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</si>
  <si>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</si>
  <si>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</si>
  <si>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</si>
  <si>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</si>
  <si>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</si>
  <si>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</si>
  <si>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</si>
  <si>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</si>
  <si>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</si>
  <si>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</si>
  <si>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</si>
  <si>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</si>
  <si>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</si>
  <si>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</si>
  <si>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</si>
  <si>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</si>
  <si>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</si>
  <si>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</si>
  <si>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5)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</si>
  <si>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</si>
  <si>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</si>
  <si>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</si>
  <si>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</si>
  <si>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</si>
  <si>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</si>
  <si>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6)</t>
  </si>
  <si>
    <t xml:space="preserve">  ICASA</t>
  </si>
  <si>
    <t xml:space="preserve">  Financial Intelligence Centre Act</t>
  </si>
  <si>
    <t xml:space="preserve">  SARB Brightrock life penalty</t>
  </si>
  <si>
    <t xml:space="preserve">  Proceeds of organised Crime Act</t>
  </si>
  <si>
    <t xml:space="preserve">  Asset Forfeiture Unit</t>
  </si>
  <si>
    <t xml:space="preserve">  National Library</t>
  </si>
  <si>
    <t xml:space="preserve">  Refund Police</t>
  </si>
  <si>
    <t xml:space="preserve">  Refund Correctional Services</t>
  </si>
  <si>
    <t xml:space="preserve">  Trifecta Judgement (National Treasury)</t>
  </si>
  <si>
    <t xml:space="preserve">  DTI Various entities</t>
  </si>
  <si>
    <t xml:space="preserve">  Defence</t>
  </si>
  <si>
    <t xml:space="preserve">  Local Government Surrender</t>
  </si>
  <si>
    <t xml:space="preserve">  Competition Commission</t>
  </si>
  <si>
    <t xml:space="preserve">  Repatriation deposits</t>
  </si>
  <si>
    <t xml:space="preserve">  Grindrod penalty</t>
  </si>
  <si>
    <t xml:space="preserve">  Safrican Insurance Company penalty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</si>
  <si>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</si>
  <si>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</si>
  <si>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</si>
  <si>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</si>
  <si>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</si>
  <si>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</si>
  <si>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</si>
  <si>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</si>
  <si>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</si>
  <si>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</si>
  <si>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Specific excise duties on petrol, distillate fuel, residual fuel and base oil.</t>
  </si>
  <si>
    <t>2) Excise duties collected by Botswana, Lesotho, Namibia and Eswatini.</t>
  </si>
  <si>
    <t>3) Revenue received by SARS in respect of taxation that could not be allocated to specific revenue types.</t>
  </si>
  <si>
    <t>4) Payments in terms of SACU agreements.</t>
  </si>
  <si>
    <t>5) NRF receipts (previously classified as extra ordinary receipts), for more details see Table 5.</t>
  </si>
  <si>
    <t>6)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</si>
  <si>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</si>
  <si>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</si>
  <si>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>2019/20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</si>
  <si>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</si>
  <si>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</si>
  <si>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June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</si>
  <si>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</si>
  <si>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</si>
  <si>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</si>
  <si>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</si>
  <si>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</si>
  <si>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</si>
  <si>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</si>
  <si>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</si>
  <si>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</si>
  <si>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</si>
  <si>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</si>
  <si>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</si>
  <si>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>Communications</t>
  </si>
  <si>
    <t>Cooperative Governance and Traditional Affairs</t>
  </si>
  <si>
    <t>Home Affairs</t>
  </si>
  <si>
    <t>International Relations and Cooperation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</si>
  <si>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</si>
  <si>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</si>
  <si>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</si>
  <si>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</si>
  <si>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Works</t>
  </si>
  <si>
    <t>Statistics South Africa</t>
  </si>
  <si>
    <t>Women</t>
  </si>
  <si>
    <t>Basic Education</t>
  </si>
  <si>
    <t>Higher Education and Training</t>
  </si>
  <si>
    <t>Health</t>
  </si>
  <si>
    <t>Social Development</t>
  </si>
  <si>
    <t>Correctional Services</t>
  </si>
  <si>
    <t>Defence and Military Veterans</t>
  </si>
  <si>
    <t>Independent Police Investigative Directorate</t>
  </si>
  <si>
    <t>Justice and Constitutional Development</t>
  </si>
  <si>
    <t>Office of the Chief Justice and Judicial Administration</t>
  </si>
  <si>
    <t>Police</t>
  </si>
  <si>
    <t>Agriculture, Forestry and Fisheries</t>
  </si>
  <si>
    <t>Economic Development</t>
  </si>
  <si>
    <t>Energy</t>
  </si>
  <si>
    <t>Environmental Affairs</t>
  </si>
  <si>
    <t>Labour</t>
  </si>
  <si>
    <t>Mineral Resources</t>
  </si>
  <si>
    <t>Science and Technology</t>
  </si>
  <si>
    <t>Small Business Development</t>
  </si>
  <si>
    <t>Telecommunications and Postal Services</t>
  </si>
  <si>
    <t>Tourism</t>
  </si>
  <si>
    <t>Trade and Industry</t>
  </si>
  <si>
    <t>Transport</t>
  </si>
  <si>
    <t>Water and Sanitation</t>
  </si>
  <si>
    <t>Arts and Culture</t>
  </si>
  <si>
    <t>Human Settlements</t>
  </si>
  <si>
    <t>Rural Development and Land Reform</t>
  </si>
  <si>
    <t>Sport and Recreation South Africa</t>
  </si>
  <si>
    <t>Total appropriation by vote</t>
  </si>
  <si>
    <t>Plus:</t>
  </si>
  <si>
    <t>Direct charges against the NRF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</si>
  <si>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</si>
  <si>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</si>
  <si>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</si>
  <si>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</si>
  <si>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</si>
  <si>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</si>
  <si>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NRF payments (National Treasury)</t>
  </si>
  <si>
    <t>Eskom - payment in terms of Section 16(1) of the PFMA</t>
  </si>
  <si>
    <t>Payments in terms of Section 6(1)(b) of the Appropriation act 2019</t>
  </si>
  <si>
    <t>South African Airways</t>
  </si>
  <si>
    <t>South African Express Airways</t>
  </si>
  <si>
    <t xml:space="preserve">Denel </t>
  </si>
  <si>
    <t>SABC</t>
  </si>
  <si>
    <t>Skills levy and sector education and training authorities (Higher Education and Training)</t>
  </si>
  <si>
    <t>Magistrates' salaries (Justice and Constitutional Development)</t>
  </si>
  <si>
    <t>Judges' salaries (Office of the Chief Justice and Judicial Administration)</t>
  </si>
  <si>
    <t>International Oil Pollution Compensation Fund (Transport)</t>
  </si>
  <si>
    <t>Total direct charges against the NRF</t>
  </si>
  <si>
    <t>Provisional allocation for contingencies not assigned to votes</t>
  </si>
  <si>
    <t>Infrastructure fund not assigned to votes</t>
  </si>
  <si>
    <t xml:space="preserve">Provisional allocation for Eskom restructuring </t>
  </si>
  <si>
    <t>Compensation of employess and other baseline adjustments</t>
  </si>
  <si>
    <t>National government projected underspending</t>
  </si>
  <si>
    <t>Main budget expenditure</t>
  </si>
  <si>
    <t>1) Reflects monthly requested funds.</t>
  </si>
  <si>
    <t>2) In terms of Disaster Management Act as declared by the President, social grant payments for April 2020 were paid in March 2020.</t>
  </si>
  <si>
    <t>3) NRF payments (previously classified as extra ordinary payments), for more details see Table 5.</t>
  </si>
  <si>
    <t>*) Any negative amounts reflected against the votes indicate the reallocation of spending to the correct economic classification.</t>
  </si>
  <si>
    <t>2018/19</t>
  </si>
  <si>
    <t>Audited outcome</t>
  </si>
  <si>
    <t>South African Airways (National Treasury)</t>
  </si>
  <si>
    <t>Contingency reserve</t>
  </si>
  <si>
    <t>Local government repayment to the National Revenue Fund</t>
  </si>
  <si>
    <t>2) NRF payments (previously classified as extra ordinary payments), for more details see Table 5.</t>
  </si>
  <si>
    <t>Table 3  Summary table of borrowing</t>
  </si>
  <si>
    <t>Table</t>
  </si>
  <si>
    <t>Domestic short-term loans (net)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</si>
  <si>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</si>
  <si>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</si>
  <si>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</si>
  <si>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</si>
  <si>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</si>
  <si>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</si>
  <si>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</si>
  <si>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>Domestic long-term loans (net)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</si>
  <si>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</si>
  <si>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</si>
  <si>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</si>
  <si>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</si>
  <si>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Redemptions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</si>
  <si>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</si>
  <si>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</si>
  <si>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</si>
  <si>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</si>
  <si>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</si>
  <si>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</si>
  <si>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</si>
  <si>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</si>
  <si>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</si>
  <si>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</si>
  <si>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 xml:space="preserve">   Loans issued for extraordinary purposes (net)                                   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</si>
  <si>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</si>
  <si>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</si>
  <si>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</si>
  <si>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</si>
  <si>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</si>
  <si>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</si>
  <si>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</si>
  <si>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</si>
  <si>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</si>
  <si>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</si>
  <si>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</si>
  <si>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</si>
  <si>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</si>
  <si>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</si>
  <si>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</si>
  <si>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</si>
  <si>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</si>
  <si>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</si>
  <si>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</si>
  <si>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</si>
  <si>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</si>
  <si>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</si>
  <si>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 xml:space="preserve">  Loans issued for extraordinary purposes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</si>
  <si>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</si>
  <si>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</si>
  <si>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</si>
  <si>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</si>
  <si>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</si>
  <si>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</si>
  <si>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 xml:space="preserve">  I2025 (2.00%  2025/01/31)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</si>
  <si>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</si>
  <si>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</si>
  <si>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</si>
  <si>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I2038 (2.25%  2038/01/31)                                                                          </t>
  </si>
  <si>
    <t xml:space="preserve">  I2046 (2.50%  2046/03/31)                                                                           </t>
  </si>
  <si>
    <t xml:space="preserve">  I2033 (1.875%  2033/02/28)                                                                        </t>
  </si>
  <si>
    <t xml:space="preserve">  I2050 (2.50%  2049-50-51/12/31)                                                               </t>
  </si>
  <si>
    <t xml:space="preserve">  R2035 (8.875%  2035/02/28)</t>
  </si>
  <si>
    <t xml:space="preserve">        Premium</t>
  </si>
  <si>
    <t xml:space="preserve">  R186 (10.50%  2025-26-27/12/21)</t>
  </si>
  <si>
    <t xml:space="preserve">  R189  (6.25%  2013/03/31)</t>
  </si>
  <si>
    <t xml:space="preserve">  I2029 (1.875%  2029/03/31)</t>
  </si>
  <si>
    <t xml:space="preserve">  R209  (6.25%  2036/03/31)</t>
  </si>
  <si>
    <t xml:space="preserve">  R197 (5.50%  2023/12/07)</t>
  </si>
  <si>
    <t xml:space="preserve">  R203 (8.25%  2017/09/15)</t>
  </si>
  <si>
    <t xml:space="preserve">  R204 (8.00%  2018/12/21)</t>
  </si>
  <si>
    <t xml:space="preserve">  R205  (6.88%  2012/03/31)</t>
  </si>
  <si>
    <t xml:space="preserve">  R206  (7.50%  2014/01/15)</t>
  </si>
  <si>
    <t xml:space="preserve">  R207 (7.25%  2020/01/15)</t>
  </si>
  <si>
    <t xml:space="preserve">  R208 (6.75%  2021/03/31)</t>
  </si>
  <si>
    <t xml:space="preserve">  R2040 (9.00%  2040/09/11)</t>
  </si>
  <si>
    <t xml:space="preserve">  R210 (2.60%  2028/03/31)                                                                          1)</t>
  </si>
  <si>
    <t xml:space="preserve">  R202 (3.45%  2033/12/07)</t>
  </si>
  <si>
    <t xml:space="preserve">  R212 (2.75%  2022/01/31)</t>
  </si>
  <si>
    <t xml:space="preserve">  R213 (7.00%  2031/02/28)</t>
  </si>
  <si>
    <t xml:space="preserve">  R214 (6.50%  2041/02/28)</t>
  </si>
  <si>
    <t xml:space="preserve">  R2023 (7.75%  2023/02/28)</t>
  </si>
  <si>
    <t xml:space="preserve">  R2030 (7.75%  2030/01/31)</t>
  </si>
  <si>
    <t xml:space="preserve">  R2032 (8.25%  2032/03/31)</t>
  </si>
  <si>
    <t xml:space="preserve">  R2037 (8.50%  2037/01/31)</t>
  </si>
  <si>
    <t xml:space="preserve">  R2044 (8.75%  2043-44-45/01/31)</t>
  </si>
  <si>
    <t xml:space="preserve">  R2048 (8.75%  2047-48-49/02/28)</t>
  </si>
  <si>
    <t>Table 3.1 Issuance of domestic long-term loans (continued)</t>
  </si>
  <si>
    <t xml:space="preserve">  Amortised interest on Zero Coupon Bonds (cash value)</t>
  </si>
  <si>
    <t xml:space="preserve">       Z006 (13.91%  2013/08/31)</t>
  </si>
  <si>
    <t xml:space="preserve">       Z009 (12.15%  2013/11/30)</t>
  </si>
  <si>
    <t xml:space="preserve">       Z014 (12.60%  2015/06/30)</t>
  </si>
  <si>
    <t xml:space="preserve">       Z018 (13.35%  2014/03/31)</t>
  </si>
  <si>
    <t xml:space="preserve">       Z019 (13.30%  2014/06/30)</t>
  </si>
  <si>
    <t xml:space="preserve">       Z020 (13.20%  2015/10/19)</t>
  </si>
  <si>
    <t xml:space="preserve">       Z021  (12.60%  2009/04/30)</t>
  </si>
  <si>
    <t xml:space="preserve">       Z025 (13.00%  2014/11/30)</t>
  </si>
  <si>
    <t xml:space="preserve">       Z071 (15.64%  2015/07/01)</t>
  </si>
  <si>
    <t xml:space="preserve">       Z083 (15.25%  2019/09/30)</t>
  </si>
  <si>
    <t xml:space="preserve">       Z089  (15.25%  2019/09/30)</t>
  </si>
  <si>
    <t xml:space="preserve">       Z109 (15.25%  2016/09/15)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</si>
  <si>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</si>
  <si>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</si>
  <si>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</si>
  <si>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</si>
  <si>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</si>
  <si>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</si>
  <si>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</si>
  <si>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</si>
  <si>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 xml:space="preserve">  R2044 (8.75%  2043-44-45/07/18)</t>
  </si>
  <si>
    <t xml:space="preserve">  R2030 (8.00%  2030/01/31)</t>
  </si>
  <si>
    <t xml:space="preserve">  R2032 (7.00%  2031/02/28)</t>
  </si>
  <si>
    <t xml:space="preserve">  R209 (6.25%  2036/03/31)</t>
  </si>
  <si>
    <t xml:space="preserve">  Margin call payable</t>
  </si>
  <si>
    <t xml:space="preserve">  R2044 (8.75%  2044-45-46/01/31)</t>
  </si>
  <si>
    <t xml:space="preserve">  R210 (2.60%  2028/03/31)</t>
  </si>
  <si>
    <t xml:space="preserve">  R2037  (8.50%  2037/01/31)</t>
  </si>
  <si>
    <t xml:space="preserve">  R2040 (9.00%  2040/01/31)</t>
  </si>
  <si>
    <t xml:space="preserve">  R204  (8.00%  2018/12/21)</t>
  </si>
  <si>
    <t xml:space="preserve">  R2030 (8.00%  2030/01/30)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</si>
  <si>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</si>
  <si>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</si>
  <si>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</si>
  <si>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</si>
  <si>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</si>
  <si>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</si>
  <si>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</si>
  <si>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R204 (8.00% 2018/12/21)</t>
  </si>
  <si>
    <t xml:space="preserve">  R158 (13.50% 2015/09/15)</t>
  </si>
  <si>
    <t xml:space="preserve">  R158P (13.50% 2015/09/15)</t>
  </si>
  <si>
    <t xml:space="preserve">  Z083 (15,25% 2019/09/30)</t>
  </si>
  <si>
    <t xml:space="preserve">  Bonus debenture</t>
  </si>
  <si>
    <t xml:space="preserve">  Former regional authorities' debt</t>
  </si>
  <si>
    <t xml:space="preserve">  Former SARB Namibian loan facility</t>
  </si>
  <si>
    <t>Redemptions due to switches</t>
  </si>
  <si>
    <t xml:space="preserve">        Book profit </t>
  </si>
  <si>
    <t xml:space="preserve">        Book loss </t>
  </si>
  <si>
    <t xml:space="preserve">  R157 (13.50%  2014-15-16/09/15)</t>
  </si>
  <si>
    <t xml:space="preserve">  R201 (8.75%  2014/12/21)</t>
  </si>
  <si>
    <t xml:space="preserve">  R203 (8.25% 2017/09/15)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</si>
  <si>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</si>
  <si>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</si>
  <si>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</si>
  <si>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</si>
  <si>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</si>
  <si>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</si>
  <si>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</si>
  <si>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</si>
  <si>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</si>
  <si>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</si>
  <si>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</si>
  <si>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</si>
  <si>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</si>
  <si>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</si>
  <si>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</si>
  <si>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</si>
  <si>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TY2/101  4.85% US Dollar Notes due 2029/09/30</t>
  </si>
  <si>
    <t xml:space="preserve">  TY2/102  5.75% US Dollar Notes due 2049/09/30</t>
  </si>
  <si>
    <t xml:space="preserve">  TY2/94  4.875% US Dollar Notes due 2026/04/14</t>
  </si>
  <si>
    <t xml:space="preserve">  TY2/99  5.875% US Dollar Notes due 2030/06/22</t>
  </si>
  <si>
    <t xml:space="preserve">  TY2/100  6.30% US Dollar Notes due 2048/06/22</t>
  </si>
  <si>
    <t xml:space="preserve">  TY2/97  4.85% US Dollar Notes due 2027/09/27</t>
  </si>
  <si>
    <t xml:space="preserve">  TY2/98  5.65% US Dollar Notes due 2047/09/27</t>
  </si>
  <si>
    <t xml:space="preserve">  Arms Procurement Loan Agreements (cash value)</t>
  </si>
  <si>
    <t xml:space="preserve">       TY2/73A AKA Ausfuhrkredit/Commerzbank/Kreditanstalt due 2017/07/25</t>
  </si>
  <si>
    <t xml:space="preserve">       TY2/73B AKA Ausfuhrkredit/Commerzbank/Kreditanstalt due 2014/04/29</t>
  </si>
  <si>
    <t xml:space="preserve">       TY2/73C Société Générale/Paribas due 2015/05/28</t>
  </si>
  <si>
    <t xml:space="preserve">       TY2/73E Barclays Bank PLC due 2020/10/15  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</si>
  <si>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</si>
  <si>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</si>
  <si>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</si>
  <si>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</si>
  <si>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TY2/92  3.750% Euro Notes due 2026/07/24</t>
  </si>
  <si>
    <t xml:space="preserve">  TY2/88 6.250% US Dollar Notes due 2041/03/08</t>
  </si>
  <si>
    <t xml:space="preserve">  TY2/89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</si>
  <si>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</si>
  <si>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</si>
  <si>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</si>
  <si>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</si>
  <si>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</si>
  <si>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</si>
  <si>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</si>
  <si>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</si>
  <si>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TY2/86  6.875% RSA Notes due 2019/05/27</t>
  </si>
  <si>
    <t xml:space="preserve">  TY2/87  5.50% RSA Notes due 2020/03/09</t>
  </si>
  <si>
    <t xml:space="preserve">  TY2/68 8.50% YANKEE BOND due 2017/06/23</t>
  </si>
  <si>
    <t xml:space="preserve">  TY2/73C Société Générale/Paribas due 2015/05/28</t>
  </si>
  <si>
    <t xml:space="preserve">  TY2/73E  Barclays Bank PLC due 2020/04/15 </t>
  </si>
  <si>
    <t xml:space="preserve">  TY2/74  US Dollar Notes due 2009/05/19</t>
  </si>
  <si>
    <t xml:space="preserve">  TY2/80 US Dollar Notes due 2012/04/25</t>
  </si>
  <si>
    <t xml:space="preserve">  TY2/81 Euro Notes due 2013/05/16</t>
  </si>
  <si>
    <t xml:space="preserve">  TY2/78  Japanese Yen Loan due 2007/07/18</t>
  </si>
  <si>
    <t xml:space="preserve">  TY2/82 World Bank: ( Municipal Financial Assistance)  2011/02/15</t>
  </si>
  <si>
    <t xml:space="preserve"> Due to switches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</si>
  <si>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</si>
  <si>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</si>
  <si>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</si>
  <si>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</si>
  <si>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</si>
  <si>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</si>
  <si>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</si>
  <si>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</si>
  <si>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</si>
  <si>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</si>
  <si>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</si>
  <si>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</si>
  <si>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</si>
  <si>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</si>
  <si>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</si>
  <si>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2018/19 and prior</t>
  </si>
  <si>
    <t xml:space="preserve">      2012/2013</t>
  </si>
  <si>
    <t xml:space="preserve">Late requests by National Departments                 </t>
  </si>
  <si>
    <t xml:space="preserve">     2018/19 and prior </t>
  </si>
  <si>
    <t>Reconciliation between actual revenue and actual expenditure against NRF flows</t>
  </si>
  <si>
    <t>Total change in cash and other balances</t>
  </si>
  <si>
    <t>1) A negative value indicates an increase in cash and other balances. A positive value indicates that cash is used to finance part of the borrowing requirement.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</si>
  <si>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</si>
  <si>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</si>
  <si>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</si>
  <si>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</si>
  <si>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</si>
  <si>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</si>
  <si>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</si>
  <si>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</si>
  <si>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</si>
  <si>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</si>
  <si>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</si>
  <si>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</si>
  <si>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</si>
  <si>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</si>
  <si>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Debt-service costs</t>
  </si>
  <si>
    <t>Provincial equitable share</t>
  </si>
  <si>
    <t>General fuel levy sharing with metropolitan municipalities</t>
  </si>
  <si>
    <t>Skills levy and SETAs</t>
  </si>
  <si>
    <t>Other costs</t>
  </si>
  <si>
    <t>Main budget balance</t>
  </si>
  <si>
    <t>Total financing</t>
  </si>
  <si>
    <t>Loans issued for financing (net)</t>
  </si>
  <si>
    <t>Loans issued (gross)</t>
  </si>
  <si>
    <t>Discount</t>
  </si>
  <si>
    <t>Redemptions</t>
  </si>
  <si>
    <t xml:space="preserve">   Buy-backs (excluding book profit)</t>
  </si>
  <si>
    <t>Loans issued for switches (net)</t>
  </si>
  <si>
    <t>Loans switched (net of book profit)</t>
  </si>
  <si>
    <t>Loans issued for repo's (net)</t>
  </si>
  <si>
    <t>Repo out</t>
  </si>
  <si>
    <t>Repo in</t>
  </si>
  <si>
    <t>Loans issued for extraordinary purposes (net)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</si>
  <si>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</si>
  <si>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</si>
  <si>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</si>
  <si>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</si>
  <si>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</si>
  <si>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</si>
  <si>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</si>
  <si>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</si>
  <si>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</si>
  <si>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</si>
  <si>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</si>
  <si>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>Opening balance</t>
  </si>
  <si>
    <t xml:space="preserve">   </t>
  </si>
  <si>
    <t>SARB accounts</t>
  </si>
  <si>
    <t>Commercial Banks - Tax and Loan accounts</t>
  </si>
  <si>
    <t>SARB deposit account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</si>
  <si>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</si>
  <si>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</si>
  <si>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</si>
  <si>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</si>
  <si>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</si>
  <si>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</si>
  <si>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</si>
  <si>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</si>
  <si>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</si>
  <si>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</si>
  <si>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</si>
  <si>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</si>
  <si>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</si>
  <si>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</si>
  <si>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</si>
  <si>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</si>
  <si>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</si>
  <si>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</si>
  <si>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</si>
  <si>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</si>
  <si>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</si>
  <si>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</si>
  <si>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</si>
  <si>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</si>
  <si>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</si>
  <si>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</si>
  <si>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</si>
  <si>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</si>
  <si>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</si>
  <si>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</si>
  <si>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</si>
  <si>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</si>
  <si>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</si>
  <si>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</si>
  <si>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</si>
  <si>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</si>
  <si>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</si>
  <si>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</si>
  <si>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</si>
  <si>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</si>
  <si>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</si>
  <si>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</si>
  <si>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</si>
  <si>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</si>
  <si>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</si>
  <si>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</si>
  <si>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</si>
  <si>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</si>
  <si>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</si>
  <si>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</si>
  <si>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</si>
  <si>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</si>
  <si>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</si>
  <si>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</si>
  <si>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</si>
  <si>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</si>
  <si>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</si>
  <si>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</si>
  <si>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</si>
  <si>
    <t>The statement of actual revenue, expenditure and borrowings with regard to the National Revenue Fund as at the end of February 2019/2020 financial year is hereby published in terms of section 32 (1) of the Public Finance Management Act, 1999.</t>
  </si>
  <si>
    <t>Detailed information is available on the website of the National Treasury at www.treasury.gov.za click the Communications &amp; Media link - Press Releases - Monthly Press Releases</t>
  </si>
  <si>
    <t>Summary table of national revenue, expenditure and borrowing for the month ended 31 March 2020</t>
  </si>
  <si>
    <t>Revenue</t>
  </si>
  <si>
    <t xml:space="preserve">Expenditure </t>
  </si>
  <si>
    <t>Appropriation by vote</t>
  </si>
  <si>
    <t>Eskom - payment in terms of Section 16(1) of the PFMA2</t>
  </si>
  <si>
    <t>Payments in terms of Section 6(1)(b) of the Appropriation act 20192</t>
  </si>
  <si>
    <t>Skill Levy and SETAs</t>
  </si>
  <si>
    <t>Financing of the net borrowing requirement</t>
  </si>
  <si>
    <t>Foreign loans (net)</t>
  </si>
  <si>
    <t>Change in cash and other balances1</t>
  </si>
  <si>
    <t>Total financing (net)</t>
  </si>
  <si>
    <t>1) Including Special Appropriation Act No.25 of 2019 for Eskom for an amount of R26bn.</t>
  </si>
  <si>
    <t>COMPILED BY: Phindile Dhlame</t>
  </si>
  <si>
    <t xml:space="preserve">REVIEWED: Suzan Molokwane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</si>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</sst>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_);_(@_)"/>
    <numFmt numFmtId="168" formatCode="_(* #,##0.0_);_(* \(#,##0.0\);_(* &quot;-&quot;??_);_(@_)"/>
    <numFmt numFmtId="169" formatCode=";;;"/>
    <numFmt numFmtId="170" formatCode="_(* #,##0.000000000000000000000000000_);_(* \(#,##0.000000000000000000000000000\);_(* &quot;-&quot;??_);_(@_)"/>
    <numFmt numFmtId="171" formatCode="_(* #,##0.000000000000000000_);_(* \(#,##0.000000000000000000\);_(* &quot;-&quot;??_);_(@_)"/>
    <numFmt numFmtId="172" formatCode="_ * #,##0_ ;_ * \-#,##0_ ;_ * &quot;-&quot;??_ ;_ @_ "/>
    <numFmt numFmtId="173" formatCode="_(* #,##0.0000000_);_(* \(#,##0.0000000\);_(* &quot;-&quot;??_);_(@_)"/>
    <numFmt numFmtId="174" formatCode="_(* #,##0.0000_);_(* \(#,##0.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9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15" fillId="0" borderId="0"/>
  </cellStyleXfs>
  <cellXfs count="702">
    <xf numFmtId="0" fontId="0" fillId="0" borderId="0" xfId="0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4" fillId="0" borderId="9" xfId="0" applyNumberFormat="1" applyFont="1" applyFill="1" applyBorder="1" applyAlignment="1">
      <alignment horizontal="right"/>
    </xf>
    <xf numFmtId="164" fontId="3" fillId="0" borderId="10" xfId="2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/>
    <xf numFmtId="164" fontId="3" fillId="0" borderId="16" xfId="0" applyNumberFormat="1" applyFont="1" applyFill="1" applyBorder="1" applyAlignment="1"/>
    <xf numFmtId="164" fontId="3" fillId="0" borderId="17" xfId="0" applyNumberFormat="1" applyFont="1" applyFill="1" applyBorder="1" applyAlignment="1">
      <alignment horizontal="right"/>
    </xf>
    <xf numFmtId="164" fontId="3" fillId="0" borderId="18" xfId="2" applyNumberFormat="1" applyFont="1" applyFill="1" applyBorder="1" applyAlignment="1">
      <alignment horizontal="right"/>
    </xf>
    <xf numFmtId="164" fontId="3" fillId="0" borderId="9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3" fillId="0" borderId="19" xfId="2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6" fillId="0" borderId="13" xfId="0" applyNumberFormat="1" applyFont="1" applyFill="1" applyBorder="1" applyAlignment="1"/>
    <xf numFmtId="164" fontId="4" fillId="0" borderId="11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/>
    <xf numFmtId="164" fontId="4" fillId="0" borderId="0" xfId="0" applyNumberFormat="1" applyFont="1" applyFill="1" applyAlignment="1"/>
    <xf numFmtId="164" fontId="2" fillId="0" borderId="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9" fillId="0" borderId="9" xfId="0" applyNumberFormat="1" applyFont="1" applyFill="1" applyBorder="1" applyAlignment="1">
      <alignment horizontal="right"/>
    </xf>
    <xf numFmtId="164" fontId="3" fillId="0" borderId="9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24" xfId="2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64" fontId="3" fillId="0" borderId="18" xfId="2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164" fontId="7" fillId="0" borderId="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left"/>
    </xf>
    <xf numFmtId="164" fontId="2" fillId="0" borderId="18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4" fillId="0" borderId="18" xfId="2" applyNumberFormat="1" applyFont="1" applyFill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/>
    <xf numFmtId="164" fontId="3" fillId="0" borderId="25" xfId="2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/>
    </xf>
    <xf numFmtId="164" fontId="3" fillId="0" borderId="21" xfId="2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2" fillId="0" borderId="22" xfId="0" applyNumberFormat="1" applyFont="1" applyFill="1" applyBorder="1" applyAlignment="1"/>
    <xf numFmtId="164" fontId="3" fillId="0" borderId="13" xfId="0" applyNumberFormat="1" applyFont="1" applyFill="1" applyBorder="1" applyAlignment="1"/>
    <xf numFmtId="164" fontId="2" fillId="0" borderId="13" xfId="0" applyNumberFormat="1" applyFont="1" applyFill="1" applyBorder="1" applyAlignment="1"/>
    <xf numFmtId="164" fontId="9" fillId="0" borderId="11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/>
    <xf numFmtId="164" fontId="3" fillId="0" borderId="27" xfId="0" applyNumberFormat="1" applyFont="1" applyFill="1" applyBorder="1" applyAlignment="1"/>
    <xf numFmtId="164" fontId="2" fillId="0" borderId="27" xfId="0" applyNumberFormat="1" applyFont="1" applyFill="1" applyBorder="1" applyAlignment="1"/>
    <xf numFmtId="164" fontId="7" fillId="0" borderId="27" xfId="0" applyNumberFormat="1" applyFont="1" applyFill="1" applyBorder="1" applyAlignment="1"/>
    <xf numFmtId="164" fontId="9" fillId="0" borderId="28" xfId="0" applyNumberFormat="1" applyFont="1" applyFill="1" applyBorder="1" applyAlignment="1">
      <alignment horizontal="right"/>
    </xf>
    <xf numFmtId="164" fontId="3" fillId="0" borderId="29" xfId="2" applyNumberFormat="1" applyFont="1" applyFill="1" applyBorder="1" applyAlignment="1">
      <alignment horizontal="center"/>
    </xf>
    <xf numFmtId="164" fontId="3" fillId="0" borderId="28" xfId="2" applyNumberFormat="1" applyFont="1" applyFill="1" applyBorder="1" applyAlignment="1">
      <alignment horizontal="center"/>
    </xf>
    <xf numFmtId="164" fontId="3" fillId="0" borderId="31" xfId="2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indent="1"/>
    </xf>
    <xf numFmtId="164" fontId="2" fillId="0" borderId="18" xfId="7" applyNumberFormat="1" applyFont="1" applyFill="1" applyBorder="1" applyProtection="1"/>
    <xf numFmtId="164" fontId="4" fillId="0" borderId="18" xfId="7" applyNumberFormat="1" applyFont="1" applyFill="1" applyBorder="1" applyProtection="1"/>
    <xf numFmtId="164" fontId="2" fillId="0" borderId="18" xfId="2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left" indent="2"/>
    </xf>
    <xf numFmtId="164" fontId="4" fillId="0" borderId="25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/>
    <xf numFmtId="164" fontId="3" fillId="0" borderId="28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left"/>
    </xf>
    <xf numFmtId="164" fontId="3" fillId="0" borderId="37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left"/>
    </xf>
    <xf numFmtId="164" fontId="3" fillId="0" borderId="19" xfId="0" applyNumberFormat="1" applyFont="1" applyFill="1" applyBorder="1" applyAlignment="1"/>
    <xf numFmtId="164" fontId="2" fillId="0" borderId="8" xfId="0" applyNumberFormat="1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 indent="1"/>
    </xf>
    <xf numFmtId="164" fontId="2" fillId="0" borderId="9" xfId="0" applyNumberFormat="1" applyFont="1" applyFill="1" applyBorder="1" applyAlignment="1"/>
    <xf numFmtId="164" fontId="6" fillId="0" borderId="1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/>
    <xf numFmtId="164" fontId="2" fillId="0" borderId="0" xfId="0" applyNumberFormat="1" applyFont="1" applyFill="1" applyAlignment="1">
      <alignment horizontal="left"/>
    </xf>
    <xf numFmtId="164" fontId="2" fillId="0" borderId="15" xfId="0" applyNumberFormat="1" applyFont="1" applyFill="1" applyBorder="1" applyAlignment="1"/>
    <xf numFmtId="164" fontId="2" fillId="0" borderId="16" xfId="0" applyNumberFormat="1" applyFont="1" applyFill="1" applyBorder="1" applyAlignment="1"/>
    <xf numFmtId="164" fontId="2" fillId="0" borderId="25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/>
    <xf numFmtId="3" fontId="2" fillId="0" borderId="1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2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10" fillId="0" borderId="15" xfId="0" applyNumberFormat="1" applyFont="1" applyFill="1" applyBorder="1" applyAlignment="1"/>
    <xf numFmtId="0" fontId="3" fillId="0" borderId="16" xfId="0" applyFont="1" applyFill="1" applyBorder="1" applyAlignment="1"/>
    <xf numFmtId="0" fontId="3" fillId="0" borderId="17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2" fontId="3" fillId="0" borderId="8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3" fillId="0" borderId="12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/>
    <xf numFmtId="37" fontId="7" fillId="0" borderId="0" xfId="0" applyNumberFormat="1" applyFont="1" applyFill="1" applyBorder="1" applyAlignment="1">
      <alignment horizontal="right"/>
    </xf>
    <xf numFmtId="164" fontId="2" fillId="0" borderId="19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/>
    <xf numFmtId="166" fontId="2" fillId="0" borderId="8" xfId="0" applyNumberFormat="1" applyFont="1" applyFill="1" applyBorder="1" applyAlignment="1"/>
    <xf numFmtId="37" fontId="9" fillId="0" borderId="0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7" fillId="0" borderId="0" xfId="0" applyNumberFormat="1" applyFont="1" applyFill="1" applyBorder="1" applyAlignment="1"/>
    <xf numFmtId="0" fontId="2" fillId="0" borderId="8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/>
    <xf numFmtId="37" fontId="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7" fillId="0" borderId="16" xfId="0" applyNumberFormat="1" applyFont="1" applyFill="1" applyBorder="1" applyAlignment="1"/>
    <xf numFmtId="37" fontId="7" fillId="0" borderId="17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10" fillId="0" borderId="22" xfId="0" applyNumberFormat="1" applyFont="1" applyFill="1" applyBorder="1" applyAlignment="1"/>
    <xf numFmtId="37" fontId="9" fillId="0" borderId="9" xfId="0" quotePrefix="1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37" fontId="7" fillId="0" borderId="9" xfId="0" applyNumberFormat="1" applyFont="1" applyFill="1" applyBorder="1" applyAlignment="1">
      <alignment horizontal="right"/>
    </xf>
    <xf numFmtId="164" fontId="3" fillId="0" borderId="19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37" fontId="9" fillId="0" borderId="9" xfId="0" applyNumberFormat="1" applyFont="1" applyFill="1" applyBorder="1" applyAlignment="1">
      <alignment horizontal="right"/>
    </xf>
    <xf numFmtId="0" fontId="9" fillId="0" borderId="8" xfId="0" applyNumberFormat="1" applyFont="1" applyFill="1" applyBorder="1" applyAlignment="1">
      <alignment horizontal="left" inden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0" xfId="12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/>
    <xf numFmtId="0" fontId="10" fillId="0" borderId="26" xfId="0" applyNumberFormat="1" applyFont="1" applyFill="1" applyBorder="1" applyAlignment="1"/>
    <xf numFmtId="0" fontId="2" fillId="0" borderId="27" xfId="0" applyFont="1" applyFill="1" applyBorder="1" applyAlignment="1"/>
    <xf numFmtId="37" fontId="7" fillId="0" borderId="27" xfId="0" applyNumberFormat="1" applyFont="1" applyFill="1" applyBorder="1" applyAlignment="1">
      <alignment horizontal="right"/>
    </xf>
    <xf numFmtId="164" fontId="3" fillId="0" borderId="30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right"/>
    </xf>
    <xf numFmtId="37" fontId="7" fillId="0" borderId="27" xfId="0" applyNumberFormat="1" applyFont="1" applyFill="1" applyBorder="1" applyAlignment="1"/>
    <xf numFmtId="37" fontId="9" fillId="0" borderId="28" xfId="0" quotePrefix="1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/>
    <xf numFmtId="37" fontId="9" fillId="0" borderId="3" xfId="0" applyNumberFormat="1" applyFont="1" applyFill="1" applyBorder="1" applyAlignment="1"/>
    <xf numFmtId="164" fontId="7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2" fontId="2" fillId="0" borderId="8" xfId="0" applyNumberFormat="1" applyFont="1" applyFill="1" applyBorder="1" applyAlignment="1"/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6" fontId="3" fillId="0" borderId="8" xfId="0" applyNumberFormat="1" applyFont="1" applyFill="1" applyBorder="1" applyAlignment="1"/>
    <xf numFmtId="164" fontId="2" fillId="0" borderId="16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14" fillId="0" borderId="0" xfId="0" applyNumberFormat="1" applyFont="1" applyFill="1" applyAlignment="1"/>
    <xf numFmtId="164" fontId="2" fillId="0" borderId="19" xfId="1" applyNumberFormat="1" applyFont="1" applyFill="1" applyBorder="1" applyAlignment="1">
      <alignment horizontal="right"/>
    </xf>
    <xf numFmtId="164" fontId="4" fillId="0" borderId="19" xfId="12" applyNumberFormat="1" applyFont="1" applyFill="1" applyBorder="1" applyAlignment="1">
      <alignment horizontal="center"/>
    </xf>
    <xf numFmtId="164" fontId="4" fillId="0" borderId="19" xfId="12" applyNumberFormat="1" applyFont="1" applyFill="1" applyBorder="1" applyAlignment="1">
      <alignment horizontal="right"/>
    </xf>
    <xf numFmtId="164" fontId="2" fillId="0" borderId="19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2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2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12" xfId="0" applyNumberFormat="1" applyFont="1" applyFill="1" applyBorder="1" applyAlignment="1"/>
    <xf numFmtId="164" fontId="3" fillId="0" borderId="14" xfId="0" applyNumberFormat="1" applyFont="1" applyFill="1" applyBorder="1" applyAlignment="1"/>
    <xf numFmtId="164" fontId="3" fillId="0" borderId="10" xfId="0" applyNumberFormat="1" applyFont="1" applyFill="1" applyBorder="1" applyAlignment="1"/>
    <xf numFmtId="164" fontId="3" fillId="0" borderId="28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/>
    <xf numFmtId="164" fontId="3" fillId="0" borderId="28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37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center"/>
    </xf>
    <xf numFmtId="164" fontId="3" fillId="0" borderId="7" xfId="0" quotePrefix="1" applyNumberFormat="1" applyFont="1" applyFill="1" applyBorder="1" applyAlignment="1">
      <alignment horizontal="center"/>
    </xf>
    <xf numFmtId="164" fontId="2" fillId="0" borderId="8" xfId="0" applyNumberFormat="1" applyFont="1" applyFill="1" applyBorder="1"/>
    <xf numFmtId="164" fontId="3" fillId="0" borderId="0" xfId="13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center"/>
    </xf>
    <xf numFmtId="164" fontId="3" fillId="0" borderId="16" xfId="13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/>
    <xf numFmtId="164" fontId="3" fillId="0" borderId="8" xfId="0" applyNumberFormat="1" applyFont="1" applyFill="1" applyBorder="1"/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0" xfId="1" applyNumberFormat="1" applyFont="1" applyFill="1" applyBorder="1"/>
    <xf numFmtId="164" fontId="3" fillId="0" borderId="19" xfId="1" applyNumberFormat="1" applyFont="1" applyFill="1" applyBorder="1"/>
    <xf numFmtId="164" fontId="3" fillId="0" borderId="0" xfId="13" applyNumberFormat="1" applyFont="1" applyFill="1" applyBorder="1"/>
    <xf numFmtId="164" fontId="3" fillId="0" borderId="0" xfId="0" applyNumberFormat="1" applyFont="1" applyFill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1" xfId="0" applyNumberFormat="1" applyFont="1" applyFill="1" applyBorder="1"/>
    <xf numFmtId="164" fontId="2" fillId="0" borderId="13" xfId="1" applyNumberFormat="1" applyFont="1" applyFill="1" applyBorder="1"/>
    <xf numFmtId="164" fontId="2" fillId="0" borderId="39" xfId="1" applyNumberFormat="1" applyFont="1" applyFill="1" applyBorder="1"/>
    <xf numFmtId="164" fontId="2" fillId="0" borderId="13" xfId="13" applyNumberFormat="1" applyFont="1" applyFill="1" applyBorder="1"/>
    <xf numFmtId="164" fontId="2" fillId="0" borderId="10" xfId="13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64" fontId="2" fillId="0" borderId="18" xfId="0" applyNumberFormat="1" applyFont="1" applyFill="1" applyBorder="1"/>
    <xf numFmtId="164" fontId="2" fillId="0" borderId="18" xfId="13" applyNumberFormat="1" applyFont="1" applyFill="1" applyBorder="1"/>
    <xf numFmtId="164" fontId="2" fillId="0" borderId="25" xfId="13" applyNumberFormat="1" applyFont="1" applyFill="1" applyBorder="1"/>
    <xf numFmtId="164" fontId="2" fillId="0" borderId="25" xfId="0" applyNumberFormat="1" applyFont="1" applyFill="1" applyBorder="1"/>
    <xf numFmtId="164" fontId="2" fillId="0" borderId="0" xfId="13" applyNumberFormat="1" applyFont="1" applyFill="1" applyBorder="1"/>
    <xf numFmtId="164" fontId="2" fillId="0" borderId="8" xfId="0" applyNumberFormat="1" applyFont="1" applyFill="1" applyBorder="1" applyAlignment="1">
      <alignment horizontal="left"/>
    </xf>
    <xf numFmtId="164" fontId="2" fillId="0" borderId="20" xfId="0" applyNumberFormat="1" applyFont="1" applyFill="1" applyBorder="1"/>
    <xf numFmtId="164" fontId="2" fillId="0" borderId="16" xfId="13" applyNumberFormat="1" applyFont="1" applyFill="1" applyBorder="1"/>
    <xf numFmtId="164" fontId="2" fillId="0" borderId="17" xfId="0" applyNumberFormat="1" applyFont="1" applyFill="1" applyBorder="1"/>
    <xf numFmtId="164" fontId="2" fillId="0" borderId="16" xfId="0" applyNumberFormat="1" applyFont="1" applyFill="1" applyBorder="1"/>
    <xf numFmtId="164" fontId="2" fillId="0" borderId="1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2" fillId="0" borderId="18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64" fontId="2" fillId="0" borderId="43" xfId="0" applyNumberFormat="1" applyFont="1" applyFill="1" applyBorder="1"/>
    <xf numFmtId="168" fontId="2" fillId="0" borderId="2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3" fillId="0" borderId="22" xfId="0" applyNumberFormat="1" applyFont="1" applyFill="1" applyBorder="1"/>
    <xf numFmtId="164" fontId="3" fillId="0" borderId="11" xfId="0" applyNumberFormat="1" applyFont="1" applyFill="1" applyBorder="1"/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/>
    <xf numFmtId="164" fontId="3" fillId="0" borderId="12" xfId="0" applyNumberFormat="1" applyFont="1" applyFill="1" applyBorder="1"/>
    <xf numFmtId="0" fontId="4" fillId="0" borderId="3" xfId="0" applyNumberFormat="1" applyFont="1" applyFill="1" applyBorder="1"/>
    <xf numFmtId="164" fontId="2" fillId="0" borderId="3" xfId="0" applyNumberFormat="1" applyFont="1" applyFill="1" applyBorder="1"/>
    <xf numFmtId="169" fontId="2" fillId="0" borderId="0" xfId="0" applyNumberFormat="1" applyFont="1" applyFill="1"/>
    <xf numFmtId="169" fontId="2" fillId="0" borderId="0" xfId="0" applyNumberFormat="1" applyFont="1" applyFill="1" applyBorder="1"/>
    <xf numFmtId="169" fontId="4" fillId="0" borderId="0" xfId="0" applyNumberFormat="1" applyFont="1" applyFill="1" applyBorder="1"/>
    <xf numFmtId="43" fontId="2" fillId="0" borderId="0" xfId="1" applyFont="1" applyFill="1" applyBorder="1"/>
    <xf numFmtId="0" fontId="4" fillId="0" borderId="0" xfId="0" applyNumberFormat="1" applyFont="1" applyFill="1" applyBorder="1"/>
    <xf numFmtId="170" fontId="2" fillId="0" borderId="0" xfId="0" applyNumberFormat="1" applyFont="1" applyFill="1" applyBorder="1"/>
    <xf numFmtId="171" fontId="2" fillId="0" borderId="0" xfId="0" applyNumberFormat="1" applyFont="1" applyFill="1" applyBorder="1"/>
    <xf numFmtId="164" fontId="13" fillId="0" borderId="1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15" fillId="0" borderId="16" xfId="0" applyFont="1" applyFill="1" applyBorder="1"/>
    <xf numFmtId="0" fontId="0" fillId="0" borderId="7" xfId="0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44" xfId="0" applyNumberFormat="1" applyFont="1" applyFill="1" applyBorder="1"/>
    <xf numFmtId="164" fontId="3" fillId="0" borderId="0" xfId="13" applyNumberFormat="1" applyFont="1" applyFill="1" applyBorder="1" applyAlignment="1">
      <alignment horizontal="center"/>
    </xf>
    <xf numFmtId="164" fontId="2" fillId="0" borderId="13" xfId="13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13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6" xfId="13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164" fontId="3" fillId="0" borderId="19" xfId="1" applyNumberFormat="1" applyFont="1" applyFill="1" applyBorder="1" applyAlignment="1">
      <alignment horizontal="right"/>
    </xf>
    <xf numFmtId="43" fontId="3" fillId="0" borderId="0" xfId="1" applyFont="1" applyFill="1"/>
    <xf numFmtId="164" fontId="2" fillId="0" borderId="13" xfId="1" applyNumberFormat="1" applyFont="1" applyFill="1" applyBorder="1" applyAlignment="1">
      <alignment horizontal="right"/>
    </xf>
    <xf numFmtId="164" fontId="2" fillId="0" borderId="11" xfId="1" applyNumberFormat="1" applyFont="1" applyFill="1" applyBorder="1" applyAlignment="1">
      <alignment horizontal="right"/>
    </xf>
    <xf numFmtId="164" fontId="2" fillId="0" borderId="12" xfId="1" applyNumberFormat="1" applyFont="1" applyFill="1" applyBorder="1" applyAlignment="1">
      <alignment horizontal="right"/>
    </xf>
    <xf numFmtId="43" fontId="2" fillId="0" borderId="0" xfId="1" applyFont="1" applyFill="1"/>
    <xf numFmtId="164" fontId="2" fillId="0" borderId="9" xfId="1" applyNumberFormat="1" applyFont="1" applyFill="1" applyBorder="1" applyAlignment="1">
      <alignment horizontal="right"/>
    </xf>
    <xf numFmtId="164" fontId="2" fillId="0" borderId="38" xfId="0" applyNumberFormat="1" applyFont="1" applyFill="1" applyBorder="1"/>
    <xf numFmtId="164" fontId="2" fillId="0" borderId="39" xfId="1" applyNumberFormat="1" applyFont="1" applyFill="1" applyBorder="1" applyAlignment="1">
      <alignment horizontal="right"/>
    </xf>
    <xf numFmtId="164" fontId="2" fillId="0" borderId="40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164" fontId="2" fillId="0" borderId="39" xfId="1" applyNumberFormat="1" applyFont="1" applyFill="1" applyBorder="1" applyAlignment="1">
      <alignment horizontal="left"/>
    </xf>
    <xf numFmtId="164" fontId="2" fillId="0" borderId="23" xfId="0" applyNumberFormat="1" applyFont="1" applyFill="1" applyBorder="1"/>
    <xf numFmtId="164" fontId="2" fillId="0" borderId="18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164" fontId="2" fillId="0" borderId="20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/>
    </xf>
    <xf numFmtId="164" fontId="2" fillId="0" borderId="45" xfId="0" applyNumberFormat="1" applyFont="1" applyFill="1" applyBorder="1"/>
    <xf numFmtId="164" fontId="2" fillId="0" borderId="33" xfId="0" applyNumberFormat="1" applyFont="1" applyFill="1" applyBorder="1"/>
    <xf numFmtId="164" fontId="2" fillId="0" borderId="46" xfId="0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46" xfId="1" applyNumberFormat="1" applyFont="1" applyFill="1" applyBorder="1" applyAlignment="1">
      <alignment horizontal="right"/>
    </xf>
    <xf numFmtId="164" fontId="2" fillId="0" borderId="34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left"/>
    </xf>
    <xf numFmtId="164" fontId="3" fillId="0" borderId="0" xfId="0" quotePrefix="1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left" indent="1"/>
    </xf>
    <xf numFmtId="164" fontId="2" fillId="0" borderId="12" xfId="0" applyNumberFormat="1" applyFont="1" applyFill="1" applyBorder="1" applyAlignment="1">
      <alignment horizontal="left" indent="1"/>
    </xf>
    <xf numFmtId="164" fontId="2" fillId="0" borderId="13" xfId="0" applyNumberFormat="1" applyFont="1" applyFill="1" applyBorder="1" applyAlignment="1">
      <alignment horizontal="left" indent="1"/>
    </xf>
    <xf numFmtId="164" fontId="2" fillId="0" borderId="20" xfId="0" applyNumberFormat="1" applyFont="1" applyFill="1" applyBorder="1" applyAlignment="1">
      <alignment horizontal="left" indent="1"/>
    </xf>
    <xf numFmtId="164" fontId="2" fillId="0" borderId="16" xfId="0" applyNumberFormat="1" applyFont="1" applyFill="1" applyBorder="1" applyAlignment="1">
      <alignment horizontal="left" indent="1"/>
    </xf>
    <xf numFmtId="164" fontId="3" fillId="0" borderId="19" xfId="0" applyNumberFormat="1" applyFont="1" applyFill="1" applyBorder="1" applyAlignment="1">
      <alignment horizontal="left"/>
    </xf>
    <xf numFmtId="164" fontId="2" fillId="0" borderId="38" xfId="0" applyNumberFormat="1" applyFont="1" applyFill="1" applyBorder="1" applyAlignment="1">
      <alignment horizontal="left" indent="1"/>
    </xf>
    <xf numFmtId="172" fontId="2" fillId="0" borderId="39" xfId="1" applyNumberFormat="1" applyFont="1" applyFill="1" applyBorder="1" applyAlignment="1">
      <alignment horizontal="right"/>
    </xf>
    <xf numFmtId="164" fontId="2" fillId="0" borderId="39" xfId="0" applyNumberFormat="1" applyFont="1" applyFill="1" applyBorder="1"/>
    <xf numFmtId="164" fontId="2" fillId="0" borderId="24" xfId="1" applyNumberFormat="1" applyFont="1" applyFill="1" applyBorder="1" applyAlignment="1">
      <alignment horizontal="right"/>
    </xf>
    <xf numFmtId="164" fontId="13" fillId="0" borderId="0" xfId="0" applyNumberFormat="1" applyFont="1" applyFill="1"/>
    <xf numFmtId="164" fontId="3" fillId="0" borderId="16" xfId="0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19" xfId="1" applyNumberFormat="1" applyFont="1" applyFill="1" applyBorder="1" applyAlignment="1">
      <alignment horizontal="right"/>
    </xf>
    <xf numFmtId="164" fontId="2" fillId="0" borderId="32" xfId="0" applyNumberFormat="1" applyFont="1" applyFill="1" applyBorder="1"/>
    <xf numFmtId="164" fontId="7" fillId="0" borderId="1" xfId="1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center"/>
    </xf>
    <xf numFmtId="164" fontId="4" fillId="0" borderId="8" xfId="0" applyNumberFormat="1" applyFont="1" applyFill="1" applyBorder="1"/>
    <xf numFmtId="164" fontId="4" fillId="0" borderId="19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6" fillId="0" borderId="3" xfId="0" applyNumberFormat="1" applyFont="1" applyFill="1" applyBorder="1" applyAlignment="1">
      <alignment horizontal="right"/>
    </xf>
    <xf numFmtId="164" fontId="3" fillId="0" borderId="47" xfId="0" applyNumberFormat="1" applyFont="1" applyFill="1" applyBorder="1"/>
    <xf numFmtId="164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right"/>
    </xf>
    <xf numFmtId="164" fontId="2" fillId="0" borderId="25" xfId="1" applyNumberFormat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73" fontId="2" fillId="0" borderId="0" xfId="2" applyNumberFormat="1" applyFont="1" applyFill="1" applyBorder="1" applyAlignment="1">
      <alignment horizontal="right"/>
    </xf>
    <xf numFmtId="164" fontId="2" fillId="0" borderId="8" xfId="0" quotePrefix="1" applyNumberFormat="1" applyFont="1" applyFill="1" applyBorder="1"/>
    <xf numFmtId="164" fontId="3" fillId="0" borderId="18" xfId="0" applyNumberFormat="1" applyFont="1" applyFill="1" applyBorder="1"/>
    <xf numFmtId="164" fontId="3" fillId="0" borderId="39" xfId="0" applyNumberFormat="1" applyFont="1" applyFill="1" applyBorder="1"/>
    <xf numFmtId="164" fontId="2" fillId="0" borderId="39" xfId="1" applyNumberFormat="1" applyFont="1" applyFill="1" applyBorder="1" applyAlignment="1">
      <alignment horizontal="center"/>
    </xf>
    <xf numFmtId="164" fontId="2" fillId="0" borderId="18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174" fontId="2" fillId="0" borderId="0" xfId="0" applyNumberFormat="1" applyFont="1" applyFill="1"/>
    <xf numFmtId="164" fontId="3" fillId="0" borderId="39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39" xfId="1" applyNumberFormat="1" applyFont="1" applyFill="1" applyBorder="1" applyAlignment="1">
      <alignment horizontal="right"/>
    </xf>
    <xf numFmtId="164" fontId="3" fillId="0" borderId="26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30" xfId="0" applyNumberFormat="1" applyFont="1" applyFill="1" applyBorder="1"/>
    <xf numFmtId="164" fontId="3" fillId="0" borderId="27" xfId="0" applyNumberFormat="1" applyFont="1" applyFill="1" applyBorder="1"/>
    <xf numFmtId="164" fontId="4" fillId="0" borderId="0" xfId="0" quotePrefix="1" applyNumberFormat="1" applyFont="1" applyFill="1"/>
    <xf numFmtId="164" fontId="4" fillId="0" borderId="0" xfId="0" quotePrefix="1" applyNumberFormat="1" applyFont="1" applyFill="1" applyAlignment="1">
      <alignment horizontal="right"/>
    </xf>
    <xf numFmtId="175" fontId="2" fillId="0" borderId="0" xfId="0" applyNumberFormat="1" applyFont="1" applyFill="1"/>
    <xf numFmtId="176" fontId="2" fillId="0" borderId="0" xfId="0" applyNumberFormat="1" applyFont="1" applyFill="1"/>
    <xf numFmtId="170" fontId="2" fillId="0" borderId="0" xfId="0" applyNumberFormat="1" applyFont="1" applyFill="1"/>
    <xf numFmtId="177" fontId="2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Border="1"/>
    <xf numFmtId="165" fontId="2" fillId="0" borderId="0" xfId="12" applyFont="1" applyFill="1" applyBorder="1"/>
    <xf numFmtId="164" fontId="2" fillId="0" borderId="0" xfId="12" applyNumberFormat="1" applyFont="1" applyFill="1" applyBorder="1"/>
    <xf numFmtId="178" fontId="2" fillId="0" borderId="0" xfId="0" applyNumberFormat="1" applyFont="1" applyFill="1" applyBorder="1"/>
    <xf numFmtId="165" fontId="2" fillId="0" borderId="0" xfId="12" applyNumberFormat="1" applyFont="1" applyFill="1" applyBorder="1"/>
    <xf numFmtId="178" fontId="2" fillId="0" borderId="0" xfId="12" applyNumberFormat="1" applyFont="1" applyFill="1" applyBorder="1"/>
    <xf numFmtId="165" fontId="2" fillId="0" borderId="0" xfId="0" applyNumberFormat="1" applyFont="1" applyFill="1" applyBorder="1"/>
    <xf numFmtId="165" fontId="2" fillId="0" borderId="0" xfId="12" applyFont="1" applyFill="1"/>
    <xf numFmtId="0" fontId="13" fillId="0" borderId="0" xfId="0" applyFont="1" applyFill="1" applyBorder="1"/>
    <xf numFmtId="0" fontId="2" fillId="0" borderId="45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8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5" applyFont="1" applyFill="1" applyBorder="1" applyAlignment="1">
      <alignment horizontal="right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25" xfId="5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18" xfId="12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Alignment="1">
      <alignment horizontal="right"/>
    </xf>
    <xf numFmtId="164" fontId="3" fillId="0" borderId="19" xfId="12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right"/>
    </xf>
    <xf numFmtId="164" fontId="7" fillId="0" borderId="19" xfId="12" applyNumberFormat="1" applyFont="1" applyFill="1" applyBorder="1" applyAlignment="1">
      <alignment horizontal="right"/>
    </xf>
    <xf numFmtId="164" fontId="7" fillId="0" borderId="18" xfId="12" applyNumberFormat="1" applyFont="1" applyFill="1" applyBorder="1" applyAlignment="1">
      <alignment horizontal="right"/>
    </xf>
    <xf numFmtId="164" fontId="2" fillId="0" borderId="18" xfId="12" applyNumberFormat="1" applyFont="1" applyFill="1" applyBorder="1" applyAlignment="1">
      <alignment horizontal="right"/>
    </xf>
    <xf numFmtId="164" fontId="2" fillId="0" borderId="19" xfId="12" applyNumberFormat="1" applyFont="1" applyFill="1" applyBorder="1" applyAlignment="1">
      <alignment horizontal="right"/>
    </xf>
    <xf numFmtId="0" fontId="3" fillId="0" borderId="45" xfId="0" applyFont="1" applyFill="1" applyBorder="1"/>
    <xf numFmtId="164" fontId="10" fillId="0" borderId="19" xfId="12" applyNumberFormat="1" applyFont="1" applyFill="1" applyBorder="1" applyAlignment="1">
      <alignment horizontal="right"/>
    </xf>
    <xf numFmtId="164" fontId="10" fillId="0" borderId="18" xfId="12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/>
    <xf numFmtId="0" fontId="2" fillId="0" borderId="0" xfId="0" quotePrefix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right"/>
    </xf>
    <xf numFmtId="164" fontId="3" fillId="0" borderId="46" xfId="12" applyNumberFormat="1" applyFont="1" applyFill="1" applyBorder="1" applyAlignment="1">
      <alignment horizontal="right"/>
    </xf>
    <xf numFmtId="164" fontId="3" fillId="0" borderId="50" xfId="12" applyNumberFormat="1" applyFont="1" applyFill="1" applyBorder="1" applyAlignment="1">
      <alignment horizontal="right"/>
    </xf>
    <xf numFmtId="164" fontId="3" fillId="0" borderId="18" xfId="12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4" fontId="2" fillId="0" borderId="19" xfId="12" applyNumberFormat="1" applyFont="1" applyFill="1" applyBorder="1" applyAlignment="1">
      <alignment horizontal="center"/>
    </xf>
    <xf numFmtId="164" fontId="2" fillId="0" borderId="18" xfId="1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center"/>
    </xf>
    <xf numFmtId="164" fontId="2" fillId="0" borderId="9" xfId="12" applyNumberFormat="1" applyFont="1" applyFill="1" applyBorder="1" applyAlignment="1">
      <alignment horizontal="right"/>
    </xf>
    <xf numFmtId="0" fontId="2" fillId="0" borderId="3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46" xfId="12" applyNumberFormat="1" applyFont="1" applyFill="1" applyBorder="1" applyAlignment="1">
      <alignment horizontal="right"/>
    </xf>
    <xf numFmtId="164" fontId="2" fillId="0" borderId="50" xfId="12" applyNumberFormat="1" applyFont="1" applyFill="1" applyBorder="1" applyAlignment="1">
      <alignment horizontal="right"/>
    </xf>
    <xf numFmtId="164" fontId="2" fillId="0" borderId="36" xfId="12" applyNumberFormat="1" applyFont="1" applyFill="1" applyBorder="1" applyAlignment="1">
      <alignment horizontal="right"/>
    </xf>
    <xf numFmtId="0" fontId="7" fillId="0" borderId="2" xfId="0" applyNumberFormat="1" applyFont="1" applyFill="1" applyBorder="1"/>
    <xf numFmtId="0" fontId="16" fillId="0" borderId="3" xfId="0" applyNumberFormat="1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47" xfId="12" applyNumberFormat="1" applyFont="1" applyFill="1" applyBorder="1" applyAlignment="1">
      <alignment horizontal="right"/>
    </xf>
    <xf numFmtId="164" fontId="2" fillId="0" borderId="37" xfId="12" applyNumberFormat="1" applyFont="1" applyFill="1" applyBorder="1" applyAlignment="1">
      <alignment horizontal="right"/>
    </xf>
    <xf numFmtId="0" fontId="10" fillId="0" borderId="8" xfId="0" applyNumberFormat="1" applyFont="1" applyFill="1" applyBorder="1"/>
    <xf numFmtId="0" fontId="17" fillId="0" borderId="0" xfId="0" applyNumberFormat="1" applyFont="1" applyFill="1" applyBorder="1"/>
    <xf numFmtId="0" fontId="16" fillId="0" borderId="8" xfId="0" applyNumberFormat="1" applyFont="1" applyFill="1" applyBorder="1"/>
    <xf numFmtId="0" fontId="16" fillId="0" borderId="0" xfId="0" applyNumberFormat="1" applyFont="1" applyFill="1" applyBorder="1"/>
    <xf numFmtId="164" fontId="2" fillId="0" borderId="19" xfId="5" applyNumberFormat="1" applyFont="1" applyFill="1" applyBorder="1"/>
    <xf numFmtId="0" fontId="7" fillId="0" borderId="8" xfId="0" applyNumberFormat="1" applyFont="1" applyFill="1" applyBorder="1"/>
    <xf numFmtId="0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164" fontId="2" fillId="0" borderId="0" xfId="12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8" fillId="0" borderId="0" xfId="0" applyFont="1" applyFill="1" applyBorder="1" applyAlignment="1">
      <alignment vertical="top"/>
    </xf>
    <xf numFmtId="164" fontId="3" fillId="0" borderId="0" xfId="12" applyNumberFormat="1" applyFont="1" applyFill="1" applyBorder="1" applyAlignment="1">
      <alignment horizontal="right"/>
    </xf>
    <xf numFmtId="166" fontId="2" fillId="0" borderId="0" xfId="12" applyNumberFormat="1" applyFont="1" applyFill="1" applyBorder="1" applyAlignment="1">
      <alignment horizontal="right"/>
    </xf>
    <xf numFmtId="165" fontId="2" fillId="0" borderId="0" xfId="12" applyNumberFormat="1" applyFont="1" applyFill="1" applyBorder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Border="1"/>
    <xf numFmtId="0" fontId="13" fillId="0" borderId="1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 applyAlignment="1">
      <alignment horizontal="right"/>
    </xf>
    <xf numFmtId="0" fontId="5" fillId="0" borderId="8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0" xfId="5" applyFont="1" applyFill="1" applyBorder="1" applyAlignment="1">
      <alignment horizontal="right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8" xfId="0" applyNumberFormat="1" applyFont="1" applyBorder="1"/>
    <xf numFmtId="0" fontId="4" fillId="0" borderId="0" xfId="0" applyFont="1" applyFill="1" applyBorder="1" applyAlignment="1">
      <alignment horizontal="right"/>
    </xf>
    <xf numFmtId="165" fontId="19" fillId="0" borderId="8" xfId="0" applyNumberFormat="1" applyFont="1" applyBorder="1"/>
    <xf numFmtId="164" fontId="5" fillId="0" borderId="0" xfId="0" applyNumberFormat="1" applyFont="1"/>
    <xf numFmtId="0" fontId="2" fillId="0" borderId="0" xfId="0" quotePrefix="1" applyFont="1" applyFill="1" applyBorder="1" applyAlignment="1">
      <alignment horizontal="right"/>
    </xf>
    <xf numFmtId="165" fontId="5" fillId="0" borderId="8" xfId="0" applyNumberFormat="1" applyFont="1" applyBorder="1"/>
    <xf numFmtId="0" fontId="2" fillId="0" borderId="0" xfId="0" applyFont="1" applyBorder="1"/>
    <xf numFmtId="0" fontId="2" fillId="0" borderId="0" xfId="0" applyNumberFormat="1" applyFont="1" applyFill="1" applyBorder="1" applyAlignment="1">
      <alignment horizontal="right"/>
    </xf>
    <xf numFmtId="164" fontId="2" fillId="0" borderId="18" xfId="5" applyNumberFormat="1" applyFont="1" applyFill="1" applyBorder="1" applyAlignment="1">
      <alignment horizontal="right"/>
    </xf>
    <xf numFmtId="165" fontId="5" fillId="0" borderId="0" xfId="0" applyNumberFormat="1" applyFont="1"/>
    <xf numFmtId="165" fontId="5" fillId="0" borderId="8" xfId="0" applyNumberFormat="1" applyFont="1" applyFill="1" applyBorder="1"/>
    <xf numFmtId="0" fontId="5" fillId="0" borderId="0" xfId="0" applyFont="1" applyFill="1"/>
    <xf numFmtId="0" fontId="4" fillId="0" borderId="0" xfId="0" applyNumberFormat="1" applyFont="1" applyFill="1" applyBorder="1" applyAlignment="1">
      <alignment horizontal="right"/>
    </xf>
    <xf numFmtId="0" fontId="17" fillId="0" borderId="8" xfId="0" applyNumberFormat="1" applyFont="1" applyBorder="1"/>
    <xf numFmtId="0" fontId="17" fillId="0" borderId="32" xfId="0" applyNumberFormat="1" applyFont="1" applyBorder="1"/>
    <xf numFmtId="0" fontId="2" fillId="0" borderId="1" xfId="0" quotePrefix="1" applyFont="1" applyFill="1" applyBorder="1"/>
    <xf numFmtId="0" fontId="2" fillId="0" borderId="1" xfId="0" quotePrefix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 horizontal="right"/>
    </xf>
    <xf numFmtId="164" fontId="2" fillId="0" borderId="50" xfId="1" applyNumberFormat="1" applyFont="1" applyFill="1" applyBorder="1" applyAlignment="1">
      <alignment horizontal="right"/>
    </xf>
    <xf numFmtId="0" fontId="7" fillId="0" borderId="32" xfId="0" applyNumberFormat="1" applyFont="1" applyBorder="1"/>
    <xf numFmtId="0" fontId="2" fillId="0" borderId="1" xfId="0" quotePrefix="1" applyFont="1" applyBorder="1"/>
    <xf numFmtId="0" fontId="2" fillId="0" borderId="1" xfId="0" applyNumberFormat="1" applyFont="1" applyFill="1" applyBorder="1" applyAlignment="1">
      <alignment horizontal="right"/>
    </xf>
    <xf numFmtId="168" fontId="2" fillId="0" borderId="50" xfId="0" applyNumberFormat="1" applyFont="1" applyFill="1" applyBorder="1" applyAlignment="1">
      <alignment horizontal="right"/>
    </xf>
    <xf numFmtId="0" fontId="4" fillId="0" borderId="0" xfId="0" applyNumberFormat="1" applyFont="1"/>
    <xf numFmtId="0" fontId="4" fillId="0" borderId="0" xfId="0" applyFont="1"/>
    <xf numFmtId="165" fontId="19" fillId="0" borderId="0" xfId="0" applyNumberFormat="1" applyFont="1" applyBorder="1"/>
    <xf numFmtId="0" fontId="19" fillId="0" borderId="0" xfId="0" applyFont="1" applyBorder="1"/>
    <xf numFmtId="0" fontId="19" fillId="0" borderId="0" xfId="0" applyFont="1"/>
    <xf numFmtId="164" fontId="5" fillId="0" borderId="0" xfId="0" applyNumberFormat="1" applyFont="1" applyFill="1"/>
    <xf numFmtId="164" fontId="19" fillId="0" borderId="0" xfId="0" applyNumberFormat="1" applyFont="1"/>
    <xf numFmtId="0" fontId="20" fillId="0" borderId="0" xfId="0" applyFont="1" applyBorder="1"/>
    <xf numFmtId="0" fontId="21" fillId="0" borderId="0" xfId="0" applyFont="1"/>
    <xf numFmtId="0" fontId="22" fillId="0" borderId="0" xfId="0" applyFont="1" applyFill="1"/>
    <xf numFmtId="43" fontId="5" fillId="0" borderId="0" xfId="1" applyFont="1" applyFill="1"/>
    <xf numFmtId="43" fontId="5" fillId="0" borderId="0" xfId="1" applyFont="1"/>
    <xf numFmtId="164" fontId="5" fillId="0" borderId="0" xfId="1" applyNumberFormat="1" applyFont="1" applyFill="1"/>
    <xf numFmtId="164" fontId="5" fillId="0" borderId="0" xfId="1" applyNumberFormat="1" applyFont="1"/>
    <xf numFmtId="164" fontId="19" fillId="0" borderId="0" xfId="1" applyNumberFormat="1" applyFont="1" applyFill="1"/>
    <xf numFmtId="0" fontId="23" fillId="0" borderId="0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5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/>
    <xf numFmtId="165" fontId="23" fillId="0" borderId="0" xfId="12" applyFont="1" applyFill="1" applyBorder="1"/>
    <xf numFmtId="0" fontId="23" fillId="0" borderId="0" xfId="0" applyFont="1" applyFill="1"/>
    <xf numFmtId="0" fontId="13" fillId="0" borderId="1" xfId="0" applyFont="1" applyFill="1" applyBorder="1"/>
    <xf numFmtId="0" fontId="3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165" fontId="23" fillId="0" borderId="1" xfId="12" applyFont="1" applyFill="1" applyBorder="1"/>
    <xf numFmtId="0" fontId="3" fillId="0" borderId="47" xfId="0" applyFont="1" applyFill="1" applyBorder="1"/>
    <xf numFmtId="17" fontId="3" fillId="0" borderId="56" xfId="0" quotePrefix="1" applyNumberFormat="1" applyFont="1" applyFill="1" applyBorder="1" applyAlignment="1">
      <alignment horizontal="centerContinuous"/>
    </xf>
    <xf numFmtId="0" fontId="3" fillId="0" borderId="56" xfId="0" applyFont="1" applyFill="1" applyBorder="1" applyAlignment="1">
      <alignment horizontal="centerContinuous"/>
    </xf>
    <xf numFmtId="0" fontId="3" fillId="0" borderId="49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"/>
    </xf>
    <xf numFmtId="164" fontId="3" fillId="0" borderId="10" xfId="12" applyNumberFormat="1" applyFont="1" applyFill="1" applyBorder="1" applyAlignment="1">
      <alignment horizontal="right"/>
    </xf>
    <xf numFmtId="164" fontId="3" fillId="0" borderId="11" xfId="12" applyNumberFormat="1" applyFont="1" applyFill="1" applyBorder="1" applyAlignment="1">
      <alignment horizontal="right"/>
    </xf>
    <xf numFmtId="164" fontId="3" fillId="0" borderId="25" xfId="12" applyNumberFormat="1" applyFont="1" applyFill="1" applyBorder="1" applyAlignment="1">
      <alignment horizontal="right"/>
    </xf>
    <xf numFmtId="164" fontId="3" fillId="0" borderId="17" xfId="12" applyNumberFormat="1" applyFont="1" applyFill="1" applyBorder="1" applyAlignment="1">
      <alignment horizontal="right"/>
    </xf>
    <xf numFmtId="0" fontId="3" fillId="0" borderId="22" xfId="0" applyFont="1" applyFill="1" applyBorder="1"/>
    <xf numFmtId="0" fontId="3" fillId="0" borderId="1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9" xfId="12" applyNumberFormat="1" applyFont="1" applyFill="1" applyBorder="1" applyAlignment="1">
      <alignment horizontal="right"/>
    </xf>
    <xf numFmtId="164" fontId="3" fillId="0" borderId="9" xfId="12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2" fillId="0" borderId="18" xfId="12" applyNumberFormat="1" applyFont="1" applyFill="1" applyBorder="1" applyAlignment="1">
      <alignment horizontal="right"/>
    </xf>
    <xf numFmtId="165" fontId="2" fillId="0" borderId="9" xfId="12" applyNumberFormat="1" applyFont="1" applyFill="1" applyBorder="1" applyAlignment="1">
      <alignment horizontal="right"/>
    </xf>
    <xf numFmtId="0" fontId="6" fillId="0" borderId="8" xfId="0" applyFont="1" applyFill="1" applyBorder="1"/>
    <xf numFmtId="0" fontId="6" fillId="0" borderId="19" xfId="0" applyFont="1" applyFill="1" applyBorder="1" applyAlignment="1">
      <alignment horizontal="center"/>
    </xf>
    <xf numFmtId="164" fontId="4" fillId="0" borderId="18" xfId="12" applyNumberFormat="1" applyFont="1" applyFill="1" applyBorder="1" applyAlignment="1">
      <alignment horizontal="center"/>
    </xf>
    <xf numFmtId="164" fontId="4" fillId="0" borderId="9" xfId="12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 indent="1"/>
    </xf>
    <xf numFmtId="0" fontId="2" fillId="0" borderId="0" xfId="5" applyFont="1" applyFill="1" applyBorder="1"/>
    <xf numFmtId="164" fontId="2" fillId="0" borderId="9" xfId="12" applyNumberFormat="1" applyFont="1" applyFill="1" applyBorder="1" applyAlignment="1">
      <alignment horizontal="center"/>
    </xf>
    <xf numFmtId="37" fontId="2" fillId="0" borderId="25" xfId="12" applyNumberFormat="1" applyFont="1" applyFill="1" applyBorder="1" applyAlignment="1">
      <alignment horizontal="right"/>
    </xf>
    <xf numFmtId="37" fontId="2" fillId="0" borderId="17" xfId="12" applyNumberFormat="1" applyFont="1" applyFill="1" applyBorder="1" applyAlignment="1">
      <alignment horizontal="right"/>
    </xf>
    <xf numFmtId="164" fontId="6" fillId="0" borderId="10" xfId="12" applyNumberFormat="1" applyFont="1" applyFill="1" applyBorder="1" applyAlignment="1">
      <alignment horizontal="right"/>
    </xf>
    <xf numFmtId="164" fontId="6" fillId="0" borderId="11" xfId="12" applyNumberFormat="1" applyFont="1" applyFill="1" applyBorder="1" applyAlignment="1">
      <alignment horizontal="right"/>
    </xf>
    <xf numFmtId="164" fontId="6" fillId="0" borderId="18" xfId="12" applyNumberFormat="1" applyFont="1" applyFill="1" applyBorder="1" applyAlignment="1">
      <alignment horizontal="right"/>
    </xf>
    <xf numFmtId="164" fontId="6" fillId="0" borderId="9" xfId="12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4" fontId="2" fillId="0" borderId="25" xfId="12" applyNumberFormat="1" applyFont="1" applyFill="1" applyBorder="1" applyAlignment="1">
      <alignment horizontal="right"/>
    </xf>
    <xf numFmtId="164" fontId="2" fillId="0" borderId="17" xfId="12" applyNumberFormat="1" applyFont="1" applyFill="1" applyBorder="1" applyAlignment="1">
      <alignment horizontal="right"/>
    </xf>
    <xf numFmtId="37" fontId="3" fillId="0" borderId="10" xfId="12" applyNumberFormat="1" applyFont="1" applyFill="1" applyBorder="1" applyAlignment="1">
      <alignment horizontal="right"/>
    </xf>
    <xf numFmtId="37" fontId="3" fillId="0" borderId="11" xfId="12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center"/>
    </xf>
    <xf numFmtId="164" fontId="2" fillId="0" borderId="60" xfId="12" applyNumberFormat="1" applyFont="1" applyFill="1" applyBorder="1" applyAlignment="1">
      <alignment horizontal="right"/>
    </xf>
    <xf numFmtId="0" fontId="18" fillId="0" borderId="0" xfId="0" applyFont="1" applyFill="1" applyBorder="1"/>
    <xf numFmtId="164" fontId="23" fillId="0" borderId="0" xfId="1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64" fontId="3" fillId="0" borderId="24" xfId="2" applyNumberFormat="1" applyFont="1" applyFill="1" applyBorder="1" applyAlignment="1">
      <alignment horizontal="right"/>
    </xf>
    <xf numFmtId="164" fontId="3" fillId="0" borderId="45" xfId="2" applyNumberFormat="1" applyFont="1" applyFill="1" applyBorder="1" applyAlignment="1">
      <alignment horizontal="center"/>
    </xf>
    <xf numFmtId="164" fontId="2" fillId="0" borderId="24" xfId="2" applyNumberFormat="1" applyFont="1" applyFill="1" applyBorder="1" applyAlignment="1">
      <alignment horizontal="center"/>
    </xf>
    <xf numFmtId="164" fontId="4" fillId="0" borderId="24" xfId="2" applyNumberFormat="1" applyFont="1" applyFill="1" applyBorder="1" applyAlignment="1">
      <alignment horizontal="center"/>
    </xf>
    <xf numFmtId="164" fontId="2" fillId="0" borderId="45" xfId="2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3" fillId="0" borderId="45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3" fillId="0" borderId="61" xfId="0" applyNumberFormat="1" applyFont="1" applyFill="1" applyBorder="1" applyAlignment="1"/>
    <xf numFmtId="164" fontId="3" fillId="0" borderId="48" xfId="0" applyNumberFormat="1" applyFont="1" applyFill="1" applyBorder="1" applyAlignment="1"/>
    <xf numFmtId="164" fontId="3" fillId="0" borderId="24" xfId="0" applyNumberFormat="1" applyFont="1" applyFill="1" applyBorder="1" applyAlignment="1"/>
    <xf numFmtId="164" fontId="2" fillId="0" borderId="45" xfId="0" applyNumberFormat="1" applyFont="1" applyFill="1" applyBorder="1" applyAlignment="1"/>
    <xf numFmtId="164" fontId="3" fillId="0" borderId="45" xfId="0" applyNumberFormat="1" applyFont="1" applyFill="1" applyBorder="1" applyAlignment="1"/>
    <xf numFmtId="164" fontId="2" fillId="0" borderId="21" xfId="0" applyNumberFormat="1" applyFont="1" applyFill="1" applyBorder="1" applyAlignment="1">
      <alignment horizontal="right"/>
    </xf>
    <xf numFmtId="0" fontId="19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left"/>
    </xf>
    <xf numFmtId="164" fontId="3" fillId="0" borderId="5" xfId="0" quotePrefix="1" applyNumberFormat="1" applyFont="1" applyFill="1" applyBorder="1" applyAlignment="1">
      <alignment horizontal="center"/>
    </xf>
    <xf numFmtId="164" fontId="3" fillId="0" borderId="6" xfId="0" quotePrefix="1" applyNumberFormat="1" applyFont="1" applyFill="1" applyBorder="1" applyAlignment="1">
      <alignment horizontal="center"/>
    </xf>
    <xf numFmtId="164" fontId="3" fillId="0" borderId="7" xfId="0" quotePrefix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0" fillId="0" borderId="0" xfId="0" applyFill="1" applyAlignment="1"/>
    <xf numFmtId="0" fontId="0" fillId="0" borderId="9" xfId="0" applyFill="1" applyBorder="1" applyAlignment="1"/>
    <xf numFmtId="164" fontId="7" fillId="0" borderId="0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35" xfId="0" applyNumberFormat="1" applyFont="1" applyFill="1" applyBorder="1" applyAlignment="1">
      <alignment horizontal="left" vertical="top"/>
    </xf>
    <xf numFmtId="164" fontId="3" fillId="0" borderId="36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 indent="1"/>
    </xf>
    <xf numFmtId="164" fontId="2" fillId="0" borderId="9" xfId="0" applyNumberFormat="1" applyFont="1" applyFill="1" applyBorder="1" applyAlignment="1">
      <alignment horizontal="left" indent="1"/>
    </xf>
    <xf numFmtId="164" fontId="2" fillId="0" borderId="8" xfId="0" applyNumberFormat="1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3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3" fillId="0" borderId="16" xfId="0" quotePrefix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" xfId="0" quotePrefix="1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0" borderId="3" xfId="0" quotePrefix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7" fontId="3" fillId="0" borderId="5" xfId="0" quotePrefix="1" applyNumberFormat="1" applyFont="1" applyFill="1" applyBorder="1" applyAlignment="1">
      <alignment horizontal="center"/>
    </xf>
  </cellXfs>
  <cellStyles count="14">
    <cellStyle name="Comma" xfId="1" builtinId="3"/>
    <cellStyle name="Comma 13" xfId="12"/>
    <cellStyle name="Comma 2 2" xfId="2"/>
    <cellStyle name="Comma 35" xfId="7"/>
    <cellStyle name="Comma 37 4" xfId="6"/>
    <cellStyle name="Normal" xfId="0" builtinId="0"/>
    <cellStyle name="Normal 2 2" xfId="5"/>
    <cellStyle name="Normal 4" xfId="13"/>
    <cellStyle name="Normal 49" xfId="3"/>
    <cellStyle name="Normal 50" xfId="4"/>
    <cellStyle name="Normal 51" xfId="8"/>
    <cellStyle name="Normal 52" xfId="9"/>
    <cellStyle name="Normal 53" xfId="10"/>
    <cellStyle name="Normal 5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84" Type="http://schemas.openxmlformats.org/officeDocument/2006/relationships/externalLink" Target="externalLinks/externalLink73.xml"/><Relationship Id="rId89" Type="http://schemas.openxmlformats.org/officeDocument/2006/relationships/externalLink" Target="externalLinks/externalLink78.xml"/><Relationship Id="rId16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74" Type="http://schemas.openxmlformats.org/officeDocument/2006/relationships/externalLink" Target="externalLinks/externalLink63.xml"/><Relationship Id="rId79" Type="http://schemas.openxmlformats.org/officeDocument/2006/relationships/externalLink" Target="externalLinks/externalLink6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9.xml"/><Relationship Id="rId95" Type="http://schemas.openxmlformats.org/officeDocument/2006/relationships/sharedStrings" Target="sharedStrings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69.xml"/><Relationship Id="rId85" Type="http://schemas.openxmlformats.org/officeDocument/2006/relationships/externalLink" Target="externalLinks/externalLink74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59.xml"/><Relationship Id="rId75" Type="http://schemas.openxmlformats.org/officeDocument/2006/relationships/externalLink" Target="externalLinks/externalLink64.xml"/><Relationship Id="rId83" Type="http://schemas.openxmlformats.org/officeDocument/2006/relationships/externalLink" Target="externalLinks/externalLink72.xml"/><Relationship Id="rId88" Type="http://schemas.openxmlformats.org/officeDocument/2006/relationships/externalLink" Target="externalLinks/externalLink77.xml"/><Relationship Id="rId91" Type="http://schemas.openxmlformats.org/officeDocument/2006/relationships/externalLink" Target="externalLinks/externalLink80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externalLink" Target="externalLinks/externalLink62.xml"/><Relationship Id="rId78" Type="http://schemas.openxmlformats.org/officeDocument/2006/relationships/externalLink" Target="externalLinks/externalLink67.xml"/><Relationship Id="rId81" Type="http://schemas.openxmlformats.org/officeDocument/2006/relationships/externalLink" Target="externalLinks/externalLink70.xml"/><Relationship Id="rId86" Type="http://schemas.openxmlformats.org/officeDocument/2006/relationships/externalLink" Target="externalLinks/externalLink75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6" Type="http://schemas.openxmlformats.org/officeDocument/2006/relationships/externalLink" Target="externalLinks/externalLink6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92" Type="http://schemas.openxmlformats.org/officeDocument/2006/relationships/externalLink" Target="externalLinks/externalLink8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76.xml"/><Relationship Id="rId61" Type="http://schemas.openxmlformats.org/officeDocument/2006/relationships/externalLink" Target="externalLinks/externalLink50.xml"/><Relationship Id="rId82" Type="http://schemas.openxmlformats.org/officeDocument/2006/relationships/externalLink" Target="externalLinks/externalLink71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45.xml"/><Relationship Id="rId77" Type="http://schemas.openxmlformats.org/officeDocument/2006/relationships/externalLink" Target="externalLinks/externalLink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32/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Table%202/Table%202%20C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1.%20APR/Table%202/Table%202%20C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2.%20MAY/Table%202/Table%202%20C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3.%20JUN/Table%202/Table%202%20C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4.%20JULY/Table%202/Table%202%20C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5.AUG/Table%202/Table%202%20C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6.SEP/Table%202/Table%202%20C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2/Table%202%20C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8.%20NOV/Table%202/Table%202%20C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9.%20DEC/Table%202/Table%202%20C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Table%201/Table%201%20February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0.%20JAN/Table%202/Table%202%20C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2.%20MAR/Table%202/Table%202%20C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2/Table%202%20CY.xls%20for%20we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Table%203/statement%2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1.%20APR/Table%203/statement%2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843\AppData\Roaming\Microsoft\Excel\statement%203%20(version%20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3.%20JUN/Table%203/statement%2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4.%20JULY/Table%203/statement%2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5.AUG/Table%203/statement%2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6.SEP/Table%203/statement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5.AUG/Table%201/Table%201%20August%20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3/statement%2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8.%20NOV/Table%203/statement%2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9.%20DEC/Table%203/statement%2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0.%20JAN/Table%203/statement%2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2.%20MAR/Table%203/statement%2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1.%20APR\Summary\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1.%20APR\Table%205\Additional%20Inform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2.%20MAY\Table%205\Additional%20Informati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3.%20JUN\Table%205\Additional%20Informati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4.%20JULY\Table%205\Additional%20Inform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6.SEP/Table%201/Table%201%20September%20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5.AUG\Table%205\Additional%20Informati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6.SEP\Table%205\Additional%20Informat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7.OCT\Table%205\Additional%20Inform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%20Branch%20Information\Section%2032%20Report\2019-2020\08.%20NOV\Table%205\Additional%20Informa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9.%20DEC/Table%205/Additional%20Informa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0.%20JAN/Table%205/Additional%20Inform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Table%205/Additional%20Informa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2.%20MAR/Table%205/Additional%20Informati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1.%20APR/Table%205/Additional%20Informat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2.%20MAY/Table%205/Additional%20Inform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1/Table%201%20October%202019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3.%20JUN/Table%205/Additional%20Informati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4.%20JULY/Table%205/Additional%20Informatio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5.AUG/Table%205/Additional%20Inform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6.SEP/Table%205/Additional%20Informat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5/Additional%20Informa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8.%20NOV/Table%205/Additional%20Informa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PRIL%202018/Table%205/Additional%20Information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Y%202018/Table%205/Additional%20Information%2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JUNE%202018/Table%205/Additional%20Information%2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JULY%202018/Table%205/Additional%20Information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8.%20NOV/Table%201/Table%201%20November%202019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UGUST%202018/Table%205/Additional%20Informatio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OCTOBER%202018/Table%205/Additional%20Informa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NOVEMBER%202018/Table%205/Additional%20Informati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JANUARY%202019/Table%205/Additional%20Information.xls%20we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RCH%202019/Table%205/Additional%20Informatio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32/statement%203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1.%20APR/Table%204/Recon%20statement%20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4.%20JULY/Table%204/Recon%20statement%20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3.%20JUN/Table%204/Recon%20statement%20.xlsm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5.AUG/Table%204/Recon%20statement%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9.%20DEC/Table%201/Table%201%20December%202019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6.SEP/Table%204/Recon%20statement%20.xlsm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7.OCT/Table%204/Recon%20statement%20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8.%20NOV/Table%204/Recon%20statement%20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9.%20DEC/Table%204/Recon%20statement%20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0.%20JAN/Table%204/Recon%20statement%20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Table%204/Recon%20statement%20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2.%20MAR/Table%204/Recon%20statement%20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02.%20MAY/Table%203/statement%20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PRIL%202018/Table%203/statement%203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Y%202018/Table%203/statement%2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0.%20JAN/Table%201/Table%201%20January%202020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7-2018/March%202018/Table%203/statement%2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1.%20FEB/Summary/HARDCODED%20FEBRUARY%20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9-2020/12.%20MAR/Table%201/Table%201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ummary"/>
      <sheetName val="Sheet1"/>
    </sheetNames>
    <sheetDataSet>
      <sheetData sheetId="0">
        <row r="2">
          <cell r="A2" t="str">
            <v>2019/20</v>
          </cell>
          <cell r="C2" t="str">
            <v>2018/19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I47">
            <v>941168502</v>
          </cell>
          <cell r="BL47">
            <v>68781631</v>
          </cell>
        </row>
        <row r="50">
          <cell r="I50">
            <v>7254</v>
          </cell>
          <cell r="BL50">
            <v>475</v>
          </cell>
        </row>
        <row r="51">
          <cell r="I51">
            <v>600518</v>
          </cell>
          <cell r="BL51">
            <v>53960</v>
          </cell>
        </row>
        <row r="52">
          <cell r="I52">
            <v>203730750</v>
          </cell>
          <cell r="BL52">
            <v>29392738</v>
          </cell>
        </row>
        <row r="55">
          <cell r="I55">
            <v>505553753</v>
          </cell>
          <cell r="BL55">
            <v>42129475</v>
          </cell>
        </row>
        <row r="56">
          <cell r="I56">
            <v>13166793</v>
          </cell>
          <cell r="BL56">
            <v>0</v>
          </cell>
        </row>
        <row r="57">
          <cell r="I57">
            <v>359535</v>
          </cell>
          <cell r="BL57">
            <v>0</v>
          </cell>
        </row>
        <row r="64">
          <cell r="I64">
            <v>18576305</v>
          </cell>
          <cell r="BL64">
            <v>1703401</v>
          </cell>
        </row>
        <row r="65">
          <cell r="I65">
            <v>2263695</v>
          </cell>
          <cell r="BL65">
            <v>170590</v>
          </cell>
        </row>
        <row r="66">
          <cell r="I66">
            <v>1098546</v>
          </cell>
          <cell r="BL66">
            <v>91086</v>
          </cell>
        </row>
        <row r="67">
          <cell r="I67">
            <v>10424</v>
          </cell>
          <cell r="BL67">
            <v>2614</v>
          </cell>
        </row>
        <row r="75">
          <cell r="I75">
            <v>-4231974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</sheetNames>
    <sheetDataSet>
      <sheetData sheetId="0" refreshError="1">
        <row r="47">
          <cell r="I47">
            <v>882647777</v>
          </cell>
          <cell r="N47">
            <v>76160742</v>
          </cell>
        </row>
        <row r="50">
          <cell r="N50">
            <v>475</v>
          </cell>
        </row>
        <row r="51">
          <cell r="N51">
            <v>43960</v>
          </cell>
        </row>
        <row r="52">
          <cell r="N52">
            <v>3587887</v>
          </cell>
        </row>
        <row r="55">
          <cell r="N55">
            <v>42129484</v>
          </cell>
        </row>
        <row r="56">
          <cell r="N56">
            <v>0</v>
          </cell>
        </row>
        <row r="57">
          <cell r="N57">
            <v>131872</v>
          </cell>
        </row>
        <row r="58">
          <cell r="M58">
            <v>13500000</v>
          </cell>
        </row>
        <row r="59">
          <cell r="N59">
            <v>1549593</v>
          </cell>
        </row>
        <row r="60">
          <cell r="N60">
            <v>170660</v>
          </cell>
        </row>
        <row r="61">
          <cell r="N61">
            <v>79795</v>
          </cell>
        </row>
        <row r="64">
          <cell r="A64" t="str">
            <v>Provisional allocation for contingencies not assigned to votes</v>
          </cell>
        </row>
        <row r="65">
          <cell r="A65" t="str">
            <v>Infrastructure fund not assigned to votes</v>
          </cell>
        </row>
        <row r="66">
          <cell r="A66" t="str">
            <v xml:space="preserve">Provisional allocation for Eskom restructuring </v>
          </cell>
        </row>
        <row r="67">
          <cell r="A67" t="str">
            <v>Compensation of employees and other baseline adjustments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</sheetNames>
    <sheetDataSet>
      <sheetData sheetId="0" refreshError="1">
        <row r="47">
          <cell r="S47">
            <v>66186499</v>
          </cell>
        </row>
        <row r="50">
          <cell r="S50">
            <v>475</v>
          </cell>
        </row>
        <row r="51">
          <cell r="S51">
            <v>43960</v>
          </cell>
        </row>
        <row r="52">
          <cell r="S52">
            <v>4274259</v>
          </cell>
        </row>
        <row r="55">
          <cell r="S55">
            <v>42129482</v>
          </cell>
        </row>
        <row r="56">
          <cell r="S56">
            <v>0</v>
          </cell>
        </row>
        <row r="57">
          <cell r="S57">
            <v>83878</v>
          </cell>
        </row>
        <row r="58">
          <cell r="S58">
            <v>0</v>
          </cell>
        </row>
        <row r="59">
          <cell r="S59">
            <v>1486615</v>
          </cell>
        </row>
        <row r="60">
          <cell r="S60">
            <v>171849</v>
          </cell>
        </row>
        <row r="61">
          <cell r="S61">
            <v>84269</v>
          </cell>
        </row>
        <row r="62">
          <cell r="S6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</sheetNames>
    <sheetDataSet>
      <sheetData sheetId="0" refreshError="1">
        <row r="47">
          <cell r="X47">
            <v>59534955</v>
          </cell>
        </row>
        <row r="50">
          <cell r="X50">
            <v>475</v>
          </cell>
        </row>
        <row r="51">
          <cell r="X51">
            <v>43960</v>
          </cell>
        </row>
        <row r="52">
          <cell r="X52">
            <v>20232557</v>
          </cell>
        </row>
        <row r="55">
          <cell r="X55">
            <v>42129482</v>
          </cell>
        </row>
        <row r="56">
          <cell r="X56">
            <v>0</v>
          </cell>
        </row>
        <row r="57">
          <cell r="X57">
            <v>23306</v>
          </cell>
        </row>
        <row r="58">
          <cell r="X58">
            <v>0</v>
          </cell>
        </row>
        <row r="59">
          <cell r="X59">
            <v>1412283</v>
          </cell>
        </row>
        <row r="60">
          <cell r="X60">
            <v>168942</v>
          </cell>
        </row>
        <row r="61">
          <cell r="X61">
            <v>89510</v>
          </cell>
        </row>
        <row r="62">
          <cell r="X6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AC47">
            <v>101551864</v>
          </cell>
        </row>
        <row r="50">
          <cell r="AC50">
            <v>483</v>
          </cell>
        </row>
        <row r="51">
          <cell r="AC51">
            <v>103960</v>
          </cell>
        </row>
        <row r="52">
          <cell r="AC52">
            <v>27300430</v>
          </cell>
        </row>
        <row r="55">
          <cell r="AC55">
            <v>42129482</v>
          </cell>
        </row>
        <row r="56">
          <cell r="AC56">
            <v>0</v>
          </cell>
        </row>
        <row r="57">
          <cell r="AC57">
            <v>119906</v>
          </cell>
        </row>
        <row r="58">
          <cell r="AC58">
            <v>0</v>
          </cell>
        </row>
        <row r="59">
          <cell r="AC59">
            <v>1388691</v>
          </cell>
        </row>
        <row r="60">
          <cell r="AC60">
            <v>172594</v>
          </cell>
        </row>
        <row r="61">
          <cell r="AC61">
            <v>86379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AH47">
            <v>71020894</v>
          </cell>
        </row>
        <row r="50">
          <cell r="AH50">
            <v>475</v>
          </cell>
        </row>
        <row r="51">
          <cell r="AH51">
            <v>103960</v>
          </cell>
        </row>
        <row r="52">
          <cell r="AH52">
            <v>27624060</v>
          </cell>
        </row>
        <row r="55">
          <cell r="AH55">
            <v>42129480</v>
          </cell>
        </row>
        <row r="56">
          <cell r="AH56">
            <v>4388928</v>
          </cell>
        </row>
        <row r="57">
          <cell r="AH57">
            <v>230</v>
          </cell>
        </row>
        <row r="58">
          <cell r="AH58">
            <v>0</v>
          </cell>
        </row>
        <row r="60">
          <cell r="AH60">
            <v>1443945</v>
          </cell>
        </row>
        <row r="61">
          <cell r="AH61">
            <v>169736</v>
          </cell>
        </row>
        <row r="62">
          <cell r="AH62">
            <v>90565</v>
          </cell>
        </row>
        <row r="63">
          <cell r="AH63">
            <v>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AM47">
            <v>67597899</v>
          </cell>
        </row>
        <row r="50">
          <cell r="AM50">
            <v>475</v>
          </cell>
        </row>
        <row r="51">
          <cell r="AM51">
            <v>43960</v>
          </cell>
        </row>
        <row r="52">
          <cell r="AM52">
            <v>16497519</v>
          </cell>
        </row>
        <row r="55">
          <cell r="AM55">
            <v>42129480</v>
          </cell>
        </row>
        <row r="56">
          <cell r="AM56">
            <v>0</v>
          </cell>
        </row>
        <row r="57">
          <cell r="AM57">
            <v>21</v>
          </cell>
        </row>
        <row r="58">
          <cell r="AM58">
            <v>-13500000</v>
          </cell>
        </row>
        <row r="60">
          <cell r="A60" t="str">
            <v>South African Airways</v>
          </cell>
          <cell r="AG60">
            <v>2000000</v>
          </cell>
          <cell r="AL60">
            <v>3500000</v>
          </cell>
        </row>
        <row r="61">
          <cell r="A61" t="str">
            <v>South African Express Airways</v>
          </cell>
          <cell r="AG61">
            <v>0</v>
          </cell>
          <cell r="AL61">
            <v>300000</v>
          </cell>
        </row>
        <row r="62">
          <cell r="A62" t="str">
            <v xml:space="preserve">Denel </v>
          </cell>
          <cell r="AG62">
            <v>1800000</v>
          </cell>
          <cell r="AM62">
            <v>0</v>
          </cell>
        </row>
        <row r="64">
          <cell r="AM64">
            <v>1524417</v>
          </cell>
        </row>
        <row r="65">
          <cell r="AM65">
            <v>171780</v>
          </cell>
        </row>
        <row r="66">
          <cell r="AM66">
            <v>97825</v>
          </cell>
        </row>
        <row r="67">
          <cell r="AM67">
            <v>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AR47">
            <v>75589014</v>
          </cell>
        </row>
        <row r="50">
          <cell r="AR50">
            <v>499</v>
          </cell>
        </row>
        <row r="51">
          <cell r="AR51">
            <v>43960</v>
          </cell>
        </row>
        <row r="57">
          <cell r="AR57">
            <v>30</v>
          </cell>
        </row>
        <row r="65">
          <cell r="AR65">
            <v>168680</v>
          </cell>
        </row>
        <row r="66">
          <cell r="AR66">
            <v>82799</v>
          </cell>
        </row>
        <row r="67">
          <cell r="AR67">
            <v>0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AW47">
            <v>64382062</v>
          </cell>
        </row>
        <row r="50">
          <cell r="AW50">
            <v>475</v>
          </cell>
        </row>
        <row r="51">
          <cell r="AW51">
            <v>43960</v>
          </cell>
        </row>
        <row r="52">
          <cell r="AW52">
            <v>2314875</v>
          </cell>
        </row>
        <row r="55">
          <cell r="AW55">
            <v>42129479</v>
          </cell>
        </row>
        <row r="56">
          <cell r="AW56">
            <v>0</v>
          </cell>
        </row>
        <row r="57">
          <cell r="AW57">
            <v>1363</v>
          </cell>
        </row>
        <row r="60">
          <cell r="AW60">
            <v>0</v>
          </cell>
        </row>
        <row r="61">
          <cell r="AW61">
            <v>0</v>
          </cell>
        </row>
        <row r="62">
          <cell r="AW62">
            <v>0</v>
          </cell>
        </row>
        <row r="63">
          <cell r="AW63">
            <v>0</v>
          </cell>
        </row>
        <row r="64">
          <cell r="AW64">
            <v>1535042</v>
          </cell>
        </row>
        <row r="65">
          <cell r="AW65">
            <v>166986</v>
          </cell>
        </row>
        <row r="66">
          <cell r="AW66">
            <v>87651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BB47">
            <v>92964228</v>
          </cell>
        </row>
        <row r="50">
          <cell r="BB50">
            <v>475</v>
          </cell>
        </row>
        <row r="51">
          <cell r="BB51">
            <v>43960</v>
          </cell>
        </row>
        <row r="52">
          <cell r="BB52">
            <v>21145008</v>
          </cell>
        </row>
        <row r="55">
          <cell r="BB55">
            <v>42129478</v>
          </cell>
        </row>
        <row r="56">
          <cell r="BB56">
            <v>4388931</v>
          </cell>
        </row>
        <row r="57">
          <cell r="BB57">
            <v>107525</v>
          </cell>
        </row>
        <row r="64">
          <cell r="BB64">
            <v>1484863</v>
          </cell>
        </row>
        <row r="65">
          <cell r="BB65">
            <v>166861</v>
          </cell>
        </row>
        <row r="66">
          <cell r="BB66">
            <v>87404</v>
          </cell>
        </row>
        <row r="67">
          <cell r="BB67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H113">
            <v>1344796269.8205059</v>
          </cell>
          <cell r="S113">
            <v>144478940.09164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BG47">
            <v>75735161</v>
          </cell>
        </row>
        <row r="50">
          <cell r="BG50">
            <v>451</v>
          </cell>
        </row>
        <row r="51">
          <cell r="BG51">
            <v>3960</v>
          </cell>
        </row>
        <row r="52">
          <cell r="BG52">
            <v>28808483</v>
          </cell>
        </row>
        <row r="55">
          <cell r="BG55">
            <v>42129477</v>
          </cell>
        </row>
        <row r="56">
          <cell r="BG56">
            <v>0</v>
          </cell>
        </row>
        <row r="57">
          <cell r="BG57">
            <v>298</v>
          </cell>
        </row>
        <row r="60">
          <cell r="BG60">
            <v>-5500000</v>
          </cell>
        </row>
        <row r="61">
          <cell r="BG61">
            <v>-300000</v>
          </cell>
        </row>
        <row r="62">
          <cell r="BG62">
            <v>-1800000</v>
          </cell>
        </row>
        <row r="63">
          <cell r="BG63">
            <v>-2100000</v>
          </cell>
        </row>
        <row r="64">
          <cell r="BG64">
            <v>1682694</v>
          </cell>
        </row>
        <row r="65">
          <cell r="BG65">
            <v>165349</v>
          </cell>
        </row>
        <row r="66">
          <cell r="BG66">
            <v>77060</v>
          </cell>
        </row>
        <row r="67">
          <cell r="BG67">
            <v>0</v>
          </cell>
        </row>
        <row r="75">
          <cell r="BG75">
            <v>0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47">
          <cell r="BQ47">
            <v>124326373</v>
          </cell>
        </row>
        <row r="50">
          <cell r="BQ50">
            <v>475</v>
          </cell>
        </row>
        <row r="51">
          <cell r="BQ51">
            <v>26958</v>
          </cell>
        </row>
        <row r="52">
          <cell r="BQ52">
            <v>19073170.699999999</v>
          </cell>
        </row>
        <row r="55">
          <cell r="BQ55">
            <v>42129475</v>
          </cell>
        </row>
        <row r="56">
          <cell r="BQ56">
            <v>4388934</v>
          </cell>
        </row>
        <row r="57">
          <cell r="BQ57">
            <v>39</v>
          </cell>
        </row>
        <row r="64">
          <cell r="BQ64">
            <v>1574678</v>
          </cell>
        </row>
        <row r="65">
          <cell r="BQ65">
            <v>234234</v>
          </cell>
        </row>
        <row r="66">
          <cell r="BQ66">
            <v>97442</v>
          </cell>
        </row>
        <row r="67">
          <cell r="BQ67">
            <v>0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Sheet1"/>
    </sheetNames>
    <sheetDataSet>
      <sheetData sheetId="0" refreshError="1">
        <row r="52">
          <cell r="AR52">
            <v>4518363</v>
          </cell>
        </row>
        <row r="55">
          <cell r="AR55">
            <v>42129479</v>
          </cell>
        </row>
        <row r="56">
          <cell r="AR56">
            <v>0</v>
          </cell>
        </row>
        <row r="63">
          <cell r="A63" t="str">
            <v>SABC</v>
          </cell>
          <cell r="AR63">
            <v>2100000</v>
          </cell>
        </row>
        <row r="64">
          <cell r="AR64">
            <v>1497621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H13">
            <v>36000000</v>
          </cell>
          <cell r="BK13">
            <v>-2500139</v>
          </cell>
        </row>
        <row r="23">
          <cell r="H23">
            <v>279365000</v>
          </cell>
          <cell r="BK23">
            <v>29159155</v>
          </cell>
        </row>
        <row r="25">
          <cell r="H25">
            <v>321662290</v>
          </cell>
        </row>
        <row r="26">
          <cell r="H26">
            <v>-22473000</v>
          </cell>
        </row>
        <row r="28">
          <cell r="H28">
            <v>-19535000</v>
          </cell>
        </row>
        <row r="32">
          <cell r="H32">
            <v>14152656</v>
          </cell>
          <cell r="BK32">
            <v>0</v>
          </cell>
        </row>
        <row r="33">
          <cell r="H33">
            <v>-1646946</v>
          </cell>
          <cell r="BK33">
            <v>0</v>
          </cell>
        </row>
        <row r="34">
          <cell r="H34">
            <v>-12795000</v>
          </cell>
          <cell r="BK34">
            <v>0</v>
          </cell>
        </row>
        <row r="37">
          <cell r="H37">
            <v>3633916</v>
          </cell>
          <cell r="BK37">
            <v>0</v>
          </cell>
        </row>
        <row r="38">
          <cell r="H38">
            <v>-3633916</v>
          </cell>
          <cell r="BK38">
            <v>0</v>
          </cell>
        </row>
        <row r="45">
          <cell r="H45">
            <v>25844000</v>
          </cell>
          <cell r="BK45">
            <v>0</v>
          </cell>
        </row>
        <row r="47">
          <cell r="H47">
            <v>76052000</v>
          </cell>
          <cell r="BK47">
            <v>0</v>
          </cell>
        </row>
        <row r="48">
          <cell r="BK48">
            <v>0</v>
          </cell>
        </row>
        <row r="50">
          <cell r="H50">
            <v>-26952000</v>
          </cell>
          <cell r="BK50">
            <v>0</v>
          </cell>
        </row>
        <row r="51">
          <cell r="H51">
            <v>-23256000</v>
          </cell>
          <cell r="BK51">
            <v>0</v>
          </cell>
        </row>
        <row r="68">
          <cell r="H68">
            <v>-3701168.8205058575</v>
          </cell>
          <cell r="BK68">
            <v>-28811986.091639996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M13">
            <v>32089095</v>
          </cell>
        </row>
        <row r="23">
          <cell r="M23">
            <v>19134410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  <row r="45">
          <cell r="M45">
            <v>-628449</v>
          </cell>
        </row>
        <row r="47">
          <cell r="BU47">
            <v>0</v>
          </cell>
        </row>
        <row r="48">
          <cell r="H48">
            <v>0</v>
          </cell>
          <cell r="BU48">
            <v>0</v>
          </cell>
        </row>
        <row r="73">
          <cell r="BU73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M14">
            <v>174717635</v>
          </cell>
        </row>
        <row r="15">
          <cell r="M15">
            <v>63418018</v>
          </cell>
        </row>
        <row r="23">
          <cell r="H23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R13">
            <v>12375928</v>
          </cell>
        </row>
        <row r="23">
          <cell r="R23">
            <v>24383035</v>
          </cell>
        </row>
        <row r="45">
          <cell r="R45">
            <v>-25247385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W13">
            <v>21645154</v>
          </cell>
        </row>
        <row r="23">
          <cell r="W23">
            <v>19205091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7">
          <cell r="W37">
            <v>0</v>
          </cell>
        </row>
        <row r="38">
          <cell r="W38">
            <v>0</v>
          </cell>
        </row>
        <row r="45">
          <cell r="W45">
            <v>0</v>
          </cell>
        </row>
        <row r="47">
          <cell r="W47">
            <v>0</v>
          </cell>
        </row>
        <row r="48">
          <cell r="W48">
            <v>0</v>
          </cell>
        </row>
        <row r="50">
          <cell r="W50">
            <v>0</v>
          </cell>
        </row>
        <row r="51">
          <cell r="W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B13">
            <v>4387554</v>
          </cell>
        </row>
        <row r="23">
          <cell r="AB23">
            <v>22800224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7">
          <cell r="AB37">
            <v>0</v>
          </cell>
        </row>
        <row r="38">
          <cell r="AB38">
            <v>0</v>
          </cell>
        </row>
        <row r="45">
          <cell r="AB45">
            <v>0</v>
          </cell>
        </row>
        <row r="47">
          <cell r="AB47">
            <v>0</v>
          </cell>
        </row>
        <row r="48">
          <cell r="AB48">
            <v>0</v>
          </cell>
        </row>
        <row r="50">
          <cell r="AB50">
            <v>0</v>
          </cell>
        </row>
        <row r="51">
          <cell r="AB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G13">
            <v>10613091</v>
          </cell>
        </row>
        <row r="23">
          <cell r="AG23">
            <v>28165310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45">
          <cell r="AG45">
            <v>0</v>
          </cell>
        </row>
        <row r="47">
          <cell r="AG47">
            <v>0</v>
          </cell>
        </row>
        <row r="48">
          <cell r="AG48">
            <v>0</v>
          </cell>
        </row>
        <row r="50">
          <cell r="AG50">
            <v>0</v>
          </cell>
        </row>
        <row r="51">
          <cell r="AG51">
            <v>0</v>
          </cell>
        </row>
        <row r="68">
          <cell r="M68">
            <v>12935068.914269969</v>
          </cell>
          <cell r="R68">
            <v>6028814.930979982</v>
          </cell>
          <cell r="W68">
            <v>-64456252.997280002</v>
          </cell>
          <cell r="AB68">
            <v>71916201.470700011</v>
          </cell>
          <cell r="AG68">
            <v>-5938593.6452499926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L13">
            <v>-17323880</v>
          </cell>
        </row>
        <row r="23">
          <cell r="AL23">
            <v>29107369</v>
          </cell>
        </row>
        <row r="32">
          <cell r="AL32">
            <v>0</v>
          </cell>
        </row>
        <row r="33">
          <cell r="AL33">
            <v>0</v>
          </cell>
        </row>
        <row r="34">
          <cell r="AL34">
            <v>0</v>
          </cell>
        </row>
        <row r="45">
          <cell r="AL45">
            <v>76052000</v>
          </cell>
        </row>
        <row r="48">
          <cell r="AL48">
            <v>0</v>
          </cell>
        </row>
        <row r="50">
          <cell r="AL50">
            <v>0</v>
          </cell>
        </row>
        <row r="51">
          <cell r="AL51">
            <v>0</v>
          </cell>
        </row>
        <row r="68">
          <cell r="AL68">
            <v>-87185842.274320006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I113">
            <v>73824343.085730031</v>
          </cell>
          <cell r="J113">
            <v>96920893.069020018</v>
          </cell>
          <cell r="K113">
            <v>147241477.99728</v>
          </cell>
          <cell r="L113">
            <v>73749809.529299989</v>
          </cell>
          <cell r="M113">
            <v>117932465.64524999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Q13">
            <v>7778423</v>
          </cell>
        </row>
        <row r="23">
          <cell r="AQ23">
            <v>30927020</v>
          </cell>
        </row>
        <row r="32">
          <cell r="AQ32">
            <v>0</v>
          </cell>
        </row>
        <row r="33">
          <cell r="AQ33">
            <v>0</v>
          </cell>
        </row>
        <row r="34">
          <cell r="AQ34">
            <v>0</v>
          </cell>
        </row>
        <row r="37">
          <cell r="AQ37">
            <v>0</v>
          </cell>
        </row>
        <row r="38">
          <cell r="AQ38">
            <v>0</v>
          </cell>
        </row>
        <row r="45">
          <cell r="AQ45">
            <v>-654491</v>
          </cell>
        </row>
        <row r="47">
          <cell r="AQ47">
            <v>0</v>
          </cell>
        </row>
        <row r="48">
          <cell r="AQ48">
            <v>0</v>
          </cell>
        </row>
        <row r="68">
          <cell r="AQ68">
            <v>4292248.2650700212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V13">
            <v>6126860</v>
          </cell>
        </row>
        <row r="23">
          <cell r="AV23">
            <v>30718792</v>
          </cell>
        </row>
        <row r="32">
          <cell r="AV32">
            <v>0</v>
          </cell>
        </row>
        <row r="33">
          <cell r="AV33">
            <v>0</v>
          </cell>
        </row>
        <row r="34">
          <cell r="AV34">
            <v>0</v>
          </cell>
        </row>
        <row r="45">
          <cell r="AV45">
            <v>-6365</v>
          </cell>
        </row>
        <row r="47">
          <cell r="AV47">
            <v>0</v>
          </cell>
        </row>
        <row r="48">
          <cell r="AV48">
            <v>0</v>
          </cell>
        </row>
        <row r="68">
          <cell r="AV68">
            <v>-21698105.034100011</v>
          </cell>
        </row>
        <row r="72">
          <cell r="H72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H14">
            <v>174643000</v>
          </cell>
        </row>
        <row r="15">
          <cell r="H15">
            <v>63418000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BA13">
            <v>-16508019</v>
          </cell>
        </row>
        <row r="23">
          <cell r="BA23">
            <v>23853310</v>
          </cell>
        </row>
        <row r="32">
          <cell r="BA32">
            <v>0</v>
          </cell>
        </row>
        <row r="33">
          <cell r="BA33">
            <v>0</v>
          </cell>
        </row>
        <row r="34">
          <cell r="BA34">
            <v>0</v>
          </cell>
        </row>
        <row r="37">
          <cell r="BA37">
            <v>0</v>
          </cell>
        </row>
        <row r="38">
          <cell r="BA38">
            <v>0</v>
          </cell>
        </row>
        <row r="45">
          <cell r="BA45">
            <v>0</v>
          </cell>
        </row>
        <row r="47">
          <cell r="BA47">
            <v>0</v>
          </cell>
        </row>
        <row r="48">
          <cell r="BA48">
            <v>0</v>
          </cell>
        </row>
        <row r="50">
          <cell r="BA50">
            <v>0</v>
          </cell>
        </row>
        <row r="51">
          <cell r="BA51">
            <v>0</v>
          </cell>
        </row>
        <row r="68">
          <cell r="BA68">
            <v>-5176181.425060004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BF13">
            <v>13250851</v>
          </cell>
        </row>
        <row r="23">
          <cell r="BF23">
            <v>3150815</v>
          </cell>
        </row>
        <row r="32">
          <cell r="BF32">
            <v>0</v>
          </cell>
        </row>
        <row r="33">
          <cell r="BF33">
            <v>0</v>
          </cell>
        </row>
        <row r="34">
          <cell r="BF34">
            <v>0</v>
          </cell>
        </row>
        <row r="37">
          <cell r="BF37">
            <v>0</v>
          </cell>
        </row>
        <row r="38">
          <cell r="BF38">
            <v>0</v>
          </cell>
        </row>
        <row r="45">
          <cell r="BF45">
            <v>0</v>
          </cell>
        </row>
        <row r="47">
          <cell r="BF47">
            <v>0</v>
          </cell>
        </row>
        <row r="48">
          <cell r="BF48">
            <v>0</v>
          </cell>
        </row>
        <row r="50">
          <cell r="BF50">
            <v>0</v>
          </cell>
        </row>
        <row r="51">
          <cell r="BF51">
            <v>0</v>
          </cell>
        </row>
        <row r="68">
          <cell r="BF68">
            <v>31144738.333759978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M13">
            <v>32089095</v>
          </cell>
          <cell r="R13">
            <v>12375928</v>
          </cell>
          <cell r="W13">
            <v>21645154</v>
          </cell>
          <cell r="AB13">
            <v>4387554</v>
          </cell>
          <cell r="AG13">
            <v>10613091</v>
          </cell>
          <cell r="AL13">
            <v>-17323880</v>
          </cell>
          <cell r="AQ13">
            <v>7778423</v>
          </cell>
          <cell r="AV13">
            <v>6126860</v>
          </cell>
          <cell r="BA13">
            <v>-16508019</v>
          </cell>
          <cell r="BF13">
            <v>13250851</v>
          </cell>
          <cell r="BK13">
            <v>-2500139</v>
          </cell>
          <cell r="BP13">
            <v>-35857416</v>
          </cell>
        </row>
        <row r="23">
          <cell r="BP23">
            <v>25417050</v>
          </cell>
        </row>
        <row r="25">
          <cell r="M25">
            <v>20725876</v>
          </cell>
          <cell r="R25">
            <v>26579251</v>
          </cell>
          <cell r="W25">
            <v>21124207</v>
          </cell>
          <cell r="AB25">
            <v>24760828</v>
          </cell>
          <cell r="AG25">
            <v>30904734</v>
          </cell>
          <cell r="AL25">
            <v>32089447</v>
          </cell>
          <cell r="AQ25">
            <v>33970885</v>
          </cell>
          <cell r="AV25">
            <v>34588835</v>
          </cell>
          <cell r="BA25">
            <v>26476333</v>
          </cell>
          <cell r="BF25">
            <v>21562772</v>
          </cell>
          <cell r="BK25">
            <v>32267535</v>
          </cell>
          <cell r="BP25">
            <v>30466846</v>
          </cell>
        </row>
        <row r="26">
          <cell r="M26">
            <v>-1256954</v>
          </cell>
          <cell r="R26">
            <v>-1652532</v>
          </cell>
          <cell r="W26">
            <v>-1668026</v>
          </cell>
          <cell r="AB26">
            <v>-1721005</v>
          </cell>
          <cell r="AG26">
            <v>-2422421</v>
          </cell>
          <cell r="AL26">
            <v>-2517677</v>
          </cell>
          <cell r="AQ26">
            <v>-2852893</v>
          </cell>
          <cell r="AV26">
            <v>-3497342</v>
          </cell>
          <cell r="BA26">
            <v>-2287072</v>
          </cell>
          <cell r="BF26">
            <v>-2282238</v>
          </cell>
          <cell r="BK26">
            <v>-2868557</v>
          </cell>
          <cell r="BP26">
            <v>-4752306</v>
          </cell>
        </row>
        <row r="28">
          <cell r="M28">
            <v>-334512</v>
          </cell>
          <cell r="R28">
            <v>-254394</v>
          </cell>
          <cell r="W28">
            <v>-251090</v>
          </cell>
          <cell r="AB28">
            <v>-239599</v>
          </cell>
          <cell r="AG28">
            <v>-317003</v>
          </cell>
          <cell r="AL28">
            <v>-464401</v>
          </cell>
          <cell r="AQ28">
            <v>-190972</v>
          </cell>
          <cell r="AV28">
            <v>-372701</v>
          </cell>
          <cell r="BA28">
            <v>-335951</v>
          </cell>
          <cell r="BF28">
            <v>-16129719</v>
          </cell>
          <cell r="BK28">
            <v>-239823</v>
          </cell>
          <cell r="BP28">
            <v>-297490</v>
          </cell>
        </row>
        <row r="32">
          <cell r="R32">
            <v>14152656</v>
          </cell>
          <cell r="BP32">
            <v>0</v>
          </cell>
        </row>
        <row r="33">
          <cell r="R33">
            <v>-1646946</v>
          </cell>
          <cell r="BP33">
            <v>0</v>
          </cell>
        </row>
        <row r="34">
          <cell r="R34">
            <v>-12795000</v>
          </cell>
          <cell r="BP34">
            <v>0</v>
          </cell>
        </row>
        <row r="37">
          <cell r="M37">
            <v>3109689</v>
          </cell>
          <cell r="AG37">
            <v>289217</v>
          </cell>
          <cell r="AL37">
            <v>235010</v>
          </cell>
          <cell r="AV37">
            <v>64127</v>
          </cell>
          <cell r="BP37">
            <v>663239</v>
          </cell>
        </row>
        <row r="38">
          <cell r="M38">
            <v>-3109689</v>
          </cell>
          <cell r="AG38">
            <v>-289217</v>
          </cell>
          <cell r="AL38">
            <v>-235010</v>
          </cell>
          <cell r="AV38">
            <v>-64127</v>
          </cell>
          <cell r="BP38">
            <v>-663239</v>
          </cell>
        </row>
        <row r="45">
          <cell r="BP45">
            <v>-24692267</v>
          </cell>
        </row>
        <row r="47">
          <cell r="AL47">
            <v>76052000</v>
          </cell>
          <cell r="BP47">
            <v>0</v>
          </cell>
        </row>
        <row r="48">
          <cell r="BP48">
            <v>0</v>
          </cell>
        </row>
        <row r="50">
          <cell r="M50">
            <v>-391647</v>
          </cell>
          <cell r="R50">
            <v>-14120864</v>
          </cell>
          <cell r="AQ50">
            <v>-391647</v>
          </cell>
          <cell r="AV50">
            <v>-1940</v>
          </cell>
          <cell r="BP50">
            <v>-12046193</v>
          </cell>
        </row>
        <row r="51">
          <cell r="M51">
            <v>-236802</v>
          </cell>
          <cell r="R51">
            <v>-11126521</v>
          </cell>
          <cell r="AQ51">
            <v>-262844</v>
          </cell>
          <cell r="AV51">
            <v>-4425</v>
          </cell>
          <cell r="BP51">
            <v>-12646074</v>
          </cell>
        </row>
        <row r="68">
          <cell r="BP68">
            <v>86300995.50752002</v>
          </cell>
        </row>
        <row r="71">
          <cell r="M71">
            <v>-17895405</v>
          </cell>
          <cell r="R71">
            <v>-2162772</v>
          </cell>
          <cell r="W71">
            <v>1746060</v>
          </cell>
          <cell r="AB71">
            <v>9207825</v>
          </cell>
          <cell r="AG71">
            <v>-8222766</v>
          </cell>
          <cell r="AL71">
            <v>21412052</v>
          </cell>
          <cell r="AQ71">
            <v>67094</v>
          </cell>
          <cell r="AV71">
            <v>5423083</v>
          </cell>
          <cell r="BA71">
            <v>3006040</v>
          </cell>
          <cell r="BF71">
            <v>484408</v>
          </cell>
          <cell r="BK71">
            <v>4553332</v>
          </cell>
          <cell r="BP71">
            <v>-34627077</v>
          </cell>
        </row>
        <row r="72">
          <cell r="R72">
            <v>0</v>
          </cell>
          <cell r="AL72">
            <v>0</v>
          </cell>
          <cell r="AQ72">
            <v>0</v>
          </cell>
          <cell r="AV72">
            <v>0</v>
          </cell>
          <cell r="BA72">
            <v>0</v>
          </cell>
          <cell r="BF72">
            <v>0</v>
          </cell>
          <cell r="BK72">
            <v>0</v>
          </cell>
          <cell r="BP72">
            <v>0</v>
          </cell>
        </row>
        <row r="73">
          <cell r="M73">
            <v>1285536</v>
          </cell>
          <cell r="R73">
            <v>0</v>
          </cell>
          <cell r="W73">
            <v>12272</v>
          </cell>
          <cell r="AB73">
            <v>0</v>
          </cell>
          <cell r="AG73">
            <v>1736919</v>
          </cell>
          <cell r="AL73">
            <v>245929</v>
          </cell>
          <cell r="AQ73">
            <v>2261765</v>
          </cell>
          <cell r="AV73">
            <v>1146180</v>
          </cell>
          <cell r="BA73">
            <v>1005353</v>
          </cell>
          <cell r="BF73">
            <v>41798</v>
          </cell>
          <cell r="BK73">
            <v>360442</v>
          </cell>
          <cell r="BP73">
            <v>3730402</v>
          </cell>
        </row>
        <row r="74">
          <cell r="M74">
            <v>0</v>
          </cell>
          <cell r="R74">
            <v>0</v>
          </cell>
          <cell r="W74">
            <v>0</v>
          </cell>
          <cell r="AB74">
            <v>0</v>
          </cell>
          <cell r="AG74">
            <v>-98</v>
          </cell>
          <cell r="AL74">
            <v>0</v>
          </cell>
          <cell r="AQ74">
            <v>-372528</v>
          </cell>
          <cell r="AV74">
            <v>0</v>
          </cell>
          <cell r="BA74">
            <v>0</v>
          </cell>
          <cell r="BF74">
            <v>0</v>
          </cell>
          <cell r="BK74">
            <v>0</v>
          </cell>
          <cell r="BP74">
            <v>-77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M18">
            <v>171432024</v>
          </cell>
          <cell r="R18">
            <v>159100607</v>
          </cell>
          <cell r="W18">
            <v>157556488</v>
          </cell>
          <cell r="AB18">
            <v>154393121</v>
          </cell>
          <cell r="AG18">
            <v>153790115</v>
          </cell>
          <cell r="AL18">
            <v>226475319</v>
          </cell>
          <cell r="AQ18">
            <v>223710506</v>
          </cell>
          <cell r="AV18">
            <v>222808884</v>
          </cell>
          <cell r="BA18">
            <v>216296990</v>
          </cell>
          <cell r="BF18">
            <v>214990489</v>
          </cell>
          <cell r="BK18">
            <v>214239939</v>
          </cell>
          <cell r="BP18">
            <v>191125443</v>
          </cell>
        </row>
        <row r="19">
          <cell r="M19">
            <v>27541644</v>
          </cell>
          <cell r="R19">
            <v>33339485</v>
          </cell>
          <cell r="W19">
            <v>115078441</v>
          </cell>
          <cell r="AB19">
            <v>46756026</v>
          </cell>
          <cell r="AG19">
            <v>36843796</v>
          </cell>
          <cell r="AL19">
            <v>68686871</v>
          </cell>
          <cell r="AQ19">
            <v>68719811</v>
          </cell>
          <cell r="AV19">
            <v>78991172</v>
          </cell>
          <cell r="BA19">
            <v>93399589</v>
          </cell>
          <cell r="BF19">
            <v>61341436</v>
          </cell>
          <cell r="BK19">
            <v>90031748</v>
          </cell>
          <cell r="BP19">
            <v>44536225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ummary"/>
    </sheetNames>
    <definedNames>
      <definedName name="myFinYear" refersTo="='Settings'!$A$2"/>
    </definedNames>
    <sheetDataSet>
      <sheetData sheetId="0" refreshError="1">
        <row r="2">
          <cell r="A2" t="str">
            <v>2019/20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G6">
            <v>1191518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H6">
            <v>5522378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I6">
            <v>193328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J6">
            <v>236828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N113">
            <v>117713729.27432001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K6">
            <v>536881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L6">
            <v>309645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M6">
            <v>149579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N6">
            <v>389977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O6">
            <v>143285</v>
          </cell>
        </row>
        <row r="40">
          <cell r="O40">
            <v>-107525</v>
          </cell>
          <cell r="AC40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P6">
            <v>307553</v>
          </cell>
        </row>
        <row r="40">
          <cell r="P40">
            <v>-298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Q6">
            <v>558415</v>
          </cell>
        </row>
        <row r="40">
          <cell r="Q40">
            <v>0</v>
          </cell>
          <cell r="AE40">
            <v>-60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G6">
            <v>1191518</v>
          </cell>
          <cell r="H6">
            <v>5522378</v>
          </cell>
          <cell r="I6">
            <v>193328</v>
          </cell>
          <cell r="J6">
            <v>236828</v>
          </cell>
          <cell r="K6">
            <v>536881</v>
          </cell>
          <cell r="L6">
            <v>309645</v>
          </cell>
          <cell r="M6">
            <v>149579</v>
          </cell>
          <cell r="N6">
            <v>389977</v>
          </cell>
          <cell r="O6">
            <v>143285</v>
          </cell>
          <cell r="P6">
            <v>307553</v>
          </cell>
          <cell r="Q6">
            <v>558415</v>
          </cell>
          <cell r="R6">
            <v>3261946</v>
          </cell>
        </row>
        <row r="40">
          <cell r="G40">
            <v>-131872</v>
          </cell>
          <cell r="H40">
            <v>-83878</v>
          </cell>
          <cell r="I40">
            <v>-23306</v>
          </cell>
          <cell r="J40">
            <v>-119906</v>
          </cell>
          <cell r="K40">
            <v>-230</v>
          </cell>
          <cell r="L40">
            <v>-21</v>
          </cell>
          <cell r="M40">
            <v>-30</v>
          </cell>
          <cell r="N40">
            <v>-1363</v>
          </cell>
          <cell r="O40">
            <v>-107525</v>
          </cell>
          <cell r="P40">
            <v>-298</v>
          </cell>
          <cell r="Q40">
            <v>0</v>
          </cell>
          <cell r="R40">
            <v>-39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G40">
            <v>-131872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H40">
            <v>-83878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O113">
            <v>83787244.734929979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I40">
            <v>-23306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J40">
            <v>-119906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K40">
            <v>-230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L40">
            <v>-21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M40">
            <v>-30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40">
          <cell r="N40">
            <v>-1363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G6">
            <v>1212267</v>
          </cell>
        </row>
        <row r="40">
          <cell r="G40">
            <v>-141994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H6">
            <v>509420</v>
          </cell>
        </row>
        <row r="40">
          <cell r="H40">
            <v>-68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I6">
            <v>696529</v>
          </cell>
        </row>
        <row r="40">
          <cell r="I40">
            <v>-47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J6">
            <v>561244</v>
          </cell>
        </row>
        <row r="40">
          <cell r="J40">
            <v>-35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4">
          <cell r="H4" t="str">
            <v>Revised</v>
          </cell>
        </row>
        <row r="113">
          <cell r="P113">
            <v>95520711.034100011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K6">
            <v>343237</v>
          </cell>
        </row>
        <row r="40">
          <cell r="K40">
            <v>-280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M6">
            <v>1705760</v>
          </cell>
        </row>
        <row r="40">
          <cell r="M40">
            <v>-11592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N6">
            <v>690687</v>
          </cell>
        </row>
        <row r="40">
          <cell r="N40">
            <v>-18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P6">
            <v>460653</v>
          </cell>
        </row>
        <row r="40">
          <cell r="P40">
            <v>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6">
          <cell r="R6">
            <v>1623974</v>
          </cell>
        </row>
        <row r="40">
          <cell r="R40">
            <v>-1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8">
          <cell r="H8" t="str">
            <v>2019/20</v>
          </cell>
        </row>
        <row r="9">
          <cell r="H9" t="str">
            <v>Revised</v>
          </cell>
        </row>
      </sheetData>
      <sheetData sheetId="1">
        <row r="9">
          <cell r="G9" t="str">
            <v>Revised</v>
          </cell>
        </row>
        <row r="13">
          <cell r="G13">
            <v>321662290</v>
          </cell>
          <cell r="L13">
            <v>20725876</v>
          </cell>
          <cell r="Q13">
            <v>26579251</v>
          </cell>
          <cell r="V13">
            <v>21124207</v>
          </cell>
          <cell r="AA13">
            <v>24760828</v>
          </cell>
          <cell r="AF13">
            <v>30904734</v>
          </cell>
          <cell r="AK13">
            <v>32089447</v>
          </cell>
          <cell r="AP13">
            <v>33970885</v>
          </cell>
          <cell r="AU13">
            <v>34588835</v>
          </cell>
          <cell r="AZ13">
            <v>26476333</v>
          </cell>
          <cell r="BE13">
            <v>21562772</v>
          </cell>
          <cell r="BJ13">
            <v>32267535</v>
          </cell>
          <cell r="BO13">
            <v>30466846</v>
          </cell>
          <cell r="BT13">
            <v>335517549</v>
          </cell>
        </row>
        <row r="14">
          <cell r="G14">
            <v>14152656</v>
          </cell>
          <cell r="L14">
            <v>0</v>
          </cell>
          <cell r="Q14">
            <v>14152656</v>
          </cell>
          <cell r="V14">
            <v>0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14152656</v>
          </cell>
        </row>
        <row r="15">
          <cell r="G15">
            <v>3633916</v>
          </cell>
          <cell r="L15">
            <v>3109689</v>
          </cell>
          <cell r="Q15">
            <v>0</v>
          </cell>
          <cell r="V15">
            <v>0</v>
          </cell>
          <cell r="AA15">
            <v>0</v>
          </cell>
          <cell r="AF15">
            <v>289217</v>
          </cell>
          <cell r="AK15">
            <v>235010</v>
          </cell>
          <cell r="AP15">
            <v>0</v>
          </cell>
          <cell r="AU15">
            <v>64127</v>
          </cell>
          <cell r="AZ15">
            <v>0</v>
          </cell>
          <cell r="BE15">
            <v>0</v>
          </cell>
          <cell r="BJ15">
            <v>0</v>
          </cell>
          <cell r="BO15">
            <v>663239</v>
          </cell>
          <cell r="BT15">
            <v>4361282</v>
          </cell>
        </row>
        <row r="16"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</row>
        <row r="20">
          <cell r="G20">
            <v>22473000</v>
          </cell>
          <cell r="L20">
            <v>1256954</v>
          </cell>
          <cell r="Q20">
            <v>1652532</v>
          </cell>
          <cell r="V20">
            <v>1668026</v>
          </cell>
          <cell r="AA20">
            <v>1721005</v>
          </cell>
          <cell r="AF20">
            <v>2422421</v>
          </cell>
          <cell r="AK20">
            <v>2517677</v>
          </cell>
          <cell r="AP20">
            <v>2852893</v>
          </cell>
          <cell r="AU20">
            <v>3497342</v>
          </cell>
          <cell r="AZ20">
            <v>2287072</v>
          </cell>
          <cell r="BE20">
            <v>2282238</v>
          </cell>
          <cell r="BJ20">
            <v>2868557</v>
          </cell>
          <cell r="BO20">
            <v>4752306</v>
          </cell>
          <cell r="BT20">
            <v>29779023</v>
          </cell>
        </row>
        <row r="217">
          <cell r="G217">
            <v>1646946</v>
          </cell>
          <cell r="L217">
            <v>0</v>
          </cell>
          <cell r="Q217">
            <v>1646946</v>
          </cell>
          <cell r="V217">
            <v>0</v>
          </cell>
          <cell r="AA217">
            <v>0</v>
          </cell>
          <cell r="AF217">
            <v>0</v>
          </cell>
          <cell r="AK217">
            <v>0</v>
          </cell>
          <cell r="AP217">
            <v>0</v>
          </cell>
          <cell r="AU217">
            <v>0</v>
          </cell>
          <cell r="AZ217">
            <v>0</v>
          </cell>
          <cell r="BE217">
            <v>0</v>
          </cell>
          <cell r="BJ217">
            <v>0</v>
          </cell>
          <cell r="BO217">
            <v>0</v>
          </cell>
          <cell r="BT217">
            <v>1646946</v>
          </cell>
        </row>
        <row r="294">
          <cell r="D294" t="str">
            <v xml:space="preserve">  R2044 (8.75%  2044-45-46/01/31)</v>
          </cell>
        </row>
        <row r="309">
          <cell r="D309" t="str">
            <v xml:space="preserve">  R210 (2.60%  2028/03/31)</v>
          </cell>
        </row>
        <row r="312">
          <cell r="D312" t="str">
            <v xml:space="preserve">  R2037  (8.50%  2037/01/31)</v>
          </cell>
        </row>
        <row r="338">
          <cell r="D338" t="str">
            <v xml:space="preserve">  R209  (6.25%  2036/03/31)</v>
          </cell>
        </row>
      </sheetData>
      <sheetData sheetId="2">
        <row r="9">
          <cell r="G9" t="str">
            <v>Revised</v>
          </cell>
        </row>
        <row r="13">
          <cell r="G13">
            <v>19535000</v>
          </cell>
          <cell r="L13">
            <v>334512</v>
          </cell>
          <cell r="Q13">
            <v>254394</v>
          </cell>
          <cell r="V13">
            <v>251090</v>
          </cell>
          <cell r="AA13">
            <v>239599</v>
          </cell>
          <cell r="AF13">
            <v>317003</v>
          </cell>
          <cell r="AK13">
            <v>464401</v>
          </cell>
          <cell r="AP13">
            <v>190972</v>
          </cell>
          <cell r="AU13">
            <v>372701</v>
          </cell>
          <cell r="AZ13">
            <v>335951</v>
          </cell>
          <cell r="BE13">
            <v>16129719</v>
          </cell>
          <cell r="BJ13">
            <v>239823</v>
          </cell>
          <cell r="BO13">
            <v>297490</v>
          </cell>
          <cell r="BT13">
            <v>19427655</v>
          </cell>
        </row>
        <row r="14">
          <cell r="G14">
            <v>12795000</v>
          </cell>
          <cell r="L14">
            <v>0</v>
          </cell>
          <cell r="Q14">
            <v>12795000</v>
          </cell>
          <cell r="V14">
            <v>0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12795000</v>
          </cell>
        </row>
        <row r="15">
          <cell r="G15">
            <v>3633916</v>
          </cell>
          <cell r="L15">
            <v>3109689</v>
          </cell>
          <cell r="Q15">
            <v>0</v>
          </cell>
          <cell r="V15">
            <v>0</v>
          </cell>
          <cell r="AA15">
            <v>0</v>
          </cell>
          <cell r="AF15">
            <v>289217</v>
          </cell>
          <cell r="AK15">
            <v>235010</v>
          </cell>
          <cell r="AP15">
            <v>0</v>
          </cell>
          <cell r="AU15">
            <v>64127</v>
          </cell>
          <cell r="AZ15">
            <v>0</v>
          </cell>
          <cell r="BE15">
            <v>0</v>
          </cell>
          <cell r="BJ15">
            <v>0</v>
          </cell>
          <cell r="BO15">
            <v>663239</v>
          </cell>
          <cell r="BT15">
            <v>4361282</v>
          </cell>
        </row>
        <row r="16">
          <cell r="G16">
            <v>0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</row>
        <row r="32">
          <cell r="G32">
            <v>0</v>
          </cell>
          <cell r="L32">
            <v>0</v>
          </cell>
          <cell r="Q32">
            <v>0</v>
          </cell>
          <cell r="V32">
            <v>0</v>
          </cell>
          <cell r="AA32">
            <v>0</v>
          </cell>
          <cell r="AF32">
            <v>0</v>
          </cell>
          <cell r="AK32">
            <v>0</v>
          </cell>
          <cell r="AP32">
            <v>0</v>
          </cell>
          <cell r="AU32">
            <v>0</v>
          </cell>
          <cell r="AZ32">
            <v>0</v>
          </cell>
          <cell r="BE32">
            <v>0</v>
          </cell>
          <cell r="BJ32">
            <v>0</v>
          </cell>
          <cell r="BO32">
            <v>0</v>
          </cell>
          <cell r="BT32">
            <v>0</v>
          </cell>
        </row>
        <row r="86">
          <cell r="D86" t="str">
            <v xml:space="preserve">  I2029 (1.875%  2029/03/31)</v>
          </cell>
        </row>
        <row r="124">
          <cell r="G124">
            <v>0</v>
          </cell>
          <cell r="L124">
            <v>0</v>
          </cell>
          <cell r="Q124">
            <v>0</v>
          </cell>
          <cell r="V124">
            <v>0</v>
          </cell>
          <cell r="AA124">
            <v>0</v>
          </cell>
          <cell r="AF124">
            <v>0</v>
          </cell>
          <cell r="AK124">
            <v>0</v>
          </cell>
          <cell r="AP124">
            <v>0</v>
          </cell>
          <cell r="AU124">
            <v>0</v>
          </cell>
          <cell r="AZ124">
            <v>0</v>
          </cell>
          <cell r="BE124">
            <v>0</v>
          </cell>
          <cell r="BJ124">
            <v>0</v>
          </cell>
          <cell r="BO124">
            <v>0</v>
          </cell>
          <cell r="BT124">
            <v>0</v>
          </cell>
        </row>
        <row r="211">
          <cell r="BV211">
            <v>0</v>
          </cell>
        </row>
      </sheetData>
      <sheetData sheetId="3">
        <row r="9">
          <cell r="G9" t="str">
            <v>Revised</v>
          </cell>
        </row>
        <row r="17">
          <cell r="G17">
            <v>76052000</v>
          </cell>
          <cell r="L17">
            <v>0</v>
          </cell>
          <cell r="Q17">
            <v>0</v>
          </cell>
          <cell r="V17">
            <v>0</v>
          </cell>
          <cell r="AA17">
            <v>0</v>
          </cell>
          <cell r="AF17">
            <v>0</v>
          </cell>
          <cell r="AK17">
            <v>76052000</v>
          </cell>
          <cell r="AP17">
            <v>0</v>
          </cell>
          <cell r="AU17">
            <v>0</v>
          </cell>
          <cell r="AZ17">
            <v>0</v>
          </cell>
          <cell r="BE17">
            <v>0</v>
          </cell>
          <cell r="BJ17">
            <v>0</v>
          </cell>
          <cell r="BO17">
            <v>0</v>
          </cell>
          <cell r="BT17">
            <v>76052000</v>
          </cell>
        </row>
        <row r="19">
          <cell r="G19">
            <v>0</v>
          </cell>
          <cell r="L19">
            <v>0</v>
          </cell>
          <cell r="Q19">
            <v>0</v>
          </cell>
          <cell r="V19">
            <v>0</v>
          </cell>
          <cell r="AA19">
            <v>0</v>
          </cell>
          <cell r="AF19">
            <v>0</v>
          </cell>
          <cell r="AK19">
            <v>0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0</v>
          </cell>
        </row>
        <row r="63">
          <cell r="G63">
            <v>0</v>
          </cell>
          <cell r="L63">
            <v>0</v>
          </cell>
          <cell r="Q63">
            <v>0</v>
          </cell>
          <cell r="V63">
            <v>0</v>
          </cell>
          <cell r="AA63">
            <v>0</v>
          </cell>
          <cell r="AF63">
            <v>0</v>
          </cell>
          <cell r="AK63">
            <v>0</v>
          </cell>
          <cell r="AP63">
            <v>0</v>
          </cell>
          <cell r="AU63">
            <v>0</v>
          </cell>
          <cell r="AZ63">
            <v>0</v>
          </cell>
          <cell r="BE63">
            <v>0</v>
          </cell>
          <cell r="BJ63">
            <v>0</v>
          </cell>
          <cell r="BO63">
            <v>0</v>
          </cell>
          <cell r="BT63">
            <v>0</v>
          </cell>
        </row>
        <row r="65">
          <cell r="G65">
            <v>0</v>
          </cell>
          <cell r="L65">
            <v>0</v>
          </cell>
          <cell r="Q65">
            <v>0</v>
          </cell>
          <cell r="V65">
            <v>0</v>
          </cell>
          <cell r="AA65">
            <v>0</v>
          </cell>
          <cell r="AF65">
            <v>0</v>
          </cell>
          <cell r="AK65">
            <v>0</v>
          </cell>
          <cell r="AP65">
            <v>0</v>
          </cell>
          <cell r="AU65">
            <v>0</v>
          </cell>
          <cell r="AZ65">
            <v>0</v>
          </cell>
          <cell r="BE65">
            <v>0</v>
          </cell>
          <cell r="BJ65">
            <v>0</v>
          </cell>
          <cell r="BO65">
            <v>0</v>
          </cell>
          <cell r="BT65">
            <v>0</v>
          </cell>
        </row>
        <row r="73">
          <cell r="L73">
            <v>0</v>
          </cell>
          <cell r="Q73">
            <v>0</v>
          </cell>
          <cell r="V73">
            <v>0</v>
          </cell>
          <cell r="AA73">
            <v>0</v>
          </cell>
          <cell r="AF73">
            <v>0</v>
          </cell>
          <cell r="AK73">
            <v>0</v>
          </cell>
          <cell r="AP73">
            <v>0</v>
          </cell>
          <cell r="AU73">
            <v>0</v>
          </cell>
          <cell r="AZ73">
            <v>0</v>
          </cell>
          <cell r="BE73">
            <v>0</v>
          </cell>
          <cell r="BJ73">
            <v>0</v>
          </cell>
          <cell r="BO73">
            <v>0</v>
          </cell>
          <cell r="BT73">
            <v>0</v>
          </cell>
        </row>
        <row r="75">
          <cell r="L75">
            <v>0</v>
          </cell>
          <cell r="Q75">
            <v>0</v>
          </cell>
          <cell r="V75">
            <v>0</v>
          </cell>
          <cell r="AA75">
            <v>0</v>
          </cell>
          <cell r="AF75">
            <v>0</v>
          </cell>
          <cell r="AK75">
            <v>0</v>
          </cell>
          <cell r="AP75">
            <v>0</v>
          </cell>
          <cell r="AU75">
            <v>0</v>
          </cell>
          <cell r="AZ75">
            <v>0</v>
          </cell>
          <cell r="BE75">
            <v>0</v>
          </cell>
          <cell r="BJ75">
            <v>0</v>
          </cell>
          <cell r="BO75">
            <v>0</v>
          </cell>
          <cell r="BT75">
            <v>0</v>
          </cell>
        </row>
        <row r="109">
          <cell r="G109">
            <v>26952000</v>
          </cell>
          <cell r="L109">
            <v>391647</v>
          </cell>
          <cell r="Q109">
            <v>14120864</v>
          </cell>
          <cell r="V109">
            <v>0</v>
          </cell>
          <cell r="AA109">
            <v>0</v>
          </cell>
          <cell r="AF109">
            <v>0</v>
          </cell>
          <cell r="AK109">
            <v>0</v>
          </cell>
          <cell r="AP109">
            <v>391647</v>
          </cell>
          <cell r="AU109">
            <v>1940</v>
          </cell>
          <cell r="AZ109">
            <v>0</v>
          </cell>
          <cell r="BE109">
            <v>0</v>
          </cell>
          <cell r="BJ109">
            <v>0</v>
          </cell>
          <cell r="BO109">
            <v>12046193</v>
          </cell>
          <cell r="BT109">
            <v>26952291</v>
          </cell>
        </row>
        <row r="110">
          <cell r="G110">
            <v>23256000</v>
          </cell>
          <cell r="L110">
            <v>236802</v>
          </cell>
          <cell r="Q110">
            <v>11126521</v>
          </cell>
          <cell r="V110">
            <v>0</v>
          </cell>
          <cell r="AA110">
            <v>0</v>
          </cell>
          <cell r="AF110">
            <v>0</v>
          </cell>
          <cell r="AK110">
            <v>0</v>
          </cell>
          <cell r="AP110">
            <v>262844</v>
          </cell>
          <cell r="AU110">
            <v>4425</v>
          </cell>
          <cell r="AZ110">
            <v>0</v>
          </cell>
          <cell r="BE110">
            <v>0</v>
          </cell>
          <cell r="BJ110">
            <v>0</v>
          </cell>
          <cell r="BO110">
            <v>12646074</v>
          </cell>
          <cell r="BT110">
            <v>24276666</v>
          </cell>
        </row>
        <row r="157">
          <cell r="G157">
            <v>0</v>
          </cell>
          <cell r="L157">
            <v>0</v>
          </cell>
          <cell r="Q157">
            <v>0</v>
          </cell>
          <cell r="V157">
            <v>0</v>
          </cell>
          <cell r="AA157">
            <v>0</v>
          </cell>
          <cell r="AF157">
            <v>0</v>
          </cell>
          <cell r="AK157">
            <v>0</v>
          </cell>
          <cell r="AP157">
            <v>0</v>
          </cell>
          <cell r="AU157">
            <v>0</v>
          </cell>
          <cell r="AZ157">
            <v>0</v>
          </cell>
          <cell r="BE157">
            <v>0</v>
          </cell>
          <cell r="BJ157">
            <v>0</v>
          </cell>
          <cell r="BO157">
            <v>0</v>
          </cell>
          <cell r="BT157">
            <v>0</v>
          </cell>
        </row>
        <row r="158">
          <cell r="G158">
            <v>0</v>
          </cell>
          <cell r="L158">
            <v>0</v>
          </cell>
          <cell r="Q158">
            <v>0</v>
          </cell>
          <cell r="V158">
            <v>0</v>
          </cell>
          <cell r="AA158">
            <v>0</v>
          </cell>
          <cell r="AF158">
            <v>0</v>
          </cell>
          <cell r="AK158">
            <v>0</v>
          </cell>
          <cell r="AP158">
            <v>0</v>
          </cell>
          <cell r="AU158">
            <v>0</v>
          </cell>
          <cell r="AZ158">
            <v>0</v>
          </cell>
          <cell r="BE158">
            <v>0</v>
          </cell>
          <cell r="BJ158">
            <v>0</v>
          </cell>
          <cell r="BO158">
            <v>0</v>
          </cell>
          <cell r="BT158">
            <v>0</v>
          </cell>
        </row>
        <row r="169">
          <cell r="L169">
            <v>0</v>
          </cell>
          <cell r="Q169">
            <v>0</v>
          </cell>
          <cell r="V169">
            <v>0</v>
          </cell>
          <cell r="AA169">
            <v>0</v>
          </cell>
          <cell r="AF169">
            <v>0</v>
          </cell>
          <cell r="AK169">
            <v>0</v>
          </cell>
          <cell r="AP169">
            <v>0</v>
          </cell>
          <cell r="AU169">
            <v>0</v>
          </cell>
          <cell r="AZ169">
            <v>0</v>
          </cell>
          <cell r="BE169">
            <v>0</v>
          </cell>
          <cell r="BJ169">
            <v>0</v>
          </cell>
          <cell r="BO169">
            <v>0</v>
          </cell>
          <cell r="BT169">
            <v>0</v>
          </cell>
        </row>
        <row r="170">
          <cell r="L170">
            <v>0</v>
          </cell>
          <cell r="Q170">
            <v>0</v>
          </cell>
          <cell r="V170">
            <v>0</v>
          </cell>
          <cell r="AA170">
            <v>0</v>
          </cell>
          <cell r="AF170">
            <v>0</v>
          </cell>
          <cell r="AK170">
            <v>0</v>
          </cell>
          <cell r="AP170">
            <v>0</v>
          </cell>
          <cell r="AU170">
            <v>0</v>
          </cell>
          <cell r="AZ170">
            <v>0</v>
          </cell>
          <cell r="BE170">
            <v>0</v>
          </cell>
          <cell r="BJ170">
            <v>0</v>
          </cell>
          <cell r="BO170">
            <v>0</v>
          </cell>
          <cell r="BT170">
            <v>0</v>
          </cell>
        </row>
        <row r="228">
          <cell r="BV228">
            <v>0</v>
          </cell>
        </row>
        <row r="229">
          <cell r="BV229">
            <v>0</v>
          </cell>
        </row>
        <row r="240">
          <cell r="BV240">
            <v>0</v>
          </cell>
        </row>
        <row r="241">
          <cell r="BV241">
            <v>0</v>
          </cell>
        </row>
      </sheetData>
      <sheetData sheetId="4">
        <row r="12">
          <cell r="H12">
            <v>-724000</v>
          </cell>
          <cell r="M12">
            <v>39161985</v>
          </cell>
          <cell r="R12">
            <v>6533576</v>
          </cell>
          <cell r="W12">
            <v>-80194837</v>
          </cell>
          <cell r="AB12">
            <v>71485782</v>
          </cell>
          <cell r="AG12">
            <v>10515236</v>
          </cell>
          <cell r="AL12">
            <v>-104528279</v>
          </cell>
          <cell r="AQ12">
            <v>2731873</v>
          </cell>
          <cell r="AV12">
            <v>-9369739</v>
          </cell>
          <cell r="BA12">
            <v>-7896523</v>
          </cell>
          <cell r="BF12">
            <v>33364654</v>
          </cell>
          <cell r="BK12">
            <v>-27939762</v>
          </cell>
          <cell r="BP12">
            <v>68610019</v>
          </cell>
          <cell r="BU12">
            <v>2473985</v>
          </cell>
        </row>
        <row r="23">
          <cell r="H23">
            <v>0</v>
          </cell>
          <cell r="M23">
            <v>-17895405</v>
          </cell>
          <cell r="R23">
            <v>-2162772</v>
          </cell>
          <cell r="W23">
            <v>1746060</v>
          </cell>
          <cell r="AB23">
            <v>9207825</v>
          </cell>
          <cell r="AG23">
            <v>-8222766</v>
          </cell>
          <cell r="AL23">
            <v>21412052</v>
          </cell>
          <cell r="AQ23">
            <v>67094</v>
          </cell>
          <cell r="AV23">
            <v>5423083</v>
          </cell>
          <cell r="BA23">
            <v>3006040</v>
          </cell>
          <cell r="BF23">
            <v>484408</v>
          </cell>
          <cell r="BK23">
            <v>4553332</v>
          </cell>
          <cell r="BP23">
            <v>-34627077</v>
          </cell>
          <cell r="BU23">
            <v>-17008126</v>
          </cell>
        </row>
        <row r="25">
          <cell r="H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G25">
            <v>0</v>
          </cell>
          <cell r="AL25">
            <v>0</v>
          </cell>
          <cell r="AQ25">
            <v>0</v>
          </cell>
          <cell r="AV25">
            <v>0</v>
          </cell>
          <cell r="BA25">
            <v>0</v>
          </cell>
          <cell r="BF25">
            <v>0</v>
          </cell>
          <cell r="BK25">
            <v>0</v>
          </cell>
          <cell r="BP25">
            <v>0</v>
          </cell>
          <cell r="BU25">
            <v>0</v>
          </cell>
        </row>
        <row r="27">
          <cell r="H27">
            <v>-2977168.8205058575</v>
          </cell>
          <cell r="M27">
            <v>1285536</v>
          </cell>
          <cell r="R27">
            <v>0</v>
          </cell>
          <cell r="W27">
            <v>12272</v>
          </cell>
          <cell r="AB27">
            <v>0</v>
          </cell>
          <cell r="AG27">
            <v>1736919</v>
          </cell>
          <cell r="AL27">
            <v>245929</v>
          </cell>
          <cell r="AQ27">
            <v>2261765</v>
          </cell>
          <cell r="AV27">
            <v>1146180</v>
          </cell>
          <cell r="BA27">
            <v>1005353</v>
          </cell>
          <cell r="BF27">
            <v>41798</v>
          </cell>
          <cell r="BK27">
            <v>360442</v>
          </cell>
          <cell r="BP27">
            <v>3730402</v>
          </cell>
          <cell r="BU27">
            <v>11826596</v>
          </cell>
        </row>
        <row r="32">
          <cell r="H32">
            <v>0</v>
          </cell>
          <cell r="M32">
            <v>0</v>
          </cell>
          <cell r="R32">
            <v>0</v>
          </cell>
          <cell r="W32">
            <v>0</v>
          </cell>
          <cell r="AB32">
            <v>0</v>
          </cell>
          <cell r="AG32">
            <v>-98</v>
          </cell>
          <cell r="AL32">
            <v>0</v>
          </cell>
          <cell r="AQ32">
            <v>-372528</v>
          </cell>
          <cell r="AV32">
            <v>0</v>
          </cell>
          <cell r="BA32">
            <v>0</v>
          </cell>
          <cell r="BF32">
            <v>0</v>
          </cell>
          <cell r="BK32">
            <v>0</v>
          </cell>
          <cell r="BP32">
            <v>-77</v>
          </cell>
          <cell r="BU32">
            <v>-372703</v>
          </cell>
        </row>
        <row r="38">
          <cell r="H38">
            <v>0</v>
          </cell>
          <cell r="M38">
            <v>-9617047.0857300311</v>
          </cell>
          <cell r="R38">
            <v>1658010.930979982</v>
          </cell>
          <cell r="W38">
            <v>13980252.002719998</v>
          </cell>
          <cell r="AB38">
            <v>-8777405.5292999893</v>
          </cell>
          <cell r="AG38">
            <v>-9967884.6452499926</v>
          </cell>
          <cell r="AL38">
            <v>-4315544.2743200064</v>
          </cell>
          <cell r="AQ38">
            <v>-395955.73492997885</v>
          </cell>
          <cell r="AV38">
            <v>-18897629.034100011</v>
          </cell>
          <cell r="BA38">
            <v>-1291051.425060004</v>
          </cell>
          <cell r="BF38">
            <v>-2746121.6662400216</v>
          </cell>
          <cell r="BK38">
            <v>-5785998.0916399956</v>
          </cell>
          <cell r="BP38">
            <v>48587728.50752002</v>
          </cell>
          <cell r="BU38">
            <v>2431353.9546499699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3">
          <cell r="F83">
            <v>9617047.0857300311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3">
          <cell r="G83">
            <v>-1658010.930979982</v>
          </cell>
          <cell r="I83">
            <v>8777405.5292999893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3">
          <cell r="H83">
            <v>-13980252.002719998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3">
          <cell r="J83">
            <v>9967884.6452499926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Q113">
            <v>160349623.42506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3">
          <cell r="K83">
            <v>4315544.2743200064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4">
          <cell r="L84">
            <v>395955.73492997885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4">
          <cell r="M84">
            <v>18897629.034100011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2">
          <cell r="N82">
            <v>1291051.425060004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2">
          <cell r="O82">
            <v>2746121.6662400216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2">
          <cell r="P82">
            <v>5785998.0916399956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 refreshError="1">
        <row r="82">
          <cell r="Q82">
            <v>-48587728.50752002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37">
          <cell r="R37">
            <v>0</v>
          </cell>
        </row>
        <row r="38">
          <cell r="R38">
            <v>0</v>
          </cell>
        </row>
        <row r="47">
          <cell r="R47">
            <v>0</v>
          </cell>
        </row>
        <row r="48">
          <cell r="R48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M13">
            <v>16441547</v>
          </cell>
        </row>
        <row r="55">
          <cell r="H55">
            <v>0</v>
          </cell>
          <cell r="M55">
            <v>0</v>
          </cell>
        </row>
        <row r="56">
          <cell r="H56">
            <v>0</v>
          </cell>
          <cell r="M56">
            <v>0</v>
          </cell>
        </row>
        <row r="58">
          <cell r="H58">
            <v>0</v>
          </cell>
          <cell r="M58">
            <v>0</v>
          </cell>
        </row>
        <row r="59">
          <cell r="H59">
            <v>0</v>
          </cell>
          <cell r="M5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R13">
            <v>-9929354</v>
          </cell>
        </row>
        <row r="55">
          <cell r="R55">
            <v>0</v>
          </cell>
        </row>
        <row r="56">
          <cell r="R56">
            <v>0</v>
          </cell>
        </row>
        <row r="58">
          <cell r="R58">
            <v>0</v>
          </cell>
        </row>
        <row r="59">
          <cell r="R5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R113">
            <v>91356528.666240022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55">
          <cell r="BP55">
            <v>0</v>
          </cell>
        </row>
        <row r="56">
          <cell r="BP56">
            <v>0</v>
          </cell>
        </row>
        <row r="58">
          <cell r="BP58">
            <v>0</v>
          </cell>
        </row>
        <row r="59">
          <cell r="BP5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 Pg1"/>
      <sheetName val="Table 2 Pg2"/>
      <sheetName val="Table 3 Summary"/>
      <sheetName val="Table 3.1"/>
      <sheetName val="Table 3.2"/>
      <sheetName val="Table 3.3"/>
      <sheetName val="Table 3.4"/>
      <sheetName val="Table 4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H18">
            <v>188785000</v>
          </cell>
        </row>
        <row r="19">
          <cell r="H19">
            <v>50000000</v>
          </cell>
        </row>
        <row r="27">
          <cell r="H27">
            <v>-2977168.8205058575</v>
          </cell>
        </row>
        <row r="32">
          <cell r="H32">
            <v>0</v>
          </cell>
        </row>
      </sheetData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 refreshError="1">
        <row r="113">
          <cell r="T113">
            <v>140683416.19247997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view="pageBreakPreview" topLeftCell="J3" zoomScaleNormal="100" zoomScaleSheetLayoutView="100" workbookViewId="0">
      <selection activeCell="S36" sqref="S36"/>
    </sheetView>
  </sheetViews>
  <sheetFormatPr defaultColWidth="3" defaultRowHeight="12.75" x14ac:dyDescent="0.25"/>
  <cols>
    <col min="1" max="1" width="0.85546875" style="585" customWidth="1"/>
    <col min="2" max="2" width="1" style="585" customWidth="1"/>
    <col min="3" max="3" width="1.28515625" style="585" customWidth="1"/>
    <col min="4" max="4" width="46" style="585" customWidth="1"/>
    <col min="5" max="5" width="4.7109375" style="585" customWidth="1"/>
    <col min="6" max="6" width="5.7109375" style="585" customWidth="1"/>
    <col min="7" max="7" width="16.85546875" style="585" customWidth="1"/>
    <col min="8" max="8" width="15.7109375" style="585" customWidth="1"/>
    <col min="9" max="9" width="15.42578125" style="585" customWidth="1"/>
    <col min="10" max="20" width="15.7109375" style="585" customWidth="1"/>
    <col min="21" max="21" width="1.7109375" style="585" customWidth="1"/>
    <col min="22" max="22" width="12.7109375" style="585" customWidth="1"/>
    <col min="23" max="23" width="9.28515625" style="585" hidden="1" customWidth="1"/>
    <col min="24" max="35" width="8.7109375" style="585" hidden="1" customWidth="1"/>
    <col min="36" max="36" width="10.28515625" style="585" hidden="1" customWidth="1"/>
    <col min="37" max="37" width="9.28515625" style="585" hidden="1" customWidth="1"/>
    <col min="38" max="38" width="7.7109375" style="585" hidden="1" customWidth="1"/>
    <col min="39" max="39" width="7.28515625" style="585" hidden="1" customWidth="1"/>
    <col min="40" max="40" width="3.7109375" style="585" hidden="1" customWidth="1"/>
    <col min="41" max="44" width="3.140625" style="585" hidden="1" customWidth="1"/>
    <col min="45" max="45" width="4" style="585" hidden="1" customWidth="1"/>
    <col min="46" max="46" width="3.28515625" style="585" hidden="1" customWidth="1"/>
    <col min="47" max="49" width="3.140625" style="585" hidden="1" customWidth="1"/>
    <col min="50" max="50" width="9.28515625" style="585" hidden="1" customWidth="1"/>
    <col min="51" max="52" width="3.140625" style="585" hidden="1" customWidth="1"/>
    <col min="53" max="66" width="1.7109375" style="585" hidden="1" customWidth="1"/>
    <col min="67" max="95" width="1.7109375" style="585" customWidth="1"/>
    <col min="96" max="242" width="3" style="585"/>
    <col min="243" max="243" width="0.85546875" style="585" customWidth="1"/>
    <col min="244" max="244" width="1" style="585" customWidth="1"/>
    <col min="245" max="245" width="1.28515625" style="585" customWidth="1"/>
    <col min="246" max="246" width="46" style="585" customWidth="1"/>
    <col min="247" max="247" width="4.7109375" style="585" customWidth="1"/>
    <col min="248" max="248" width="5.7109375" style="585" customWidth="1"/>
    <col min="249" max="249" width="16.85546875" style="585" customWidth="1"/>
    <col min="250" max="260" width="0" style="585" hidden="1" customWidth="1"/>
    <col min="261" max="261" width="15.28515625" style="585" customWidth="1"/>
    <col min="262" max="262" width="15.5703125" style="585" customWidth="1"/>
    <col min="263" max="263" width="16.28515625" style="585" customWidth="1"/>
    <col min="264" max="274" width="0" style="585" hidden="1" customWidth="1"/>
    <col min="275" max="275" width="14.7109375" style="585" customWidth="1"/>
    <col min="276" max="276" width="16.42578125" style="585" customWidth="1"/>
    <col min="277" max="277" width="1.7109375" style="585" customWidth="1"/>
    <col min="278" max="278" width="12.7109375" style="585" customWidth="1"/>
    <col min="279" max="322" width="0" style="585" hidden="1" customWidth="1"/>
    <col min="323" max="351" width="1.7109375" style="585" customWidth="1"/>
    <col min="352" max="498" width="3" style="585"/>
    <col min="499" max="499" width="0.85546875" style="585" customWidth="1"/>
    <col min="500" max="500" width="1" style="585" customWidth="1"/>
    <col min="501" max="501" width="1.28515625" style="585" customWidth="1"/>
    <col min="502" max="502" width="46" style="585" customWidth="1"/>
    <col min="503" max="503" width="4.7109375" style="585" customWidth="1"/>
    <col min="504" max="504" width="5.7109375" style="585" customWidth="1"/>
    <col min="505" max="505" width="16.85546875" style="585" customWidth="1"/>
    <col min="506" max="516" width="0" style="585" hidden="1" customWidth="1"/>
    <col min="517" max="517" width="15.28515625" style="585" customWidth="1"/>
    <col min="518" max="518" width="15.5703125" style="585" customWidth="1"/>
    <col min="519" max="519" width="16.28515625" style="585" customWidth="1"/>
    <col min="520" max="530" width="0" style="585" hidden="1" customWidth="1"/>
    <col min="531" max="531" width="14.7109375" style="585" customWidth="1"/>
    <col min="532" max="532" width="16.42578125" style="585" customWidth="1"/>
    <col min="533" max="533" width="1.7109375" style="585" customWidth="1"/>
    <col min="534" max="534" width="12.7109375" style="585" customWidth="1"/>
    <col min="535" max="578" width="0" style="585" hidden="1" customWidth="1"/>
    <col min="579" max="607" width="1.7109375" style="585" customWidth="1"/>
    <col min="608" max="754" width="3" style="585"/>
    <col min="755" max="755" width="0.85546875" style="585" customWidth="1"/>
    <col min="756" max="756" width="1" style="585" customWidth="1"/>
    <col min="757" max="757" width="1.28515625" style="585" customWidth="1"/>
    <col min="758" max="758" width="46" style="585" customWidth="1"/>
    <col min="759" max="759" width="4.7109375" style="585" customWidth="1"/>
    <col min="760" max="760" width="5.7109375" style="585" customWidth="1"/>
    <col min="761" max="761" width="16.85546875" style="585" customWidth="1"/>
    <col min="762" max="772" width="0" style="585" hidden="1" customWidth="1"/>
    <col min="773" max="773" width="15.28515625" style="585" customWidth="1"/>
    <col min="774" max="774" width="15.5703125" style="585" customWidth="1"/>
    <col min="775" max="775" width="16.28515625" style="585" customWidth="1"/>
    <col min="776" max="786" width="0" style="585" hidden="1" customWidth="1"/>
    <col min="787" max="787" width="14.7109375" style="585" customWidth="1"/>
    <col min="788" max="788" width="16.42578125" style="585" customWidth="1"/>
    <col min="789" max="789" width="1.7109375" style="585" customWidth="1"/>
    <col min="790" max="790" width="12.7109375" style="585" customWidth="1"/>
    <col min="791" max="834" width="0" style="585" hidden="1" customWidth="1"/>
    <col min="835" max="863" width="1.7109375" style="585" customWidth="1"/>
    <col min="864" max="1010" width="3" style="585"/>
    <col min="1011" max="1011" width="0.85546875" style="585" customWidth="1"/>
    <col min="1012" max="1012" width="1" style="585" customWidth="1"/>
    <col min="1013" max="1013" width="1.28515625" style="585" customWidth="1"/>
    <col min="1014" max="1014" width="46" style="585" customWidth="1"/>
    <col min="1015" max="1015" width="4.7109375" style="585" customWidth="1"/>
    <col min="1016" max="1016" width="5.7109375" style="585" customWidth="1"/>
    <col min="1017" max="1017" width="16.85546875" style="585" customWidth="1"/>
    <col min="1018" max="1028" width="0" style="585" hidden="1" customWidth="1"/>
    <col min="1029" max="1029" width="15.28515625" style="585" customWidth="1"/>
    <col min="1030" max="1030" width="15.5703125" style="585" customWidth="1"/>
    <col min="1031" max="1031" width="16.28515625" style="585" customWidth="1"/>
    <col min="1032" max="1042" width="0" style="585" hidden="1" customWidth="1"/>
    <col min="1043" max="1043" width="14.7109375" style="585" customWidth="1"/>
    <col min="1044" max="1044" width="16.42578125" style="585" customWidth="1"/>
    <col min="1045" max="1045" width="1.7109375" style="585" customWidth="1"/>
    <col min="1046" max="1046" width="12.7109375" style="585" customWidth="1"/>
    <col min="1047" max="1090" width="0" style="585" hidden="1" customWidth="1"/>
    <col min="1091" max="1119" width="1.7109375" style="585" customWidth="1"/>
    <col min="1120" max="1266" width="3" style="585"/>
    <col min="1267" max="1267" width="0.85546875" style="585" customWidth="1"/>
    <col min="1268" max="1268" width="1" style="585" customWidth="1"/>
    <col min="1269" max="1269" width="1.28515625" style="585" customWidth="1"/>
    <col min="1270" max="1270" width="46" style="585" customWidth="1"/>
    <col min="1271" max="1271" width="4.7109375" style="585" customWidth="1"/>
    <col min="1272" max="1272" width="5.7109375" style="585" customWidth="1"/>
    <col min="1273" max="1273" width="16.85546875" style="585" customWidth="1"/>
    <col min="1274" max="1284" width="0" style="585" hidden="1" customWidth="1"/>
    <col min="1285" max="1285" width="15.28515625" style="585" customWidth="1"/>
    <col min="1286" max="1286" width="15.5703125" style="585" customWidth="1"/>
    <col min="1287" max="1287" width="16.28515625" style="585" customWidth="1"/>
    <col min="1288" max="1298" width="0" style="585" hidden="1" customWidth="1"/>
    <col min="1299" max="1299" width="14.7109375" style="585" customWidth="1"/>
    <col min="1300" max="1300" width="16.42578125" style="585" customWidth="1"/>
    <col min="1301" max="1301" width="1.7109375" style="585" customWidth="1"/>
    <col min="1302" max="1302" width="12.7109375" style="585" customWidth="1"/>
    <col min="1303" max="1346" width="0" style="585" hidden="1" customWidth="1"/>
    <col min="1347" max="1375" width="1.7109375" style="585" customWidth="1"/>
    <col min="1376" max="1522" width="3" style="585"/>
    <col min="1523" max="1523" width="0.85546875" style="585" customWidth="1"/>
    <col min="1524" max="1524" width="1" style="585" customWidth="1"/>
    <col min="1525" max="1525" width="1.28515625" style="585" customWidth="1"/>
    <col min="1526" max="1526" width="46" style="585" customWidth="1"/>
    <col min="1527" max="1527" width="4.7109375" style="585" customWidth="1"/>
    <col min="1528" max="1528" width="5.7109375" style="585" customWidth="1"/>
    <col min="1529" max="1529" width="16.85546875" style="585" customWidth="1"/>
    <col min="1530" max="1540" width="0" style="585" hidden="1" customWidth="1"/>
    <col min="1541" max="1541" width="15.28515625" style="585" customWidth="1"/>
    <col min="1542" max="1542" width="15.5703125" style="585" customWidth="1"/>
    <col min="1543" max="1543" width="16.28515625" style="585" customWidth="1"/>
    <col min="1544" max="1554" width="0" style="585" hidden="1" customWidth="1"/>
    <col min="1555" max="1555" width="14.7109375" style="585" customWidth="1"/>
    <col min="1556" max="1556" width="16.42578125" style="585" customWidth="1"/>
    <col min="1557" max="1557" width="1.7109375" style="585" customWidth="1"/>
    <col min="1558" max="1558" width="12.7109375" style="585" customWidth="1"/>
    <col min="1559" max="1602" width="0" style="585" hidden="1" customWidth="1"/>
    <col min="1603" max="1631" width="1.7109375" style="585" customWidth="1"/>
    <col min="1632" max="1778" width="3" style="585"/>
    <col min="1779" max="1779" width="0.85546875" style="585" customWidth="1"/>
    <col min="1780" max="1780" width="1" style="585" customWidth="1"/>
    <col min="1781" max="1781" width="1.28515625" style="585" customWidth="1"/>
    <col min="1782" max="1782" width="46" style="585" customWidth="1"/>
    <col min="1783" max="1783" width="4.7109375" style="585" customWidth="1"/>
    <col min="1784" max="1784" width="5.7109375" style="585" customWidth="1"/>
    <col min="1785" max="1785" width="16.85546875" style="585" customWidth="1"/>
    <col min="1786" max="1796" width="0" style="585" hidden="1" customWidth="1"/>
    <col min="1797" max="1797" width="15.28515625" style="585" customWidth="1"/>
    <col min="1798" max="1798" width="15.5703125" style="585" customWidth="1"/>
    <col min="1799" max="1799" width="16.28515625" style="585" customWidth="1"/>
    <col min="1800" max="1810" width="0" style="585" hidden="1" customWidth="1"/>
    <col min="1811" max="1811" width="14.7109375" style="585" customWidth="1"/>
    <col min="1812" max="1812" width="16.42578125" style="585" customWidth="1"/>
    <col min="1813" max="1813" width="1.7109375" style="585" customWidth="1"/>
    <col min="1814" max="1814" width="12.7109375" style="585" customWidth="1"/>
    <col min="1815" max="1858" width="0" style="585" hidden="1" customWidth="1"/>
    <col min="1859" max="1887" width="1.7109375" style="585" customWidth="1"/>
    <col min="1888" max="2034" width="3" style="585"/>
    <col min="2035" max="2035" width="0.85546875" style="585" customWidth="1"/>
    <col min="2036" max="2036" width="1" style="585" customWidth="1"/>
    <col min="2037" max="2037" width="1.28515625" style="585" customWidth="1"/>
    <col min="2038" max="2038" width="46" style="585" customWidth="1"/>
    <col min="2039" max="2039" width="4.7109375" style="585" customWidth="1"/>
    <col min="2040" max="2040" width="5.7109375" style="585" customWidth="1"/>
    <col min="2041" max="2041" width="16.85546875" style="585" customWidth="1"/>
    <col min="2042" max="2052" width="0" style="585" hidden="1" customWidth="1"/>
    <col min="2053" max="2053" width="15.28515625" style="585" customWidth="1"/>
    <col min="2054" max="2054" width="15.5703125" style="585" customWidth="1"/>
    <col min="2055" max="2055" width="16.28515625" style="585" customWidth="1"/>
    <col min="2056" max="2066" width="0" style="585" hidden="1" customWidth="1"/>
    <col min="2067" max="2067" width="14.7109375" style="585" customWidth="1"/>
    <col min="2068" max="2068" width="16.42578125" style="585" customWidth="1"/>
    <col min="2069" max="2069" width="1.7109375" style="585" customWidth="1"/>
    <col min="2070" max="2070" width="12.7109375" style="585" customWidth="1"/>
    <col min="2071" max="2114" width="0" style="585" hidden="1" customWidth="1"/>
    <col min="2115" max="2143" width="1.7109375" style="585" customWidth="1"/>
    <col min="2144" max="2290" width="3" style="585"/>
    <col min="2291" max="2291" width="0.85546875" style="585" customWidth="1"/>
    <col min="2292" max="2292" width="1" style="585" customWidth="1"/>
    <col min="2293" max="2293" width="1.28515625" style="585" customWidth="1"/>
    <col min="2294" max="2294" width="46" style="585" customWidth="1"/>
    <col min="2295" max="2295" width="4.7109375" style="585" customWidth="1"/>
    <col min="2296" max="2296" width="5.7109375" style="585" customWidth="1"/>
    <col min="2297" max="2297" width="16.85546875" style="585" customWidth="1"/>
    <col min="2298" max="2308" width="0" style="585" hidden="1" customWidth="1"/>
    <col min="2309" max="2309" width="15.28515625" style="585" customWidth="1"/>
    <col min="2310" max="2310" width="15.5703125" style="585" customWidth="1"/>
    <col min="2311" max="2311" width="16.28515625" style="585" customWidth="1"/>
    <col min="2312" max="2322" width="0" style="585" hidden="1" customWidth="1"/>
    <col min="2323" max="2323" width="14.7109375" style="585" customWidth="1"/>
    <col min="2324" max="2324" width="16.42578125" style="585" customWidth="1"/>
    <col min="2325" max="2325" width="1.7109375" style="585" customWidth="1"/>
    <col min="2326" max="2326" width="12.7109375" style="585" customWidth="1"/>
    <col min="2327" max="2370" width="0" style="585" hidden="1" customWidth="1"/>
    <col min="2371" max="2399" width="1.7109375" style="585" customWidth="1"/>
    <col min="2400" max="2546" width="3" style="585"/>
    <col min="2547" max="2547" width="0.85546875" style="585" customWidth="1"/>
    <col min="2548" max="2548" width="1" style="585" customWidth="1"/>
    <col min="2549" max="2549" width="1.28515625" style="585" customWidth="1"/>
    <col min="2550" max="2550" width="46" style="585" customWidth="1"/>
    <col min="2551" max="2551" width="4.7109375" style="585" customWidth="1"/>
    <col min="2552" max="2552" width="5.7109375" style="585" customWidth="1"/>
    <col min="2553" max="2553" width="16.85546875" style="585" customWidth="1"/>
    <col min="2554" max="2564" width="0" style="585" hidden="1" customWidth="1"/>
    <col min="2565" max="2565" width="15.28515625" style="585" customWidth="1"/>
    <col min="2566" max="2566" width="15.5703125" style="585" customWidth="1"/>
    <col min="2567" max="2567" width="16.28515625" style="585" customWidth="1"/>
    <col min="2568" max="2578" width="0" style="585" hidden="1" customWidth="1"/>
    <col min="2579" max="2579" width="14.7109375" style="585" customWidth="1"/>
    <col min="2580" max="2580" width="16.42578125" style="585" customWidth="1"/>
    <col min="2581" max="2581" width="1.7109375" style="585" customWidth="1"/>
    <col min="2582" max="2582" width="12.7109375" style="585" customWidth="1"/>
    <col min="2583" max="2626" width="0" style="585" hidden="1" customWidth="1"/>
    <col min="2627" max="2655" width="1.7109375" style="585" customWidth="1"/>
    <col min="2656" max="2802" width="3" style="585"/>
    <col min="2803" max="2803" width="0.85546875" style="585" customWidth="1"/>
    <col min="2804" max="2804" width="1" style="585" customWidth="1"/>
    <col min="2805" max="2805" width="1.28515625" style="585" customWidth="1"/>
    <col min="2806" max="2806" width="46" style="585" customWidth="1"/>
    <col min="2807" max="2807" width="4.7109375" style="585" customWidth="1"/>
    <col min="2808" max="2808" width="5.7109375" style="585" customWidth="1"/>
    <col min="2809" max="2809" width="16.85546875" style="585" customWidth="1"/>
    <col min="2810" max="2820" width="0" style="585" hidden="1" customWidth="1"/>
    <col min="2821" max="2821" width="15.28515625" style="585" customWidth="1"/>
    <col min="2822" max="2822" width="15.5703125" style="585" customWidth="1"/>
    <col min="2823" max="2823" width="16.28515625" style="585" customWidth="1"/>
    <col min="2824" max="2834" width="0" style="585" hidden="1" customWidth="1"/>
    <col min="2835" max="2835" width="14.7109375" style="585" customWidth="1"/>
    <col min="2836" max="2836" width="16.42578125" style="585" customWidth="1"/>
    <col min="2837" max="2837" width="1.7109375" style="585" customWidth="1"/>
    <col min="2838" max="2838" width="12.7109375" style="585" customWidth="1"/>
    <col min="2839" max="2882" width="0" style="585" hidden="1" customWidth="1"/>
    <col min="2883" max="2911" width="1.7109375" style="585" customWidth="1"/>
    <col min="2912" max="3058" width="3" style="585"/>
    <col min="3059" max="3059" width="0.85546875" style="585" customWidth="1"/>
    <col min="3060" max="3060" width="1" style="585" customWidth="1"/>
    <col min="3061" max="3061" width="1.28515625" style="585" customWidth="1"/>
    <col min="3062" max="3062" width="46" style="585" customWidth="1"/>
    <col min="3063" max="3063" width="4.7109375" style="585" customWidth="1"/>
    <col min="3064" max="3064" width="5.7109375" style="585" customWidth="1"/>
    <col min="3065" max="3065" width="16.85546875" style="585" customWidth="1"/>
    <col min="3066" max="3076" width="0" style="585" hidden="1" customWidth="1"/>
    <col min="3077" max="3077" width="15.28515625" style="585" customWidth="1"/>
    <col min="3078" max="3078" width="15.5703125" style="585" customWidth="1"/>
    <col min="3079" max="3079" width="16.28515625" style="585" customWidth="1"/>
    <col min="3080" max="3090" width="0" style="585" hidden="1" customWidth="1"/>
    <col min="3091" max="3091" width="14.7109375" style="585" customWidth="1"/>
    <col min="3092" max="3092" width="16.42578125" style="585" customWidth="1"/>
    <col min="3093" max="3093" width="1.7109375" style="585" customWidth="1"/>
    <col min="3094" max="3094" width="12.7109375" style="585" customWidth="1"/>
    <col min="3095" max="3138" width="0" style="585" hidden="1" customWidth="1"/>
    <col min="3139" max="3167" width="1.7109375" style="585" customWidth="1"/>
    <col min="3168" max="3314" width="3" style="585"/>
    <col min="3315" max="3315" width="0.85546875" style="585" customWidth="1"/>
    <col min="3316" max="3316" width="1" style="585" customWidth="1"/>
    <col min="3317" max="3317" width="1.28515625" style="585" customWidth="1"/>
    <col min="3318" max="3318" width="46" style="585" customWidth="1"/>
    <col min="3319" max="3319" width="4.7109375" style="585" customWidth="1"/>
    <col min="3320" max="3320" width="5.7109375" style="585" customWidth="1"/>
    <col min="3321" max="3321" width="16.85546875" style="585" customWidth="1"/>
    <col min="3322" max="3332" width="0" style="585" hidden="1" customWidth="1"/>
    <col min="3333" max="3333" width="15.28515625" style="585" customWidth="1"/>
    <col min="3334" max="3334" width="15.5703125" style="585" customWidth="1"/>
    <col min="3335" max="3335" width="16.28515625" style="585" customWidth="1"/>
    <col min="3336" max="3346" width="0" style="585" hidden="1" customWidth="1"/>
    <col min="3347" max="3347" width="14.7109375" style="585" customWidth="1"/>
    <col min="3348" max="3348" width="16.42578125" style="585" customWidth="1"/>
    <col min="3349" max="3349" width="1.7109375" style="585" customWidth="1"/>
    <col min="3350" max="3350" width="12.7109375" style="585" customWidth="1"/>
    <col min="3351" max="3394" width="0" style="585" hidden="1" customWidth="1"/>
    <col min="3395" max="3423" width="1.7109375" style="585" customWidth="1"/>
    <col min="3424" max="3570" width="3" style="585"/>
    <col min="3571" max="3571" width="0.85546875" style="585" customWidth="1"/>
    <col min="3572" max="3572" width="1" style="585" customWidth="1"/>
    <col min="3573" max="3573" width="1.28515625" style="585" customWidth="1"/>
    <col min="3574" max="3574" width="46" style="585" customWidth="1"/>
    <col min="3575" max="3575" width="4.7109375" style="585" customWidth="1"/>
    <col min="3576" max="3576" width="5.7109375" style="585" customWidth="1"/>
    <col min="3577" max="3577" width="16.85546875" style="585" customWidth="1"/>
    <col min="3578" max="3588" width="0" style="585" hidden="1" customWidth="1"/>
    <col min="3589" max="3589" width="15.28515625" style="585" customWidth="1"/>
    <col min="3590" max="3590" width="15.5703125" style="585" customWidth="1"/>
    <col min="3591" max="3591" width="16.28515625" style="585" customWidth="1"/>
    <col min="3592" max="3602" width="0" style="585" hidden="1" customWidth="1"/>
    <col min="3603" max="3603" width="14.7109375" style="585" customWidth="1"/>
    <col min="3604" max="3604" width="16.42578125" style="585" customWidth="1"/>
    <col min="3605" max="3605" width="1.7109375" style="585" customWidth="1"/>
    <col min="3606" max="3606" width="12.7109375" style="585" customWidth="1"/>
    <col min="3607" max="3650" width="0" style="585" hidden="1" customWidth="1"/>
    <col min="3651" max="3679" width="1.7109375" style="585" customWidth="1"/>
    <col min="3680" max="3826" width="3" style="585"/>
    <col min="3827" max="3827" width="0.85546875" style="585" customWidth="1"/>
    <col min="3828" max="3828" width="1" style="585" customWidth="1"/>
    <col min="3829" max="3829" width="1.28515625" style="585" customWidth="1"/>
    <col min="3830" max="3830" width="46" style="585" customWidth="1"/>
    <col min="3831" max="3831" width="4.7109375" style="585" customWidth="1"/>
    <col min="3832" max="3832" width="5.7109375" style="585" customWidth="1"/>
    <col min="3833" max="3833" width="16.85546875" style="585" customWidth="1"/>
    <col min="3834" max="3844" width="0" style="585" hidden="1" customWidth="1"/>
    <col min="3845" max="3845" width="15.28515625" style="585" customWidth="1"/>
    <col min="3846" max="3846" width="15.5703125" style="585" customWidth="1"/>
    <col min="3847" max="3847" width="16.28515625" style="585" customWidth="1"/>
    <col min="3848" max="3858" width="0" style="585" hidden="1" customWidth="1"/>
    <col min="3859" max="3859" width="14.7109375" style="585" customWidth="1"/>
    <col min="3860" max="3860" width="16.42578125" style="585" customWidth="1"/>
    <col min="3861" max="3861" width="1.7109375" style="585" customWidth="1"/>
    <col min="3862" max="3862" width="12.7109375" style="585" customWidth="1"/>
    <col min="3863" max="3906" width="0" style="585" hidden="1" customWidth="1"/>
    <col min="3907" max="3935" width="1.7109375" style="585" customWidth="1"/>
    <col min="3936" max="4082" width="3" style="585"/>
    <col min="4083" max="4083" width="0.85546875" style="585" customWidth="1"/>
    <col min="4084" max="4084" width="1" style="585" customWidth="1"/>
    <col min="4085" max="4085" width="1.28515625" style="585" customWidth="1"/>
    <col min="4086" max="4086" width="46" style="585" customWidth="1"/>
    <col min="4087" max="4087" width="4.7109375" style="585" customWidth="1"/>
    <col min="4088" max="4088" width="5.7109375" style="585" customWidth="1"/>
    <col min="4089" max="4089" width="16.85546875" style="585" customWidth="1"/>
    <col min="4090" max="4100" width="0" style="585" hidden="1" customWidth="1"/>
    <col min="4101" max="4101" width="15.28515625" style="585" customWidth="1"/>
    <col min="4102" max="4102" width="15.5703125" style="585" customWidth="1"/>
    <col min="4103" max="4103" width="16.28515625" style="585" customWidth="1"/>
    <col min="4104" max="4114" width="0" style="585" hidden="1" customWidth="1"/>
    <col min="4115" max="4115" width="14.7109375" style="585" customWidth="1"/>
    <col min="4116" max="4116" width="16.42578125" style="585" customWidth="1"/>
    <col min="4117" max="4117" width="1.7109375" style="585" customWidth="1"/>
    <col min="4118" max="4118" width="12.7109375" style="585" customWidth="1"/>
    <col min="4119" max="4162" width="0" style="585" hidden="1" customWidth="1"/>
    <col min="4163" max="4191" width="1.7109375" style="585" customWidth="1"/>
    <col min="4192" max="4338" width="3" style="585"/>
    <col min="4339" max="4339" width="0.85546875" style="585" customWidth="1"/>
    <col min="4340" max="4340" width="1" style="585" customWidth="1"/>
    <col min="4341" max="4341" width="1.28515625" style="585" customWidth="1"/>
    <col min="4342" max="4342" width="46" style="585" customWidth="1"/>
    <col min="4343" max="4343" width="4.7109375" style="585" customWidth="1"/>
    <col min="4344" max="4344" width="5.7109375" style="585" customWidth="1"/>
    <col min="4345" max="4345" width="16.85546875" style="585" customWidth="1"/>
    <col min="4346" max="4356" width="0" style="585" hidden="1" customWidth="1"/>
    <col min="4357" max="4357" width="15.28515625" style="585" customWidth="1"/>
    <col min="4358" max="4358" width="15.5703125" style="585" customWidth="1"/>
    <col min="4359" max="4359" width="16.28515625" style="585" customWidth="1"/>
    <col min="4360" max="4370" width="0" style="585" hidden="1" customWidth="1"/>
    <col min="4371" max="4371" width="14.7109375" style="585" customWidth="1"/>
    <col min="4372" max="4372" width="16.42578125" style="585" customWidth="1"/>
    <col min="4373" max="4373" width="1.7109375" style="585" customWidth="1"/>
    <col min="4374" max="4374" width="12.7109375" style="585" customWidth="1"/>
    <col min="4375" max="4418" width="0" style="585" hidden="1" customWidth="1"/>
    <col min="4419" max="4447" width="1.7109375" style="585" customWidth="1"/>
    <col min="4448" max="4594" width="3" style="585"/>
    <col min="4595" max="4595" width="0.85546875" style="585" customWidth="1"/>
    <col min="4596" max="4596" width="1" style="585" customWidth="1"/>
    <col min="4597" max="4597" width="1.28515625" style="585" customWidth="1"/>
    <col min="4598" max="4598" width="46" style="585" customWidth="1"/>
    <col min="4599" max="4599" width="4.7109375" style="585" customWidth="1"/>
    <col min="4600" max="4600" width="5.7109375" style="585" customWidth="1"/>
    <col min="4601" max="4601" width="16.85546875" style="585" customWidth="1"/>
    <col min="4602" max="4612" width="0" style="585" hidden="1" customWidth="1"/>
    <col min="4613" max="4613" width="15.28515625" style="585" customWidth="1"/>
    <col min="4614" max="4614" width="15.5703125" style="585" customWidth="1"/>
    <col min="4615" max="4615" width="16.28515625" style="585" customWidth="1"/>
    <col min="4616" max="4626" width="0" style="585" hidden="1" customWidth="1"/>
    <col min="4627" max="4627" width="14.7109375" style="585" customWidth="1"/>
    <col min="4628" max="4628" width="16.42578125" style="585" customWidth="1"/>
    <col min="4629" max="4629" width="1.7109375" style="585" customWidth="1"/>
    <col min="4630" max="4630" width="12.7109375" style="585" customWidth="1"/>
    <col min="4631" max="4674" width="0" style="585" hidden="1" customWidth="1"/>
    <col min="4675" max="4703" width="1.7109375" style="585" customWidth="1"/>
    <col min="4704" max="4850" width="3" style="585"/>
    <col min="4851" max="4851" width="0.85546875" style="585" customWidth="1"/>
    <col min="4852" max="4852" width="1" style="585" customWidth="1"/>
    <col min="4853" max="4853" width="1.28515625" style="585" customWidth="1"/>
    <col min="4854" max="4854" width="46" style="585" customWidth="1"/>
    <col min="4855" max="4855" width="4.7109375" style="585" customWidth="1"/>
    <col min="4856" max="4856" width="5.7109375" style="585" customWidth="1"/>
    <col min="4857" max="4857" width="16.85546875" style="585" customWidth="1"/>
    <col min="4858" max="4868" width="0" style="585" hidden="1" customWidth="1"/>
    <col min="4869" max="4869" width="15.28515625" style="585" customWidth="1"/>
    <col min="4870" max="4870" width="15.5703125" style="585" customWidth="1"/>
    <col min="4871" max="4871" width="16.28515625" style="585" customWidth="1"/>
    <col min="4872" max="4882" width="0" style="585" hidden="1" customWidth="1"/>
    <col min="4883" max="4883" width="14.7109375" style="585" customWidth="1"/>
    <col min="4884" max="4884" width="16.42578125" style="585" customWidth="1"/>
    <col min="4885" max="4885" width="1.7109375" style="585" customWidth="1"/>
    <col min="4886" max="4886" width="12.7109375" style="585" customWidth="1"/>
    <col min="4887" max="4930" width="0" style="585" hidden="1" customWidth="1"/>
    <col min="4931" max="4959" width="1.7109375" style="585" customWidth="1"/>
    <col min="4960" max="5106" width="3" style="585"/>
    <col min="5107" max="5107" width="0.85546875" style="585" customWidth="1"/>
    <col min="5108" max="5108" width="1" style="585" customWidth="1"/>
    <col min="5109" max="5109" width="1.28515625" style="585" customWidth="1"/>
    <col min="5110" max="5110" width="46" style="585" customWidth="1"/>
    <col min="5111" max="5111" width="4.7109375" style="585" customWidth="1"/>
    <col min="5112" max="5112" width="5.7109375" style="585" customWidth="1"/>
    <col min="5113" max="5113" width="16.85546875" style="585" customWidth="1"/>
    <col min="5114" max="5124" width="0" style="585" hidden="1" customWidth="1"/>
    <col min="5125" max="5125" width="15.28515625" style="585" customWidth="1"/>
    <col min="5126" max="5126" width="15.5703125" style="585" customWidth="1"/>
    <col min="5127" max="5127" width="16.28515625" style="585" customWidth="1"/>
    <col min="5128" max="5138" width="0" style="585" hidden="1" customWidth="1"/>
    <col min="5139" max="5139" width="14.7109375" style="585" customWidth="1"/>
    <col min="5140" max="5140" width="16.42578125" style="585" customWidth="1"/>
    <col min="5141" max="5141" width="1.7109375" style="585" customWidth="1"/>
    <col min="5142" max="5142" width="12.7109375" style="585" customWidth="1"/>
    <col min="5143" max="5186" width="0" style="585" hidden="1" customWidth="1"/>
    <col min="5187" max="5215" width="1.7109375" style="585" customWidth="1"/>
    <col min="5216" max="5362" width="3" style="585"/>
    <col min="5363" max="5363" width="0.85546875" style="585" customWidth="1"/>
    <col min="5364" max="5364" width="1" style="585" customWidth="1"/>
    <col min="5365" max="5365" width="1.28515625" style="585" customWidth="1"/>
    <col min="5366" max="5366" width="46" style="585" customWidth="1"/>
    <col min="5367" max="5367" width="4.7109375" style="585" customWidth="1"/>
    <col min="5368" max="5368" width="5.7109375" style="585" customWidth="1"/>
    <col min="5369" max="5369" width="16.85546875" style="585" customWidth="1"/>
    <col min="5370" max="5380" width="0" style="585" hidden="1" customWidth="1"/>
    <col min="5381" max="5381" width="15.28515625" style="585" customWidth="1"/>
    <col min="5382" max="5382" width="15.5703125" style="585" customWidth="1"/>
    <col min="5383" max="5383" width="16.28515625" style="585" customWidth="1"/>
    <col min="5384" max="5394" width="0" style="585" hidden="1" customWidth="1"/>
    <col min="5395" max="5395" width="14.7109375" style="585" customWidth="1"/>
    <col min="5396" max="5396" width="16.42578125" style="585" customWidth="1"/>
    <col min="5397" max="5397" width="1.7109375" style="585" customWidth="1"/>
    <col min="5398" max="5398" width="12.7109375" style="585" customWidth="1"/>
    <col min="5399" max="5442" width="0" style="585" hidden="1" customWidth="1"/>
    <col min="5443" max="5471" width="1.7109375" style="585" customWidth="1"/>
    <col min="5472" max="5618" width="3" style="585"/>
    <col min="5619" max="5619" width="0.85546875" style="585" customWidth="1"/>
    <col min="5620" max="5620" width="1" style="585" customWidth="1"/>
    <col min="5621" max="5621" width="1.28515625" style="585" customWidth="1"/>
    <col min="5622" max="5622" width="46" style="585" customWidth="1"/>
    <col min="5623" max="5623" width="4.7109375" style="585" customWidth="1"/>
    <col min="5624" max="5624" width="5.7109375" style="585" customWidth="1"/>
    <col min="5625" max="5625" width="16.85546875" style="585" customWidth="1"/>
    <col min="5626" max="5636" width="0" style="585" hidden="1" customWidth="1"/>
    <col min="5637" max="5637" width="15.28515625" style="585" customWidth="1"/>
    <col min="5638" max="5638" width="15.5703125" style="585" customWidth="1"/>
    <col min="5639" max="5639" width="16.28515625" style="585" customWidth="1"/>
    <col min="5640" max="5650" width="0" style="585" hidden="1" customWidth="1"/>
    <col min="5651" max="5651" width="14.7109375" style="585" customWidth="1"/>
    <col min="5652" max="5652" width="16.42578125" style="585" customWidth="1"/>
    <col min="5653" max="5653" width="1.7109375" style="585" customWidth="1"/>
    <col min="5654" max="5654" width="12.7109375" style="585" customWidth="1"/>
    <col min="5655" max="5698" width="0" style="585" hidden="1" customWidth="1"/>
    <col min="5699" max="5727" width="1.7109375" style="585" customWidth="1"/>
    <col min="5728" max="5874" width="3" style="585"/>
    <col min="5875" max="5875" width="0.85546875" style="585" customWidth="1"/>
    <col min="5876" max="5876" width="1" style="585" customWidth="1"/>
    <col min="5877" max="5877" width="1.28515625" style="585" customWidth="1"/>
    <col min="5878" max="5878" width="46" style="585" customWidth="1"/>
    <col min="5879" max="5879" width="4.7109375" style="585" customWidth="1"/>
    <col min="5880" max="5880" width="5.7109375" style="585" customWidth="1"/>
    <col min="5881" max="5881" width="16.85546875" style="585" customWidth="1"/>
    <col min="5882" max="5892" width="0" style="585" hidden="1" customWidth="1"/>
    <col min="5893" max="5893" width="15.28515625" style="585" customWidth="1"/>
    <col min="5894" max="5894" width="15.5703125" style="585" customWidth="1"/>
    <col min="5895" max="5895" width="16.28515625" style="585" customWidth="1"/>
    <col min="5896" max="5906" width="0" style="585" hidden="1" customWidth="1"/>
    <col min="5907" max="5907" width="14.7109375" style="585" customWidth="1"/>
    <col min="5908" max="5908" width="16.42578125" style="585" customWidth="1"/>
    <col min="5909" max="5909" width="1.7109375" style="585" customWidth="1"/>
    <col min="5910" max="5910" width="12.7109375" style="585" customWidth="1"/>
    <col min="5911" max="5954" width="0" style="585" hidden="1" customWidth="1"/>
    <col min="5955" max="5983" width="1.7109375" style="585" customWidth="1"/>
    <col min="5984" max="6130" width="3" style="585"/>
    <col min="6131" max="6131" width="0.85546875" style="585" customWidth="1"/>
    <col min="6132" max="6132" width="1" style="585" customWidth="1"/>
    <col min="6133" max="6133" width="1.28515625" style="585" customWidth="1"/>
    <col min="6134" max="6134" width="46" style="585" customWidth="1"/>
    <col min="6135" max="6135" width="4.7109375" style="585" customWidth="1"/>
    <col min="6136" max="6136" width="5.7109375" style="585" customWidth="1"/>
    <col min="6137" max="6137" width="16.85546875" style="585" customWidth="1"/>
    <col min="6138" max="6148" width="0" style="585" hidden="1" customWidth="1"/>
    <col min="6149" max="6149" width="15.28515625" style="585" customWidth="1"/>
    <col min="6150" max="6150" width="15.5703125" style="585" customWidth="1"/>
    <col min="6151" max="6151" width="16.28515625" style="585" customWidth="1"/>
    <col min="6152" max="6162" width="0" style="585" hidden="1" customWidth="1"/>
    <col min="6163" max="6163" width="14.7109375" style="585" customWidth="1"/>
    <col min="6164" max="6164" width="16.42578125" style="585" customWidth="1"/>
    <col min="6165" max="6165" width="1.7109375" style="585" customWidth="1"/>
    <col min="6166" max="6166" width="12.7109375" style="585" customWidth="1"/>
    <col min="6167" max="6210" width="0" style="585" hidden="1" customWidth="1"/>
    <col min="6211" max="6239" width="1.7109375" style="585" customWidth="1"/>
    <col min="6240" max="6386" width="3" style="585"/>
    <col min="6387" max="6387" width="0.85546875" style="585" customWidth="1"/>
    <col min="6388" max="6388" width="1" style="585" customWidth="1"/>
    <col min="6389" max="6389" width="1.28515625" style="585" customWidth="1"/>
    <col min="6390" max="6390" width="46" style="585" customWidth="1"/>
    <col min="6391" max="6391" width="4.7109375" style="585" customWidth="1"/>
    <col min="6392" max="6392" width="5.7109375" style="585" customWidth="1"/>
    <col min="6393" max="6393" width="16.85546875" style="585" customWidth="1"/>
    <col min="6394" max="6404" width="0" style="585" hidden="1" customWidth="1"/>
    <col min="6405" max="6405" width="15.28515625" style="585" customWidth="1"/>
    <col min="6406" max="6406" width="15.5703125" style="585" customWidth="1"/>
    <col min="6407" max="6407" width="16.28515625" style="585" customWidth="1"/>
    <col min="6408" max="6418" width="0" style="585" hidden="1" customWidth="1"/>
    <col min="6419" max="6419" width="14.7109375" style="585" customWidth="1"/>
    <col min="6420" max="6420" width="16.42578125" style="585" customWidth="1"/>
    <col min="6421" max="6421" width="1.7109375" style="585" customWidth="1"/>
    <col min="6422" max="6422" width="12.7109375" style="585" customWidth="1"/>
    <col min="6423" max="6466" width="0" style="585" hidden="1" customWidth="1"/>
    <col min="6467" max="6495" width="1.7109375" style="585" customWidth="1"/>
    <col min="6496" max="6642" width="3" style="585"/>
    <col min="6643" max="6643" width="0.85546875" style="585" customWidth="1"/>
    <col min="6644" max="6644" width="1" style="585" customWidth="1"/>
    <col min="6645" max="6645" width="1.28515625" style="585" customWidth="1"/>
    <col min="6646" max="6646" width="46" style="585" customWidth="1"/>
    <col min="6647" max="6647" width="4.7109375" style="585" customWidth="1"/>
    <col min="6648" max="6648" width="5.7109375" style="585" customWidth="1"/>
    <col min="6649" max="6649" width="16.85546875" style="585" customWidth="1"/>
    <col min="6650" max="6660" width="0" style="585" hidden="1" customWidth="1"/>
    <col min="6661" max="6661" width="15.28515625" style="585" customWidth="1"/>
    <col min="6662" max="6662" width="15.5703125" style="585" customWidth="1"/>
    <col min="6663" max="6663" width="16.28515625" style="585" customWidth="1"/>
    <col min="6664" max="6674" width="0" style="585" hidden="1" customWidth="1"/>
    <col min="6675" max="6675" width="14.7109375" style="585" customWidth="1"/>
    <col min="6676" max="6676" width="16.42578125" style="585" customWidth="1"/>
    <col min="6677" max="6677" width="1.7109375" style="585" customWidth="1"/>
    <col min="6678" max="6678" width="12.7109375" style="585" customWidth="1"/>
    <col min="6679" max="6722" width="0" style="585" hidden="1" customWidth="1"/>
    <col min="6723" max="6751" width="1.7109375" style="585" customWidth="1"/>
    <col min="6752" max="6898" width="3" style="585"/>
    <col min="6899" max="6899" width="0.85546875" style="585" customWidth="1"/>
    <col min="6900" max="6900" width="1" style="585" customWidth="1"/>
    <col min="6901" max="6901" width="1.28515625" style="585" customWidth="1"/>
    <col min="6902" max="6902" width="46" style="585" customWidth="1"/>
    <col min="6903" max="6903" width="4.7109375" style="585" customWidth="1"/>
    <col min="6904" max="6904" width="5.7109375" style="585" customWidth="1"/>
    <col min="6905" max="6905" width="16.85546875" style="585" customWidth="1"/>
    <col min="6906" max="6916" width="0" style="585" hidden="1" customWidth="1"/>
    <col min="6917" max="6917" width="15.28515625" style="585" customWidth="1"/>
    <col min="6918" max="6918" width="15.5703125" style="585" customWidth="1"/>
    <col min="6919" max="6919" width="16.28515625" style="585" customWidth="1"/>
    <col min="6920" max="6930" width="0" style="585" hidden="1" customWidth="1"/>
    <col min="6931" max="6931" width="14.7109375" style="585" customWidth="1"/>
    <col min="6932" max="6932" width="16.42578125" style="585" customWidth="1"/>
    <col min="6933" max="6933" width="1.7109375" style="585" customWidth="1"/>
    <col min="6934" max="6934" width="12.7109375" style="585" customWidth="1"/>
    <col min="6935" max="6978" width="0" style="585" hidden="1" customWidth="1"/>
    <col min="6979" max="7007" width="1.7109375" style="585" customWidth="1"/>
    <col min="7008" max="7154" width="3" style="585"/>
    <col min="7155" max="7155" width="0.85546875" style="585" customWidth="1"/>
    <col min="7156" max="7156" width="1" style="585" customWidth="1"/>
    <col min="7157" max="7157" width="1.28515625" style="585" customWidth="1"/>
    <col min="7158" max="7158" width="46" style="585" customWidth="1"/>
    <col min="7159" max="7159" width="4.7109375" style="585" customWidth="1"/>
    <col min="7160" max="7160" width="5.7109375" style="585" customWidth="1"/>
    <col min="7161" max="7161" width="16.85546875" style="585" customWidth="1"/>
    <col min="7162" max="7172" width="0" style="585" hidden="1" customWidth="1"/>
    <col min="7173" max="7173" width="15.28515625" style="585" customWidth="1"/>
    <col min="7174" max="7174" width="15.5703125" style="585" customWidth="1"/>
    <col min="7175" max="7175" width="16.28515625" style="585" customWidth="1"/>
    <col min="7176" max="7186" width="0" style="585" hidden="1" customWidth="1"/>
    <col min="7187" max="7187" width="14.7109375" style="585" customWidth="1"/>
    <col min="7188" max="7188" width="16.42578125" style="585" customWidth="1"/>
    <col min="7189" max="7189" width="1.7109375" style="585" customWidth="1"/>
    <col min="7190" max="7190" width="12.7109375" style="585" customWidth="1"/>
    <col min="7191" max="7234" width="0" style="585" hidden="1" customWidth="1"/>
    <col min="7235" max="7263" width="1.7109375" style="585" customWidth="1"/>
    <col min="7264" max="7410" width="3" style="585"/>
    <col min="7411" max="7411" width="0.85546875" style="585" customWidth="1"/>
    <col min="7412" max="7412" width="1" style="585" customWidth="1"/>
    <col min="7413" max="7413" width="1.28515625" style="585" customWidth="1"/>
    <col min="7414" max="7414" width="46" style="585" customWidth="1"/>
    <col min="7415" max="7415" width="4.7109375" style="585" customWidth="1"/>
    <col min="7416" max="7416" width="5.7109375" style="585" customWidth="1"/>
    <col min="7417" max="7417" width="16.85546875" style="585" customWidth="1"/>
    <col min="7418" max="7428" width="0" style="585" hidden="1" customWidth="1"/>
    <col min="7429" max="7429" width="15.28515625" style="585" customWidth="1"/>
    <col min="7430" max="7430" width="15.5703125" style="585" customWidth="1"/>
    <col min="7431" max="7431" width="16.28515625" style="585" customWidth="1"/>
    <col min="7432" max="7442" width="0" style="585" hidden="1" customWidth="1"/>
    <col min="7443" max="7443" width="14.7109375" style="585" customWidth="1"/>
    <col min="7444" max="7444" width="16.42578125" style="585" customWidth="1"/>
    <col min="7445" max="7445" width="1.7109375" style="585" customWidth="1"/>
    <col min="7446" max="7446" width="12.7109375" style="585" customWidth="1"/>
    <col min="7447" max="7490" width="0" style="585" hidden="1" customWidth="1"/>
    <col min="7491" max="7519" width="1.7109375" style="585" customWidth="1"/>
    <col min="7520" max="7666" width="3" style="585"/>
    <col min="7667" max="7667" width="0.85546875" style="585" customWidth="1"/>
    <col min="7668" max="7668" width="1" style="585" customWidth="1"/>
    <col min="7669" max="7669" width="1.28515625" style="585" customWidth="1"/>
    <col min="7670" max="7670" width="46" style="585" customWidth="1"/>
    <col min="7671" max="7671" width="4.7109375" style="585" customWidth="1"/>
    <col min="7672" max="7672" width="5.7109375" style="585" customWidth="1"/>
    <col min="7673" max="7673" width="16.85546875" style="585" customWidth="1"/>
    <col min="7674" max="7684" width="0" style="585" hidden="1" customWidth="1"/>
    <col min="7685" max="7685" width="15.28515625" style="585" customWidth="1"/>
    <col min="7686" max="7686" width="15.5703125" style="585" customWidth="1"/>
    <col min="7687" max="7687" width="16.28515625" style="585" customWidth="1"/>
    <col min="7688" max="7698" width="0" style="585" hidden="1" customWidth="1"/>
    <col min="7699" max="7699" width="14.7109375" style="585" customWidth="1"/>
    <col min="7700" max="7700" width="16.42578125" style="585" customWidth="1"/>
    <col min="7701" max="7701" width="1.7109375" style="585" customWidth="1"/>
    <col min="7702" max="7702" width="12.7109375" style="585" customWidth="1"/>
    <col min="7703" max="7746" width="0" style="585" hidden="1" customWidth="1"/>
    <col min="7747" max="7775" width="1.7109375" style="585" customWidth="1"/>
    <col min="7776" max="7922" width="3" style="585"/>
    <col min="7923" max="7923" width="0.85546875" style="585" customWidth="1"/>
    <col min="7924" max="7924" width="1" style="585" customWidth="1"/>
    <col min="7925" max="7925" width="1.28515625" style="585" customWidth="1"/>
    <col min="7926" max="7926" width="46" style="585" customWidth="1"/>
    <col min="7927" max="7927" width="4.7109375" style="585" customWidth="1"/>
    <col min="7928" max="7928" width="5.7109375" style="585" customWidth="1"/>
    <col min="7929" max="7929" width="16.85546875" style="585" customWidth="1"/>
    <col min="7930" max="7940" width="0" style="585" hidden="1" customWidth="1"/>
    <col min="7941" max="7941" width="15.28515625" style="585" customWidth="1"/>
    <col min="7942" max="7942" width="15.5703125" style="585" customWidth="1"/>
    <col min="7943" max="7943" width="16.28515625" style="585" customWidth="1"/>
    <col min="7944" max="7954" width="0" style="585" hidden="1" customWidth="1"/>
    <col min="7955" max="7955" width="14.7109375" style="585" customWidth="1"/>
    <col min="7956" max="7956" width="16.42578125" style="585" customWidth="1"/>
    <col min="7957" max="7957" width="1.7109375" style="585" customWidth="1"/>
    <col min="7958" max="7958" width="12.7109375" style="585" customWidth="1"/>
    <col min="7959" max="8002" width="0" style="585" hidden="1" customWidth="1"/>
    <col min="8003" max="8031" width="1.7109375" style="585" customWidth="1"/>
    <col min="8032" max="8178" width="3" style="585"/>
    <col min="8179" max="8179" width="0.85546875" style="585" customWidth="1"/>
    <col min="8180" max="8180" width="1" style="585" customWidth="1"/>
    <col min="8181" max="8181" width="1.28515625" style="585" customWidth="1"/>
    <col min="8182" max="8182" width="46" style="585" customWidth="1"/>
    <col min="8183" max="8183" width="4.7109375" style="585" customWidth="1"/>
    <col min="8184" max="8184" width="5.7109375" style="585" customWidth="1"/>
    <col min="8185" max="8185" width="16.85546875" style="585" customWidth="1"/>
    <col min="8186" max="8196" width="0" style="585" hidden="1" customWidth="1"/>
    <col min="8197" max="8197" width="15.28515625" style="585" customWidth="1"/>
    <col min="8198" max="8198" width="15.5703125" style="585" customWidth="1"/>
    <col min="8199" max="8199" width="16.28515625" style="585" customWidth="1"/>
    <col min="8200" max="8210" width="0" style="585" hidden="1" customWidth="1"/>
    <col min="8211" max="8211" width="14.7109375" style="585" customWidth="1"/>
    <col min="8212" max="8212" width="16.42578125" style="585" customWidth="1"/>
    <col min="8213" max="8213" width="1.7109375" style="585" customWidth="1"/>
    <col min="8214" max="8214" width="12.7109375" style="585" customWidth="1"/>
    <col min="8215" max="8258" width="0" style="585" hidden="1" customWidth="1"/>
    <col min="8259" max="8287" width="1.7109375" style="585" customWidth="1"/>
    <col min="8288" max="8434" width="3" style="585"/>
    <col min="8435" max="8435" width="0.85546875" style="585" customWidth="1"/>
    <col min="8436" max="8436" width="1" style="585" customWidth="1"/>
    <col min="8437" max="8437" width="1.28515625" style="585" customWidth="1"/>
    <col min="8438" max="8438" width="46" style="585" customWidth="1"/>
    <col min="8439" max="8439" width="4.7109375" style="585" customWidth="1"/>
    <col min="8440" max="8440" width="5.7109375" style="585" customWidth="1"/>
    <col min="8441" max="8441" width="16.85546875" style="585" customWidth="1"/>
    <col min="8442" max="8452" width="0" style="585" hidden="1" customWidth="1"/>
    <col min="8453" max="8453" width="15.28515625" style="585" customWidth="1"/>
    <col min="8454" max="8454" width="15.5703125" style="585" customWidth="1"/>
    <col min="8455" max="8455" width="16.28515625" style="585" customWidth="1"/>
    <col min="8456" max="8466" width="0" style="585" hidden="1" customWidth="1"/>
    <col min="8467" max="8467" width="14.7109375" style="585" customWidth="1"/>
    <col min="8468" max="8468" width="16.42578125" style="585" customWidth="1"/>
    <col min="8469" max="8469" width="1.7109375" style="585" customWidth="1"/>
    <col min="8470" max="8470" width="12.7109375" style="585" customWidth="1"/>
    <col min="8471" max="8514" width="0" style="585" hidden="1" customWidth="1"/>
    <col min="8515" max="8543" width="1.7109375" style="585" customWidth="1"/>
    <col min="8544" max="8690" width="3" style="585"/>
    <col min="8691" max="8691" width="0.85546875" style="585" customWidth="1"/>
    <col min="8692" max="8692" width="1" style="585" customWidth="1"/>
    <col min="8693" max="8693" width="1.28515625" style="585" customWidth="1"/>
    <col min="8694" max="8694" width="46" style="585" customWidth="1"/>
    <col min="8695" max="8695" width="4.7109375" style="585" customWidth="1"/>
    <col min="8696" max="8696" width="5.7109375" style="585" customWidth="1"/>
    <col min="8697" max="8697" width="16.85546875" style="585" customWidth="1"/>
    <col min="8698" max="8708" width="0" style="585" hidden="1" customWidth="1"/>
    <col min="8709" max="8709" width="15.28515625" style="585" customWidth="1"/>
    <col min="8710" max="8710" width="15.5703125" style="585" customWidth="1"/>
    <col min="8711" max="8711" width="16.28515625" style="585" customWidth="1"/>
    <col min="8712" max="8722" width="0" style="585" hidden="1" customWidth="1"/>
    <col min="8723" max="8723" width="14.7109375" style="585" customWidth="1"/>
    <col min="8724" max="8724" width="16.42578125" style="585" customWidth="1"/>
    <col min="8725" max="8725" width="1.7109375" style="585" customWidth="1"/>
    <col min="8726" max="8726" width="12.7109375" style="585" customWidth="1"/>
    <col min="8727" max="8770" width="0" style="585" hidden="1" customWidth="1"/>
    <col min="8771" max="8799" width="1.7109375" style="585" customWidth="1"/>
    <col min="8800" max="8946" width="3" style="585"/>
    <col min="8947" max="8947" width="0.85546875" style="585" customWidth="1"/>
    <col min="8948" max="8948" width="1" style="585" customWidth="1"/>
    <col min="8949" max="8949" width="1.28515625" style="585" customWidth="1"/>
    <col min="8950" max="8950" width="46" style="585" customWidth="1"/>
    <col min="8951" max="8951" width="4.7109375" style="585" customWidth="1"/>
    <col min="8952" max="8952" width="5.7109375" style="585" customWidth="1"/>
    <col min="8953" max="8953" width="16.85546875" style="585" customWidth="1"/>
    <col min="8954" max="8964" width="0" style="585" hidden="1" customWidth="1"/>
    <col min="8965" max="8965" width="15.28515625" style="585" customWidth="1"/>
    <col min="8966" max="8966" width="15.5703125" style="585" customWidth="1"/>
    <col min="8967" max="8967" width="16.28515625" style="585" customWidth="1"/>
    <col min="8968" max="8978" width="0" style="585" hidden="1" customWidth="1"/>
    <col min="8979" max="8979" width="14.7109375" style="585" customWidth="1"/>
    <col min="8980" max="8980" width="16.42578125" style="585" customWidth="1"/>
    <col min="8981" max="8981" width="1.7109375" style="585" customWidth="1"/>
    <col min="8982" max="8982" width="12.7109375" style="585" customWidth="1"/>
    <col min="8983" max="9026" width="0" style="585" hidden="1" customWidth="1"/>
    <col min="9027" max="9055" width="1.7109375" style="585" customWidth="1"/>
    <col min="9056" max="9202" width="3" style="585"/>
    <col min="9203" max="9203" width="0.85546875" style="585" customWidth="1"/>
    <col min="9204" max="9204" width="1" style="585" customWidth="1"/>
    <col min="9205" max="9205" width="1.28515625" style="585" customWidth="1"/>
    <col min="9206" max="9206" width="46" style="585" customWidth="1"/>
    <col min="9207" max="9207" width="4.7109375" style="585" customWidth="1"/>
    <col min="9208" max="9208" width="5.7109375" style="585" customWidth="1"/>
    <col min="9209" max="9209" width="16.85546875" style="585" customWidth="1"/>
    <col min="9210" max="9220" width="0" style="585" hidden="1" customWidth="1"/>
    <col min="9221" max="9221" width="15.28515625" style="585" customWidth="1"/>
    <col min="9222" max="9222" width="15.5703125" style="585" customWidth="1"/>
    <col min="9223" max="9223" width="16.28515625" style="585" customWidth="1"/>
    <col min="9224" max="9234" width="0" style="585" hidden="1" customWidth="1"/>
    <col min="9235" max="9235" width="14.7109375" style="585" customWidth="1"/>
    <col min="9236" max="9236" width="16.42578125" style="585" customWidth="1"/>
    <col min="9237" max="9237" width="1.7109375" style="585" customWidth="1"/>
    <col min="9238" max="9238" width="12.7109375" style="585" customWidth="1"/>
    <col min="9239" max="9282" width="0" style="585" hidden="1" customWidth="1"/>
    <col min="9283" max="9311" width="1.7109375" style="585" customWidth="1"/>
    <col min="9312" max="9458" width="3" style="585"/>
    <col min="9459" max="9459" width="0.85546875" style="585" customWidth="1"/>
    <col min="9460" max="9460" width="1" style="585" customWidth="1"/>
    <col min="9461" max="9461" width="1.28515625" style="585" customWidth="1"/>
    <col min="9462" max="9462" width="46" style="585" customWidth="1"/>
    <col min="9463" max="9463" width="4.7109375" style="585" customWidth="1"/>
    <col min="9464" max="9464" width="5.7109375" style="585" customWidth="1"/>
    <col min="9465" max="9465" width="16.85546875" style="585" customWidth="1"/>
    <col min="9466" max="9476" width="0" style="585" hidden="1" customWidth="1"/>
    <col min="9477" max="9477" width="15.28515625" style="585" customWidth="1"/>
    <col min="9478" max="9478" width="15.5703125" style="585" customWidth="1"/>
    <col min="9479" max="9479" width="16.28515625" style="585" customWidth="1"/>
    <col min="9480" max="9490" width="0" style="585" hidden="1" customWidth="1"/>
    <col min="9491" max="9491" width="14.7109375" style="585" customWidth="1"/>
    <col min="9492" max="9492" width="16.42578125" style="585" customWidth="1"/>
    <col min="9493" max="9493" width="1.7109375" style="585" customWidth="1"/>
    <col min="9494" max="9494" width="12.7109375" style="585" customWidth="1"/>
    <col min="9495" max="9538" width="0" style="585" hidden="1" customWidth="1"/>
    <col min="9539" max="9567" width="1.7109375" style="585" customWidth="1"/>
    <col min="9568" max="9714" width="3" style="585"/>
    <col min="9715" max="9715" width="0.85546875" style="585" customWidth="1"/>
    <col min="9716" max="9716" width="1" style="585" customWidth="1"/>
    <col min="9717" max="9717" width="1.28515625" style="585" customWidth="1"/>
    <col min="9718" max="9718" width="46" style="585" customWidth="1"/>
    <col min="9719" max="9719" width="4.7109375" style="585" customWidth="1"/>
    <col min="9720" max="9720" width="5.7109375" style="585" customWidth="1"/>
    <col min="9721" max="9721" width="16.85546875" style="585" customWidth="1"/>
    <col min="9722" max="9732" width="0" style="585" hidden="1" customWidth="1"/>
    <col min="9733" max="9733" width="15.28515625" style="585" customWidth="1"/>
    <col min="9734" max="9734" width="15.5703125" style="585" customWidth="1"/>
    <col min="9735" max="9735" width="16.28515625" style="585" customWidth="1"/>
    <col min="9736" max="9746" width="0" style="585" hidden="1" customWidth="1"/>
    <col min="9747" max="9747" width="14.7109375" style="585" customWidth="1"/>
    <col min="9748" max="9748" width="16.42578125" style="585" customWidth="1"/>
    <col min="9749" max="9749" width="1.7109375" style="585" customWidth="1"/>
    <col min="9750" max="9750" width="12.7109375" style="585" customWidth="1"/>
    <col min="9751" max="9794" width="0" style="585" hidden="1" customWidth="1"/>
    <col min="9795" max="9823" width="1.7109375" style="585" customWidth="1"/>
    <col min="9824" max="9970" width="3" style="585"/>
    <col min="9971" max="9971" width="0.85546875" style="585" customWidth="1"/>
    <col min="9972" max="9972" width="1" style="585" customWidth="1"/>
    <col min="9973" max="9973" width="1.28515625" style="585" customWidth="1"/>
    <col min="9974" max="9974" width="46" style="585" customWidth="1"/>
    <col min="9975" max="9975" width="4.7109375" style="585" customWidth="1"/>
    <col min="9976" max="9976" width="5.7109375" style="585" customWidth="1"/>
    <col min="9977" max="9977" width="16.85546875" style="585" customWidth="1"/>
    <col min="9978" max="9988" width="0" style="585" hidden="1" customWidth="1"/>
    <col min="9989" max="9989" width="15.28515625" style="585" customWidth="1"/>
    <col min="9990" max="9990" width="15.5703125" style="585" customWidth="1"/>
    <col min="9991" max="9991" width="16.28515625" style="585" customWidth="1"/>
    <col min="9992" max="10002" width="0" style="585" hidden="1" customWidth="1"/>
    <col min="10003" max="10003" width="14.7109375" style="585" customWidth="1"/>
    <col min="10004" max="10004" width="16.42578125" style="585" customWidth="1"/>
    <col min="10005" max="10005" width="1.7109375" style="585" customWidth="1"/>
    <col min="10006" max="10006" width="12.7109375" style="585" customWidth="1"/>
    <col min="10007" max="10050" width="0" style="585" hidden="1" customWidth="1"/>
    <col min="10051" max="10079" width="1.7109375" style="585" customWidth="1"/>
    <col min="10080" max="10226" width="3" style="585"/>
    <col min="10227" max="10227" width="0.85546875" style="585" customWidth="1"/>
    <col min="10228" max="10228" width="1" style="585" customWidth="1"/>
    <col min="10229" max="10229" width="1.28515625" style="585" customWidth="1"/>
    <col min="10230" max="10230" width="46" style="585" customWidth="1"/>
    <col min="10231" max="10231" width="4.7109375" style="585" customWidth="1"/>
    <col min="10232" max="10232" width="5.7109375" style="585" customWidth="1"/>
    <col min="10233" max="10233" width="16.85546875" style="585" customWidth="1"/>
    <col min="10234" max="10244" width="0" style="585" hidden="1" customWidth="1"/>
    <col min="10245" max="10245" width="15.28515625" style="585" customWidth="1"/>
    <col min="10246" max="10246" width="15.5703125" style="585" customWidth="1"/>
    <col min="10247" max="10247" width="16.28515625" style="585" customWidth="1"/>
    <col min="10248" max="10258" width="0" style="585" hidden="1" customWidth="1"/>
    <col min="10259" max="10259" width="14.7109375" style="585" customWidth="1"/>
    <col min="10260" max="10260" width="16.42578125" style="585" customWidth="1"/>
    <col min="10261" max="10261" width="1.7109375" style="585" customWidth="1"/>
    <col min="10262" max="10262" width="12.7109375" style="585" customWidth="1"/>
    <col min="10263" max="10306" width="0" style="585" hidden="1" customWidth="1"/>
    <col min="10307" max="10335" width="1.7109375" style="585" customWidth="1"/>
    <col min="10336" max="10482" width="3" style="585"/>
    <col min="10483" max="10483" width="0.85546875" style="585" customWidth="1"/>
    <col min="10484" max="10484" width="1" style="585" customWidth="1"/>
    <col min="10485" max="10485" width="1.28515625" style="585" customWidth="1"/>
    <col min="10486" max="10486" width="46" style="585" customWidth="1"/>
    <col min="10487" max="10487" width="4.7109375" style="585" customWidth="1"/>
    <col min="10488" max="10488" width="5.7109375" style="585" customWidth="1"/>
    <col min="10489" max="10489" width="16.85546875" style="585" customWidth="1"/>
    <col min="10490" max="10500" width="0" style="585" hidden="1" customWidth="1"/>
    <col min="10501" max="10501" width="15.28515625" style="585" customWidth="1"/>
    <col min="10502" max="10502" width="15.5703125" style="585" customWidth="1"/>
    <col min="10503" max="10503" width="16.28515625" style="585" customWidth="1"/>
    <col min="10504" max="10514" width="0" style="585" hidden="1" customWidth="1"/>
    <col min="10515" max="10515" width="14.7109375" style="585" customWidth="1"/>
    <col min="10516" max="10516" width="16.42578125" style="585" customWidth="1"/>
    <col min="10517" max="10517" width="1.7109375" style="585" customWidth="1"/>
    <col min="10518" max="10518" width="12.7109375" style="585" customWidth="1"/>
    <col min="10519" max="10562" width="0" style="585" hidden="1" customWidth="1"/>
    <col min="10563" max="10591" width="1.7109375" style="585" customWidth="1"/>
    <col min="10592" max="10738" width="3" style="585"/>
    <col min="10739" max="10739" width="0.85546875" style="585" customWidth="1"/>
    <col min="10740" max="10740" width="1" style="585" customWidth="1"/>
    <col min="10741" max="10741" width="1.28515625" style="585" customWidth="1"/>
    <col min="10742" max="10742" width="46" style="585" customWidth="1"/>
    <col min="10743" max="10743" width="4.7109375" style="585" customWidth="1"/>
    <col min="10744" max="10744" width="5.7109375" style="585" customWidth="1"/>
    <col min="10745" max="10745" width="16.85546875" style="585" customWidth="1"/>
    <col min="10746" max="10756" width="0" style="585" hidden="1" customWidth="1"/>
    <col min="10757" max="10757" width="15.28515625" style="585" customWidth="1"/>
    <col min="10758" max="10758" width="15.5703125" style="585" customWidth="1"/>
    <col min="10759" max="10759" width="16.28515625" style="585" customWidth="1"/>
    <col min="10760" max="10770" width="0" style="585" hidden="1" customWidth="1"/>
    <col min="10771" max="10771" width="14.7109375" style="585" customWidth="1"/>
    <col min="10772" max="10772" width="16.42578125" style="585" customWidth="1"/>
    <col min="10773" max="10773" width="1.7109375" style="585" customWidth="1"/>
    <col min="10774" max="10774" width="12.7109375" style="585" customWidth="1"/>
    <col min="10775" max="10818" width="0" style="585" hidden="1" customWidth="1"/>
    <col min="10819" max="10847" width="1.7109375" style="585" customWidth="1"/>
    <col min="10848" max="10994" width="3" style="585"/>
    <col min="10995" max="10995" width="0.85546875" style="585" customWidth="1"/>
    <col min="10996" max="10996" width="1" style="585" customWidth="1"/>
    <col min="10997" max="10997" width="1.28515625" style="585" customWidth="1"/>
    <col min="10998" max="10998" width="46" style="585" customWidth="1"/>
    <col min="10999" max="10999" width="4.7109375" style="585" customWidth="1"/>
    <col min="11000" max="11000" width="5.7109375" style="585" customWidth="1"/>
    <col min="11001" max="11001" width="16.85546875" style="585" customWidth="1"/>
    <col min="11002" max="11012" width="0" style="585" hidden="1" customWidth="1"/>
    <col min="11013" max="11013" width="15.28515625" style="585" customWidth="1"/>
    <col min="11014" max="11014" width="15.5703125" style="585" customWidth="1"/>
    <col min="11015" max="11015" width="16.28515625" style="585" customWidth="1"/>
    <col min="11016" max="11026" width="0" style="585" hidden="1" customWidth="1"/>
    <col min="11027" max="11027" width="14.7109375" style="585" customWidth="1"/>
    <col min="11028" max="11028" width="16.42578125" style="585" customWidth="1"/>
    <col min="11029" max="11029" width="1.7109375" style="585" customWidth="1"/>
    <col min="11030" max="11030" width="12.7109375" style="585" customWidth="1"/>
    <col min="11031" max="11074" width="0" style="585" hidden="1" customWidth="1"/>
    <col min="11075" max="11103" width="1.7109375" style="585" customWidth="1"/>
    <col min="11104" max="11250" width="3" style="585"/>
    <col min="11251" max="11251" width="0.85546875" style="585" customWidth="1"/>
    <col min="11252" max="11252" width="1" style="585" customWidth="1"/>
    <col min="11253" max="11253" width="1.28515625" style="585" customWidth="1"/>
    <col min="11254" max="11254" width="46" style="585" customWidth="1"/>
    <col min="11255" max="11255" width="4.7109375" style="585" customWidth="1"/>
    <col min="11256" max="11256" width="5.7109375" style="585" customWidth="1"/>
    <col min="11257" max="11257" width="16.85546875" style="585" customWidth="1"/>
    <col min="11258" max="11268" width="0" style="585" hidden="1" customWidth="1"/>
    <col min="11269" max="11269" width="15.28515625" style="585" customWidth="1"/>
    <col min="11270" max="11270" width="15.5703125" style="585" customWidth="1"/>
    <col min="11271" max="11271" width="16.28515625" style="585" customWidth="1"/>
    <col min="11272" max="11282" width="0" style="585" hidden="1" customWidth="1"/>
    <col min="11283" max="11283" width="14.7109375" style="585" customWidth="1"/>
    <col min="11284" max="11284" width="16.42578125" style="585" customWidth="1"/>
    <col min="11285" max="11285" width="1.7109375" style="585" customWidth="1"/>
    <col min="11286" max="11286" width="12.7109375" style="585" customWidth="1"/>
    <col min="11287" max="11330" width="0" style="585" hidden="1" customWidth="1"/>
    <col min="11331" max="11359" width="1.7109375" style="585" customWidth="1"/>
    <col min="11360" max="11506" width="3" style="585"/>
    <col min="11507" max="11507" width="0.85546875" style="585" customWidth="1"/>
    <col min="11508" max="11508" width="1" style="585" customWidth="1"/>
    <col min="11509" max="11509" width="1.28515625" style="585" customWidth="1"/>
    <col min="11510" max="11510" width="46" style="585" customWidth="1"/>
    <col min="11511" max="11511" width="4.7109375" style="585" customWidth="1"/>
    <col min="11512" max="11512" width="5.7109375" style="585" customWidth="1"/>
    <col min="11513" max="11513" width="16.85546875" style="585" customWidth="1"/>
    <col min="11514" max="11524" width="0" style="585" hidden="1" customWidth="1"/>
    <col min="11525" max="11525" width="15.28515625" style="585" customWidth="1"/>
    <col min="11526" max="11526" width="15.5703125" style="585" customWidth="1"/>
    <col min="11527" max="11527" width="16.28515625" style="585" customWidth="1"/>
    <col min="11528" max="11538" width="0" style="585" hidden="1" customWidth="1"/>
    <col min="11539" max="11539" width="14.7109375" style="585" customWidth="1"/>
    <col min="11540" max="11540" width="16.42578125" style="585" customWidth="1"/>
    <col min="11541" max="11541" width="1.7109375" style="585" customWidth="1"/>
    <col min="11542" max="11542" width="12.7109375" style="585" customWidth="1"/>
    <col min="11543" max="11586" width="0" style="585" hidden="1" customWidth="1"/>
    <col min="11587" max="11615" width="1.7109375" style="585" customWidth="1"/>
    <col min="11616" max="11762" width="3" style="585"/>
    <col min="11763" max="11763" width="0.85546875" style="585" customWidth="1"/>
    <col min="11764" max="11764" width="1" style="585" customWidth="1"/>
    <col min="11765" max="11765" width="1.28515625" style="585" customWidth="1"/>
    <col min="11766" max="11766" width="46" style="585" customWidth="1"/>
    <col min="11767" max="11767" width="4.7109375" style="585" customWidth="1"/>
    <col min="11768" max="11768" width="5.7109375" style="585" customWidth="1"/>
    <col min="11769" max="11769" width="16.85546875" style="585" customWidth="1"/>
    <col min="11770" max="11780" width="0" style="585" hidden="1" customWidth="1"/>
    <col min="11781" max="11781" width="15.28515625" style="585" customWidth="1"/>
    <col min="11782" max="11782" width="15.5703125" style="585" customWidth="1"/>
    <col min="11783" max="11783" width="16.28515625" style="585" customWidth="1"/>
    <col min="11784" max="11794" width="0" style="585" hidden="1" customWidth="1"/>
    <col min="11795" max="11795" width="14.7109375" style="585" customWidth="1"/>
    <col min="11796" max="11796" width="16.42578125" style="585" customWidth="1"/>
    <col min="11797" max="11797" width="1.7109375" style="585" customWidth="1"/>
    <col min="11798" max="11798" width="12.7109375" style="585" customWidth="1"/>
    <col min="11799" max="11842" width="0" style="585" hidden="1" customWidth="1"/>
    <col min="11843" max="11871" width="1.7109375" style="585" customWidth="1"/>
    <col min="11872" max="12018" width="3" style="585"/>
    <col min="12019" max="12019" width="0.85546875" style="585" customWidth="1"/>
    <col min="12020" max="12020" width="1" style="585" customWidth="1"/>
    <col min="12021" max="12021" width="1.28515625" style="585" customWidth="1"/>
    <col min="12022" max="12022" width="46" style="585" customWidth="1"/>
    <col min="12023" max="12023" width="4.7109375" style="585" customWidth="1"/>
    <col min="12024" max="12024" width="5.7109375" style="585" customWidth="1"/>
    <col min="12025" max="12025" width="16.85546875" style="585" customWidth="1"/>
    <col min="12026" max="12036" width="0" style="585" hidden="1" customWidth="1"/>
    <col min="12037" max="12037" width="15.28515625" style="585" customWidth="1"/>
    <col min="12038" max="12038" width="15.5703125" style="585" customWidth="1"/>
    <col min="12039" max="12039" width="16.28515625" style="585" customWidth="1"/>
    <col min="12040" max="12050" width="0" style="585" hidden="1" customWidth="1"/>
    <col min="12051" max="12051" width="14.7109375" style="585" customWidth="1"/>
    <col min="12052" max="12052" width="16.42578125" style="585" customWidth="1"/>
    <col min="12053" max="12053" width="1.7109375" style="585" customWidth="1"/>
    <col min="12054" max="12054" width="12.7109375" style="585" customWidth="1"/>
    <col min="12055" max="12098" width="0" style="585" hidden="1" customWidth="1"/>
    <col min="12099" max="12127" width="1.7109375" style="585" customWidth="1"/>
    <col min="12128" max="12274" width="3" style="585"/>
    <col min="12275" max="12275" width="0.85546875" style="585" customWidth="1"/>
    <col min="12276" max="12276" width="1" style="585" customWidth="1"/>
    <col min="12277" max="12277" width="1.28515625" style="585" customWidth="1"/>
    <col min="12278" max="12278" width="46" style="585" customWidth="1"/>
    <col min="12279" max="12279" width="4.7109375" style="585" customWidth="1"/>
    <col min="12280" max="12280" width="5.7109375" style="585" customWidth="1"/>
    <col min="12281" max="12281" width="16.85546875" style="585" customWidth="1"/>
    <col min="12282" max="12292" width="0" style="585" hidden="1" customWidth="1"/>
    <col min="12293" max="12293" width="15.28515625" style="585" customWidth="1"/>
    <col min="12294" max="12294" width="15.5703125" style="585" customWidth="1"/>
    <col min="12295" max="12295" width="16.28515625" style="585" customWidth="1"/>
    <col min="12296" max="12306" width="0" style="585" hidden="1" customWidth="1"/>
    <col min="12307" max="12307" width="14.7109375" style="585" customWidth="1"/>
    <col min="12308" max="12308" width="16.42578125" style="585" customWidth="1"/>
    <col min="12309" max="12309" width="1.7109375" style="585" customWidth="1"/>
    <col min="12310" max="12310" width="12.7109375" style="585" customWidth="1"/>
    <col min="12311" max="12354" width="0" style="585" hidden="1" customWidth="1"/>
    <col min="12355" max="12383" width="1.7109375" style="585" customWidth="1"/>
    <col min="12384" max="12530" width="3" style="585"/>
    <col min="12531" max="12531" width="0.85546875" style="585" customWidth="1"/>
    <col min="12532" max="12532" width="1" style="585" customWidth="1"/>
    <col min="12533" max="12533" width="1.28515625" style="585" customWidth="1"/>
    <col min="12534" max="12534" width="46" style="585" customWidth="1"/>
    <col min="12535" max="12535" width="4.7109375" style="585" customWidth="1"/>
    <col min="12536" max="12536" width="5.7109375" style="585" customWidth="1"/>
    <col min="12537" max="12537" width="16.85546875" style="585" customWidth="1"/>
    <col min="12538" max="12548" width="0" style="585" hidden="1" customWidth="1"/>
    <col min="12549" max="12549" width="15.28515625" style="585" customWidth="1"/>
    <col min="12550" max="12550" width="15.5703125" style="585" customWidth="1"/>
    <col min="12551" max="12551" width="16.28515625" style="585" customWidth="1"/>
    <col min="12552" max="12562" width="0" style="585" hidden="1" customWidth="1"/>
    <col min="12563" max="12563" width="14.7109375" style="585" customWidth="1"/>
    <col min="12564" max="12564" width="16.42578125" style="585" customWidth="1"/>
    <col min="12565" max="12565" width="1.7109375" style="585" customWidth="1"/>
    <col min="12566" max="12566" width="12.7109375" style="585" customWidth="1"/>
    <col min="12567" max="12610" width="0" style="585" hidden="1" customWidth="1"/>
    <col min="12611" max="12639" width="1.7109375" style="585" customWidth="1"/>
    <col min="12640" max="12786" width="3" style="585"/>
    <col min="12787" max="12787" width="0.85546875" style="585" customWidth="1"/>
    <col min="12788" max="12788" width="1" style="585" customWidth="1"/>
    <col min="12789" max="12789" width="1.28515625" style="585" customWidth="1"/>
    <col min="12790" max="12790" width="46" style="585" customWidth="1"/>
    <col min="12791" max="12791" width="4.7109375" style="585" customWidth="1"/>
    <col min="12792" max="12792" width="5.7109375" style="585" customWidth="1"/>
    <col min="12793" max="12793" width="16.85546875" style="585" customWidth="1"/>
    <col min="12794" max="12804" width="0" style="585" hidden="1" customWidth="1"/>
    <col min="12805" max="12805" width="15.28515625" style="585" customWidth="1"/>
    <col min="12806" max="12806" width="15.5703125" style="585" customWidth="1"/>
    <col min="12807" max="12807" width="16.28515625" style="585" customWidth="1"/>
    <col min="12808" max="12818" width="0" style="585" hidden="1" customWidth="1"/>
    <col min="12819" max="12819" width="14.7109375" style="585" customWidth="1"/>
    <col min="12820" max="12820" width="16.42578125" style="585" customWidth="1"/>
    <col min="12821" max="12821" width="1.7109375" style="585" customWidth="1"/>
    <col min="12822" max="12822" width="12.7109375" style="585" customWidth="1"/>
    <col min="12823" max="12866" width="0" style="585" hidden="1" customWidth="1"/>
    <col min="12867" max="12895" width="1.7109375" style="585" customWidth="1"/>
    <col min="12896" max="13042" width="3" style="585"/>
    <col min="13043" max="13043" width="0.85546875" style="585" customWidth="1"/>
    <col min="13044" max="13044" width="1" style="585" customWidth="1"/>
    <col min="13045" max="13045" width="1.28515625" style="585" customWidth="1"/>
    <col min="13046" max="13046" width="46" style="585" customWidth="1"/>
    <col min="13047" max="13047" width="4.7109375" style="585" customWidth="1"/>
    <col min="13048" max="13048" width="5.7109375" style="585" customWidth="1"/>
    <col min="13049" max="13049" width="16.85546875" style="585" customWidth="1"/>
    <col min="13050" max="13060" width="0" style="585" hidden="1" customWidth="1"/>
    <col min="13061" max="13061" width="15.28515625" style="585" customWidth="1"/>
    <col min="13062" max="13062" width="15.5703125" style="585" customWidth="1"/>
    <col min="13063" max="13063" width="16.28515625" style="585" customWidth="1"/>
    <col min="13064" max="13074" width="0" style="585" hidden="1" customWidth="1"/>
    <col min="13075" max="13075" width="14.7109375" style="585" customWidth="1"/>
    <col min="13076" max="13076" width="16.42578125" style="585" customWidth="1"/>
    <col min="13077" max="13077" width="1.7109375" style="585" customWidth="1"/>
    <col min="13078" max="13078" width="12.7109375" style="585" customWidth="1"/>
    <col min="13079" max="13122" width="0" style="585" hidden="1" customWidth="1"/>
    <col min="13123" max="13151" width="1.7109375" style="585" customWidth="1"/>
    <col min="13152" max="13298" width="3" style="585"/>
    <col min="13299" max="13299" width="0.85546875" style="585" customWidth="1"/>
    <col min="13300" max="13300" width="1" style="585" customWidth="1"/>
    <col min="13301" max="13301" width="1.28515625" style="585" customWidth="1"/>
    <col min="13302" max="13302" width="46" style="585" customWidth="1"/>
    <col min="13303" max="13303" width="4.7109375" style="585" customWidth="1"/>
    <col min="13304" max="13304" width="5.7109375" style="585" customWidth="1"/>
    <col min="13305" max="13305" width="16.85546875" style="585" customWidth="1"/>
    <col min="13306" max="13316" width="0" style="585" hidden="1" customWidth="1"/>
    <col min="13317" max="13317" width="15.28515625" style="585" customWidth="1"/>
    <col min="13318" max="13318" width="15.5703125" style="585" customWidth="1"/>
    <col min="13319" max="13319" width="16.28515625" style="585" customWidth="1"/>
    <col min="13320" max="13330" width="0" style="585" hidden="1" customWidth="1"/>
    <col min="13331" max="13331" width="14.7109375" style="585" customWidth="1"/>
    <col min="13332" max="13332" width="16.42578125" style="585" customWidth="1"/>
    <col min="13333" max="13333" width="1.7109375" style="585" customWidth="1"/>
    <col min="13334" max="13334" width="12.7109375" style="585" customWidth="1"/>
    <col min="13335" max="13378" width="0" style="585" hidden="1" customWidth="1"/>
    <col min="13379" max="13407" width="1.7109375" style="585" customWidth="1"/>
    <col min="13408" max="13554" width="3" style="585"/>
    <col min="13555" max="13555" width="0.85546875" style="585" customWidth="1"/>
    <col min="13556" max="13556" width="1" style="585" customWidth="1"/>
    <col min="13557" max="13557" width="1.28515625" style="585" customWidth="1"/>
    <col min="13558" max="13558" width="46" style="585" customWidth="1"/>
    <col min="13559" max="13559" width="4.7109375" style="585" customWidth="1"/>
    <col min="13560" max="13560" width="5.7109375" style="585" customWidth="1"/>
    <col min="13561" max="13561" width="16.85546875" style="585" customWidth="1"/>
    <col min="13562" max="13572" width="0" style="585" hidden="1" customWidth="1"/>
    <col min="13573" max="13573" width="15.28515625" style="585" customWidth="1"/>
    <col min="13574" max="13574" width="15.5703125" style="585" customWidth="1"/>
    <col min="13575" max="13575" width="16.28515625" style="585" customWidth="1"/>
    <col min="13576" max="13586" width="0" style="585" hidden="1" customWidth="1"/>
    <col min="13587" max="13587" width="14.7109375" style="585" customWidth="1"/>
    <col min="13588" max="13588" width="16.42578125" style="585" customWidth="1"/>
    <col min="13589" max="13589" width="1.7109375" style="585" customWidth="1"/>
    <col min="13590" max="13590" width="12.7109375" style="585" customWidth="1"/>
    <col min="13591" max="13634" width="0" style="585" hidden="1" customWidth="1"/>
    <col min="13635" max="13663" width="1.7109375" style="585" customWidth="1"/>
    <col min="13664" max="13810" width="3" style="585"/>
    <col min="13811" max="13811" width="0.85546875" style="585" customWidth="1"/>
    <col min="13812" max="13812" width="1" style="585" customWidth="1"/>
    <col min="13813" max="13813" width="1.28515625" style="585" customWidth="1"/>
    <col min="13814" max="13814" width="46" style="585" customWidth="1"/>
    <col min="13815" max="13815" width="4.7109375" style="585" customWidth="1"/>
    <col min="13816" max="13816" width="5.7109375" style="585" customWidth="1"/>
    <col min="13817" max="13817" width="16.85546875" style="585" customWidth="1"/>
    <col min="13818" max="13828" width="0" style="585" hidden="1" customWidth="1"/>
    <col min="13829" max="13829" width="15.28515625" style="585" customWidth="1"/>
    <col min="13830" max="13830" width="15.5703125" style="585" customWidth="1"/>
    <col min="13831" max="13831" width="16.28515625" style="585" customWidth="1"/>
    <col min="13832" max="13842" width="0" style="585" hidden="1" customWidth="1"/>
    <col min="13843" max="13843" width="14.7109375" style="585" customWidth="1"/>
    <col min="13844" max="13844" width="16.42578125" style="585" customWidth="1"/>
    <col min="13845" max="13845" width="1.7109375" style="585" customWidth="1"/>
    <col min="13846" max="13846" width="12.7109375" style="585" customWidth="1"/>
    <col min="13847" max="13890" width="0" style="585" hidden="1" customWidth="1"/>
    <col min="13891" max="13919" width="1.7109375" style="585" customWidth="1"/>
    <col min="13920" max="14066" width="3" style="585"/>
    <col min="14067" max="14067" width="0.85546875" style="585" customWidth="1"/>
    <col min="14068" max="14068" width="1" style="585" customWidth="1"/>
    <col min="14069" max="14069" width="1.28515625" style="585" customWidth="1"/>
    <col min="14070" max="14070" width="46" style="585" customWidth="1"/>
    <col min="14071" max="14071" width="4.7109375" style="585" customWidth="1"/>
    <col min="14072" max="14072" width="5.7109375" style="585" customWidth="1"/>
    <col min="14073" max="14073" width="16.85546875" style="585" customWidth="1"/>
    <col min="14074" max="14084" width="0" style="585" hidden="1" customWidth="1"/>
    <col min="14085" max="14085" width="15.28515625" style="585" customWidth="1"/>
    <col min="14086" max="14086" width="15.5703125" style="585" customWidth="1"/>
    <col min="14087" max="14087" width="16.28515625" style="585" customWidth="1"/>
    <col min="14088" max="14098" width="0" style="585" hidden="1" customWidth="1"/>
    <col min="14099" max="14099" width="14.7109375" style="585" customWidth="1"/>
    <col min="14100" max="14100" width="16.42578125" style="585" customWidth="1"/>
    <col min="14101" max="14101" width="1.7109375" style="585" customWidth="1"/>
    <col min="14102" max="14102" width="12.7109375" style="585" customWidth="1"/>
    <col min="14103" max="14146" width="0" style="585" hidden="1" customWidth="1"/>
    <col min="14147" max="14175" width="1.7109375" style="585" customWidth="1"/>
    <col min="14176" max="14322" width="3" style="585"/>
    <col min="14323" max="14323" width="0.85546875" style="585" customWidth="1"/>
    <col min="14324" max="14324" width="1" style="585" customWidth="1"/>
    <col min="14325" max="14325" width="1.28515625" style="585" customWidth="1"/>
    <col min="14326" max="14326" width="46" style="585" customWidth="1"/>
    <col min="14327" max="14327" width="4.7109375" style="585" customWidth="1"/>
    <col min="14328" max="14328" width="5.7109375" style="585" customWidth="1"/>
    <col min="14329" max="14329" width="16.85546875" style="585" customWidth="1"/>
    <col min="14330" max="14340" width="0" style="585" hidden="1" customWidth="1"/>
    <col min="14341" max="14341" width="15.28515625" style="585" customWidth="1"/>
    <col min="14342" max="14342" width="15.5703125" style="585" customWidth="1"/>
    <col min="14343" max="14343" width="16.28515625" style="585" customWidth="1"/>
    <col min="14344" max="14354" width="0" style="585" hidden="1" customWidth="1"/>
    <col min="14355" max="14355" width="14.7109375" style="585" customWidth="1"/>
    <col min="14356" max="14356" width="16.42578125" style="585" customWidth="1"/>
    <col min="14357" max="14357" width="1.7109375" style="585" customWidth="1"/>
    <col min="14358" max="14358" width="12.7109375" style="585" customWidth="1"/>
    <col min="14359" max="14402" width="0" style="585" hidden="1" customWidth="1"/>
    <col min="14403" max="14431" width="1.7109375" style="585" customWidth="1"/>
    <col min="14432" max="14578" width="3" style="585"/>
    <col min="14579" max="14579" width="0.85546875" style="585" customWidth="1"/>
    <col min="14580" max="14580" width="1" style="585" customWidth="1"/>
    <col min="14581" max="14581" width="1.28515625" style="585" customWidth="1"/>
    <col min="14582" max="14582" width="46" style="585" customWidth="1"/>
    <col min="14583" max="14583" width="4.7109375" style="585" customWidth="1"/>
    <col min="14584" max="14584" width="5.7109375" style="585" customWidth="1"/>
    <col min="14585" max="14585" width="16.85546875" style="585" customWidth="1"/>
    <col min="14586" max="14596" width="0" style="585" hidden="1" customWidth="1"/>
    <col min="14597" max="14597" width="15.28515625" style="585" customWidth="1"/>
    <col min="14598" max="14598" width="15.5703125" style="585" customWidth="1"/>
    <col min="14599" max="14599" width="16.28515625" style="585" customWidth="1"/>
    <col min="14600" max="14610" width="0" style="585" hidden="1" customWidth="1"/>
    <col min="14611" max="14611" width="14.7109375" style="585" customWidth="1"/>
    <col min="14612" max="14612" width="16.42578125" style="585" customWidth="1"/>
    <col min="14613" max="14613" width="1.7109375" style="585" customWidth="1"/>
    <col min="14614" max="14614" width="12.7109375" style="585" customWidth="1"/>
    <col min="14615" max="14658" width="0" style="585" hidden="1" customWidth="1"/>
    <col min="14659" max="14687" width="1.7109375" style="585" customWidth="1"/>
    <col min="14688" max="14834" width="3" style="585"/>
    <col min="14835" max="14835" width="0.85546875" style="585" customWidth="1"/>
    <col min="14836" max="14836" width="1" style="585" customWidth="1"/>
    <col min="14837" max="14837" width="1.28515625" style="585" customWidth="1"/>
    <col min="14838" max="14838" width="46" style="585" customWidth="1"/>
    <col min="14839" max="14839" width="4.7109375" style="585" customWidth="1"/>
    <col min="14840" max="14840" width="5.7109375" style="585" customWidth="1"/>
    <col min="14841" max="14841" width="16.85546875" style="585" customWidth="1"/>
    <col min="14842" max="14852" width="0" style="585" hidden="1" customWidth="1"/>
    <col min="14853" max="14853" width="15.28515625" style="585" customWidth="1"/>
    <col min="14854" max="14854" width="15.5703125" style="585" customWidth="1"/>
    <col min="14855" max="14855" width="16.28515625" style="585" customWidth="1"/>
    <col min="14856" max="14866" width="0" style="585" hidden="1" customWidth="1"/>
    <col min="14867" max="14867" width="14.7109375" style="585" customWidth="1"/>
    <col min="14868" max="14868" width="16.42578125" style="585" customWidth="1"/>
    <col min="14869" max="14869" width="1.7109375" style="585" customWidth="1"/>
    <col min="14870" max="14870" width="12.7109375" style="585" customWidth="1"/>
    <col min="14871" max="14914" width="0" style="585" hidden="1" customWidth="1"/>
    <col min="14915" max="14943" width="1.7109375" style="585" customWidth="1"/>
    <col min="14944" max="15090" width="3" style="585"/>
    <col min="15091" max="15091" width="0.85546875" style="585" customWidth="1"/>
    <col min="15092" max="15092" width="1" style="585" customWidth="1"/>
    <col min="15093" max="15093" width="1.28515625" style="585" customWidth="1"/>
    <col min="15094" max="15094" width="46" style="585" customWidth="1"/>
    <col min="15095" max="15095" width="4.7109375" style="585" customWidth="1"/>
    <col min="15096" max="15096" width="5.7109375" style="585" customWidth="1"/>
    <col min="15097" max="15097" width="16.85546875" style="585" customWidth="1"/>
    <col min="15098" max="15108" width="0" style="585" hidden="1" customWidth="1"/>
    <col min="15109" max="15109" width="15.28515625" style="585" customWidth="1"/>
    <col min="15110" max="15110" width="15.5703125" style="585" customWidth="1"/>
    <col min="15111" max="15111" width="16.28515625" style="585" customWidth="1"/>
    <col min="15112" max="15122" width="0" style="585" hidden="1" customWidth="1"/>
    <col min="15123" max="15123" width="14.7109375" style="585" customWidth="1"/>
    <col min="15124" max="15124" width="16.42578125" style="585" customWidth="1"/>
    <col min="15125" max="15125" width="1.7109375" style="585" customWidth="1"/>
    <col min="15126" max="15126" width="12.7109375" style="585" customWidth="1"/>
    <col min="15127" max="15170" width="0" style="585" hidden="1" customWidth="1"/>
    <col min="15171" max="15199" width="1.7109375" style="585" customWidth="1"/>
    <col min="15200" max="15346" width="3" style="585"/>
    <col min="15347" max="15347" width="0.85546875" style="585" customWidth="1"/>
    <col min="15348" max="15348" width="1" style="585" customWidth="1"/>
    <col min="15349" max="15349" width="1.28515625" style="585" customWidth="1"/>
    <col min="15350" max="15350" width="46" style="585" customWidth="1"/>
    <col min="15351" max="15351" width="4.7109375" style="585" customWidth="1"/>
    <col min="15352" max="15352" width="5.7109375" style="585" customWidth="1"/>
    <col min="15353" max="15353" width="16.85546875" style="585" customWidth="1"/>
    <col min="15354" max="15364" width="0" style="585" hidden="1" customWidth="1"/>
    <col min="15365" max="15365" width="15.28515625" style="585" customWidth="1"/>
    <col min="15366" max="15366" width="15.5703125" style="585" customWidth="1"/>
    <col min="15367" max="15367" width="16.28515625" style="585" customWidth="1"/>
    <col min="15368" max="15378" width="0" style="585" hidden="1" customWidth="1"/>
    <col min="15379" max="15379" width="14.7109375" style="585" customWidth="1"/>
    <col min="15380" max="15380" width="16.42578125" style="585" customWidth="1"/>
    <col min="15381" max="15381" width="1.7109375" style="585" customWidth="1"/>
    <col min="15382" max="15382" width="12.7109375" style="585" customWidth="1"/>
    <col min="15383" max="15426" width="0" style="585" hidden="1" customWidth="1"/>
    <col min="15427" max="15455" width="1.7109375" style="585" customWidth="1"/>
    <col min="15456" max="15602" width="3" style="585"/>
    <col min="15603" max="15603" width="0.85546875" style="585" customWidth="1"/>
    <col min="15604" max="15604" width="1" style="585" customWidth="1"/>
    <col min="15605" max="15605" width="1.28515625" style="585" customWidth="1"/>
    <col min="15606" max="15606" width="46" style="585" customWidth="1"/>
    <col min="15607" max="15607" width="4.7109375" style="585" customWidth="1"/>
    <col min="15608" max="15608" width="5.7109375" style="585" customWidth="1"/>
    <col min="15609" max="15609" width="16.85546875" style="585" customWidth="1"/>
    <col min="15610" max="15620" width="0" style="585" hidden="1" customWidth="1"/>
    <col min="15621" max="15621" width="15.28515625" style="585" customWidth="1"/>
    <col min="15622" max="15622" width="15.5703125" style="585" customWidth="1"/>
    <col min="15623" max="15623" width="16.28515625" style="585" customWidth="1"/>
    <col min="15624" max="15634" width="0" style="585" hidden="1" customWidth="1"/>
    <col min="15635" max="15635" width="14.7109375" style="585" customWidth="1"/>
    <col min="15636" max="15636" width="16.42578125" style="585" customWidth="1"/>
    <col min="15637" max="15637" width="1.7109375" style="585" customWidth="1"/>
    <col min="15638" max="15638" width="12.7109375" style="585" customWidth="1"/>
    <col min="15639" max="15682" width="0" style="585" hidden="1" customWidth="1"/>
    <col min="15683" max="15711" width="1.7109375" style="585" customWidth="1"/>
    <col min="15712" max="15858" width="3" style="585"/>
    <col min="15859" max="15859" width="0.85546875" style="585" customWidth="1"/>
    <col min="15860" max="15860" width="1" style="585" customWidth="1"/>
    <col min="15861" max="15861" width="1.28515625" style="585" customWidth="1"/>
    <col min="15862" max="15862" width="46" style="585" customWidth="1"/>
    <col min="15863" max="15863" width="4.7109375" style="585" customWidth="1"/>
    <col min="15864" max="15864" width="5.7109375" style="585" customWidth="1"/>
    <col min="15865" max="15865" width="16.85546875" style="585" customWidth="1"/>
    <col min="15866" max="15876" width="0" style="585" hidden="1" customWidth="1"/>
    <col min="15877" max="15877" width="15.28515625" style="585" customWidth="1"/>
    <col min="15878" max="15878" width="15.5703125" style="585" customWidth="1"/>
    <col min="15879" max="15879" width="16.28515625" style="585" customWidth="1"/>
    <col min="15880" max="15890" width="0" style="585" hidden="1" customWidth="1"/>
    <col min="15891" max="15891" width="14.7109375" style="585" customWidth="1"/>
    <col min="15892" max="15892" width="16.42578125" style="585" customWidth="1"/>
    <col min="15893" max="15893" width="1.7109375" style="585" customWidth="1"/>
    <col min="15894" max="15894" width="12.7109375" style="585" customWidth="1"/>
    <col min="15895" max="15938" width="0" style="585" hidden="1" customWidth="1"/>
    <col min="15939" max="15967" width="1.7109375" style="585" customWidth="1"/>
    <col min="15968" max="16114" width="3" style="585"/>
    <col min="16115" max="16115" width="0.85546875" style="585" customWidth="1"/>
    <col min="16116" max="16116" width="1" style="585" customWidth="1"/>
    <col min="16117" max="16117" width="1.28515625" style="585" customWidth="1"/>
    <col min="16118" max="16118" width="46" style="585" customWidth="1"/>
    <col min="16119" max="16119" width="4.7109375" style="585" customWidth="1"/>
    <col min="16120" max="16120" width="5.7109375" style="585" customWidth="1"/>
    <col min="16121" max="16121" width="16.85546875" style="585" customWidth="1"/>
    <col min="16122" max="16132" width="0" style="585" hidden="1" customWidth="1"/>
    <col min="16133" max="16133" width="15.28515625" style="585" customWidth="1"/>
    <col min="16134" max="16134" width="15.5703125" style="585" customWidth="1"/>
    <col min="16135" max="16135" width="16.28515625" style="585" customWidth="1"/>
    <col min="16136" max="16146" width="0" style="585" hidden="1" customWidth="1"/>
    <col min="16147" max="16147" width="14.7109375" style="585" customWidth="1"/>
    <col min="16148" max="16148" width="16.42578125" style="585" customWidth="1"/>
    <col min="16149" max="16149" width="1.7109375" style="585" customWidth="1"/>
    <col min="16150" max="16150" width="12.7109375" style="585" customWidth="1"/>
    <col min="16151" max="16194" width="0" style="585" hidden="1" customWidth="1"/>
    <col min="16195" max="16223" width="1.7109375" style="585" customWidth="1"/>
    <col min="16224" max="16384" width="3" style="585"/>
  </cols>
  <sheetData>
    <row r="1" spans="2:66" s="578" customFormat="1" hidden="1" x14ac:dyDescent="0.25">
      <c r="B1" s="656" t="s">
        <v>580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579"/>
    </row>
    <row r="2" spans="2:66" s="580" customFormat="1" ht="13.5" hidden="1" thickBot="1" x14ac:dyDescent="0.3">
      <c r="B2" s="658" t="s">
        <v>581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581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</row>
    <row r="3" spans="2:66" s="580" customFormat="1" ht="15.75" x14ac:dyDescent="0.25">
      <c r="B3" s="448"/>
      <c r="C3" s="455"/>
      <c r="F3" s="583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3"/>
    </row>
    <row r="4" spans="2:66" ht="15.75" x14ac:dyDescent="0.25">
      <c r="B4" s="586" t="s">
        <v>582</v>
      </c>
      <c r="C4" s="587"/>
      <c r="D4" s="588"/>
      <c r="E4" s="588"/>
      <c r="F4" s="589"/>
      <c r="G4" s="588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89"/>
    </row>
    <row r="5" spans="2:66" s="439" customFormat="1" x14ac:dyDescent="0.2">
      <c r="B5" s="454"/>
      <c r="C5" s="455"/>
      <c r="D5" s="455"/>
      <c r="E5" s="455"/>
      <c r="F5" s="591"/>
      <c r="G5" s="592" t="str">
        <f>myFinYear</f>
        <v>2019/20</v>
      </c>
      <c r="H5" s="593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453"/>
    </row>
    <row r="6" spans="2:66" s="439" customFormat="1" x14ac:dyDescent="0.2">
      <c r="B6" s="454"/>
      <c r="C6" s="455"/>
      <c r="D6" s="455"/>
      <c r="E6" s="455"/>
      <c r="F6" s="595"/>
      <c r="G6" s="596" t="s">
        <v>1</v>
      </c>
      <c r="H6" s="596" t="s">
        <v>2</v>
      </c>
      <c r="I6" s="597" t="s">
        <v>3</v>
      </c>
      <c r="J6" s="597" t="s">
        <v>167</v>
      </c>
      <c r="K6" s="597" t="s">
        <v>5</v>
      </c>
      <c r="L6" s="597" t="s">
        <v>6</v>
      </c>
      <c r="M6" s="597" t="s">
        <v>7</v>
      </c>
      <c r="N6" s="597" t="s">
        <v>8</v>
      </c>
      <c r="O6" s="597" t="s">
        <v>9</v>
      </c>
      <c r="P6" s="597" t="s">
        <v>10</v>
      </c>
      <c r="Q6" s="597" t="s">
        <v>11</v>
      </c>
      <c r="R6" s="597" t="s">
        <v>12</v>
      </c>
      <c r="S6" s="597" t="s">
        <v>13</v>
      </c>
      <c r="T6" s="597" t="s">
        <v>14</v>
      </c>
      <c r="U6" s="453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</row>
    <row r="7" spans="2:66" s="439" customFormat="1" x14ac:dyDescent="0.2">
      <c r="B7" s="458" t="s">
        <v>15</v>
      </c>
      <c r="C7" s="459"/>
      <c r="D7" s="459"/>
      <c r="E7" s="459"/>
      <c r="F7" s="369" t="s">
        <v>256</v>
      </c>
      <c r="G7" s="598" t="s">
        <v>16</v>
      </c>
      <c r="H7" s="598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151"/>
      <c r="U7" s="453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</row>
    <row r="8" spans="2:66" s="439" customFormat="1" ht="13.5" thickBot="1" x14ac:dyDescent="0.25">
      <c r="B8" s="600"/>
      <c r="C8" s="601"/>
      <c r="D8" s="601"/>
      <c r="E8" s="601"/>
      <c r="F8" s="602"/>
      <c r="G8" s="603"/>
      <c r="H8" s="466"/>
      <c r="I8" s="466"/>
      <c r="J8" s="466"/>
      <c r="K8" s="466"/>
      <c r="L8" s="466"/>
      <c r="M8" s="604"/>
      <c r="N8" s="604"/>
      <c r="O8" s="604"/>
      <c r="P8" s="604"/>
      <c r="Q8" s="604"/>
      <c r="R8" s="604"/>
      <c r="S8" s="604"/>
      <c r="T8" s="605"/>
      <c r="U8" s="453"/>
      <c r="V8" s="243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L8" s="660"/>
      <c r="AM8" s="660"/>
      <c r="AN8" s="660"/>
      <c r="AO8" s="660"/>
    </row>
    <row r="9" spans="2:66" s="439" customFormat="1" ht="13.5" thickBot="1" x14ac:dyDescent="0.25">
      <c r="B9" s="454" t="s">
        <v>583</v>
      </c>
      <c r="C9" s="455"/>
      <c r="D9" s="440"/>
      <c r="E9" s="440"/>
      <c r="F9" s="595">
        <v>1</v>
      </c>
      <c r="G9" s="466">
        <f>+'[2]Statement 1'!$H$113</f>
        <v>1344796269.8205059</v>
      </c>
      <c r="H9" s="466">
        <f>+'[3]Statement 1'!$I$113</f>
        <v>73824343.085730031</v>
      </c>
      <c r="I9" s="606">
        <f>+'[3]Statement 1'!$J$113</f>
        <v>96920893.069020018</v>
      </c>
      <c r="J9" s="606">
        <f>+'[3]Statement 1'!$K$113</f>
        <v>147241477.99728</v>
      </c>
      <c r="K9" s="606">
        <f>+'[3]Statement 1'!$L$113</f>
        <v>73749809.529299989</v>
      </c>
      <c r="L9" s="606">
        <f>+'[3]Statement 1'!$M$113</f>
        <v>117932465.64524999</v>
      </c>
      <c r="M9" s="606">
        <f>+'[4]Statement 1'!$N$113</f>
        <v>117713729.27432001</v>
      </c>
      <c r="N9" s="606">
        <f>+'[5]Statement 1'!$O$113</f>
        <v>83787244.734929979</v>
      </c>
      <c r="O9" s="606">
        <f>+'[6]Statement 1'!$P$113</f>
        <v>95520711.034100011</v>
      </c>
      <c r="P9" s="606">
        <f>+'[7]Statement 1'!$Q$113</f>
        <v>160349623.42506</v>
      </c>
      <c r="Q9" s="606">
        <f>+'[8]Statement 1'!$R$113</f>
        <v>91356528.666240022</v>
      </c>
      <c r="R9" s="606">
        <f>+'[2]Statement 1'!$S$113</f>
        <v>144478940.09164</v>
      </c>
      <c r="S9" s="606">
        <f>+'[9]Statement 1'!$T$113</f>
        <v>140683416.19247997</v>
      </c>
      <c r="T9" s="607">
        <f>SUM(H9:S9)</f>
        <v>1343559182.7453499</v>
      </c>
      <c r="U9" s="467"/>
      <c r="V9" s="462"/>
      <c r="W9" s="608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10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BA9" s="611"/>
      <c r="BB9" s="611"/>
      <c r="BC9" s="611"/>
      <c r="BD9" s="611"/>
      <c r="BE9" s="611"/>
      <c r="BF9" s="611"/>
      <c r="BG9" s="611"/>
      <c r="BH9" s="611"/>
      <c r="BI9" s="611"/>
      <c r="BJ9" s="611"/>
      <c r="BK9" s="611"/>
      <c r="BL9" s="611"/>
      <c r="BM9" s="611"/>
      <c r="BN9" s="611"/>
    </row>
    <row r="10" spans="2:66" s="439" customFormat="1" x14ac:dyDescent="0.2">
      <c r="B10" s="453"/>
      <c r="C10" s="440"/>
      <c r="D10" s="440"/>
      <c r="E10" s="440"/>
      <c r="F10" s="463"/>
      <c r="G10" s="474"/>
      <c r="H10" s="612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492"/>
      <c r="U10" s="467"/>
      <c r="V10" s="462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</row>
    <row r="11" spans="2:66" s="439" customFormat="1" x14ac:dyDescent="0.2">
      <c r="B11" s="454" t="s">
        <v>584</v>
      </c>
      <c r="C11" s="455"/>
      <c r="D11" s="440"/>
      <c r="E11" s="440"/>
      <c r="F11" s="595">
        <v>2</v>
      </c>
      <c r="G11" s="466">
        <f>+G13+G15+G28</f>
        <v>1682304101</v>
      </c>
      <c r="H11" s="466">
        <f>+H13+H15+H28</f>
        <v>137354468</v>
      </c>
      <c r="I11" s="466">
        <f t="shared" ref="I11:S11" si="0">+I13+I15+I28</f>
        <v>114461286</v>
      </c>
      <c r="J11" s="466">
        <f t="shared" si="0"/>
        <v>123635470</v>
      </c>
      <c r="K11" s="466">
        <f t="shared" si="0"/>
        <v>172853789</v>
      </c>
      <c r="L11" s="466">
        <f t="shared" si="0"/>
        <v>150772273</v>
      </c>
      <c r="M11" s="466">
        <f t="shared" si="0"/>
        <v>118363376</v>
      </c>
      <c r="N11" s="466">
        <f t="shared" si="0"/>
        <v>126130445</v>
      </c>
      <c r="O11" s="466">
        <f t="shared" si="0"/>
        <v>110661893</v>
      </c>
      <c r="P11" s="466">
        <f t="shared" si="0"/>
        <v>162518733</v>
      </c>
      <c r="Q11" s="466">
        <f t="shared" si="0"/>
        <v>138902933</v>
      </c>
      <c r="R11" s="466">
        <f t="shared" si="0"/>
        <v>142325970</v>
      </c>
      <c r="S11" s="466">
        <f t="shared" si="0"/>
        <v>191851778.69999999</v>
      </c>
      <c r="T11" s="466">
        <f>+T13+T15+T28</f>
        <v>1689832414.7</v>
      </c>
      <c r="U11" s="467"/>
      <c r="V11" s="517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</row>
    <row r="12" spans="2:66" s="439" customFormat="1" x14ac:dyDescent="0.2">
      <c r="B12" s="454"/>
      <c r="C12" s="455"/>
      <c r="D12" s="440"/>
      <c r="E12" s="440"/>
      <c r="F12" s="595"/>
      <c r="G12" s="466"/>
      <c r="H12" s="46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467"/>
      <c r="V12" s="517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</row>
    <row r="13" spans="2:66" s="439" customFormat="1" x14ac:dyDescent="0.2">
      <c r="B13" s="614"/>
      <c r="C13" s="455" t="s">
        <v>585</v>
      </c>
      <c r="D13" s="440"/>
      <c r="E13" s="440"/>
      <c r="F13" s="595">
        <v>2</v>
      </c>
      <c r="G13" s="486">
        <f>+'[10]19-20'!$I$47</f>
        <v>941168502</v>
      </c>
      <c r="H13" s="486">
        <f>+'[11]19-20'!$N$47</f>
        <v>76160742</v>
      </c>
      <c r="I13" s="607">
        <f>+'[12]19-20'!$S$47</f>
        <v>66186499</v>
      </c>
      <c r="J13" s="607">
        <f>+'[13]19-20'!$X$47</f>
        <v>59534955</v>
      </c>
      <c r="K13" s="607">
        <f>+'[14]19-20'!$AC$47</f>
        <v>101551864</v>
      </c>
      <c r="L13" s="607">
        <f>+'[15]19-20'!$AH$47</f>
        <v>71020894</v>
      </c>
      <c r="M13" s="607">
        <f>+'[16]19-20'!$AM$47</f>
        <v>67597899</v>
      </c>
      <c r="N13" s="607">
        <f>+'[17]19-20'!$AR$47</f>
        <v>75589014</v>
      </c>
      <c r="O13" s="607">
        <f>+'[18]19-20'!$AW$47</f>
        <v>64382062</v>
      </c>
      <c r="P13" s="607">
        <f>+'[19]19-20'!$BB$47</f>
        <v>92964228</v>
      </c>
      <c r="Q13" s="607">
        <f>+'[20]19-20'!$BG$47</f>
        <v>75735161</v>
      </c>
      <c r="R13" s="607">
        <f>+'[10]19-20'!$BL$47</f>
        <v>68781631</v>
      </c>
      <c r="S13" s="607">
        <f>+'[21]19-20'!$BQ$47</f>
        <v>124326373</v>
      </c>
      <c r="T13" s="607">
        <f>SUM(H13:S13)</f>
        <v>943831322</v>
      </c>
      <c r="U13" s="467"/>
      <c r="V13" s="517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</row>
    <row r="14" spans="2:66" s="439" customFormat="1" x14ac:dyDescent="0.2">
      <c r="B14" s="454"/>
      <c r="C14" s="455"/>
      <c r="D14" s="440"/>
      <c r="E14" s="440"/>
      <c r="F14" s="595"/>
      <c r="G14" s="466"/>
      <c r="H14" s="46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46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</row>
    <row r="15" spans="2:66" s="439" customFormat="1" x14ac:dyDescent="0.2">
      <c r="B15" s="614"/>
      <c r="C15" s="455" t="s">
        <v>220</v>
      </c>
      <c r="D15" s="440"/>
      <c r="E15" s="440"/>
      <c r="F15" s="595">
        <v>2</v>
      </c>
      <c r="G15" s="486">
        <f>SUM(G16:G26)</f>
        <v>745367573</v>
      </c>
      <c r="H15" s="486">
        <f t="shared" ref="H15:S15" si="1">SUM(H16:H26)</f>
        <v>61193726</v>
      </c>
      <c r="I15" s="486">
        <f t="shared" si="1"/>
        <v>48274787</v>
      </c>
      <c r="J15" s="486">
        <f t="shared" si="1"/>
        <v>64100515</v>
      </c>
      <c r="K15" s="486">
        <f t="shared" si="1"/>
        <v>71301925</v>
      </c>
      <c r="L15" s="486">
        <f>SUM(L16:L26)-L20</f>
        <v>79751379</v>
      </c>
      <c r="M15" s="486">
        <f>SUM(M16:M26)-M20</f>
        <v>50765477</v>
      </c>
      <c r="N15" s="486">
        <f>SUM(N16:N26)-N20</f>
        <v>50541431</v>
      </c>
      <c r="O15" s="486">
        <f t="shared" si="1"/>
        <v>46279831</v>
      </c>
      <c r="P15" s="486">
        <f t="shared" si="1"/>
        <v>69554505</v>
      </c>
      <c r="Q15" s="486">
        <f>SUM(Q16:Q20)+Q25+Q26</f>
        <v>63167772</v>
      </c>
      <c r="R15" s="486">
        <f t="shared" si="1"/>
        <v>73544339</v>
      </c>
      <c r="S15" s="486">
        <f t="shared" si="1"/>
        <v>67525405.700000003</v>
      </c>
      <c r="T15" s="486">
        <f>SUM(T16:T26)-T20</f>
        <v>746001092.70000005</v>
      </c>
      <c r="U15" s="467"/>
      <c r="V15" s="517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</row>
    <row r="16" spans="2:66" s="439" customFormat="1" x14ac:dyDescent="0.2">
      <c r="B16" s="614"/>
      <c r="C16" s="455"/>
      <c r="D16" s="514" t="s">
        <v>487</v>
      </c>
      <c r="E16" s="514"/>
      <c r="F16" s="615"/>
      <c r="G16" s="616">
        <f>+'[10]19-20'!$I$52</f>
        <v>203730750</v>
      </c>
      <c r="H16" s="616">
        <f>+'[11]19-20'!$N$52</f>
        <v>3587887</v>
      </c>
      <c r="I16" s="617">
        <f>+'[12]19-20'!$S$52</f>
        <v>4274259</v>
      </c>
      <c r="J16" s="617">
        <f>+'[13]19-20'!$X$52</f>
        <v>20232557</v>
      </c>
      <c r="K16" s="617">
        <f>+'[14]19-20'!$AC$52</f>
        <v>27300430</v>
      </c>
      <c r="L16" s="617">
        <f>+'[15]19-20'!$AH$52</f>
        <v>27624060</v>
      </c>
      <c r="M16" s="617">
        <f>+'[16]19-20'!$AM$52</f>
        <v>16497519</v>
      </c>
      <c r="N16" s="617">
        <f>+'[22]19-20'!$AR$52</f>
        <v>4518363</v>
      </c>
      <c r="O16" s="617">
        <f>+'[18]19-20'!$AW$52</f>
        <v>2314875</v>
      </c>
      <c r="P16" s="617">
        <f>+'[19]19-20'!$BB$52</f>
        <v>21145008</v>
      </c>
      <c r="Q16" s="617">
        <f>+'[20]19-20'!$BG$52</f>
        <v>28808483</v>
      </c>
      <c r="R16" s="617">
        <f>+'[10]19-20'!$BL$52</f>
        <v>29392738</v>
      </c>
      <c r="S16" s="617">
        <f>+'[21]19-20'!$BQ$52</f>
        <v>19073170.699999999</v>
      </c>
      <c r="T16" s="617">
        <f>SUM(H16:S16)</f>
        <v>204769349.69999999</v>
      </c>
      <c r="U16" s="46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</row>
    <row r="17" spans="2:52" s="439" customFormat="1" x14ac:dyDescent="0.2">
      <c r="B17" s="614"/>
      <c r="C17" s="455"/>
      <c r="D17" s="514" t="s">
        <v>488</v>
      </c>
      <c r="E17" s="514"/>
      <c r="F17" s="595"/>
      <c r="G17" s="616">
        <f>+'[10]19-20'!$I$55</f>
        <v>505553753</v>
      </c>
      <c r="H17" s="616">
        <f>+'[11]19-20'!$N$55</f>
        <v>42129484</v>
      </c>
      <c r="I17" s="617">
        <f>+'[12]19-20'!$S$55</f>
        <v>42129482</v>
      </c>
      <c r="J17" s="617">
        <f>+'[13]19-20'!$X$55</f>
        <v>42129482</v>
      </c>
      <c r="K17" s="617">
        <f>+'[14]19-20'!$AC$55</f>
        <v>42129482</v>
      </c>
      <c r="L17" s="617">
        <f>+'[15]19-20'!$AH$55</f>
        <v>42129480</v>
      </c>
      <c r="M17" s="617">
        <f>+'[16]19-20'!$AM$55</f>
        <v>42129480</v>
      </c>
      <c r="N17" s="617">
        <f>+'[22]19-20'!$AR$55</f>
        <v>42129479</v>
      </c>
      <c r="O17" s="617">
        <f>+'[18]19-20'!$AW$55</f>
        <v>42129479</v>
      </c>
      <c r="P17" s="617">
        <f>+'[19]19-20'!$BB$55</f>
        <v>42129478</v>
      </c>
      <c r="Q17" s="617">
        <f>+'[20]19-20'!$BG$55</f>
        <v>42129477</v>
      </c>
      <c r="R17" s="617">
        <f>+'[10]19-20'!$BL$55</f>
        <v>42129475</v>
      </c>
      <c r="S17" s="617">
        <f>+'[21]19-20'!$BQ$55</f>
        <v>42129475</v>
      </c>
      <c r="T17" s="617">
        <f>SUM(H17:S17)</f>
        <v>505553753</v>
      </c>
      <c r="U17" s="46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</row>
    <row r="18" spans="2:52" s="439" customFormat="1" x14ac:dyDescent="0.2">
      <c r="B18" s="614"/>
      <c r="C18" s="455"/>
      <c r="D18" s="514" t="s">
        <v>489</v>
      </c>
      <c r="E18" s="514"/>
      <c r="F18" s="595"/>
      <c r="G18" s="616">
        <f>+'[10]19-20'!$I$56</f>
        <v>13166793</v>
      </c>
      <c r="H18" s="616">
        <f>+'[11]19-20'!$N$56</f>
        <v>0</v>
      </c>
      <c r="I18" s="617">
        <f>+'[12]19-20'!$S$56</f>
        <v>0</v>
      </c>
      <c r="J18" s="617">
        <f>+'[13]19-20'!$X$56</f>
        <v>0</v>
      </c>
      <c r="K18" s="617">
        <f>+'[14]19-20'!$AC$56</f>
        <v>0</v>
      </c>
      <c r="L18" s="617">
        <f>+'[15]19-20'!$AH$56</f>
        <v>4388928</v>
      </c>
      <c r="M18" s="617">
        <f>+'[16]19-20'!$AM$56</f>
        <v>0</v>
      </c>
      <c r="N18" s="617">
        <f>+'[22]19-20'!$AR$56</f>
        <v>0</v>
      </c>
      <c r="O18" s="617">
        <f>+'[18]19-20'!$AW$56</f>
        <v>0</v>
      </c>
      <c r="P18" s="617">
        <f>+'[19]19-20'!$BB$56</f>
        <v>4388931</v>
      </c>
      <c r="Q18" s="617">
        <f>+'[20]19-20'!$BG$56</f>
        <v>0</v>
      </c>
      <c r="R18" s="617">
        <f>+'[10]19-20'!$BL$56</f>
        <v>0</v>
      </c>
      <c r="S18" s="617">
        <f>+'[21]19-20'!$BQ$56</f>
        <v>4388934</v>
      </c>
      <c r="T18" s="617">
        <f>SUM(H18:S18)</f>
        <v>13166793</v>
      </c>
      <c r="U18" s="46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</row>
    <row r="19" spans="2:52" s="439" customFormat="1" ht="18.75" hidden="1" customHeight="1" x14ac:dyDescent="0.2">
      <c r="B19" s="614"/>
      <c r="C19" s="455"/>
      <c r="D19" s="514" t="s">
        <v>586</v>
      </c>
      <c r="E19" s="514"/>
      <c r="F19" s="595"/>
      <c r="G19" s="616">
        <v>0</v>
      </c>
      <c r="H19" s="616">
        <f>+'[11]19-20'!$M$58</f>
        <v>13500000</v>
      </c>
      <c r="I19" s="617">
        <f>+'[12]19-20'!$S$58</f>
        <v>0</v>
      </c>
      <c r="J19" s="617">
        <f>+'[13]19-20'!$X$58</f>
        <v>0</v>
      </c>
      <c r="K19" s="617">
        <f>+'[14]19-20'!$AC$58</f>
        <v>0</v>
      </c>
      <c r="L19" s="617">
        <f>+'[15]19-20'!$AH$58</f>
        <v>0</v>
      </c>
      <c r="M19" s="617">
        <f>+'[16]19-20'!$AM$58</f>
        <v>-13500000</v>
      </c>
      <c r="N19" s="617">
        <v>0</v>
      </c>
      <c r="O19" s="617">
        <f>+'[18]19-20'!$AW$60</f>
        <v>0</v>
      </c>
      <c r="P19" s="617"/>
      <c r="Q19" s="617">
        <v>0</v>
      </c>
      <c r="R19" s="617">
        <v>0</v>
      </c>
      <c r="S19" s="617">
        <v>0</v>
      </c>
      <c r="T19" s="617">
        <f>SUM(H19:S19)</f>
        <v>0</v>
      </c>
      <c r="U19" s="46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</row>
    <row r="20" spans="2:52" s="439" customFormat="1" ht="21" hidden="1" customHeight="1" x14ac:dyDescent="0.2">
      <c r="B20" s="618"/>
      <c r="C20" s="440"/>
      <c r="D20" s="514" t="s">
        <v>587</v>
      </c>
      <c r="E20" s="514"/>
      <c r="F20" s="619"/>
      <c r="G20" s="616">
        <v>0</v>
      </c>
      <c r="H20" s="616">
        <f t="shared" ref="H20:M20" si="2">SUM(H21:H23)</f>
        <v>0</v>
      </c>
      <c r="I20" s="617">
        <f t="shared" si="2"/>
        <v>0</v>
      </c>
      <c r="J20" s="617">
        <f t="shared" si="2"/>
        <v>0</v>
      </c>
      <c r="K20" s="617">
        <f t="shared" si="2"/>
        <v>0</v>
      </c>
      <c r="L20" s="617">
        <f t="shared" si="2"/>
        <v>3800000</v>
      </c>
      <c r="M20" s="617">
        <f t="shared" si="2"/>
        <v>3800000</v>
      </c>
      <c r="N20" s="617">
        <f>SUM(N21:S24)</f>
        <v>-7600000</v>
      </c>
      <c r="O20" s="617">
        <f>+'[18]19-20'!$AW$63</f>
        <v>0</v>
      </c>
      <c r="P20" s="617">
        <f>SUM(P21:P23)</f>
        <v>0</v>
      </c>
      <c r="Q20" s="617">
        <f>SUM(Q21:S24)</f>
        <v>-9700000</v>
      </c>
      <c r="R20" s="617">
        <f>SUM(R21:R23)</f>
        <v>0</v>
      </c>
      <c r="S20" s="617">
        <f>SUM(S21:S23)</f>
        <v>0</v>
      </c>
      <c r="T20" s="617">
        <f>SUM(T21:T24)</f>
        <v>0</v>
      </c>
      <c r="U20" s="46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</row>
    <row r="21" spans="2:52" s="439" customFormat="1" ht="24.75" hidden="1" customHeight="1" x14ac:dyDescent="0.2">
      <c r="B21" s="614"/>
      <c r="C21" s="455"/>
      <c r="D21" s="620" t="str">
        <f>+'[16]19-20'!$A$60</f>
        <v>South African Airways</v>
      </c>
      <c r="E21" s="514"/>
      <c r="F21" s="615"/>
      <c r="G21" s="616">
        <v>0</v>
      </c>
      <c r="H21" s="616">
        <v>0</v>
      </c>
      <c r="I21" s="617">
        <v>0</v>
      </c>
      <c r="J21" s="617">
        <v>0</v>
      </c>
      <c r="K21" s="617">
        <v>0</v>
      </c>
      <c r="L21" s="617">
        <f>+'[16]19-20'!$AG$60</f>
        <v>2000000</v>
      </c>
      <c r="M21" s="617">
        <f>+'[16]19-20'!$AL$60</f>
        <v>3500000</v>
      </c>
      <c r="N21" s="617">
        <v>0</v>
      </c>
      <c r="O21" s="617">
        <f>+'[18]19-20'!$AW$60</f>
        <v>0</v>
      </c>
      <c r="P21" s="617">
        <v>0</v>
      </c>
      <c r="Q21" s="617">
        <f>+'[20]19-20'!$BG$60</f>
        <v>-5500000</v>
      </c>
      <c r="R21" s="617">
        <v>0</v>
      </c>
      <c r="S21" s="617"/>
      <c r="T21" s="617">
        <f t="shared" ref="T21:T26" si="3">SUM(H21:S21)</f>
        <v>0</v>
      </c>
      <c r="U21" s="46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</row>
    <row r="22" spans="2:52" s="439" customFormat="1" ht="26.25" hidden="1" customHeight="1" x14ac:dyDescent="0.2">
      <c r="B22" s="614"/>
      <c r="C22" s="455"/>
      <c r="D22" s="620" t="str">
        <f>+'[16]19-20'!$A$61</f>
        <v>South African Express Airways</v>
      </c>
      <c r="E22" s="514"/>
      <c r="F22" s="615"/>
      <c r="G22" s="616">
        <v>0</v>
      </c>
      <c r="H22" s="616">
        <v>0</v>
      </c>
      <c r="I22" s="617">
        <v>0</v>
      </c>
      <c r="J22" s="617">
        <v>0</v>
      </c>
      <c r="K22" s="617">
        <v>0</v>
      </c>
      <c r="L22" s="617">
        <f>+'[16]19-20'!$AG$61</f>
        <v>0</v>
      </c>
      <c r="M22" s="617">
        <f>+'[16]19-20'!$AL$61</f>
        <v>300000</v>
      </c>
      <c r="N22" s="617">
        <v>0</v>
      </c>
      <c r="O22" s="617">
        <f>+'[18]19-20'!$AW$61</f>
        <v>0</v>
      </c>
      <c r="P22" s="617">
        <v>0</v>
      </c>
      <c r="Q22" s="617">
        <f>+'[20]19-20'!$BG$61</f>
        <v>-300000</v>
      </c>
      <c r="R22" s="617">
        <v>0</v>
      </c>
      <c r="S22" s="617"/>
      <c r="T22" s="617">
        <f t="shared" si="3"/>
        <v>0</v>
      </c>
      <c r="U22" s="46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</row>
    <row r="23" spans="2:52" s="439" customFormat="1" ht="17.25" hidden="1" customHeight="1" x14ac:dyDescent="0.2">
      <c r="B23" s="614"/>
      <c r="C23" s="455"/>
      <c r="D23" s="620" t="str">
        <f>+'[16]19-20'!$A$62</f>
        <v xml:space="preserve">Denel </v>
      </c>
      <c r="E23" s="514"/>
      <c r="F23" s="615"/>
      <c r="G23" s="616">
        <v>0</v>
      </c>
      <c r="H23" s="616">
        <v>0</v>
      </c>
      <c r="I23" s="617">
        <v>0</v>
      </c>
      <c r="J23" s="617">
        <v>0</v>
      </c>
      <c r="K23" s="617">
        <v>0</v>
      </c>
      <c r="L23" s="617">
        <f>+'[16]19-20'!$AG$62</f>
        <v>1800000</v>
      </c>
      <c r="M23" s="617">
        <f>+'[16]19-20'!$AM$62</f>
        <v>0</v>
      </c>
      <c r="N23" s="617">
        <v>0</v>
      </c>
      <c r="O23" s="617">
        <f>+'[18]19-20'!$AW$62</f>
        <v>0</v>
      </c>
      <c r="P23" s="617">
        <v>0</v>
      </c>
      <c r="Q23" s="617">
        <f>+'[20]19-20'!$BG$62</f>
        <v>-1800000</v>
      </c>
      <c r="R23" s="617">
        <v>0</v>
      </c>
      <c r="S23" s="617"/>
      <c r="T23" s="617">
        <f t="shared" si="3"/>
        <v>0</v>
      </c>
      <c r="U23" s="46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</row>
    <row r="24" spans="2:52" s="439" customFormat="1" hidden="1" x14ac:dyDescent="0.2">
      <c r="B24" s="614"/>
      <c r="C24" s="455"/>
      <c r="D24" s="620" t="str">
        <f>+'[22]19-20'!$A$63</f>
        <v>SABC</v>
      </c>
      <c r="E24" s="514"/>
      <c r="F24" s="615"/>
      <c r="G24" s="616"/>
      <c r="H24" s="616"/>
      <c r="I24" s="617"/>
      <c r="J24" s="617"/>
      <c r="K24" s="617"/>
      <c r="L24" s="617"/>
      <c r="M24" s="617"/>
      <c r="N24" s="617">
        <f>+'[22]19-20'!$AR$63</f>
        <v>2100000</v>
      </c>
      <c r="O24" s="617">
        <f>+'[18]19-20'!$AW$63</f>
        <v>0</v>
      </c>
      <c r="P24" s="617">
        <v>0</v>
      </c>
      <c r="Q24" s="617">
        <f>+'[20]19-20'!$BG$63</f>
        <v>-2100000</v>
      </c>
      <c r="R24" s="617">
        <v>0</v>
      </c>
      <c r="S24" s="617"/>
      <c r="T24" s="617">
        <f t="shared" si="3"/>
        <v>0</v>
      </c>
      <c r="U24" s="46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</row>
    <row r="25" spans="2:52" s="439" customFormat="1" x14ac:dyDescent="0.2">
      <c r="B25" s="614"/>
      <c r="C25" s="455"/>
      <c r="D25" s="514" t="s">
        <v>588</v>
      </c>
      <c r="E25" s="514"/>
      <c r="F25" s="595"/>
      <c r="G25" s="616">
        <f>+'[10]19-20'!$I$64</f>
        <v>18576305</v>
      </c>
      <c r="H25" s="616">
        <f>+'[11]19-20'!$N$59</f>
        <v>1549593</v>
      </c>
      <c r="I25" s="617">
        <f>+'[12]19-20'!$S$59</f>
        <v>1486615</v>
      </c>
      <c r="J25" s="617">
        <f>+'[13]19-20'!$X$59</f>
        <v>1412283</v>
      </c>
      <c r="K25" s="617">
        <f>+'[14]19-20'!$AC$59</f>
        <v>1388691</v>
      </c>
      <c r="L25" s="617">
        <f>+'[15]19-20'!$AH$60</f>
        <v>1443945</v>
      </c>
      <c r="M25" s="617">
        <f>+'[16]19-20'!$AM$64</f>
        <v>1524417</v>
      </c>
      <c r="N25" s="617">
        <f>+'[22]19-20'!$AR$64</f>
        <v>1497621</v>
      </c>
      <c r="O25" s="617">
        <f>+'[18]19-20'!$AW$64</f>
        <v>1535042</v>
      </c>
      <c r="P25" s="617">
        <f>+'[19]19-20'!$BB$64</f>
        <v>1484863</v>
      </c>
      <c r="Q25" s="617">
        <f>+'[20]19-20'!$BG$64</f>
        <v>1682694</v>
      </c>
      <c r="R25" s="617">
        <f>+'[10]19-20'!$BL$64</f>
        <v>1703401</v>
      </c>
      <c r="S25" s="617">
        <f>+'[21]19-20'!$BQ$64</f>
        <v>1574678</v>
      </c>
      <c r="T25" s="617">
        <f t="shared" si="3"/>
        <v>18283843</v>
      </c>
      <c r="U25" s="46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</row>
    <row r="26" spans="2:52" s="439" customFormat="1" x14ac:dyDescent="0.2">
      <c r="B26" s="614"/>
      <c r="C26" s="455"/>
      <c r="D26" s="514" t="s">
        <v>491</v>
      </c>
      <c r="E26" s="514"/>
      <c r="F26" s="595"/>
      <c r="G26" s="616">
        <f>+'[10]19-20'!$I$50+'[10]19-20'!$I$51+'[10]19-20'!$I$57+'[10]19-20'!$I$65+'[10]19-20'!$I$66+'[10]19-20'!$I$67</f>
        <v>4339972</v>
      </c>
      <c r="H26" s="616">
        <f>+'[11]19-20'!$N$50+'[11]19-20'!$N$51+'[11]19-20'!$N$57+'[11]19-20'!$N$60+'[11]19-20'!$N$61</f>
        <v>426762</v>
      </c>
      <c r="I26" s="617">
        <f>+'[12]19-20'!$S$50+'[12]19-20'!$S$51+'[12]19-20'!$S$57+'[12]19-20'!$S$60+'[12]19-20'!$S$61+'[12]19-20'!$S$62</f>
        <v>384431</v>
      </c>
      <c r="J26" s="617">
        <f>+'[13]19-20'!$X$50+'[13]19-20'!$X$51+'[13]19-20'!$X$57+'[13]19-20'!$X$60+'[13]19-20'!$X$61+'[13]19-20'!$X$62</f>
        <v>326193</v>
      </c>
      <c r="K26" s="617">
        <f>+'[14]19-20'!$AC$50+'[14]19-20'!$AC$51+'[14]19-20'!$AC$57+'[14]19-20'!$AC$60+'[14]19-20'!$AC$61</f>
        <v>483322</v>
      </c>
      <c r="L26" s="617">
        <f>+'[15]19-20'!$AH$50+'[15]19-20'!$AH$51+'[15]19-20'!$AH$57+'[15]19-20'!$AH$61+'[15]19-20'!$AH$62+'[15]19-20'!$AH$63</f>
        <v>364966</v>
      </c>
      <c r="M26" s="617">
        <f>+'[16]19-20'!$AM$50+'[16]19-20'!$AM$51+'[16]19-20'!$AM$57+'[16]19-20'!$AM$65+'[16]19-20'!$AM$66+'[16]19-20'!$AM$67</f>
        <v>314061</v>
      </c>
      <c r="N26" s="617">
        <f>+'[17]19-20'!$AR$50+'[17]19-20'!$AR$51+'[17]19-20'!$AR$57+'[17]19-20'!$AR$65+'[17]19-20'!$AR$66+'[17]19-20'!$AR$67</f>
        <v>295968</v>
      </c>
      <c r="O26" s="617">
        <f>+'[18]19-20'!$AW$50+'[18]19-20'!$AW$51+'[18]19-20'!$AW$57+'[18]19-20'!$AW$65+'[18]19-20'!$AW$66</f>
        <v>300435</v>
      </c>
      <c r="P26" s="617">
        <f>+'[19]19-20'!$BB$50+'[19]19-20'!$BB$51+'[19]19-20'!$BB$57+'[19]19-20'!$BB$65+'[19]19-20'!$BB$66+'[19]19-20'!$BB$67</f>
        <v>406225</v>
      </c>
      <c r="Q26" s="617">
        <f>+'[20]19-20'!$BG$50+'[20]19-20'!$BG$51+'[20]19-20'!$BG$57+'[20]19-20'!$BG$65+'[20]19-20'!$BG$66+'[20]19-20'!$BG$67</f>
        <v>247118</v>
      </c>
      <c r="R26" s="617">
        <f>+'[10]19-20'!$BL$50+'[10]19-20'!$BL$51+'[10]19-20'!$BL$65+'[10]19-20'!$BL$66+'[10]19-20'!$BL$67+'[10]19-20'!$BL$57</f>
        <v>318725</v>
      </c>
      <c r="S26" s="617">
        <f>+'[21]19-20'!$BQ$50+'[21]19-20'!$BQ$51+'[21]19-20'!$BQ$57+'[21]19-20'!$BQ$65+'[21]19-20'!$BQ$66+'[21]19-20'!$BQ$67</f>
        <v>359148</v>
      </c>
      <c r="T26" s="617">
        <f t="shared" si="3"/>
        <v>4227354</v>
      </c>
      <c r="U26" s="46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</row>
    <row r="27" spans="2:52" s="480" customFormat="1" x14ac:dyDescent="0.2">
      <c r="B27" s="614"/>
      <c r="C27" s="621"/>
      <c r="D27" s="455"/>
      <c r="E27" s="455"/>
      <c r="F27" s="595"/>
      <c r="G27" s="489"/>
      <c r="H27" s="489"/>
      <c r="I27" s="622"/>
      <c r="J27" s="622"/>
      <c r="K27" s="622"/>
      <c r="L27" s="622"/>
      <c r="M27" s="622"/>
      <c r="N27" s="622"/>
      <c r="O27" s="622"/>
      <c r="P27" s="607"/>
      <c r="Q27" s="607"/>
      <c r="R27" s="607"/>
      <c r="S27" s="607"/>
      <c r="T27" s="622"/>
      <c r="U27" s="479"/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611"/>
      <c r="AG27" s="611"/>
      <c r="AH27" s="611"/>
      <c r="AI27" s="611"/>
      <c r="AJ27" s="611"/>
      <c r="AK27" s="611"/>
      <c r="AL27" s="611"/>
      <c r="AM27" s="611"/>
      <c r="AN27" s="611"/>
      <c r="AO27" s="611"/>
      <c r="AP27" s="611"/>
      <c r="AQ27" s="611"/>
      <c r="AR27" s="611"/>
      <c r="AS27" s="611"/>
      <c r="AT27" s="611"/>
      <c r="AU27" s="611"/>
      <c r="AV27" s="611"/>
      <c r="AW27" s="611"/>
      <c r="AX27" s="611"/>
    </row>
    <row r="28" spans="2:52" s="480" customFormat="1" x14ac:dyDescent="0.2">
      <c r="B28" s="614"/>
      <c r="C28" s="168" t="s">
        <v>243</v>
      </c>
      <c r="D28" s="455"/>
      <c r="E28" s="541"/>
      <c r="F28" s="595"/>
      <c r="G28" s="489">
        <f>+'[10]19-20'!$I$75</f>
        <v>-4231974</v>
      </c>
      <c r="H28" s="489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622">
        <v>0</v>
      </c>
      <c r="O28" s="622">
        <v>0</v>
      </c>
      <c r="P28" s="622">
        <v>0</v>
      </c>
      <c r="Q28" s="622">
        <f>+'[20]19-20'!$BG$75</f>
        <v>0</v>
      </c>
      <c r="R28" s="622">
        <v>0</v>
      </c>
      <c r="S28" s="622">
        <v>0</v>
      </c>
      <c r="T28" s="622">
        <f>SUM(H28:S28)</f>
        <v>0</v>
      </c>
      <c r="U28" s="479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</row>
    <row r="29" spans="2:52" s="480" customFormat="1" x14ac:dyDescent="0.2">
      <c r="B29" s="614"/>
      <c r="C29" s="621"/>
      <c r="D29" s="455"/>
      <c r="E29" s="455"/>
      <c r="F29" s="595"/>
      <c r="G29" s="489"/>
      <c r="H29" s="489"/>
      <c r="I29" s="607"/>
      <c r="J29" s="607"/>
      <c r="K29" s="622"/>
      <c r="L29" s="622"/>
      <c r="M29" s="607"/>
      <c r="N29" s="622"/>
      <c r="O29" s="607"/>
      <c r="P29" s="607"/>
      <c r="Q29" s="607"/>
      <c r="R29" s="607"/>
      <c r="S29" s="607"/>
      <c r="T29" s="622"/>
      <c r="U29" s="479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1"/>
      <c r="AK29" s="611"/>
      <c r="AL29" s="611"/>
      <c r="AM29" s="611"/>
      <c r="AN29" s="611"/>
      <c r="AO29" s="611"/>
      <c r="AP29" s="611"/>
      <c r="AQ29" s="611"/>
      <c r="AR29" s="611"/>
      <c r="AS29" s="611"/>
      <c r="AT29" s="611"/>
      <c r="AU29" s="611"/>
      <c r="AV29" s="611"/>
      <c r="AW29" s="611"/>
      <c r="AX29" s="611"/>
    </row>
    <row r="30" spans="2:52" s="439" customFormat="1" x14ac:dyDescent="0.2">
      <c r="B30" s="454" t="s">
        <v>492</v>
      </c>
      <c r="C30" s="455"/>
      <c r="D30" s="455"/>
      <c r="E30" s="455"/>
      <c r="F30" s="595"/>
      <c r="G30" s="596">
        <f t="shared" ref="G30:S30" si="4">+G9-G11</f>
        <v>-337507831.17949414</v>
      </c>
      <c r="H30" s="596">
        <f t="shared" si="4"/>
        <v>-63530124.914269969</v>
      </c>
      <c r="I30" s="596">
        <f t="shared" si="4"/>
        <v>-17540392.930979982</v>
      </c>
      <c r="J30" s="596">
        <f t="shared" si="4"/>
        <v>23606007.997280002</v>
      </c>
      <c r="K30" s="596">
        <f t="shared" si="4"/>
        <v>-99103979.470700011</v>
      </c>
      <c r="L30" s="596">
        <f t="shared" si="4"/>
        <v>-32839807.354750007</v>
      </c>
      <c r="M30" s="596">
        <f t="shared" si="4"/>
        <v>-649646.72567999363</v>
      </c>
      <c r="N30" s="596">
        <f t="shared" si="4"/>
        <v>-42343200.265070021</v>
      </c>
      <c r="O30" s="596">
        <f t="shared" si="4"/>
        <v>-15141181.965899989</v>
      </c>
      <c r="P30" s="596">
        <f t="shared" si="4"/>
        <v>-2169109.574939996</v>
      </c>
      <c r="Q30" s="596">
        <f t="shared" si="4"/>
        <v>-47546404.333759978</v>
      </c>
      <c r="R30" s="596">
        <f t="shared" si="4"/>
        <v>2152970.0916399956</v>
      </c>
      <c r="S30" s="596">
        <f t="shared" si="4"/>
        <v>-51168362.50752002</v>
      </c>
      <c r="T30" s="597">
        <f>+T9-T11</f>
        <v>-346273231.95465016</v>
      </c>
      <c r="U30" s="467"/>
      <c r="V30" s="462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611"/>
      <c r="AR30" s="611"/>
      <c r="AS30" s="611"/>
      <c r="AT30" s="611"/>
      <c r="AU30" s="611"/>
      <c r="AV30" s="611"/>
      <c r="AW30" s="611"/>
      <c r="AX30" s="611"/>
      <c r="AY30" s="517"/>
      <c r="AZ30" s="517"/>
    </row>
    <row r="31" spans="2:52" s="439" customFormat="1" x14ac:dyDescent="0.2">
      <c r="B31" s="453"/>
      <c r="C31" s="440"/>
      <c r="D31" s="440"/>
      <c r="E31" s="440"/>
      <c r="F31" s="595"/>
      <c r="G31" s="623"/>
      <c r="H31" s="623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46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</row>
    <row r="32" spans="2:52" s="439" customFormat="1" x14ac:dyDescent="0.2">
      <c r="B32" s="454"/>
      <c r="C32" s="455"/>
      <c r="D32" s="440"/>
      <c r="E32" s="440"/>
      <c r="F32" s="615"/>
      <c r="G32" s="625"/>
      <c r="H32" s="625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46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</row>
    <row r="33" spans="1:50" s="439" customFormat="1" x14ac:dyDescent="0.2">
      <c r="B33" s="454" t="s">
        <v>589</v>
      </c>
      <c r="C33" s="455"/>
      <c r="D33" s="440"/>
      <c r="E33" s="440"/>
      <c r="F33" s="615"/>
      <c r="G33" s="627"/>
      <c r="H33" s="627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46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</row>
    <row r="34" spans="1:50" s="439" customFormat="1" x14ac:dyDescent="0.2">
      <c r="B34" s="454"/>
      <c r="C34" s="455"/>
      <c r="D34" s="440"/>
      <c r="E34" s="440"/>
      <c r="F34" s="615"/>
      <c r="G34" s="627"/>
      <c r="H34" s="627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46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</row>
    <row r="35" spans="1:50" s="439" customFormat="1" x14ac:dyDescent="0.2">
      <c r="B35" s="454" t="s">
        <v>257</v>
      </c>
      <c r="C35" s="629"/>
      <c r="D35" s="440"/>
      <c r="E35" s="440"/>
      <c r="F35" s="595">
        <v>3</v>
      </c>
      <c r="G35" s="486">
        <f>+[23]summary!$H$13</f>
        <v>36000000</v>
      </c>
      <c r="H35" s="486">
        <f>+[24]summary!$M$13</f>
        <v>32089095</v>
      </c>
      <c r="I35" s="607">
        <f>+[25]summary!$R$13</f>
        <v>12375928</v>
      </c>
      <c r="J35" s="607">
        <f>+[26]summary!$W$13</f>
        <v>21645154</v>
      </c>
      <c r="K35" s="607">
        <f>+[27]summary!$AB$13</f>
        <v>4387554</v>
      </c>
      <c r="L35" s="607">
        <f>+[28]summary!$AG$13</f>
        <v>10613091</v>
      </c>
      <c r="M35" s="607">
        <f>+[29]summary!$AL$13</f>
        <v>-17323880</v>
      </c>
      <c r="N35" s="607">
        <f>+[30]summary!$AQ$13</f>
        <v>7778423</v>
      </c>
      <c r="O35" s="607">
        <f>+[31]summary!$AV$13</f>
        <v>6126860</v>
      </c>
      <c r="P35" s="607">
        <f>+[32]summary!$BA$13</f>
        <v>-16508019</v>
      </c>
      <c r="Q35" s="607">
        <f>+[33]summary!$BF$13</f>
        <v>13250851</v>
      </c>
      <c r="R35" s="607">
        <f>+[23]summary!$BK$13</f>
        <v>-2500139</v>
      </c>
      <c r="S35" s="607">
        <f>+[34]summary!$BP$13</f>
        <v>-35857416</v>
      </c>
      <c r="T35" s="606">
        <f>SUM(H35:S35)</f>
        <v>36077502</v>
      </c>
      <c r="U35" s="467"/>
      <c r="V35" s="517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</row>
    <row r="36" spans="1:50" s="439" customFormat="1" x14ac:dyDescent="0.2">
      <c r="B36" s="454"/>
      <c r="C36" s="629"/>
      <c r="D36" s="440"/>
      <c r="E36" s="440"/>
      <c r="F36" s="595"/>
      <c r="G36" s="486"/>
      <c r="H36" s="486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46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</row>
    <row r="37" spans="1:50" s="439" customFormat="1" x14ac:dyDescent="0.2">
      <c r="B37" s="454" t="s">
        <v>265</v>
      </c>
      <c r="C37" s="629"/>
      <c r="D37" s="440"/>
      <c r="E37" s="440"/>
      <c r="F37" s="595">
        <v>3</v>
      </c>
      <c r="G37" s="486">
        <f>+[23]summary!$H$23</f>
        <v>279365000</v>
      </c>
      <c r="H37" s="486">
        <f>+[24]summary!$M$23</f>
        <v>19134410</v>
      </c>
      <c r="I37" s="607">
        <f>+[25]summary!$R$23</f>
        <v>24383035</v>
      </c>
      <c r="J37" s="607">
        <f>+[26]summary!$W$23</f>
        <v>19205091</v>
      </c>
      <c r="K37" s="607">
        <f>+[27]summary!$AB$23</f>
        <v>22800224</v>
      </c>
      <c r="L37" s="607">
        <f>+[28]summary!$AG$23</f>
        <v>28165310</v>
      </c>
      <c r="M37" s="607">
        <f>+[29]summary!$AL$23</f>
        <v>29107369</v>
      </c>
      <c r="N37" s="607">
        <f>+[30]summary!$AQ$23</f>
        <v>30927020</v>
      </c>
      <c r="O37" s="607">
        <f>+[31]summary!$AV$23</f>
        <v>30718792</v>
      </c>
      <c r="P37" s="607">
        <f>+[32]summary!$BA$23</f>
        <v>23853310</v>
      </c>
      <c r="Q37" s="607">
        <f>+[33]summary!$BF$23</f>
        <v>3150815</v>
      </c>
      <c r="R37" s="607">
        <f>+[23]summary!$BK$23</f>
        <v>29159155</v>
      </c>
      <c r="S37" s="607">
        <f>+[34]summary!$BP$23</f>
        <v>25417050</v>
      </c>
      <c r="T37" s="606">
        <f>SUM(H37:S37)</f>
        <v>286021581</v>
      </c>
      <c r="U37" s="467"/>
      <c r="V37" s="517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</row>
    <row r="38" spans="1:50" s="439" customFormat="1" x14ac:dyDescent="0.2">
      <c r="B38" s="453"/>
      <c r="C38" s="440"/>
      <c r="D38" s="440"/>
      <c r="E38" s="440"/>
      <c r="F38" s="595"/>
      <c r="G38" s="474"/>
      <c r="H38" s="474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6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</row>
    <row r="39" spans="1:50" s="439" customFormat="1" x14ac:dyDescent="0.2">
      <c r="B39" s="454" t="s">
        <v>590</v>
      </c>
      <c r="C39" s="629"/>
      <c r="D39" s="440"/>
      <c r="E39" s="440"/>
      <c r="F39" s="595">
        <v>3</v>
      </c>
      <c r="G39" s="466">
        <f>+[23]summary!$H$45</f>
        <v>25844000</v>
      </c>
      <c r="H39" s="466">
        <f>+[24]summary!$M$45</f>
        <v>-628449</v>
      </c>
      <c r="I39" s="606">
        <f>+[25]summary!$R$45</f>
        <v>-25247385</v>
      </c>
      <c r="J39" s="606">
        <f>+[26]summary!$W$45</f>
        <v>0</v>
      </c>
      <c r="K39" s="606">
        <f>+[27]summary!$AB$45</f>
        <v>0</v>
      </c>
      <c r="L39" s="606">
        <f>+[28]summary!$AG$45</f>
        <v>0</v>
      </c>
      <c r="M39" s="606">
        <f>+[29]summary!$AL$45</f>
        <v>76052000</v>
      </c>
      <c r="N39" s="606">
        <f>+[30]summary!$AQ$45</f>
        <v>-654491</v>
      </c>
      <c r="O39" s="606">
        <f>+[31]summary!$AV$45</f>
        <v>-6365</v>
      </c>
      <c r="P39" s="606">
        <f>+[32]summary!$BA$45</f>
        <v>0</v>
      </c>
      <c r="Q39" s="606">
        <f>+[33]summary!$BF$45</f>
        <v>0</v>
      </c>
      <c r="R39" s="606">
        <f>+[23]summary!$BK$45</f>
        <v>0</v>
      </c>
      <c r="S39" s="606">
        <f>+[34]summary!$BP$45</f>
        <v>-24692267</v>
      </c>
      <c r="T39" s="606">
        <f>SUM(H39:S39)</f>
        <v>24823043</v>
      </c>
      <c r="U39" s="630"/>
      <c r="V39" s="631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</row>
    <row r="40" spans="1:50" s="439" customFormat="1" x14ac:dyDescent="0.2">
      <c r="B40" s="454"/>
      <c r="C40" s="629"/>
      <c r="D40" s="440"/>
      <c r="E40" s="440"/>
      <c r="F40" s="463"/>
      <c r="G40" s="474"/>
      <c r="H40" s="474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630"/>
      <c r="V40" s="631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</row>
    <row r="41" spans="1:50" s="439" customFormat="1" x14ac:dyDescent="0.2">
      <c r="B41" s="454" t="s">
        <v>591</v>
      </c>
      <c r="C41" s="629"/>
      <c r="D41" s="440"/>
      <c r="E41" s="440"/>
      <c r="F41" s="595">
        <v>3</v>
      </c>
      <c r="G41" s="466">
        <f>+[23]summary!$H$68</f>
        <v>-3701168.8205058575</v>
      </c>
      <c r="H41" s="466">
        <f>+[28]summary!$M$68</f>
        <v>12935068.914269969</v>
      </c>
      <c r="I41" s="606">
        <f>+[28]summary!$R$68</f>
        <v>6028814.930979982</v>
      </c>
      <c r="J41" s="606">
        <f>+[28]summary!$W$68</f>
        <v>-64456252.997280002</v>
      </c>
      <c r="K41" s="606">
        <f>+[28]summary!$AB$68</f>
        <v>71916201.470700011</v>
      </c>
      <c r="L41" s="606">
        <f>+[28]summary!$AG$68</f>
        <v>-5938593.6452499926</v>
      </c>
      <c r="M41" s="606">
        <f>+[29]summary!$AL$68</f>
        <v>-87185842.274320006</v>
      </c>
      <c r="N41" s="606">
        <f>+[30]summary!$AQ$68</f>
        <v>4292248.2650700212</v>
      </c>
      <c r="O41" s="606">
        <f>+[31]summary!$AV$68</f>
        <v>-21698105.034100011</v>
      </c>
      <c r="P41" s="606">
        <f>+[32]summary!$BA$68</f>
        <v>-5176181.425060004</v>
      </c>
      <c r="Q41" s="606">
        <f>+[33]summary!$BF$68</f>
        <v>31144738.333759978</v>
      </c>
      <c r="R41" s="606">
        <f>+[23]summary!$BK$68</f>
        <v>-28811986.091639996</v>
      </c>
      <c r="S41" s="606">
        <f>+[34]summary!$BP$68</f>
        <v>86300995.50752002</v>
      </c>
      <c r="T41" s="606">
        <f>SUM(H41:S41)</f>
        <v>-648894.04535003006</v>
      </c>
      <c r="U41" s="630"/>
      <c r="V41" s="631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</row>
    <row r="42" spans="1:50" s="439" customFormat="1" x14ac:dyDescent="0.2">
      <c r="B42" s="454"/>
      <c r="C42" s="629"/>
      <c r="D42" s="440"/>
      <c r="E42" s="440"/>
      <c r="F42" s="595"/>
      <c r="G42" s="632"/>
      <c r="H42" s="632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0"/>
      <c r="V42" s="631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</row>
    <row r="43" spans="1:50" s="439" customFormat="1" x14ac:dyDescent="0.2">
      <c r="B43" s="454" t="s">
        <v>592</v>
      </c>
      <c r="C43" s="455"/>
      <c r="D43" s="455"/>
      <c r="E43" s="455"/>
      <c r="F43" s="463"/>
      <c r="G43" s="634">
        <f>+G35+G37+G39+G41</f>
        <v>337507831.17949414</v>
      </c>
      <c r="H43" s="634">
        <f t="shared" ref="H43:S43" si="5">+H35+H37+H39+H41</f>
        <v>63530124.914269969</v>
      </c>
      <c r="I43" s="634">
        <f t="shared" si="5"/>
        <v>17540392.930979982</v>
      </c>
      <c r="J43" s="634">
        <f t="shared" si="5"/>
        <v>-23606007.997280002</v>
      </c>
      <c r="K43" s="634">
        <f t="shared" si="5"/>
        <v>99103979.470700011</v>
      </c>
      <c r="L43" s="634">
        <f t="shared" si="5"/>
        <v>32839807.354750007</v>
      </c>
      <c r="M43" s="634">
        <f t="shared" si="5"/>
        <v>649646.72567999363</v>
      </c>
      <c r="N43" s="634">
        <f t="shared" si="5"/>
        <v>42343200.265070021</v>
      </c>
      <c r="O43" s="634">
        <f t="shared" si="5"/>
        <v>15141181.965899989</v>
      </c>
      <c r="P43" s="634">
        <f t="shared" si="5"/>
        <v>2169109.574939996</v>
      </c>
      <c r="Q43" s="634">
        <f t="shared" si="5"/>
        <v>47546404.333759978</v>
      </c>
      <c r="R43" s="634">
        <f t="shared" si="5"/>
        <v>-2152970.0916399956</v>
      </c>
      <c r="S43" s="634">
        <f t="shared" si="5"/>
        <v>51168362.50752002</v>
      </c>
      <c r="T43" s="635">
        <f>+T35+T37+T39+T41</f>
        <v>346273231.95464998</v>
      </c>
      <c r="U43" s="630"/>
      <c r="V43" s="96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</row>
    <row r="44" spans="1:50" s="439" customFormat="1" x14ac:dyDescent="0.2">
      <c r="B44" s="493"/>
      <c r="C44" s="494"/>
      <c r="D44" s="494"/>
      <c r="E44" s="494"/>
      <c r="F44" s="636"/>
      <c r="G44" s="497"/>
      <c r="H44" s="49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46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</row>
    <row r="45" spans="1:50" s="439" customFormat="1" ht="13.5" hidden="1" x14ac:dyDescent="0.25">
      <c r="B45" s="638" t="s">
        <v>593</v>
      </c>
      <c r="C45" s="440"/>
      <c r="D45" s="440"/>
      <c r="E45" s="440"/>
      <c r="F45" s="218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468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</row>
    <row r="46" spans="1:50" s="439" customFormat="1" ht="13.5" x14ac:dyDescent="0.25">
      <c r="B46" s="638" t="s">
        <v>472</v>
      </c>
      <c r="C46" s="440"/>
      <c r="D46" s="440"/>
      <c r="E46" s="440"/>
      <c r="F46" s="218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468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</row>
    <row r="47" spans="1:50" x14ac:dyDescent="0.25">
      <c r="A47" s="516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40"/>
      <c r="AV47" s="640"/>
      <c r="AW47" s="640"/>
      <c r="AX47" s="640"/>
    </row>
    <row r="48" spans="1:50" ht="10.15" hidden="1" customHeight="1" x14ac:dyDescent="0.25">
      <c r="G48" s="639">
        <f t="shared" ref="G48:S48" si="6">+G30+G43</f>
        <v>0</v>
      </c>
      <c r="H48" s="639">
        <f t="shared" si="6"/>
        <v>0</v>
      </c>
      <c r="I48" s="639">
        <f t="shared" si="6"/>
        <v>0</v>
      </c>
      <c r="J48" s="639">
        <f t="shared" si="6"/>
        <v>0</v>
      </c>
      <c r="K48" s="639">
        <f t="shared" si="6"/>
        <v>0</v>
      </c>
      <c r="L48" s="639">
        <f t="shared" si="6"/>
        <v>0</v>
      </c>
      <c r="M48" s="639">
        <f t="shared" si="6"/>
        <v>0</v>
      </c>
      <c r="N48" s="639">
        <f t="shared" si="6"/>
        <v>0</v>
      </c>
      <c r="O48" s="639">
        <f t="shared" si="6"/>
        <v>0</v>
      </c>
      <c r="P48" s="639">
        <f t="shared" si="6"/>
        <v>0</v>
      </c>
      <c r="Q48" s="639">
        <f t="shared" si="6"/>
        <v>0</v>
      </c>
      <c r="R48" s="639">
        <f t="shared" si="6"/>
        <v>0</v>
      </c>
      <c r="S48" s="639">
        <f t="shared" si="6"/>
        <v>0</v>
      </c>
      <c r="T48" s="639">
        <f>+T30+T43</f>
        <v>0</v>
      </c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</row>
    <row r="49" spans="3:50" ht="10.15" hidden="1" customHeight="1" x14ac:dyDescent="0.25"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640"/>
      <c r="AL49" s="640"/>
      <c r="AM49" s="640"/>
      <c r="AN49" s="640"/>
      <c r="AO49" s="640"/>
      <c r="AP49" s="640"/>
      <c r="AQ49" s="640"/>
      <c r="AR49" s="640"/>
      <c r="AS49" s="640"/>
      <c r="AT49" s="640"/>
      <c r="AU49" s="640"/>
      <c r="AV49" s="640"/>
      <c r="AW49" s="640"/>
      <c r="AX49" s="640"/>
    </row>
    <row r="50" spans="3:50" ht="10.15" hidden="1" customHeight="1" x14ac:dyDescent="0.25"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</row>
    <row r="51" spans="3:50" ht="10.15" hidden="1" customHeight="1" x14ac:dyDescent="0.25">
      <c r="C51" s="585" t="s">
        <v>594</v>
      </c>
      <c r="F51" s="585" t="s">
        <v>595</v>
      </c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0"/>
      <c r="AW51" s="640"/>
      <c r="AX51" s="640"/>
    </row>
    <row r="52" spans="3:50" ht="10.15" hidden="1" customHeight="1" x14ac:dyDescent="0.25"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0"/>
      <c r="AW52" s="640"/>
      <c r="AX52" s="640"/>
    </row>
    <row r="53" spans="3:50" ht="10.15" hidden="1" customHeight="1" x14ac:dyDescent="0.25"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0"/>
      <c r="AW53" s="640"/>
      <c r="AX53" s="640"/>
    </row>
    <row r="54" spans="3:50" ht="10.15" hidden="1" customHeight="1" x14ac:dyDescent="0.25">
      <c r="C54" s="585" t="s">
        <v>596</v>
      </c>
      <c r="F54" s="585" t="s">
        <v>596</v>
      </c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0"/>
      <c r="AW54" s="640"/>
      <c r="AX54" s="640"/>
    </row>
    <row r="55" spans="3:50" ht="10.15" hidden="1" customHeight="1" x14ac:dyDescent="0.25"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  <c r="AI55" s="640"/>
      <c r="AJ55" s="640"/>
      <c r="AK55" s="640"/>
      <c r="AL55" s="640"/>
      <c r="AM55" s="640"/>
      <c r="AN55" s="640"/>
      <c r="AO55" s="640"/>
      <c r="AP55" s="640"/>
      <c r="AQ55" s="640"/>
      <c r="AR55" s="640"/>
      <c r="AS55" s="640"/>
      <c r="AT55" s="640"/>
      <c r="AU55" s="640"/>
      <c r="AV55" s="640"/>
      <c r="AW55" s="640"/>
      <c r="AX55" s="640"/>
    </row>
    <row r="56" spans="3:50" ht="10.15" hidden="1" customHeight="1" x14ac:dyDescent="0.25"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  <c r="T56" s="639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  <c r="AK56" s="640"/>
      <c r="AL56" s="640"/>
      <c r="AM56" s="640"/>
      <c r="AN56" s="640"/>
      <c r="AO56" s="640"/>
      <c r="AP56" s="640"/>
      <c r="AQ56" s="640"/>
      <c r="AR56" s="640"/>
      <c r="AS56" s="640"/>
      <c r="AT56" s="640"/>
      <c r="AU56" s="640"/>
      <c r="AV56" s="640"/>
      <c r="AW56" s="640"/>
      <c r="AX56" s="640"/>
    </row>
    <row r="57" spans="3:50" x14ac:dyDescent="0.25"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640"/>
      <c r="AM57" s="640"/>
      <c r="AN57" s="640"/>
      <c r="AO57" s="640"/>
      <c r="AP57" s="640"/>
      <c r="AQ57" s="640"/>
      <c r="AR57" s="640"/>
      <c r="AS57" s="640"/>
      <c r="AT57" s="640"/>
      <c r="AU57" s="640"/>
      <c r="AV57" s="640"/>
      <c r="AW57" s="640"/>
      <c r="AX57" s="640"/>
    </row>
    <row r="58" spans="3:50" x14ac:dyDescent="0.25"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</row>
    <row r="59" spans="3:50" x14ac:dyDescent="0.25"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640"/>
      <c r="AP59" s="640"/>
      <c r="AQ59" s="640"/>
      <c r="AR59" s="640"/>
      <c r="AS59" s="640"/>
      <c r="AT59" s="640"/>
      <c r="AU59" s="640"/>
      <c r="AV59" s="640"/>
      <c r="AW59" s="640"/>
      <c r="AX59" s="640"/>
    </row>
    <row r="60" spans="3:50" x14ac:dyDescent="0.25"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0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0"/>
      <c r="AS60" s="640"/>
      <c r="AT60" s="640"/>
      <c r="AU60" s="640"/>
      <c r="AV60" s="640"/>
      <c r="AW60" s="640"/>
      <c r="AX60" s="640"/>
    </row>
    <row r="61" spans="3:50" x14ac:dyDescent="0.25"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  <c r="AI61" s="640"/>
      <c r="AJ61" s="640"/>
      <c r="AK61" s="640"/>
      <c r="AL61" s="640"/>
      <c r="AM61" s="640"/>
      <c r="AN61" s="640"/>
      <c r="AO61" s="640"/>
      <c r="AP61" s="640"/>
      <c r="AQ61" s="640"/>
      <c r="AR61" s="640"/>
      <c r="AS61" s="640"/>
      <c r="AT61" s="640"/>
      <c r="AU61" s="640"/>
      <c r="AV61" s="640"/>
      <c r="AW61" s="640"/>
      <c r="AX61" s="640"/>
    </row>
    <row r="62" spans="3:50" x14ac:dyDescent="0.25"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  <c r="AN62" s="640"/>
      <c r="AO62" s="640"/>
      <c r="AP62" s="640"/>
      <c r="AQ62" s="640"/>
      <c r="AR62" s="640"/>
      <c r="AS62" s="640"/>
      <c r="AT62" s="640"/>
      <c r="AU62" s="640"/>
      <c r="AV62" s="640"/>
      <c r="AW62" s="640"/>
      <c r="AX62" s="640"/>
    </row>
    <row r="63" spans="3:50" x14ac:dyDescent="0.25"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0"/>
      <c r="AQ63" s="640"/>
      <c r="AR63" s="640"/>
      <c r="AS63" s="640"/>
      <c r="AT63" s="640"/>
      <c r="AU63" s="640"/>
      <c r="AV63" s="640"/>
      <c r="AW63" s="640"/>
      <c r="AX63" s="640"/>
    </row>
    <row r="64" spans="3:50" x14ac:dyDescent="0.25"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40"/>
      <c r="V64" s="640"/>
      <c r="W64" s="640"/>
      <c r="X64" s="640"/>
      <c r="Y64" s="640"/>
      <c r="Z64" s="640"/>
      <c r="AA64" s="640"/>
      <c r="AB64" s="640"/>
      <c r="AC64" s="640"/>
      <c r="AD64" s="64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640"/>
      <c r="AP64" s="640"/>
      <c r="AQ64" s="640"/>
      <c r="AR64" s="640"/>
      <c r="AS64" s="640"/>
      <c r="AT64" s="640"/>
      <c r="AU64" s="640"/>
      <c r="AV64" s="640"/>
      <c r="AW64" s="640"/>
      <c r="AX64" s="640"/>
    </row>
    <row r="65" spans="7:50" x14ac:dyDescent="0.25"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40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0"/>
      <c r="AH65" s="640"/>
      <c r="AI65" s="640"/>
      <c r="AJ65" s="640"/>
      <c r="AK65" s="640"/>
      <c r="AL65" s="640"/>
      <c r="AM65" s="640"/>
      <c r="AN65" s="640"/>
      <c r="AO65" s="640"/>
      <c r="AP65" s="640"/>
      <c r="AQ65" s="640"/>
      <c r="AR65" s="640"/>
      <c r="AS65" s="640"/>
      <c r="AT65" s="640"/>
      <c r="AU65" s="640"/>
      <c r="AV65" s="640"/>
      <c r="AW65" s="640"/>
      <c r="AX65" s="640"/>
    </row>
    <row r="66" spans="7:50" x14ac:dyDescent="0.25"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40"/>
      <c r="V66" s="640"/>
      <c r="W66" s="640"/>
      <c r="X66" s="640"/>
      <c r="Y66" s="640"/>
      <c r="Z66" s="640"/>
      <c r="AA66" s="640"/>
      <c r="AB66" s="640"/>
      <c r="AC66" s="640"/>
      <c r="AD66" s="64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</row>
    <row r="67" spans="7:50" x14ac:dyDescent="0.25"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  <c r="AP67" s="640"/>
      <c r="AQ67" s="640"/>
      <c r="AR67" s="640"/>
      <c r="AS67" s="640"/>
      <c r="AT67" s="640"/>
      <c r="AU67" s="640"/>
      <c r="AV67" s="640"/>
      <c r="AW67" s="640"/>
      <c r="AX67" s="640"/>
    </row>
    <row r="68" spans="7:50" x14ac:dyDescent="0.25"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40"/>
      <c r="V68" s="640"/>
      <c r="W68" s="640"/>
      <c r="X68" s="640"/>
      <c r="Y68" s="640"/>
      <c r="Z68" s="640"/>
      <c r="AA68" s="640"/>
      <c r="AB68" s="640"/>
      <c r="AC68" s="640"/>
      <c r="AD68" s="640"/>
      <c r="AE68" s="640"/>
      <c r="AF68" s="640"/>
      <c r="AG68" s="640"/>
      <c r="AH68" s="640"/>
      <c r="AI68" s="640"/>
      <c r="AJ68" s="640"/>
      <c r="AK68" s="640"/>
      <c r="AL68" s="640"/>
      <c r="AM68" s="640"/>
      <c r="AN68" s="640"/>
      <c r="AO68" s="640"/>
      <c r="AP68" s="640"/>
      <c r="AQ68" s="640"/>
      <c r="AR68" s="640"/>
      <c r="AS68" s="640"/>
      <c r="AT68" s="640"/>
      <c r="AU68" s="640"/>
      <c r="AV68" s="640"/>
      <c r="AW68" s="640"/>
      <c r="AX68" s="640"/>
    </row>
    <row r="69" spans="7:50" x14ac:dyDescent="0.25"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40"/>
      <c r="V69" s="640"/>
      <c r="W69" s="640"/>
      <c r="X69" s="640"/>
      <c r="Y69" s="640"/>
      <c r="Z69" s="640"/>
      <c r="AA69" s="640"/>
      <c r="AB69" s="640"/>
      <c r="AC69" s="640"/>
      <c r="AD69" s="640"/>
      <c r="AE69" s="640"/>
      <c r="AF69" s="640"/>
      <c r="AG69" s="640"/>
      <c r="AH69" s="640"/>
      <c r="AI69" s="640"/>
      <c r="AJ69" s="640"/>
      <c r="AK69" s="640"/>
      <c r="AL69" s="640"/>
      <c r="AM69" s="640"/>
      <c r="AN69" s="640"/>
      <c r="AO69" s="640"/>
      <c r="AP69" s="640"/>
      <c r="AQ69" s="640"/>
      <c r="AR69" s="640"/>
      <c r="AS69" s="640"/>
      <c r="AT69" s="640"/>
      <c r="AU69" s="640"/>
      <c r="AV69" s="640"/>
      <c r="AW69" s="640"/>
      <c r="AX69" s="640"/>
    </row>
    <row r="70" spans="7:50" x14ac:dyDescent="0.25"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40"/>
      <c r="V70" s="640"/>
      <c r="W70" s="640"/>
      <c r="X70" s="640"/>
      <c r="Y70" s="640"/>
      <c r="Z70" s="640"/>
      <c r="AA70" s="640"/>
      <c r="AB70" s="640"/>
      <c r="AC70" s="640"/>
      <c r="AD70" s="640"/>
      <c r="AE70" s="640"/>
      <c r="AF70" s="640"/>
      <c r="AG70" s="640"/>
      <c r="AH70" s="640"/>
      <c r="AI70" s="640"/>
      <c r="AJ70" s="640"/>
      <c r="AK70" s="640"/>
      <c r="AL70" s="640"/>
      <c r="AM70" s="640"/>
      <c r="AN70" s="640"/>
      <c r="AO70" s="640"/>
      <c r="AP70" s="640"/>
      <c r="AQ70" s="640"/>
      <c r="AR70" s="640"/>
      <c r="AS70" s="640"/>
      <c r="AT70" s="640"/>
      <c r="AU70" s="640"/>
      <c r="AV70" s="640"/>
      <c r="AW70" s="640"/>
      <c r="AX70" s="640"/>
    </row>
    <row r="71" spans="7:50" x14ac:dyDescent="0.25"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40"/>
      <c r="V71" s="640"/>
      <c r="W71" s="640"/>
      <c r="X71" s="640"/>
      <c r="Y71" s="640"/>
      <c r="Z71" s="640"/>
      <c r="AA71" s="640"/>
      <c r="AB71" s="640"/>
      <c r="AC71" s="640"/>
      <c r="AD71" s="640"/>
      <c r="AE71" s="640"/>
      <c r="AF71" s="640"/>
      <c r="AG71" s="640"/>
      <c r="AH71" s="640"/>
      <c r="AI71" s="640"/>
      <c r="AJ71" s="640"/>
      <c r="AK71" s="640"/>
      <c r="AL71" s="640"/>
      <c r="AM71" s="640"/>
      <c r="AN71" s="640"/>
      <c r="AO71" s="640"/>
      <c r="AP71" s="640"/>
      <c r="AQ71" s="640"/>
      <c r="AR71" s="640"/>
      <c r="AS71" s="640"/>
      <c r="AT71" s="640"/>
      <c r="AU71" s="640"/>
      <c r="AV71" s="640"/>
      <c r="AW71" s="640"/>
      <c r="AX71" s="640"/>
    </row>
    <row r="72" spans="7:50" x14ac:dyDescent="0.25"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40"/>
      <c r="V72" s="640"/>
      <c r="W72" s="640"/>
      <c r="X72" s="640"/>
      <c r="Y72" s="640"/>
      <c r="Z72" s="640"/>
      <c r="AA72" s="640"/>
      <c r="AB72" s="640"/>
      <c r="AC72" s="640"/>
      <c r="AD72" s="640"/>
      <c r="AE72" s="640"/>
      <c r="AF72" s="640"/>
      <c r="AG72" s="640"/>
      <c r="AH72" s="640"/>
      <c r="AI72" s="640"/>
      <c r="AJ72" s="640"/>
      <c r="AK72" s="640"/>
      <c r="AL72" s="640"/>
      <c r="AM72" s="640"/>
      <c r="AN72" s="640"/>
      <c r="AO72" s="640"/>
      <c r="AP72" s="640"/>
      <c r="AQ72" s="640"/>
      <c r="AR72" s="640"/>
      <c r="AS72" s="640"/>
      <c r="AT72" s="640"/>
      <c r="AU72" s="640"/>
      <c r="AV72" s="640"/>
      <c r="AW72" s="640"/>
      <c r="AX72" s="640"/>
    </row>
    <row r="73" spans="7:50" x14ac:dyDescent="0.25"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640"/>
      <c r="AJ73" s="640"/>
      <c r="AK73" s="640"/>
      <c r="AL73" s="640"/>
      <c r="AM73" s="640"/>
      <c r="AN73" s="640"/>
      <c r="AO73" s="640"/>
      <c r="AP73" s="640"/>
      <c r="AQ73" s="640"/>
      <c r="AR73" s="640"/>
      <c r="AS73" s="640"/>
      <c r="AT73" s="640"/>
      <c r="AU73" s="640"/>
      <c r="AV73" s="640"/>
      <c r="AW73" s="640"/>
      <c r="AX73" s="640"/>
    </row>
    <row r="74" spans="7:50" x14ac:dyDescent="0.25">
      <c r="G74" s="639"/>
      <c r="H74" s="639"/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40"/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0"/>
      <c r="AG74" s="640"/>
      <c r="AH74" s="640"/>
      <c r="AI74" s="640"/>
      <c r="AJ74" s="640"/>
      <c r="AK74" s="640"/>
      <c r="AL74" s="640"/>
      <c r="AM74" s="640"/>
      <c r="AN74" s="640"/>
      <c r="AO74" s="640"/>
      <c r="AP74" s="640"/>
      <c r="AQ74" s="640"/>
      <c r="AR74" s="640"/>
      <c r="AS74" s="640"/>
      <c r="AT74" s="640"/>
      <c r="AU74" s="640"/>
      <c r="AV74" s="640"/>
      <c r="AW74" s="640"/>
      <c r="AX74" s="640"/>
    </row>
    <row r="75" spans="7:50" x14ac:dyDescent="0.25"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  <c r="AP75" s="640"/>
      <c r="AQ75" s="640"/>
      <c r="AR75" s="640"/>
      <c r="AS75" s="640"/>
      <c r="AT75" s="640"/>
      <c r="AU75" s="640"/>
      <c r="AV75" s="640"/>
      <c r="AW75" s="640"/>
      <c r="AX75" s="640"/>
    </row>
    <row r="76" spans="7:50" x14ac:dyDescent="0.25"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640"/>
      <c r="AJ76" s="640"/>
      <c r="AK76" s="640"/>
      <c r="AL76" s="640"/>
      <c r="AM76" s="640"/>
      <c r="AN76" s="640"/>
      <c r="AO76" s="640"/>
      <c r="AP76" s="640"/>
      <c r="AQ76" s="640"/>
      <c r="AR76" s="640"/>
      <c r="AS76" s="640"/>
      <c r="AT76" s="640"/>
      <c r="AU76" s="640"/>
      <c r="AV76" s="640"/>
      <c r="AW76" s="640"/>
      <c r="AX76" s="640"/>
    </row>
    <row r="77" spans="7:50" x14ac:dyDescent="0.25"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0"/>
      <c r="AK77" s="640"/>
      <c r="AL77" s="640"/>
      <c r="AM77" s="640"/>
      <c r="AN77" s="640"/>
      <c r="AO77" s="640"/>
      <c r="AP77" s="640"/>
      <c r="AQ77" s="640"/>
      <c r="AR77" s="640"/>
      <c r="AS77" s="640"/>
      <c r="AT77" s="640"/>
      <c r="AU77" s="640"/>
      <c r="AV77" s="640"/>
      <c r="AW77" s="640"/>
      <c r="AX77" s="640"/>
    </row>
    <row r="78" spans="7:50" x14ac:dyDescent="0.25"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40"/>
      <c r="V78" s="640"/>
      <c r="W78" s="640"/>
      <c r="X78" s="640"/>
      <c r="Y78" s="640"/>
      <c r="Z78" s="640"/>
      <c r="AA78" s="640"/>
      <c r="AB78" s="640"/>
      <c r="AC78" s="640"/>
      <c r="AD78" s="640"/>
      <c r="AE78" s="640"/>
      <c r="AF78" s="640"/>
      <c r="AG78" s="640"/>
      <c r="AH78" s="640"/>
      <c r="AI78" s="640"/>
      <c r="AJ78" s="640"/>
      <c r="AK78" s="640"/>
      <c r="AL78" s="640"/>
      <c r="AM78" s="640"/>
      <c r="AN78" s="640"/>
      <c r="AO78" s="640"/>
      <c r="AP78" s="640"/>
      <c r="AQ78" s="640"/>
      <c r="AR78" s="640"/>
      <c r="AS78" s="640"/>
      <c r="AT78" s="640"/>
      <c r="AU78" s="640"/>
      <c r="AV78" s="640"/>
      <c r="AW78" s="640"/>
      <c r="AX78" s="640"/>
    </row>
    <row r="79" spans="7:50" x14ac:dyDescent="0.25"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40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640"/>
      <c r="AH79" s="640"/>
      <c r="AI79" s="640"/>
      <c r="AJ79" s="640"/>
      <c r="AK79" s="640"/>
      <c r="AL79" s="640"/>
      <c r="AM79" s="640"/>
      <c r="AN79" s="640"/>
      <c r="AO79" s="640"/>
      <c r="AP79" s="640"/>
      <c r="AQ79" s="640"/>
      <c r="AR79" s="640"/>
      <c r="AS79" s="640"/>
      <c r="AT79" s="640"/>
      <c r="AU79" s="640"/>
      <c r="AV79" s="640"/>
      <c r="AW79" s="640"/>
      <c r="AX79" s="640"/>
    </row>
    <row r="80" spans="7:50" x14ac:dyDescent="0.25"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40"/>
      <c r="V80" s="640"/>
      <c r="W80" s="640"/>
      <c r="X80" s="640"/>
      <c r="Y80" s="640"/>
      <c r="Z80" s="640"/>
      <c r="AA80" s="640"/>
      <c r="AB80" s="640"/>
      <c r="AC80" s="640"/>
      <c r="AD80" s="640"/>
      <c r="AE80" s="640"/>
      <c r="AF80" s="640"/>
      <c r="AG80" s="640"/>
      <c r="AH80" s="640"/>
      <c r="AI80" s="640"/>
      <c r="AJ80" s="640"/>
      <c r="AK80" s="640"/>
      <c r="AL80" s="640"/>
      <c r="AM80" s="640"/>
      <c r="AN80" s="640"/>
      <c r="AO80" s="640"/>
      <c r="AP80" s="640"/>
      <c r="AQ80" s="640"/>
      <c r="AR80" s="640"/>
      <c r="AS80" s="640"/>
      <c r="AT80" s="640"/>
      <c r="AU80" s="640"/>
      <c r="AV80" s="640"/>
      <c r="AW80" s="640"/>
      <c r="AX80" s="640"/>
    </row>
    <row r="81" spans="7:50" x14ac:dyDescent="0.25"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40"/>
      <c r="AH81" s="640"/>
      <c r="AI81" s="640"/>
      <c r="AJ81" s="640"/>
      <c r="AK81" s="640"/>
      <c r="AL81" s="640"/>
      <c r="AM81" s="640"/>
      <c r="AN81" s="640"/>
      <c r="AO81" s="640"/>
      <c r="AP81" s="640"/>
      <c r="AQ81" s="640"/>
      <c r="AR81" s="640"/>
      <c r="AS81" s="640"/>
      <c r="AT81" s="640"/>
      <c r="AU81" s="640"/>
      <c r="AV81" s="640"/>
      <c r="AW81" s="640"/>
      <c r="AX81" s="640"/>
    </row>
    <row r="82" spans="7:50" x14ac:dyDescent="0.25"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40"/>
      <c r="V82" s="640"/>
      <c r="W82" s="640"/>
      <c r="X82" s="640"/>
      <c r="Y82" s="640"/>
      <c r="Z82" s="640"/>
      <c r="AA82" s="640"/>
      <c r="AB82" s="640"/>
      <c r="AC82" s="640"/>
      <c r="AD82" s="640"/>
      <c r="AE82" s="640"/>
      <c r="AF82" s="640"/>
      <c r="AG82" s="640"/>
      <c r="AH82" s="640"/>
      <c r="AI82" s="640"/>
      <c r="AJ82" s="640"/>
      <c r="AK82" s="640"/>
      <c r="AL82" s="640"/>
      <c r="AM82" s="640"/>
      <c r="AN82" s="640"/>
      <c r="AO82" s="640"/>
      <c r="AP82" s="640"/>
      <c r="AQ82" s="640"/>
      <c r="AR82" s="640"/>
      <c r="AS82" s="640"/>
      <c r="AT82" s="640"/>
      <c r="AU82" s="640"/>
      <c r="AV82" s="640"/>
      <c r="AW82" s="640"/>
      <c r="AX82" s="640"/>
    </row>
    <row r="83" spans="7:50" x14ac:dyDescent="0.25"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640"/>
      <c r="AI83" s="640"/>
      <c r="AJ83" s="640"/>
      <c r="AK83" s="640"/>
      <c r="AL83" s="640"/>
      <c r="AM83" s="640"/>
      <c r="AN83" s="640"/>
      <c r="AO83" s="640"/>
      <c r="AP83" s="640"/>
      <c r="AQ83" s="640"/>
      <c r="AR83" s="640"/>
      <c r="AS83" s="640"/>
      <c r="AT83" s="640"/>
      <c r="AU83" s="640"/>
      <c r="AV83" s="640"/>
      <c r="AW83" s="640"/>
      <c r="AX83" s="640"/>
    </row>
    <row r="84" spans="7:50" x14ac:dyDescent="0.25"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40"/>
      <c r="V84" s="640"/>
      <c r="W84" s="640"/>
      <c r="X84" s="640"/>
      <c r="Y84" s="640"/>
      <c r="Z84" s="640"/>
      <c r="AA84" s="640"/>
      <c r="AB84" s="640"/>
      <c r="AC84" s="640"/>
      <c r="AD84" s="640"/>
      <c r="AE84" s="640"/>
      <c r="AF84" s="640"/>
      <c r="AG84" s="640"/>
      <c r="AH84" s="640"/>
      <c r="AI84" s="640"/>
      <c r="AJ84" s="640"/>
      <c r="AK84" s="640"/>
      <c r="AL84" s="640"/>
      <c r="AM84" s="640"/>
      <c r="AN84" s="640"/>
      <c r="AO84" s="640"/>
      <c r="AP84" s="640"/>
      <c r="AQ84" s="640"/>
      <c r="AR84" s="640"/>
      <c r="AS84" s="640"/>
      <c r="AT84" s="640"/>
      <c r="AU84" s="640"/>
      <c r="AV84" s="640"/>
      <c r="AW84" s="640"/>
      <c r="AX84" s="640"/>
    </row>
    <row r="85" spans="7:50" x14ac:dyDescent="0.25"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  <c r="AJ85" s="640"/>
      <c r="AK85" s="640"/>
      <c r="AL85" s="640"/>
      <c r="AM85" s="640"/>
      <c r="AN85" s="640"/>
      <c r="AO85" s="640"/>
      <c r="AP85" s="640"/>
      <c r="AQ85" s="640"/>
      <c r="AR85" s="640"/>
      <c r="AS85" s="640"/>
      <c r="AT85" s="640"/>
      <c r="AU85" s="640"/>
      <c r="AV85" s="640"/>
      <c r="AW85" s="640"/>
      <c r="AX85" s="640"/>
    </row>
    <row r="86" spans="7:50" x14ac:dyDescent="0.25"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40"/>
      <c r="AH86" s="640"/>
      <c r="AI86" s="640"/>
      <c r="AJ86" s="640"/>
      <c r="AK86" s="640"/>
      <c r="AL86" s="640"/>
      <c r="AM86" s="640"/>
      <c r="AN86" s="640"/>
      <c r="AO86" s="640"/>
      <c r="AP86" s="640"/>
      <c r="AQ86" s="640"/>
      <c r="AR86" s="640"/>
      <c r="AS86" s="640"/>
      <c r="AT86" s="640"/>
      <c r="AU86" s="640"/>
      <c r="AV86" s="640"/>
      <c r="AW86" s="640"/>
      <c r="AX86" s="640"/>
    </row>
    <row r="87" spans="7:50" x14ac:dyDescent="0.25"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40"/>
      <c r="AH87" s="640"/>
      <c r="AI87" s="640"/>
      <c r="AJ87" s="640"/>
      <c r="AK87" s="640"/>
      <c r="AL87" s="640"/>
      <c r="AM87" s="640"/>
      <c r="AN87" s="640"/>
      <c r="AO87" s="640"/>
      <c r="AP87" s="640"/>
      <c r="AQ87" s="640"/>
      <c r="AR87" s="640"/>
      <c r="AS87" s="640"/>
      <c r="AT87" s="640"/>
      <c r="AU87" s="640"/>
      <c r="AV87" s="640"/>
      <c r="AW87" s="640"/>
      <c r="AX87" s="640"/>
    </row>
    <row r="88" spans="7:50" x14ac:dyDescent="0.25"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  <c r="AP88" s="640"/>
      <c r="AQ88" s="640"/>
      <c r="AR88" s="640"/>
      <c r="AS88" s="640"/>
      <c r="AT88" s="640"/>
      <c r="AU88" s="640"/>
      <c r="AV88" s="640"/>
      <c r="AW88" s="640"/>
      <c r="AX88" s="640"/>
    </row>
    <row r="89" spans="7:50" x14ac:dyDescent="0.25"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40"/>
      <c r="AH89" s="640"/>
      <c r="AI89" s="640"/>
      <c r="AJ89" s="640"/>
      <c r="AK89" s="640"/>
      <c r="AL89" s="640"/>
      <c r="AM89" s="640"/>
      <c r="AN89" s="640"/>
      <c r="AO89" s="640"/>
      <c r="AP89" s="640"/>
      <c r="AQ89" s="640"/>
      <c r="AR89" s="640"/>
      <c r="AS89" s="640"/>
      <c r="AT89" s="640"/>
      <c r="AU89" s="640"/>
      <c r="AV89" s="640"/>
      <c r="AW89" s="640"/>
      <c r="AX89" s="640"/>
    </row>
    <row r="90" spans="7:50" x14ac:dyDescent="0.25"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40"/>
      <c r="V90" s="640"/>
      <c r="W90" s="640"/>
      <c r="X90" s="640"/>
      <c r="Y90" s="640"/>
      <c r="Z90" s="640"/>
      <c r="AA90" s="640"/>
      <c r="AB90" s="640"/>
      <c r="AC90" s="640"/>
      <c r="AD90" s="640"/>
      <c r="AE90" s="640"/>
      <c r="AF90" s="640"/>
      <c r="AG90" s="640"/>
      <c r="AH90" s="640"/>
      <c r="AI90" s="640"/>
      <c r="AJ90" s="640"/>
      <c r="AK90" s="640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</row>
    <row r="91" spans="7:50" x14ac:dyDescent="0.25"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40"/>
      <c r="V91" s="640"/>
      <c r="W91" s="640"/>
      <c r="X91" s="640"/>
      <c r="Y91" s="640"/>
      <c r="Z91" s="640"/>
      <c r="AA91" s="640"/>
      <c r="AB91" s="640"/>
      <c r="AC91" s="640"/>
      <c r="AD91" s="640"/>
      <c r="AE91" s="640"/>
      <c r="AF91" s="640"/>
      <c r="AG91" s="640"/>
      <c r="AH91" s="640"/>
      <c r="AI91" s="640"/>
      <c r="AJ91" s="640"/>
      <c r="AK91" s="640"/>
      <c r="AL91" s="640"/>
      <c r="AM91" s="640"/>
      <c r="AN91" s="640"/>
      <c r="AO91" s="640"/>
      <c r="AP91" s="640"/>
      <c r="AQ91" s="640"/>
      <c r="AR91" s="640"/>
      <c r="AS91" s="640"/>
      <c r="AT91" s="640"/>
      <c r="AU91" s="640"/>
      <c r="AV91" s="640"/>
      <c r="AW91" s="640"/>
      <c r="AX91" s="640"/>
    </row>
    <row r="92" spans="7:50" x14ac:dyDescent="0.25"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40"/>
      <c r="V92" s="640"/>
      <c r="W92" s="640"/>
      <c r="X92" s="640"/>
      <c r="Y92" s="640"/>
      <c r="Z92" s="640"/>
      <c r="AA92" s="640"/>
      <c r="AB92" s="640"/>
      <c r="AC92" s="640"/>
      <c r="AD92" s="640"/>
      <c r="AE92" s="640"/>
      <c r="AF92" s="640"/>
      <c r="AG92" s="640"/>
      <c r="AH92" s="640"/>
      <c r="AI92" s="640"/>
      <c r="AJ92" s="640"/>
      <c r="AK92" s="640"/>
      <c r="AL92" s="640"/>
      <c r="AM92" s="640"/>
      <c r="AN92" s="640"/>
      <c r="AO92" s="640"/>
      <c r="AP92" s="640"/>
      <c r="AQ92" s="640"/>
      <c r="AR92" s="640"/>
      <c r="AS92" s="640"/>
      <c r="AT92" s="640"/>
      <c r="AU92" s="640"/>
      <c r="AV92" s="640"/>
      <c r="AW92" s="640"/>
      <c r="AX92" s="640"/>
    </row>
    <row r="93" spans="7:50" x14ac:dyDescent="0.25"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0"/>
      <c r="AK93" s="640"/>
      <c r="AL93" s="640"/>
      <c r="AM93" s="640"/>
      <c r="AN93" s="640"/>
      <c r="AO93" s="640"/>
      <c r="AP93" s="640"/>
      <c r="AQ93" s="640"/>
      <c r="AR93" s="640"/>
      <c r="AS93" s="640"/>
      <c r="AT93" s="640"/>
      <c r="AU93" s="640"/>
      <c r="AV93" s="640"/>
      <c r="AW93" s="640"/>
      <c r="AX93" s="640"/>
    </row>
    <row r="94" spans="7:50" x14ac:dyDescent="0.25"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40"/>
      <c r="V94" s="640"/>
      <c r="W94" s="640"/>
      <c r="X94" s="640"/>
      <c r="Y94" s="640"/>
      <c r="Z94" s="640"/>
      <c r="AA94" s="640"/>
      <c r="AB94" s="640"/>
      <c r="AC94" s="640"/>
      <c r="AD94" s="640"/>
      <c r="AE94" s="640"/>
      <c r="AF94" s="640"/>
      <c r="AG94" s="640"/>
      <c r="AH94" s="640"/>
      <c r="AI94" s="640"/>
      <c r="AJ94" s="640"/>
      <c r="AK94" s="640"/>
      <c r="AL94" s="640"/>
      <c r="AM94" s="640"/>
      <c r="AN94" s="640"/>
      <c r="AO94" s="640"/>
      <c r="AP94" s="640"/>
      <c r="AQ94" s="640"/>
      <c r="AR94" s="640"/>
      <c r="AS94" s="640"/>
      <c r="AT94" s="640"/>
      <c r="AU94" s="640"/>
      <c r="AV94" s="640"/>
      <c r="AW94" s="640"/>
      <c r="AX94" s="640"/>
    </row>
    <row r="95" spans="7:50" x14ac:dyDescent="0.25"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0"/>
      <c r="AK95" s="640"/>
      <c r="AL95" s="640"/>
      <c r="AM95" s="640"/>
      <c r="AN95" s="640"/>
      <c r="AO95" s="640"/>
      <c r="AP95" s="640"/>
      <c r="AQ95" s="640"/>
      <c r="AR95" s="640"/>
      <c r="AS95" s="640"/>
      <c r="AT95" s="640"/>
      <c r="AU95" s="640"/>
      <c r="AV95" s="640"/>
      <c r="AW95" s="640"/>
      <c r="AX95" s="640"/>
    </row>
    <row r="96" spans="7:50" x14ac:dyDescent="0.25"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40"/>
      <c r="V96" s="640"/>
      <c r="W96" s="640"/>
      <c r="X96" s="640"/>
      <c r="Y96" s="640"/>
      <c r="Z96" s="640"/>
      <c r="AA96" s="640"/>
      <c r="AB96" s="640"/>
      <c r="AC96" s="640"/>
      <c r="AD96" s="640"/>
      <c r="AE96" s="640"/>
      <c r="AF96" s="640"/>
      <c r="AG96" s="640"/>
      <c r="AH96" s="640"/>
      <c r="AI96" s="640"/>
      <c r="AJ96" s="640"/>
      <c r="AK96" s="640"/>
      <c r="AL96" s="640"/>
      <c r="AM96" s="640"/>
      <c r="AN96" s="640"/>
      <c r="AO96" s="640"/>
      <c r="AP96" s="640"/>
      <c r="AQ96" s="640"/>
      <c r="AR96" s="640"/>
      <c r="AS96" s="640"/>
      <c r="AT96" s="640"/>
      <c r="AU96" s="640"/>
      <c r="AV96" s="640"/>
      <c r="AW96" s="640"/>
      <c r="AX96" s="640"/>
    </row>
    <row r="97" spans="7:50" x14ac:dyDescent="0.25"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40"/>
      <c r="V97" s="640"/>
      <c r="W97" s="640"/>
      <c r="X97" s="640"/>
      <c r="Y97" s="640"/>
      <c r="Z97" s="640"/>
      <c r="AA97" s="640"/>
      <c r="AB97" s="640"/>
      <c r="AC97" s="640"/>
      <c r="AD97" s="640"/>
      <c r="AE97" s="640"/>
      <c r="AF97" s="640"/>
      <c r="AG97" s="640"/>
      <c r="AH97" s="640"/>
      <c r="AI97" s="640"/>
      <c r="AJ97" s="640"/>
      <c r="AK97" s="640"/>
      <c r="AL97" s="640"/>
      <c r="AM97" s="640"/>
      <c r="AN97" s="640"/>
      <c r="AO97" s="640"/>
      <c r="AP97" s="640"/>
      <c r="AQ97" s="640"/>
      <c r="AR97" s="640"/>
      <c r="AS97" s="640"/>
      <c r="AT97" s="640"/>
      <c r="AU97" s="640"/>
      <c r="AV97" s="640"/>
      <c r="AW97" s="640"/>
      <c r="AX97" s="640"/>
    </row>
    <row r="98" spans="7:50" x14ac:dyDescent="0.25"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40"/>
      <c r="V98" s="640"/>
      <c r="W98" s="640"/>
      <c r="X98" s="640"/>
      <c r="Y98" s="640"/>
      <c r="Z98" s="640"/>
      <c r="AA98" s="640"/>
      <c r="AB98" s="640"/>
      <c r="AC98" s="640"/>
      <c r="AD98" s="640"/>
      <c r="AE98" s="640"/>
      <c r="AF98" s="640"/>
      <c r="AG98" s="640"/>
      <c r="AH98" s="640"/>
      <c r="AI98" s="640"/>
      <c r="AJ98" s="640"/>
      <c r="AK98" s="640"/>
      <c r="AL98" s="640"/>
      <c r="AM98" s="640"/>
      <c r="AN98" s="640"/>
      <c r="AO98" s="640"/>
      <c r="AP98" s="640"/>
      <c r="AQ98" s="640"/>
      <c r="AR98" s="640"/>
      <c r="AS98" s="640"/>
      <c r="AT98" s="640"/>
      <c r="AU98" s="640"/>
      <c r="AV98" s="640"/>
      <c r="AW98" s="640"/>
      <c r="AX98" s="640"/>
    </row>
    <row r="99" spans="7:50" x14ac:dyDescent="0.25">
      <c r="G99" s="639"/>
      <c r="H99" s="639"/>
      <c r="I99" s="639"/>
      <c r="J99" s="639"/>
      <c r="K99" s="639"/>
      <c r="L99" s="639"/>
      <c r="M99" s="639"/>
      <c r="N99" s="639"/>
      <c r="O99" s="639"/>
      <c r="P99" s="639"/>
      <c r="Q99" s="639"/>
      <c r="R99" s="639"/>
      <c r="S99" s="639"/>
      <c r="T99" s="639"/>
      <c r="U99" s="640"/>
      <c r="V99" s="640"/>
      <c r="W99" s="640"/>
      <c r="X99" s="640"/>
      <c r="Y99" s="640"/>
      <c r="Z99" s="640"/>
      <c r="AA99" s="640"/>
      <c r="AB99" s="640"/>
      <c r="AC99" s="640"/>
      <c r="AD99" s="640"/>
      <c r="AE99" s="640"/>
      <c r="AF99" s="640"/>
      <c r="AG99" s="640"/>
      <c r="AH99" s="640"/>
      <c r="AI99" s="640"/>
      <c r="AJ99" s="640"/>
      <c r="AK99" s="640"/>
      <c r="AL99" s="640"/>
      <c r="AM99" s="640"/>
      <c r="AN99" s="640"/>
      <c r="AO99" s="640"/>
      <c r="AP99" s="640"/>
      <c r="AQ99" s="640"/>
      <c r="AR99" s="640"/>
      <c r="AS99" s="640"/>
      <c r="AT99" s="640"/>
      <c r="AU99" s="640"/>
      <c r="AV99" s="640"/>
      <c r="AW99" s="640"/>
      <c r="AX99" s="640"/>
    </row>
    <row r="100" spans="7:50" x14ac:dyDescent="0.25"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40"/>
      <c r="V100" s="640"/>
      <c r="W100" s="640"/>
      <c r="X100" s="640"/>
      <c r="Y100" s="640"/>
      <c r="Z100" s="640"/>
      <c r="AA100" s="640"/>
      <c r="AB100" s="640"/>
      <c r="AC100" s="640"/>
      <c r="AD100" s="640"/>
      <c r="AE100" s="640"/>
      <c r="AF100" s="640"/>
      <c r="AG100" s="640"/>
      <c r="AH100" s="640"/>
      <c r="AI100" s="640"/>
      <c r="AJ100" s="640"/>
      <c r="AK100" s="640"/>
      <c r="AL100" s="640"/>
      <c r="AM100" s="640"/>
      <c r="AN100" s="640"/>
      <c r="AO100" s="640"/>
      <c r="AP100" s="640"/>
      <c r="AQ100" s="640"/>
      <c r="AR100" s="640"/>
      <c r="AS100" s="640"/>
      <c r="AT100" s="640"/>
      <c r="AU100" s="640"/>
      <c r="AV100" s="640"/>
      <c r="AW100" s="640"/>
      <c r="AX100" s="640"/>
    </row>
    <row r="101" spans="7:50" x14ac:dyDescent="0.25"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40"/>
      <c r="V101" s="640"/>
      <c r="W101" s="640"/>
      <c r="X101" s="640"/>
      <c r="Y101" s="640"/>
      <c r="Z101" s="640"/>
      <c r="AA101" s="640"/>
      <c r="AB101" s="640"/>
      <c r="AC101" s="640"/>
      <c r="AD101" s="640"/>
      <c r="AE101" s="640"/>
      <c r="AF101" s="640"/>
      <c r="AG101" s="640"/>
      <c r="AH101" s="640"/>
      <c r="AI101" s="640"/>
      <c r="AJ101" s="640"/>
      <c r="AK101" s="640"/>
      <c r="AL101" s="640"/>
      <c r="AM101" s="640"/>
      <c r="AN101" s="640"/>
      <c r="AO101" s="640"/>
      <c r="AP101" s="640"/>
      <c r="AQ101" s="640"/>
      <c r="AR101" s="640"/>
      <c r="AS101" s="640"/>
      <c r="AT101" s="640"/>
      <c r="AU101" s="640"/>
      <c r="AV101" s="640"/>
      <c r="AW101" s="640"/>
      <c r="AX101" s="640"/>
    </row>
    <row r="102" spans="7:50" x14ac:dyDescent="0.25"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40"/>
      <c r="V102" s="640"/>
      <c r="W102" s="640"/>
      <c r="X102" s="640"/>
      <c r="Y102" s="640"/>
      <c r="Z102" s="640"/>
      <c r="AA102" s="640"/>
      <c r="AB102" s="640"/>
      <c r="AC102" s="640"/>
      <c r="AD102" s="640"/>
      <c r="AE102" s="640"/>
      <c r="AF102" s="640"/>
      <c r="AG102" s="640"/>
      <c r="AH102" s="640"/>
      <c r="AI102" s="640"/>
      <c r="AJ102" s="640"/>
      <c r="AK102" s="640"/>
      <c r="AL102" s="640"/>
      <c r="AM102" s="640"/>
      <c r="AN102" s="640"/>
      <c r="AO102" s="640"/>
      <c r="AP102" s="640"/>
      <c r="AQ102" s="640"/>
      <c r="AR102" s="640"/>
      <c r="AS102" s="640"/>
      <c r="AT102" s="640"/>
      <c r="AU102" s="640"/>
      <c r="AV102" s="640"/>
      <c r="AW102" s="640"/>
      <c r="AX102" s="640"/>
    </row>
    <row r="103" spans="7:50" x14ac:dyDescent="0.25"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40"/>
      <c r="V103" s="640"/>
      <c r="W103" s="640"/>
      <c r="X103" s="640"/>
      <c r="Y103" s="640"/>
      <c r="Z103" s="640"/>
      <c r="AA103" s="640"/>
      <c r="AB103" s="640"/>
      <c r="AC103" s="640"/>
      <c r="AD103" s="640"/>
      <c r="AE103" s="640"/>
      <c r="AF103" s="640"/>
      <c r="AG103" s="640"/>
      <c r="AH103" s="640"/>
      <c r="AI103" s="640"/>
      <c r="AJ103" s="640"/>
      <c r="AK103" s="640"/>
      <c r="AL103" s="640"/>
      <c r="AM103" s="640"/>
      <c r="AN103" s="640"/>
      <c r="AO103" s="640"/>
      <c r="AP103" s="640"/>
      <c r="AQ103" s="640"/>
      <c r="AR103" s="640"/>
      <c r="AS103" s="640"/>
      <c r="AT103" s="640"/>
      <c r="AU103" s="640"/>
      <c r="AV103" s="640"/>
      <c r="AW103" s="640"/>
      <c r="AX103" s="640"/>
    </row>
    <row r="104" spans="7:50" x14ac:dyDescent="0.25"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4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640"/>
      <c r="AK104" s="640"/>
      <c r="AL104" s="640"/>
      <c r="AM104" s="640"/>
      <c r="AN104" s="640"/>
      <c r="AO104" s="640"/>
      <c r="AP104" s="640"/>
      <c r="AQ104" s="640"/>
      <c r="AR104" s="640"/>
      <c r="AS104" s="640"/>
      <c r="AT104" s="640"/>
      <c r="AU104" s="640"/>
      <c r="AV104" s="640"/>
      <c r="AW104" s="640"/>
      <c r="AX104" s="640"/>
    </row>
    <row r="105" spans="7:50" x14ac:dyDescent="0.25"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40"/>
      <c r="V105" s="640"/>
      <c r="W105" s="640"/>
      <c r="X105" s="640"/>
      <c r="Y105" s="640"/>
      <c r="Z105" s="640"/>
      <c r="AA105" s="640"/>
      <c r="AB105" s="640"/>
      <c r="AC105" s="640"/>
      <c r="AD105" s="640"/>
      <c r="AE105" s="640"/>
      <c r="AF105" s="640"/>
      <c r="AG105" s="640"/>
      <c r="AH105" s="640"/>
      <c r="AI105" s="640"/>
      <c r="AJ105" s="640"/>
      <c r="AK105" s="640"/>
      <c r="AL105" s="640"/>
      <c r="AM105" s="640"/>
      <c r="AN105" s="640"/>
      <c r="AO105" s="640"/>
      <c r="AP105" s="640"/>
      <c r="AQ105" s="640"/>
      <c r="AR105" s="640"/>
      <c r="AS105" s="640"/>
      <c r="AT105" s="640"/>
      <c r="AU105" s="640"/>
      <c r="AV105" s="640"/>
      <c r="AW105" s="640"/>
      <c r="AX105" s="640"/>
    </row>
    <row r="106" spans="7:50" x14ac:dyDescent="0.25"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  <c r="V106" s="640"/>
      <c r="W106" s="640"/>
      <c r="X106" s="640"/>
      <c r="Y106" s="640"/>
      <c r="Z106" s="640"/>
      <c r="AA106" s="640"/>
      <c r="AB106" s="640"/>
      <c r="AC106" s="640"/>
      <c r="AD106" s="640"/>
      <c r="AE106" s="640"/>
      <c r="AF106" s="640"/>
      <c r="AG106" s="640"/>
      <c r="AH106" s="640"/>
      <c r="AI106" s="640"/>
      <c r="AJ106" s="640"/>
      <c r="AK106" s="640"/>
      <c r="AL106" s="640"/>
      <c r="AM106" s="640"/>
      <c r="AN106" s="640"/>
      <c r="AO106" s="640"/>
      <c r="AP106" s="640"/>
      <c r="AQ106" s="640"/>
      <c r="AR106" s="640"/>
      <c r="AS106" s="640"/>
      <c r="AT106" s="640"/>
      <c r="AU106" s="640"/>
      <c r="AV106" s="640"/>
      <c r="AW106" s="640"/>
      <c r="AX106" s="640"/>
    </row>
    <row r="107" spans="7:50" x14ac:dyDescent="0.25"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40"/>
      <c r="V107" s="640"/>
      <c r="W107" s="640"/>
      <c r="X107" s="640"/>
      <c r="Y107" s="640"/>
      <c r="Z107" s="640"/>
      <c r="AA107" s="640"/>
      <c r="AB107" s="640"/>
      <c r="AC107" s="640"/>
      <c r="AD107" s="640"/>
      <c r="AE107" s="640"/>
      <c r="AF107" s="640"/>
      <c r="AG107" s="640"/>
      <c r="AH107" s="640"/>
      <c r="AI107" s="640"/>
      <c r="AJ107" s="640"/>
      <c r="AK107" s="640"/>
      <c r="AL107" s="640"/>
      <c r="AM107" s="640"/>
      <c r="AN107" s="640"/>
      <c r="AO107" s="640"/>
      <c r="AP107" s="640"/>
      <c r="AQ107" s="640"/>
      <c r="AR107" s="640"/>
      <c r="AS107" s="640"/>
      <c r="AT107" s="640"/>
      <c r="AU107" s="640"/>
      <c r="AV107" s="640"/>
      <c r="AW107" s="640"/>
      <c r="AX107" s="640"/>
    </row>
    <row r="108" spans="7:50" x14ac:dyDescent="0.25"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40"/>
      <c r="V108" s="640"/>
      <c r="W108" s="640"/>
      <c r="X108" s="640"/>
      <c r="Y108" s="640"/>
      <c r="Z108" s="640"/>
      <c r="AA108" s="640"/>
      <c r="AB108" s="640"/>
      <c r="AC108" s="640"/>
      <c r="AD108" s="640"/>
      <c r="AE108" s="640"/>
      <c r="AF108" s="640"/>
      <c r="AG108" s="640"/>
      <c r="AH108" s="640"/>
      <c r="AI108" s="640"/>
      <c r="AJ108" s="640"/>
      <c r="AK108" s="640"/>
      <c r="AL108" s="640"/>
      <c r="AM108" s="640"/>
      <c r="AN108" s="640"/>
      <c r="AO108" s="640"/>
      <c r="AP108" s="640"/>
      <c r="AQ108" s="640"/>
      <c r="AR108" s="640"/>
      <c r="AS108" s="640"/>
      <c r="AT108" s="640"/>
      <c r="AU108" s="640"/>
      <c r="AV108" s="640"/>
      <c r="AW108" s="640"/>
      <c r="AX108" s="640"/>
    </row>
    <row r="109" spans="7:50" x14ac:dyDescent="0.25"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40"/>
      <c r="V109" s="640"/>
      <c r="W109" s="640"/>
      <c r="X109" s="640"/>
      <c r="Y109" s="640"/>
      <c r="Z109" s="640"/>
      <c r="AA109" s="640"/>
      <c r="AB109" s="640"/>
      <c r="AC109" s="640"/>
      <c r="AD109" s="640"/>
      <c r="AE109" s="640"/>
      <c r="AF109" s="640"/>
      <c r="AG109" s="640"/>
      <c r="AH109" s="640"/>
      <c r="AI109" s="640"/>
      <c r="AJ109" s="640"/>
      <c r="AK109" s="640"/>
      <c r="AL109" s="640"/>
      <c r="AM109" s="640"/>
      <c r="AN109" s="640"/>
      <c r="AO109" s="640"/>
      <c r="AP109" s="640"/>
      <c r="AQ109" s="640"/>
      <c r="AR109" s="640"/>
      <c r="AS109" s="640"/>
      <c r="AT109" s="640"/>
      <c r="AU109" s="640"/>
      <c r="AV109" s="640"/>
      <c r="AW109" s="640"/>
      <c r="AX109" s="640"/>
    </row>
    <row r="110" spans="7:50" x14ac:dyDescent="0.25"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640"/>
      <c r="V110" s="640"/>
      <c r="W110" s="640"/>
      <c r="X110" s="640"/>
      <c r="Y110" s="640"/>
      <c r="Z110" s="640"/>
      <c r="AA110" s="640"/>
      <c r="AB110" s="640"/>
      <c r="AC110" s="640"/>
      <c r="AD110" s="640"/>
      <c r="AE110" s="640"/>
      <c r="AF110" s="640"/>
      <c r="AG110" s="640"/>
      <c r="AH110" s="640"/>
      <c r="AI110" s="640"/>
      <c r="AJ110" s="640"/>
      <c r="AK110" s="640"/>
      <c r="AL110" s="640"/>
      <c r="AM110" s="640"/>
      <c r="AN110" s="640"/>
      <c r="AO110" s="640"/>
      <c r="AP110" s="640"/>
      <c r="AQ110" s="640"/>
      <c r="AR110" s="640"/>
      <c r="AS110" s="640"/>
      <c r="AT110" s="640"/>
      <c r="AU110" s="640"/>
      <c r="AV110" s="640"/>
      <c r="AW110" s="640"/>
      <c r="AX110" s="640"/>
    </row>
    <row r="111" spans="7:50" x14ac:dyDescent="0.25"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640"/>
      <c r="V111" s="640"/>
      <c r="W111" s="640"/>
      <c r="X111" s="640"/>
      <c r="Y111" s="640"/>
      <c r="Z111" s="640"/>
      <c r="AA111" s="640"/>
      <c r="AB111" s="640"/>
      <c r="AC111" s="640"/>
      <c r="AD111" s="640"/>
      <c r="AE111" s="640"/>
      <c r="AF111" s="640"/>
      <c r="AG111" s="640"/>
      <c r="AH111" s="640"/>
      <c r="AI111" s="640"/>
      <c r="AJ111" s="640"/>
      <c r="AK111" s="640"/>
      <c r="AL111" s="640"/>
      <c r="AM111" s="640"/>
      <c r="AN111" s="640"/>
      <c r="AO111" s="640"/>
      <c r="AP111" s="640"/>
      <c r="AQ111" s="640"/>
      <c r="AR111" s="640"/>
      <c r="AS111" s="640"/>
      <c r="AT111" s="640"/>
      <c r="AU111" s="640"/>
      <c r="AV111" s="640"/>
      <c r="AW111" s="640"/>
      <c r="AX111" s="640"/>
    </row>
    <row r="112" spans="7:50" x14ac:dyDescent="0.25">
      <c r="G112" s="582"/>
      <c r="H112" s="582"/>
      <c r="I112" s="582"/>
      <c r="J112" s="582"/>
      <c r="K112" s="582"/>
      <c r="L112" s="582"/>
      <c r="M112" s="582"/>
      <c r="N112" s="582"/>
      <c r="O112" s="582"/>
      <c r="P112" s="582"/>
      <c r="Q112" s="582"/>
      <c r="R112" s="582"/>
      <c r="S112" s="582"/>
      <c r="T112" s="582"/>
      <c r="U112" s="640"/>
      <c r="V112" s="640"/>
      <c r="W112" s="640"/>
      <c r="X112" s="640"/>
      <c r="Y112" s="640"/>
      <c r="Z112" s="640"/>
      <c r="AA112" s="640"/>
      <c r="AB112" s="640"/>
      <c r="AC112" s="640"/>
      <c r="AD112" s="640"/>
      <c r="AE112" s="640"/>
      <c r="AF112" s="640"/>
      <c r="AG112" s="640"/>
      <c r="AH112" s="640"/>
      <c r="AI112" s="640"/>
      <c r="AJ112" s="640"/>
      <c r="AK112" s="640"/>
      <c r="AL112" s="640"/>
      <c r="AM112" s="640"/>
      <c r="AN112" s="640"/>
      <c r="AO112" s="640"/>
      <c r="AP112" s="640"/>
      <c r="AQ112" s="640"/>
      <c r="AR112" s="640"/>
      <c r="AS112" s="640"/>
      <c r="AT112" s="640"/>
      <c r="AU112" s="640"/>
      <c r="AV112" s="640"/>
      <c r="AW112" s="640"/>
      <c r="AX112" s="640"/>
    </row>
    <row r="113" spans="7:50" x14ac:dyDescent="0.25"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640"/>
      <c r="V113" s="640"/>
      <c r="W113" s="640"/>
      <c r="X113" s="640"/>
      <c r="Y113" s="640"/>
      <c r="Z113" s="640"/>
      <c r="AA113" s="640"/>
      <c r="AB113" s="640"/>
      <c r="AC113" s="640"/>
      <c r="AD113" s="640"/>
      <c r="AE113" s="640"/>
      <c r="AF113" s="640"/>
      <c r="AG113" s="640"/>
      <c r="AH113" s="640"/>
      <c r="AI113" s="640"/>
      <c r="AJ113" s="640"/>
      <c r="AK113" s="640"/>
      <c r="AL113" s="640"/>
      <c r="AM113" s="640"/>
      <c r="AN113" s="640"/>
      <c r="AO113" s="640"/>
      <c r="AP113" s="640"/>
      <c r="AQ113" s="640"/>
      <c r="AR113" s="640"/>
      <c r="AS113" s="640"/>
      <c r="AT113" s="640"/>
      <c r="AU113" s="640"/>
      <c r="AV113" s="640"/>
      <c r="AW113" s="640"/>
      <c r="AX113" s="640"/>
    </row>
    <row r="114" spans="7:50" x14ac:dyDescent="0.25">
      <c r="G114" s="582"/>
      <c r="H114" s="582"/>
      <c r="I114" s="582"/>
      <c r="J114" s="582"/>
      <c r="K114" s="582"/>
      <c r="L114" s="582"/>
      <c r="M114" s="582"/>
      <c r="N114" s="582"/>
      <c r="O114" s="582"/>
      <c r="P114" s="582"/>
      <c r="Q114" s="582"/>
      <c r="R114" s="582"/>
      <c r="S114" s="582"/>
      <c r="T114" s="582"/>
      <c r="U114" s="640"/>
      <c r="V114" s="640"/>
      <c r="W114" s="640"/>
      <c r="X114" s="640"/>
      <c r="Y114" s="640"/>
      <c r="Z114" s="640"/>
      <c r="AA114" s="640"/>
      <c r="AB114" s="640"/>
      <c r="AC114" s="640"/>
      <c r="AD114" s="640"/>
      <c r="AE114" s="640"/>
      <c r="AF114" s="640"/>
      <c r="AG114" s="640"/>
      <c r="AH114" s="640"/>
      <c r="AI114" s="640"/>
      <c r="AJ114" s="640"/>
      <c r="AK114" s="640"/>
      <c r="AL114" s="640"/>
      <c r="AM114" s="640"/>
      <c r="AN114" s="640"/>
      <c r="AO114" s="640"/>
      <c r="AP114" s="640"/>
      <c r="AQ114" s="640"/>
      <c r="AR114" s="640"/>
      <c r="AS114" s="640"/>
      <c r="AT114" s="640"/>
      <c r="AU114" s="640"/>
      <c r="AV114" s="640"/>
      <c r="AW114" s="640"/>
      <c r="AX114" s="640"/>
    </row>
    <row r="115" spans="7:50" x14ac:dyDescent="0.25">
      <c r="G115" s="582"/>
      <c r="H115" s="582"/>
      <c r="I115" s="582"/>
      <c r="J115" s="582"/>
      <c r="K115" s="582"/>
      <c r="L115" s="582"/>
      <c r="M115" s="582"/>
      <c r="N115" s="582"/>
      <c r="O115" s="582"/>
      <c r="P115" s="582"/>
      <c r="Q115" s="582"/>
      <c r="R115" s="582"/>
      <c r="S115" s="582"/>
      <c r="T115" s="582"/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0"/>
      <c r="AI115" s="640"/>
      <c r="AJ115" s="640"/>
      <c r="AK115" s="640"/>
      <c r="AL115" s="640"/>
      <c r="AM115" s="640"/>
      <c r="AN115" s="640"/>
      <c r="AO115" s="640"/>
      <c r="AP115" s="640"/>
      <c r="AQ115" s="640"/>
      <c r="AR115" s="640"/>
      <c r="AS115" s="640"/>
      <c r="AT115" s="640"/>
      <c r="AU115" s="640"/>
      <c r="AV115" s="640"/>
      <c r="AW115" s="640"/>
      <c r="AX115" s="640"/>
    </row>
    <row r="116" spans="7:50" x14ac:dyDescent="0.25">
      <c r="G116" s="582"/>
      <c r="H116" s="582"/>
      <c r="I116" s="582"/>
      <c r="J116" s="582"/>
      <c r="K116" s="582"/>
      <c r="L116" s="582"/>
      <c r="M116" s="582"/>
      <c r="N116" s="582"/>
      <c r="O116" s="582"/>
      <c r="P116" s="582"/>
      <c r="Q116" s="582"/>
      <c r="R116" s="582"/>
      <c r="S116" s="582"/>
      <c r="T116" s="582"/>
      <c r="U116" s="640"/>
      <c r="V116" s="640"/>
      <c r="W116" s="640"/>
      <c r="X116" s="640"/>
      <c r="Y116" s="640"/>
      <c r="Z116" s="640"/>
      <c r="AA116" s="640"/>
      <c r="AB116" s="640"/>
      <c r="AC116" s="640"/>
      <c r="AD116" s="640"/>
      <c r="AE116" s="640"/>
      <c r="AF116" s="640"/>
      <c r="AG116" s="640"/>
      <c r="AH116" s="640"/>
      <c r="AI116" s="640"/>
      <c r="AJ116" s="640"/>
      <c r="AK116" s="640"/>
      <c r="AL116" s="640"/>
      <c r="AM116" s="640"/>
      <c r="AN116" s="640"/>
      <c r="AO116" s="640"/>
      <c r="AP116" s="640"/>
      <c r="AQ116" s="640"/>
      <c r="AR116" s="640"/>
      <c r="AS116" s="640"/>
      <c r="AT116" s="640"/>
      <c r="AU116" s="640"/>
      <c r="AV116" s="640"/>
      <c r="AW116" s="640"/>
      <c r="AX116" s="640"/>
    </row>
    <row r="117" spans="7:50" x14ac:dyDescent="0.25">
      <c r="G117" s="582"/>
      <c r="H117" s="582"/>
      <c r="I117" s="582"/>
      <c r="J117" s="582"/>
      <c r="K117" s="582"/>
      <c r="L117" s="582"/>
      <c r="M117" s="582"/>
      <c r="N117" s="582"/>
      <c r="O117" s="582"/>
      <c r="P117" s="582"/>
      <c r="Q117" s="582"/>
      <c r="R117" s="582"/>
      <c r="S117" s="582"/>
      <c r="T117" s="582"/>
      <c r="U117" s="640"/>
      <c r="V117" s="640"/>
      <c r="W117" s="640"/>
      <c r="X117" s="640"/>
      <c r="Y117" s="640"/>
      <c r="Z117" s="640"/>
      <c r="AA117" s="640"/>
      <c r="AB117" s="640"/>
      <c r="AC117" s="640"/>
      <c r="AD117" s="640"/>
      <c r="AE117" s="640"/>
      <c r="AF117" s="640"/>
      <c r="AG117" s="640"/>
      <c r="AH117" s="640"/>
      <c r="AI117" s="640"/>
      <c r="AJ117" s="640"/>
      <c r="AK117" s="640"/>
      <c r="AL117" s="640"/>
      <c r="AM117" s="640"/>
      <c r="AN117" s="640"/>
      <c r="AO117" s="640"/>
      <c r="AP117" s="640"/>
      <c r="AQ117" s="640"/>
      <c r="AR117" s="640"/>
      <c r="AS117" s="640"/>
      <c r="AT117" s="640"/>
      <c r="AU117" s="640"/>
      <c r="AV117" s="640"/>
      <c r="AW117" s="640"/>
      <c r="AX117" s="640"/>
    </row>
    <row r="118" spans="7:50" x14ac:dyDescent="0.25">
      <c r="G118" s="582"/>
      <c r="H118" s="582"/>
      <c r="I118" s="582"/>
      <c r="J118" s="582"/>
      <c r="K118" s="582"/>
      <c r="L118" s="582"/>
      <c r="M118" s="582"/>
      <c r="N118" s="582"/>
      <c r="O118" s="582"/>
      <c r="P118" s="582"/>
      <c r="Q118" s="582"/>
      <c r="R118" s="582"/>
      <c r="S118" s="582"/>
      <c r="T118" s="582"/>
      <c r="U118" s="640"/>
      <c r="V118" s="640"/>
      <c r="W118" s="640"/>
      <c r="X118" s="640"/>
      <c r="Y118" s="640"/>
      <c r="Z118" s="640"/>
      <c r="AA118" s="640"/>
      <c r="AB118" s="640"/>
      <c r="AC118" s="640"/>
      <c r="AD118" s="640"/>
      <c r="AE118" s="640"/>
      <c r="AF118" s="640"/>
      <c r="AG118" s="640"/>
      <c r="AH118" s="640"/>
      <c r="AI118" s="640"/>
      <c r="AJ118" s="640"/>
      <c r="AK118" s="640"/>
      <c r="AL118" s="640"/>
      <c r="AM118" s="640"/>
      <c r="AN118" s="640"/>
      <c r="AO118" s="640"/>
      <c r="AP118" s="640"/>
      <c r="AQ118" s="640"/>
      <c r="AR118" s="640"/>
      <c r="AS118" s="640"/>
      <c r="AT118" s="640"/>
      <c r="AU118" s="640"/>
      <c r="AV118" s="640"/>
      <c r="AW118" s="640"/>
      <c r="AX118" s="640"/>
    </row>
    <row r="119" spans="7:50" x14ac:dyDescent="0.25">
      <c r="G119" s="582"/>
      <c r="H119" s="582"/>
      <c r="I119" s="582"/>
      <c r="J119" s="582"/>
      <c r="K119" s="582"/>
      <c r="L119" s="582"/>
      <c r="M119" s="582"/>
      <c r="N119" s="582"/>
      <c r="O119" s="582"/>
      <c r="P119" s="582"/>
      <c r="Q119" s="582"/>
      <c r="R119" s="582"/>
      <c r="S119" s="582"/>
      <c r="T119" s="582"/>
      <c r="U119" s="640"/>
      <c r="V119" s="640"/>
      <c r="W119" s="640"/>
      <c r="X119" s="640"/>
      <c r="Y119" s="640"/>
      <c r="Z119" s="640"/>
      <c r="AA119" s="640"/>
      <c r="AB119" s="640"/>
      <c r="AC119" s="640"/>
      <c r="AD119" s="640"/>
      <c r="AE119" s="640"/>
      <c r="AF119" s="640"/>
      <c r="AG119" s="640"/>
      <c r="AH119" s="640"/>
      <c r="AI119" s="640"/>
      <c r="AJ119" s="640"/>
      <c r="AK119" s="640"/>
      <c r="AL119" s="640"/>
      <c r="AM119" s="640"/>
      <c r="AN119" s="640"/>
      <c r="AO119" s="640"/>
      <c r="AP119" s="640"/>
      <c r="AQ119" s="640"/>
      <c r="AR119" s="640"/>
      <c r="AS119" s="640"/>
      <c r="AT119" s="640"/>
      <c r="AU119" s="640"/>
      <c r="AV119" s="640"/>
      <c r="AW119" s="640"/>
      <c r="AX119" s="640"/>
    </row>
    <row r="120" spans="7:50" x14ac:dyDescent="0.25"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0"/>
      <c r="S120" s="640"/>
      <c r="T120" s="640"/>
      <c r="U120" s="640"/>
      <c r="V120" s="640"/>
      <c r="W120" s="640"/>
      <c r="X120" s="640"/>
      <c r="Y120" s="640"/>
      <c r="Z120" s="640"/>
      <c r="AA120" s="640"/>
      <c r="AB120" s="640"/>
      <c r="AC120" s="640"/>
      <c r="AD120" s="640"/>
      <c r="AE120" s="640"/>
      <c r="AF120" s="640"/>
      <c r="AG120" s="640"/>
      <c r="AH120" s="640"/>
      <c r="AI120" s="640"/>
      <c r="AJ120" s="640"/>
      <c r="AK120" s="640"/>
      <c r="AL120" s="640"/>
      <c r="AM120" s="640"/>
      <c r="AN120" s="640"/>
      <c r="AO120" s="640"/>
      <c r="AP120" s="640"/>
      <c r="AQ120" s="640"/>
      <c r="AR120" s="640"/>
      <c r="AS120" s="640"/>
      <c r="AT120" s="640"/>
      <c r="AU120" s="640"/>
      <c r="AV120" s="640"/>
      <c r="AW120" s="640"/>
      <c r="AX120" s="640"/>
    </row>
    <row r="121" spans="7:50" x14ac:dyDescent="0.25"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0"/>
      <c r="AA121" s="640"/>
      <c r="AB121" s="640"/>
      <c r="AC121" s="640"/>
      <c r="AD121" s="640"/>
      <c r="AE121" s="640"/>
      <c r="AF121" s="640"/>
      <c r="AG121" s="640"/>
      <c r="AH121" s="640"/>
      <c r="AI121" s="640"/>
      <c r="AJ121" s="640"/>
      <c r="AK121" s="640"/>
      <c r="AL121" s="640"/>
      <c r="AM121" s="640"/>
      <c r="AN121" s="640"/>
      <c r="AO121" s="640"/>
      <c r="AP121" s="640"/>
      <c r="AQ121" s="640"/>
      <c r="AR121" s="640"/>
      <c r="AS121" s="640"/>
      <c r="AT121" s="640"/>
      <c r="AU121" s="640"/>
      <c r="AV121" s="640"/>
      <c r="AW121" s="640"/>
      <c r="AX121" s="640"/>
    </row>
    <row r="122" spans="7:50" x14ac:dyDescent="0.25">
      <c r="G122" s="640"/>
      <c r="H122" s="640"/>
      <c r="I122" s="640"/>
      <c r="J122" s="640"/>
      <c r="K122" s="640"/>
      <c r="L122" s="640"/>
      <c r="M122" s="640"/>
      <c r="N122" s="640"/>
      <c r="O122" s="640"/>
      <c r="P122" s="640"/>
      <c r="Q122" s="640"/>
      <c r="R122" s="640"/>
      <c r="S122" s="640"/>
      <c r="T122" s="640"/>
      <c r="U122" s="640"/>
      <c r="V122" s="640"/>
      <c r="W122" s="640"/>
      <c r="X122" s="640"/>
      <c r="Y122" s="640"/>
      <c r="Z122" s="640"/>
      <c r="AA122" s="640"/>
      <c r="AB122" s="640"/>
      <c r="AC122" s="640"/>
      <c r="AD122" s="640"/>
      <c r="AE122" s="640"/>
      <c r="AF122" s="640"/>
      <c r="AG122" s="640"/>
      <c r="AH122" s="640"/>
      <c r="AI122" s="640"/>
      <c r="AJ122" s="640"/>
      <c r="AK122" s="640"/>
      <c r="AL122" s="640"/>
      <c r="AM122" s="640"/>
      <c r="AN122" s="640"/>
      <c r="AO122" s="640"/>
      <c r="AP122" s="640"/>
      <c r="AQ122" s="640"/>
      <c r="AR122" s="640"/>
      <c r="AS122" s="640"/>
      <c r="AT122" s="640"/>
      <c r="AU122" s="640"/>
      <c r="AV122" s="640"/>
      <c r="AW122" s="640"/>
      <c r="AX122" s="640"/>
    </row>
    <row r="123" spans="7:50" x14ac:dyDescent="0.25">
      <c r="G123" s="640"/>
      <c r="H123" s="640"/>
      <c r="I123" s="640"/>
      <c r="J123" s="640"/>
      <c r="K123" s="640"/>
      <c r="L123" s="640"/>
      <c r="M123" s="640"/>
      <c r="N123" s="640"/>
      <c r="O123" s="640"/>
      <c r="P123" s="640"/>
      <c r="Q123" s="640"/>
      <c r="R123" s="640"/>
      <c r="S123" s="640"/>
      <c r="T123" s="640"/>
      <c r="U123" s="640"/>
      <c r="V123" s="640"/>
      <c r="W123" s="640"/>
      <c r="X123" s="640"/>
      <c r="Y123" s="640"/>
      <c r="Z123" s="640"/>
      <c r="AA123" s="640"/>
      <c r="AB123" s="640"/>
      <c r="AC123" s="640"/>
      <c r="AD123" s="640"/>
      <c r="AE123" s="640"/>
      <c r="AF123" s="640"/>
      <c r="AG123" s="640"/>
      <c r="AH123" s="640"/>
      <c r="AI123" s="640"/>
      <c r="AJ123" s="640"/>
      <c r="AK123" s="640"/>
      <c r="AL123" s="640"/>
      <c r="AM123" s="640"/>
      <c r="AN123" s="640"/>
      <c r="AO123" s="640"/>
      <c r="AP123" s="640"/>
      <c r="AQ123" s="640"/>
      <c r="AR123" s="640"/>
      <c r="AS123" s="640"/>
      <c r="AT123" s="640"/>
      <c r="AU123" s="640"/>
      <c r="AV123" s="640"/>
      <c r="AW123" s="640"/>
      <c r="AX123" s="640"/>
    </row>
    <row r="124" spans="7:50" x14ac:dyDescent="0.25">
      <c r="G124" s="640"/>
      <c r="H124" s="640"/>
      <c r="I124" s="640"/>
      <c r="J124" s="640"/>
      <c r="K124" s="640"/>
      <c r="L124" s="640"/>
      <c r="M124" s="640"/>
      <c r="N124" s="640"/>
      <c r="O124" s="640"/>
      <c r="P124" s="640"/>
      <c r="Q124" s="640"/>
      <c r="R124" s="640"/>
      <c r="S124" s="640"/>
      <c r="T124" s="640"/>
      <c r="U124" s="640"/>
      <c r="V124" s="640"/>
      <c r="W124" s="640"/>
      <c r="X124" s="640"/>
      <c r="Y124" s="640"/>
      <c r="Z124" s="640"/>
      <c r="AA124" s="640"/>
      <c r="AB124" s="640"/>
      <c r="AC124" s="640"/>
      <c r="AD124" s="640"/>
      <c r="AE124" s="640"/>
      <c r="AF124" s="640"/>
      <c r="AG124" s="640"/>
      <c r="AH124" s="640"/>
      <c r="AI124" s="640"/>
      <c r="AJ124" s="640"/>
      <c r="AK124" s="640"/>
      <c r="AL124" s="640"/>
      <c r="AM124" s="640"/>
      <c r="AN124" s="640"/>
      <c r="AO124" s="640"/>
      <c r="AP124" s="640"/>
      <c r="AQ124" s="640"/>
      <c r="AR124" s="640"/>
      <c r="AS124" s="640"/>
      <c r="AT124" s="640"/>
      <c r="AU124" s="640"/>
      <c r="AV124" s="640"/>
      <c r="AW124" s="640"/>
      <c r="AX124" s="640"/>
    </row>
    <row r="125" spans="7:50" x14ac:dyDescent="0.25">
      <c r="G125" s="640"/>
      <c r="H125" s="640"/>
      <c r="I125" s="640"/>
      <c r="J125" s="640"/>
      <c r="K125" s="640"/>
      <c r="L125" s="640"/>
      <c r="M125" s="640"/>
      <c r="N125" s="640"/>
      <c r="O125" s="640"/>
      <c r="P125" s="640"/>
      <c r="Q125" s="640"/>
      <c r="R125" s="640"/>
      <c r="S125" s="640"/>
      <c r="T125" s="640"/>
      <c r="U125" s="640"/>
      <c r="V125" s="640"/>
      <c r="W125" s="640"/>
      <c r="X125" s="640"/>
      <c r="Y125" s="640"/>
      <c r="Z125" s="640"/>
      <c r="AA125" s="640"/>
      <c r="AB125" s="640"/>
      <c r="AC125" s="640"/>
      <c r="AD125" s="640"/>
      <c r="AE125" s="640"/>
      <c r="AF125" s="640"/>
      <c r="AG125" s="640"/>
      <c r="AH125" s="640"/>
      <c r="AI125" s="640"/>
      <c r="AJ125" s="640"/>
      <c r="AK125" s="640"/>
      <c r="AL125" s="640"/>
      <c r="AM125" s="640"/>
      <c r="AN125" s="640"/>
      <c r="AO125" s="640"/>
      <c r="AP125" s="640"/>
      <c r="AQ125" s="640"/>
      <c r="AR125" s="640"/>
      <c r="AS125" s="640"/>
      <c r="AT125" s="640"/>
      <c r="AU125" s="640"/>
      <c r="AV125" s="640"/>
      <c r="AW125" s="640"/>
      <c r="AX125" s="640"/>
    </row>
    <row r="126" spans="7:50" x14ac:dyDescent="0.25"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  <c r="T126" s="640"/>
      <c r="U126" s="640"/>
      <c r="V126" s="640"/>
      <c r="W126" s="640"/>
      <c r="X126" s="640"/>
      <c r="Y126" s="640"/>
      <c r="Z126" s="640"/>
      <c r="AA126" s="640"/>
      <c r="AB126" s="640"/>
      <c r="AC126" s="640"/>
      <c r="AD126" s="640"/>
      <c r="AE126" s="640"/>
      <c r="AF126" s="640"/>
      <c r="AG126" s="640"/>
      <c r="AH126" s="640"/>
      <c r="AI126" s="640"/>
      <c r="AJ126" s="640"/>
      <c r="AK126" s="640"/>
      <c r="AL126" s="640"/>
      <c r="AM126" s="640"/>
      <c r="AN126" s="640"/>
      <c r="AO126" s="640"/>
      <c r="AP126" s="640"/>
      <c r="AQ126" s="640"/>
      <c r="AR126" s="640"/>
      <c r="AS126" s="640"/>
      <c r="AT126" s="640"/>
      <c r="AU126" s="640"/>
      <c r="AV126" s="640"/>
      <c r="AW126" s="640"/>
      <c r="AX126" s="640"/>
    </row>
    <row r="127" spans="7:50" x14ac:dyDescent="0.25"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40"/>
      <c r="U127" s="640"/>
      <c r="V127" s="640"/>
      <c r="W127" s="640"/>
      <c r="X127" s="640"/>
      <c r="Y127" s="640"/>
      <c r="Z127" s="640"/>
      <c r="AA127" s="640"/>
      <c r="AB127" s="640"/>
      <c r="AC127" s="640"/>
      <c r="AD127" s="640"/>
      <c r="AE127" s="640"/>
      <c r="AF127" s="640"/>
      <c r="AG127" s="640"/>
      <c r="AH127" s="640"/>
      <c r="AI127" s="640"/>
      <c r="AJ127" s="640"/>
      <c r="AK127" s="640"/>
      <c r="AL127" s="640"/>
      <c r="AM127" s="640"/>
      <c r="AN127" s="640"/>
      <c r="AO127" s="640"/>
      <c r="AP127" s="640"/>
      <c r="AQ127" s="640"/>
      <c r="AR127" s="640"/>
      <c r="AS127" s="640"/>
      <c r="AT127" s="640"/>
      <c r="AU127" s="640"/>
      <c r="AV127" s="640"/>
      <c r="AW127" s="640"/>
      <c r="AX127" s="640"/>
    </row>
    <row r="128" spans="7:50" x14ac:dyDescent="0.25">
      <c r="G128" s="640"/>
      <c r="H128" s="640"/>
      <c r="I128" s="640"/>
      <c r="J128" s="640"/>
      <c r="K128" s="640"/>
      <c r="L128" s="640"/>
      <c r="M128" s="640"/>
      <c r="N128" s="640"/>
      <c r="O128" s="640"/>
      <c r="P128" s="640"/>
      <c r="Q128" s="640"/>
      <c r="R128" s="640"/>
      <c r="S128" s="640"/>
      <c r="T128" s="640"/>
      <c r="U128" s="640"/>
      <c r="V128" s="640"/>
      <c r="W128" s="640"/>
      <c r="X128" s="640"/>
      <c r="Y128" s="640"/>
      <c r="Z128" s="640"/>
      <c r="AA128" s="640"/>
      <c r="AB128" s="640"/>
      <c r="AC128" s="640"/>
      <c r="AD128" s="640"/>
      <c r="AE128" s="640"/>
      <c r="AF128" s="640"/>
      <c r="AG128" s="640"/>
      <c r="AH128" s="640"/>
      <c r="AI128" s="640"/>
      <c r="AJ128" s="640"/>
      <c r="AK128" s="640"/>
      <c r="AL128" s="640"/>
      <c r="AM128" s="640"/>
      <c r="AN128" s="640"/>
      <c r="AO128" s="640"/>
      <c r="AP128" s="640"/>
      <c r="AQ128" s="640"/>
      <c r="AR128" s="640"/>
      <c r="AS128" s="640"/>
      <c r="AT128" s="640"/>
      <c r="AU128" s="640"/>
      <c r="AV128" s="640"/>
      <c r="AW128" s="640"/>
      <c r="AX128" s="640"/>
    </row>
    <row r="129" spans="7:50" x14ac:dyDescent="0.25">
      <c r="G129" s="640"/>
      <c r="H129" s="640"/>
      <c r="I129" s="640"/>
      <c r="J129" s="640"/>
      <c r="K129" s="640"/>
      <c r="L129" s="640"/>
      <c r="M129" s="640"/>
      <c r="N129" s="640"/>
      <c r="O129" s="640"/>
      <c r="P129" s="640"/>
      <c r="Q129" s="640"/>
      <c r="R129" s="640"/>
      <c r="S129" s="640"/>
      <c r="T129" s="640"/>
      <c r="U129" s="640"/>
      <c r="V129" s="640"/>
      <c r="W129" s="640"/>
      <c r="X129" s="640"/>
      <c r="Y129" s="640"/>
      <c r="Z129" s="640"/>
      <c r="AA129" s="640"/>
      <c r="AB129" s="640"/>
      <c r="AC129" s="640"/>
      <c r="AD129" s="640"/>
      <c r="AE129" s="640"/>
      <c r="AF129" s="640"/>
      <c r="AG129" s="640"/>
      <c r="AH129" s="640"/>
      <c r="AI129" s="640"/>
      <c r="AJ129" s="640"/>
      <c r="AK129" s="640"/>
      <c r="AL129" s="640"/>
      <c r="AM129" s="640"/>
      <c r="AN129" s="640"/>
      <c r="AO129" s="640"/>
      <c r="AP129" s="640"/>
      <c r="AQ129" s="640"/>
      <c r="AR129" s="640"/>
      <c r="AS129" s="640"/>
      <c r="AT129" s="640"/>
      <c r="AU129" s="640"/>
      <c r="AV129" s="640"/>
      <c r="AW129" s="640"/>
      <c r="AX129" s="640"/>
    </row>
    <row r="130" spans="7:50" x14ac:dyDescent="0.25">
      <c r="G130" s="640"/>
      <c r="H130" s="640"/>
      <c r="I130" s="640"/>
      <c r="J130" s="640"/>
      <c r="K130" s="640"/>
      <c r="L130" s="640"/>
      <c r="M130" s="640"/>
      <c r="N130" s="640"/>
      <c r="O130" s="640"/>
      <c r="P130" s="640"/>
      <c r="Q130" s="640"/>
      <c r="R130" s="640"/>
      <c r="S130" s="640"/>
      <c r="T130" s="640"/>
      <c r="U130" s="640"/>
      <c r="V130" s="640"/>
      <c r="W130" s="640"/>
      <c r="X130" s="640"/>
      <c r="Y130" s="640"/>
      <c r="Z130" s="640"/>
      <c r="AA130" s="640"/>
      <c r="AB130" s="640"/>
      <c r="AC130" s="640"/>
      <c r="AD130" s="640"/>
      <c r="AE130" s="640"/>
      <c r="AF130" s="640"/>
      <c r="AG130" s="640"/>
      <c r="AH130" s="640"/>
      <c r="AI130" s="640"/>
      <c r="AJ130" s="640"/>
      <c r="AK130" s="640"/>
      <c r="AL130" s="640"/>
      <c r="AM130" s="640"/>
      <c r="AN130" s="640"/>
      <c r="AO130" s="640"/>
      <c r="AP130" s="640"/>
      <c r="AQ130" s="640"/>
      <c r="AR130" s="640"/>
      <c r="AS130" s="640"/>
      <c r="AT130" s="640"/>
      <c r="AU130" s="640"/>
      <c r="AV130" s="640"/>
      <c r="AW130" s="640"/>
      <c r="AX130" s="640"/>
    </row>
    <row r="131" spans="7:50" x14ac:dyDescent="0.25">
      <c r="G131" s="640"/>
      <c r="H131" s="640"/>
      <c r="I131" s="640"/>
      <c r="J131" s="640"/>
      <c r="K131" s="640"/>
      <c r="L131" s="640"/>
      <c r="M131" s="640"/>
      <c r="N131" s="640"/>
      <c r="O131" s="640"/>
      <c r="P131" s="640"/>
      <c r="Q131" s="640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640"/>
      <c r="AE131" s="640"/>
      <c r="AF131" s="640"/>
      <c r="AG131" s="640"/>
      <c r="AH131" s="640"/>
      <c r="AI131" s="640"/>
      <c r="AJ131" s="640"/>
      <c r="AK131" s="640"/>
      <c r="AL131" s="640"/>
      <c r="AM131" s="640"/>
      <c r="AN131" s="640"/>
      <c r="AO131" s="640"/>
      <c r="AP131" s="640"/>
      <c r="AQ131" s="640"/>
      <c r="AR131" s="640"/>
      <c r="AS131" s="640"/>
      <c r="AT131" s="640"/>
      <c r="AU131" s="640"/>
      <c r="AV131" s="640"/>
      <c r="AW131" s="640"/>
      <c r="AX131" s="640"/>
    </row>
    <row r="132" spans="7:50" x14ac:dyDescent="0.25">
      <c r="G132" s="640"/>
      <c r="H132" s="640"/>
      <c r="I132" s="640"/>
      <c r="J132" s="640"/>
      <c r="K132" s="640"/>
      <c r="L132" s="640"/>
      <c r="M132" s="640"/>
      <c r="N132" s="640"/>
      <c r="O132" s="640"/>
      <c r="P132" s="640"/>
      <c r="Q132" s="640"/>
      <c r="R132" s="640"/>
      <c r="S132" s="640"/>
      <c r="T132" s="640"/>
      <c r="U132" s="640"/>
      <c r="V132" s="640"/>
      <c r="W132" s="640"/>
      <c r="X132" s="640"/>
      <c r="Y132" s="640"/>
      <c r="Z132" s="640"/>
      <c r="AA132" s="640"/>
      <c r="AB132" s="640"/>
      <c r="AC132" s="640"/>
      <c r="AD132" s="640"/>
      <c r="AE132" s="640"/>
      <c r="AF132" s="640"/>
      <c r="AG132" s="640"/>
      <c r="AH132" s="640"/>
      <c r="AI132" s="640"/>
      <c r="AJ132" s="640"/>
      <c r="AK132" s="640"/>
      <c r="AL132" s="640"/>
      <c r="AM132" s="640"/>
      <c r="AN132" s="640"/>
      <c r="AO132" s="640"/>
      <c r="AP132" s="640"/>
      <c r="AQ132" s="640"/>
      <c r="AR132" s="640"/>
      <c r="AS132" s="640"/>
      <c r="AT132" s="640"/>
      <c r="AU132" s="640"/>
      <c r="AV132" s="640"/>
      <c r="AW132" s="640"/>
      <c r="AX132" s="640"/>
    </row>
    <row r="133" spans="7:50" x14ac:dyDescent="0.25">
      <c r="G133" s="640"/>
      <c r="H133" s="640"/>
      <c r="I133" s="640"/>
      <c r="J133" s="640"/>
      <c r="K133" s="640"/>
      <c r="L133" s="640"/>
      <c r="M133" s="640"/>
      <c r="N133" s="640"/>
      <c r="O133" s="640"/>
      <c r="P133" s="640"/>
      <c r="Q133" s="640"/>
      <c r="R133" s="640"/>
      <c r="S133" s="640"/>
      <c r="T133" s="640"/>
      <c r="U133" s="640"/>
      <c r="V133" s="640"/>
      <c r="W133" s="640"/>
      <c r="X133" s="640"/>
      <c r="Y133" s="640"/>
      <c r="Z133" s="640"/>
      <c r="AA133" s="640"/>
      <c r="AB133" s="640"/>
      <c r="AC133" s="640"/>
      <c r="AD133" s="640"/>
      <c r="AE133" s="640"/>
      <c r="AF133" s="640"/>
      <c r="AG133" s="640"/>
      <c r="AH133" s="640"/>
      <c r="AI133" s="640"/>
      <c r="AJ133" s="640"/>
      <c r="AK133" s="640"/>
      <c r="AL133" s="640"/>
      <c r="AM133" s="640"/>
      <c r="AN133" s="640"/>
      <c r="AO133" s="640"/>
      <c r="AP133" s="640"/>
      <c r="AQ133" s="640"/>
      <c r="AR133" s="640"/>
      <c r="AS133" s="640"/>
      <c r="AT133" s="640"/>
      <c r="AU133" s="640"/>
      <c r="AV133" s="640"/>
      <c r="AW133" s="640"/>
      <c r="AX133" s="640"/>
    </row>
    <row r="134" spans="7:50" x14ac:dyDescent="0.25">
      <c r="G134" s="640"/>
      <c r="H134" s="640"/>
      <c r="I134" s="640"/>
      <c r="J134" s="640"/>
      <c r="K134" s="640"/>
      <c r="L134" s="640"/>
      <c r="M134" s="640"/>
      <c r="N134" s="640"/>
      <c r="O134" s="640"/>
      <c r="P134" s="640"/>
      <c r="Q134" s="640"/>
      <c r="R134" s="640"/>
      <c r="S134" s="640"/>
      <c r="T134" s="640"/>
      <c r="U134" s="640"/>
      <c r="V134" s="640"/>
      <c r="W134" s="640"/>
      <c r="X134" s="640"/>
      <c r="Y134" s="640"/>
      <c r="Z134" s="640"/>
      <c r="AA134" s="640"/>
      <c r="AB134" s="640"/>
      <c r="AC134" s="640"/>
      <c r="AD134" s="640"/>
      <c r="AE134" s="640"/>
      <c r="AF134" s="640"/>
      <c r="AG134" s="640"/>
      <c r="AH134" s="640"/>
      <c r="AI134" s="640"/>
      <c r="AJ134" s="640"/>
      <c r="AK134" s="640"/>
      <c r="AL134" s="640"/>
      <c r="AM134" s="640"/>
      <c r="AN134" s="640"/>
      <c r="AO134" s="640"/>
      <c r="AP134" s="640"/>
      <c r="AQ134" s="640"/>
      <c r="AR134" s="640"/>
      <c r="AS134" s="640"/>
      <c r="AT134" s="640"/>
      <c r="AU134" s="640"/>
      <c r="AV134" s="640"/>
      <c r="AW134" s="640"/>
      <c r="AX134" s="640"/>
    </row>
    <row r="135" spans="7:50" x14ac:dyDescent="0.25">
      <c r="G135" s="640"/>
      <c r="H135" s="640"/>
      <c r="I135" s="640"/>
      <c r="J135" s="640"/>
      <c r="K135" s="640"/>
      <c r="L135" s="640"/>
      <c r="M135" s="640"/>
      <c r="N135" s="640"/>
      <c r="O135" s="640"/>
      <c r="P135" s="640"/>
      <c r="Q135" s="640"/>
      <c r="R135" s="640"/>
      <c r="S135" s="640"/>
      <c r="T135" s="640"/>
      <c r="U135" s="640"/>
      <c r="V135" s="640"/>
      <c r="W135" s="640"/>
      <c r="X135" s="640"/>
      <c r="Y135" s="640"/>
      <c r="Z135" s="640"/>
      <c r="AA135" s="640"/>
      <c r="AB135" s="640"/>
      <c r="AC135" s="640"/>
      <c r="AD135" s="640"/>
      <c r="AE135" s="640"/>
      <c r="AF135" s="640"/>
      <c r="AG135" s="640"/>
      <c r="AH135" s="640"/>
      <c r="AI135" s="640"/>
      <c r="AJ135" s="640"/>
      <c r="AK135" s="640"/>
      <c r="AL135" s="640"/>
      <c r="AM135" s="640"/>
      <c r="AN135" s="640"/>
      <c r="AO135" s="640"/>
      <c r="AP135" s="640"/>
      <c r="AQ135" s="640"/>
      <c r="AR135" s="640"/>
      <c r="AS135" s="640"/>
      <c r="AT135" s="640"/>
      <c r="AU135" s="640"/>
      <c r="AV135" s="640"/>
      <c r="AW135" s="640"/>
      <c r="AX135" s="640"/>
    </row>
    <row r="136" spans="7:50" x14ac:dyDescent="0.25">
      <c r="G136" s="640"/>
      <c r="H136" s="640"/>
      <c r="I136" s="640"/>
      <c r="J136" s="640"/>
      <c r="K136" s="640"/>
      <c r="L136" s="640"/>
      <c r="M136" s="640"/>
      <c r="N136" s="640"/>
      <c r="O136" s="640"/>
      <c r="P136" s="640"/>
      <c r="Q136" s="640"/>
      <c r="R136" s="640"/>
      <c r="S136" s="640"/>
      <c r="T136" s="640"/>
      <c r="U136" s="640"/>
      <c r="V136" s="640"/>
      <c r="W136" s="640"/>
      <c r="X136" s="640"/>
      <c r="Y136" s="640"/>
      <c r="Z136" s="640"/>
      <c r="AA136" s="640"/>
      <c r="AB136" s="640"/>
      <c r="AC136" s="640"/>
      <c r="AD136" s="640"/>
      <c r="AE136" s="640"/>
      <c r="AF136" s="640"/>
      <c r="AG136" s="640"/>
      <c r="AH136" s="640"/>
      <c r="AI136" s="640"/>
      <c r="AJ136" s="640"/>
      <c r="AK136" s="640"/>
      <c r="AL136" s="640"/>
      <c r="AM136" s="640"/>
      <c r="AN136" s="640"/>
      <c r="AO136" s="640"/>
      <c r="AP136" s="640"/>
      <c r="AQ136" s="640"/>
      <c r="AR136" s="640"/>
      <c r="AS136" s="640"/>
      <c r="AT136" s="640"/>
      <c r="AU136" s="640"/>
      <c r="AV136" s="640"/>
      <c r="AW136" s="640"/>
      <c r="AX136" s="640"/>
    </row>
    <row r="137" spans="7:50" x14ac:dyDescent="0.25">
      <c r="G137" s="640"/>
      <c r="H137" s="640"/>
      <c r="I137" s="640"/>
      <c r="J137" s="640"/>
      <c r="K137" s="640"/>
      <c r="L137" s="640"/>
      <c r="M137" s="640"/>
      <c r="N137" s="640"/>
      <c r="O137" s="640"/>
      <c r="P137" s="640"/>
      <c r="Q137" s="640"/>
      <c r="R137" s="640"/>
      <c r="S137" s="640"/>
      <c r="T137" s="640"/>
      <c r="U137" s="640"/>
      <c r="V137" s="640"/>
      <c r="W137" s="640"/>
      <c r="X137" s="640"/>
      <c r="Y137" s="640"/>
      <c r="Z137" s="640"/>
      <c r="AA137" s="640"/>
      <c r="AB137" s="640"/>
      <c r="AC137" s="640"/>
      <c r="AD137" s="640"/>
      <c r="AE137" s="640"/>
      <c r="AF137" s="640"/>
      <c r="AG137" s="640"/>
      <c r="AH137" s="640"/>
      <c r="AI137" s="640"/>
      <c r="AJ137" s="640"/>
      <c r="AK137" s="640"/>
      <c r="AL137" s="640"/>
      <c r="AM137" s="640"/>
      <c r="AN137" s="640"/>
      <c r="AO137" s="640"/>
      <c r="AP137" s="640"/>
      <c r="AQ137" s="640"/>
      <c r="AR137" s="640"/>
      <c r="AS137" s="640"/>
      <c r="AT137" s="640"/>
      <c r="AU137" s="640"/>
      <c r="AV137" s="640"/>
      <c r="AW137" s="640"/>
      <c r="AX137" s="640"/>
    </row>
    <row r="138" spans="7:50" x14ac:dyDescent="0.25">
      <c r="G138" s="640"/>
      <c r="H138" s="640"/>
      <c r="I138" s="640"/>
      <c r="J138" s="640"/>
      <c r="K138" s="640"/>
      <c r="L138" s="640"/>
      <c r="M138" s="640"/>
      <c r="N138" s="640"/>
      <c r="O138" s="640"/>
      <c r="P138" s="640"/>
      <c r="Q138" s="640"/>
      <c r="R138" s="640"/>
      <c r="S138" s="640"/>
      <c r="T138" s="640"/>
      <c r="U138" s="640"/>
      <c r="V138" s="640"/>
      <c r="W138" s="640"/>
      <c r="X138" s="640"/>
      <c r="Y138" s="640"/>
      <c r="Z138" s="640"/>
      <c r="AA138" s="640"/>
      <c r="AB138" s="640"/>
      <c r="AC138" s="640"/>
      <c r="AD138" s="640"/>
      <c r="AE138" s="640"/>
      <c r="AF138" s="640"/>
      <c r="AG138" s="640"/>
      <c r="AH138" s="640"/>
      <c r="AI138" s="640"/>
      <c r="AJ138" s="640"/>
      <c r="AK138" s="640"/>
      <c r="AL138" s="640"/>
      <c r="AM138" s="640"/>
      <c r="AN138" s="640"/>
      <c r="AO138" s="640"/>
      <c r="AP138" s="640"/>
      <c r="AQ138" s="640"/>
      <c r="AR138" s="640"/>
      <c r="AS138" s="640"/>
      <c r="AT138" s="640"/>
      <c r="AU138" s="640"/>
      <c r="AV138" s="640"/>
      <c r="AW138" s="640"/>
      <c r="AX138" s="640"/>
    </row>
    <row r="139" spans="7:50" x14ac:dyDescent="0.25">
      <c r="G139" s="640"/>
      <c r="H139" s="640"/>
      <c r="I139" s="640"/>
      <c r="J139" s="640"/>
      <c r="K139" s="640"/>
      <c r="L139" s="640"/>
      <c r="M139" s="640"/>
      <c r="N139" s="640"/>
      <c r="O139" s="640"/>
      <c r="P139" s="640"/>
      <c r="Q139" s="640"/>
      <c r="R139" s="640"/>
      <c r="S139" s="640"/>
      <c r="T139" s="640"/>
      <c r="U139" s="640"/>
      <c r="V139" s="640"/>
      <c r="W139" s="640"/>
      <c r="X139" s="640"/>
      <c r="Y139" s="640"/>
      <c r="Z139" s="640"/>
      <c r="AA139" s="640"/>
      <c r="AB139" s="640"/>
      <c r="AC139" s="640"/>
      <c r="AD139" s="640"/>
      <c r="AE139" s="640"/>
      <c r="AF139" s="640"/>
      <c r="AG139" s="640"/>
      <c r="AH139" s="640"/>
      <c r="AI139" s="640"/>
      <c r="AJ139" s="640"/>
      <c r="AK139" s="640"/>
      <c r="AL139" s="640"/>
      <c r="AM139" s="640"/>
      <c r="AN139" s="640"/>
      <c r="AO139" s="640"/>
      <c r="AP139" s="640"/>
      <c r="AQ139" s="640"/>
      <c r="AR139" s="640"/>
      <c r="AS139" s="640"/>
      <c r="AT139" s="640"/>
      <c r="AU139" s="640"/>
      <c r="AV139" s="640"/>
      <c r="AW139" s="640"/>
      <c r="AX139" s="640"/>
    </row>
    <row r="140" spans="7:50" x14ac:dyDescent="0.25">
      <c r="G140" s="640"/>
      <c r="H140" s="640"/>
      <c r="I140" s="640"/>
      <c r="J140" s="640"/>
      <c r="K140" s="640"/>
      <c r="L140" s="640"/>
      <c r="M140" s="640"/>
      <c r="N140" s="640"/>
      <c r="O140" s="640"/>
      <c r="P140" s="640"/>
      <c r="Q140" s="640"/>
      <c r="R140" s="640"/>
      <c r="S140" s="640"/>
      <c r="T140" s="640"/>
      <c r="U140" s="640"/>
      <c r="V140" s="640"/>
      <c r="W140" s="640"/>
      <c r="X140" s="640"/>
      <c r="Y140" s="640"/>
      <c r="Z140" s="640"/>
      <c r="AA140" s="640"/>
      <c r="AB140" s="640"/>
      <c r="AC140" s="640"/>
      <c r="AD140" s="640"/>
      <c r="AE140" s="640"/>
      <c r="AF140" s="640"/>
      <c r="AG140" s="640"/>
      <c r="AH140" s="640"/>
      <c r="AI140" s="640"/>
      <c r="AJ140" s="640"/>
      <c r="AK140" s="640"/>
      <c r="AL140" s="640"/>
      <c r="AM140" s="640"/>
      <c r="AN140" s="640"/>
      <c r="AO140" s="640"/>
      <c r="AP140" s="640"/>
      <c r="AQ140" s="640"/>
      <c r="AR140" s="640"/>
      <c r="AS140" s="640"/>
      <c r="AT140" s="640"/>
      <c r="AU140" s="640"/>
      <c r="AV140" s="640"/>
      <c r="AW140" s="640"/>
      <c r="AX140" s="640"/>
    </row>
    <row r="141" spans="7:50" x14ac:dyDescent="0.25">
      <c r="G141" s="640"/>
      <c r="H141" s="640"/>
      <c r="I141" s="640"/>
      <c r="J141" s="640"/>
      <c r="K141" s="640"/>
      <c r="L141" s="640"/>
      <c r="M141" s="640"/>
      <c r="N141" s="640"/>
      <c r="O141" s="640"/>
      <c r="P141" s="640"/>
      <c r="Q141" s="640"/>
      <c r="R141" s="640"/>
      <c r="S141" s="640"/>
      <c r="T141" s="640"/>
      <c r="U141" s="640"/>
      <c r="V141" s="640"/>
      <c r="W141" s="640"/>
      <c r="X141" s="640"/>
      <c r="Y141" s="640"/>
      <c r="Z141" s="640"/>
      <c r="AA141" s="640"/>
      <c r="AB141" s="640"/>
      <c r="AC141" s="640"/>
      <c r="AD141" s="640"/>
      <c r="AE141" s="640"/>
      <c r="AF141" s="640"/>
      <c r="AG141" s="640"/>
      <c r="AH141" s="640"/>
      <c r="AI141" s="640"/>
      <c r="AJ141" s="640"/>
      <c r="AK141" s="640"/>
      <c r="AL141" s="640"/>
      <c r="AM141" s="640"/>
      <c r="AN141" s="640"/>
      <c r="AO141" s="640"/>
      <c r="AP141" s="640"/>
      <c r="AQ141" s="640"/>
      <c r="AR141" s="640"/>
      <c r="AS141" s="640"/>
      <c r="AT141" s="640"/>
      <c r="AU141" s="640"/>
      <c r="AV141" s="640"/>
      <c r="AW141" s="640"/>
      <c r="AX141" s="640"/>
    </row>
    <row r="142" spans="7:50" x14ac:dyDescent="0.25">
      <c r="G142" s="640"/>
      <c r="H142" s="640"/>
      <c r="I142" s="640"/>
      <c r="J142" s="640"/>
      <c r="K142" s="640"/>
      <c r="L142" s="640"/>
      <c r="M142" s="640"/>
      <c r="N142" s="640"/>
      <c r="O142" s="640"/>
      <c r="P142" s="640"/>
      <c r="Q142" s="640"/>
      <c r="R142" s="640"/>
      <c r="S142" s="640"/>
      <c r="T142" s="640"/>
      <c r="U142" s="640"/>
      <c r="V142" s="640"/>
      <c r="W142" s="640"/>
      <c r="X142" s="640"/>
      <c r="Y142" s="640"/>
      <c r="Z142" s="640"/>
      <c r="AA142" s="640"/>
      <c r="AB142" s="640"/>
      <c r="AC142" s="640"/>
      <c r="AD142" s="640"/>
      <c r="AE142" s="640"/>
      <c r="AF142" s="640"/>
      <c r="AG142" s="640"/>
      <c r="AH142" s="640"/>
      <c r="AI142" s="640"/>
      <c r="AJ142" s="640"/>
      <c r="AK142" s="640"/>
      <c r="AL142" s="640"/>
      <c r="AM142" s="640"/>
      <c r="AN142" s="640"/>
      <c r="AO142" s="640"/>
      <c r="AP142" s="640"/>
      <c r="AQ142" s="640"/>
      <c r="AR142" s="640"/>
      <c r="AS142" s="640"/>
      <c r="AT142" s="640"/>
      <c r="AU142" s="640"/>
      <c r="AV142" s="640"/>
      <c r="AW142" s="640"/>
      <c r="AX142" s="640"/>
    </row>
    <row r="143" spans="7:50" x14ac:dyDescent="0.25"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0"/>
      <c r="S143" s="640"/>
      <c r="T143" s="640"/>
      <c r="U143" s="640"/>
      <c r="V143" s="640"/>
      <c r="W143" s="640"/>
      <c r="X143" s="640"/>
      <c r="Y143" s="640"/>
      <c r="Z143" s="640"/>
      <c r="AA143" s="640"/>
      <c r="AB143" s="640"/>
      <c r="AC143" s="640"/>
      <c r="AD143" s="640"/>
      <c r="AE143" s="640"/>
      <c r="AF143" s="640"/>
      <c r="AG143" s="640"/>
      <c r="AH143" s="640"/>
      <c r="AI143" s="640"/>
      <c r="AJ143" s="640"/>
      <c r="AK143" s="640"/>
      <c r="AL143" s="640"/>
      <c r="AM143" s="640"/>
      <c r="AN143" s="640"/>
      <c r="AO143" s="640"/>
      <c r="AP143" s="640"/>
      <c r="AQ143" s="640"/>
      <c r="AR143" s="640"/>
      <c r="AS143" s="640"/>
      <c r="AT143" s="640"/>
      <c r="AU143" s="640"/>
      <c r="AV143" s="640"/>
      <c r="AW143" s="640"/>
      <c r="AX143" s="640"/>
    </row>
    <row r="144" spans="7:50" x14ac:dyDescent="0.25">
      <c r="G144" s="640"/>
      <c r="H144" s="640"/>
      <c r="I144" s="640"/>
      <c r="J144" s="640"/>
      <c r="K144" s="640"/>
      <c r="L144" s="640"/>
      <c r="M144" s="640"/>
      <c r="N144" s="640"/>
      <c r="O144" s="640"/>
      <c r="P144" s="640"/>
      <c r="Q144" s="640"/>
      <c r="R144" s="640"/>
      <c r="S144" s="640"/>
      <c r="T144" s="640"/>
      <c r="U144" s="640"/>
      <c r="V144" s="640"/>
      <c r="W144" s="640"/>
      <c r="X144" s="640"/>
      <c r="Y144" s="640"/>
      <c r="Z144" s="640"/>
      <c r="AA144" s="640"/>
      <c r="AB144" s="640"/>
      <c r="AC144" s="640"/>
      <c r="AD144" s="640"/>
      <c r="AE144" s="640"/>
      <c r="AF144" s="640"/>
      <c r="AG144" s="640"/>
      <c r="AH144" s="640"/>
      <c r="AI144" s="640"/>
      <c r="AJ144" s="640"/>
      <c r="AK144" s="640"/>
      <c r="AL144" s="640"/>
      <c r="AM144" s="640"/>
      <c r="AN144" s="640"/>
      <c r="AO144" s="640"/>
      <c r="AP144" s="640"/>
      <c r="AQ144" s="640"/>
      <c r="AR144" s="640"/>
      <c r="AS144" s="640"/>
      <c r="AT144" s="640"/>
      <c r="AU144" s="640"/>
      <c r="AV144" s="640"/>
      <c r="AW144" s="640"/>
      <c r="AX144" s="640"/>
    </row>
    <row r="145" spans="7:50" x14ac:dyDescent="0.25">
      <c r="G145" s="640"/>
      <c r="H145" s="640"/>
      <c r="I145" s="640"/>
      <c r="J145" s="640"/>
      <c r="K145" s="640"/>
      <c r="L145" s="640"/>
      <c r="M145" s="640"/>
      <c r="N145" s="640"/>
      <c r="O145" s="640"/>
      <c r="P145" s="640"/>
      <c r="Q145" s="640"/>
      <c r="R145" s="640"/>
      <c r="S145" s="640"/>
      <c r="T145" s="640"/>
      <c r="U145" s="640"/>
      <c r="V145" s="640"/>
      <c r="W145" s="640"/>
      <c r="X145" s="640"/>
      <c r="Y145" s="640"/>
      <c r="Z145" s="640"/>
      <c r="AA145" s="640"/>
      <c r="AB145" s="640"/>
      <c r="AC145" s="640"/>
      <c r="AD145" s="640"/>
      <c r="AE145" s="640"/>
      <c r="AF145" s="640"/>
      <c r="AG145" s="640"/>
      <c r="AH145" s="640"/>
      <c r="AI145" s="640"/>
      <c r="AJ145" s="640"/>
      <c r="AK145" s="640"/>
      <c r="AL145" s="640"/>
      <c r="AM145" s="640"/>
      <c r="AN145" s="640"/>
      <c r="AO145" s="640"/>
      <c r="AP145" s="640"/>
      <c r="AQ145" s="640"/>
      <c r="AR145" s="640"/>
      <c r="AS145" s="640"/>
      <c r="AT145" s="640"/>
      <c r="AU145" s="640"/>
      <c r="AV145" s="640"/>
      <c r="AW145" s="640"/>
      <c r="AX145" s="640"/>
    </row>
    <row r="146" spans="7:50" x14ac:dyDescent="0.25">
      <c r="G146" s="640"/>
      <c r="H146" s="640"/>
      <c r="I146" s="640"/>
      <c r="J146" s="640"/>
      <c r="K146" s="640"/>
      <c r="L146" s="640"/>
      <c r="M146" s="640"/>
      <c r="N146" s="640"/>
      <c r="O146" s="640"/>
      <c r="P146" s="640"/>
      <c r="Q146" s="640"/>
      <c r="R146" s="640"/>
      <c r="S146" s="640"/>
      <c r="T146" s="640"/>
      <c r="U146" s="640"/>
      <c r="V146" s="640"/>
      <c r="W146" s="640"/>
      <c r="X146" s="640"/>
      <c r="Y146" s="640"/>
      <c r="Z146" s="640"/>
      <c r="AA146" s="640"/>
      <c r="AB146" s="640"/>
      <c r="AC146" s="640"/>
      <c r="AD146" s="640"/>
      <c r="AE146" s="640"/>
      <c r="AF146" s="640"/>
      <c r="AG146" s="640"/>
      <c r="AH146" s="640"/>
      <c r="AI146" s="640"/>
      <c r="AJ146" s="640"/>
      <c r="AK146" s="640"/>
      <c r="AL146" s="640"/>
      <c r="AM146" s="640"/>
      <c r="AN146" s="640"/>
      <c r="AO146" s="640"/>
      <c r="AP146" s="640"/>
      <c r="AQ146" s="640"/>
      <c r="AR146" s="640"/>
      <c r="AS146" s="640"/>
      <c r="AT146" s="640"/>
      <c r="AU146" s="640"/>
      <c r="AV146" s="640"/>
      <c r="AW146" s="640"/>
      <c r="AX146" s="640"/>
    </row>
    <row r="147" spans="7:50" x14ac:dyDescent="0.25">
      <c r="G147" s="640"/>
      <c r="H147" s="640"/>
      <c r="I147" s="640"/>
      <c r="J147" s="640"/>
      <c r="K147" s="640"/>
      <c r="L147" s="640"/>
      <c r="M147" s="640"/>
      <c r="N147" s="640"/>
      <c r="O147" s="640"/>
      <c r="P147" s="640"/>
      <c r="Q147" s="640"/>
      <c r="R147" s="640"/>
      <c r="S147" s="640"/>
      <c r="T147" s="640"/>
      <c r="U147" s="640"/>
      <c r="V147" s="640"/>
      <c r="W147" s="640"/>
      <c r="X147" s="640"/>
      <c r="Y147" s="640"/>
      <c r="Z147" s="640"/>
      <c r="AA147" s="640"/>
      <c r="AB147" s="640"/>
      <c r="AC147" s="640"/>
      <c r="AD147" s="640"/>
      <c r="AE147" s="640"/>
      <c r="AF147" s="640"/>
      <c r="AG147" s="640"/>
      <c r="AH147" s="640"/>
      <c r="AI147" s="640"/>
      <c r="AJ147" s="640"/>
      <c r="AK147" s="640"/>
      <c r="AL147" s="640"/>
      <c r="AM147" s="640"/>
      <c r="AN147" s="640"/>
      <c r="AO147" s="640"/>
      <c r="AP147" s="640"/>
      <c r="AQ147" s="640"/>
      <c r="AR147" s="640"/>
      <c r="AS147" s="640"/>
      <c r="AT147" s="640"/>
      <c r="AU147" s="640"/>
      <c r="AV147" s="640"/>
      <c r="AW147" s="640"/>
      <c r="AX147" s="640"/>
    </row>
    <row r="148" spans="7:50" x14ac:dyDescent="0.25">
      <c r="G148" s="640"/>
      <c r="H148" s="640"/>
      <c r="I148" s="640"/>
      <c r="J148" s="640"/>
      <c r="K148" s="640"/>
      <c r="L148" s="640"/>
      <c r="M148" s="640"/>
      <c r="N148" s="640"/>
      <c r="O148" s="640"/>
      <c r="P148" s="640"/>
      <c r="Q148" s="640"/>
      <c r="R148" s="640"/>
      <c r="S148" s="640"/>
      <c r="T148" s="640"/>
      <c r="U148" s="640"/>
      <c r="V148" s="640"/>
      <c r="W148" s="640"/>
      <c r="X148" s="640"/>
      <c r="Y148" s="640"/>
      <c r="Z148" s="640"/>
      <c r="AA148" s="640"/>
      <c r="AB148" s="640"/>
      <c r="AC148" s="640"/>
      <c r="AD148" s="640"/>
      <c r="AE148" s="640"/>
      <c r="AF148" s="640"/>
      <c r="AG148" s="640"/>
      <c r="AH148" s="640"/>
      <c r="AI148" s="640"/>
      <c r="AJ148" s="640"/>
      <c r="AK148" s="640"/>
      <c r="AL148" s="640"/>
      <c r="AM148" s="640"/>
      <c r="AN148" s="640"/>
      <c r="AO148" s="640"/>
      <c r="AP148" s="640"/>
      <c r="AQ148" s="640"/>
      <c r="AR148" s="640"/>
      <c r="AS148" s="640"/>
      <c r="AT148" s="640"/>
      <c r="AU148" s="640"/>
      <c r="AV148" s="640"/>
      <c r="AW148" s="640"/>
      <c r="AX148" s="640"/>
    </row>
    <row r="149" spans="7:50" x14ac:dyDescent="0.25">
      <c r="G149" s="640"/>
      <c r="H149" s="640"/>
      <c r="I149" s="640"/>
      <c r="J149" s="640"/>
      <c r="K149" s="640"/>
      <c r="L149" s="640"/>
      <c r="M149" s="640"/>
      <c r="N149" s="640"/>
      <c r="O149" s="640"/>
      <c r="P149" s="640"/>
      <c r="Q149" s="640"/>
      <c r="R149" s="640"/>
      <c r="S149" s="640"/>
      <c r="T149" s="640"/>
      <c r="U149" s="640"/>
      <c r="V149" s="640"/>
      <c r="W149" s="640"/>
      <c r="X149" s="640"/>
      <c r="Y149" s="640"/>
      <c r="Z149" s="640"/>
      <c r="AA149" s="640"/>
      <c r="AB149" s="640"/>
      <c r="AC149" s="640"/>
      <c r="AD149" s="640"/>
      <c r="AE149" s="640"/>
      <c r="AF149" s="640"/>
      <c r="AG149" s="640"/>
      <c r="AH149" s="640"/>
      <c r="AI149" s="640"/>
      <c r="AJ149" s="640"/>
      <c r="AK149" s="640"/>
      <c r="AL149" s="640"/>
      <c r="AM149" s="640"/>
      <c r="AN149" s="640"/>
      <c r="AO149" s="640"/>
      <c r="AP149" s="640"/>
      <c r="AQ149" s="640"/>
      <c r="AR149" s="640"/>
      <c r="AS149" s="640"/>
      <c r="AT149" s="640"/>
      <c r="AU149" s="640"/>
      <c r="AV149" s="640"/>
      <c r="AW149" s="640"/>
      <c r="AX149" s="640"/>
    </row>
    <row r="150" spans="7:50" x14ac:dyDescent="0.25">
      <c r="G150" s="640"/>
      <c r="H150" s="640"/>
      <c r="I150" s="640"/>
      <c r="J150" s="640"/>
      <c r="K150" s="640"/>
      <c r="L150" s="640"/>
      <c r="M150" s="640"/>
      <c r="N150" s="640"/>
      <c r="O150" s="640"/>
      <c r="P150" s="640"/>
      <c r="Q150" s="640"/>
      <c r="R150" s="640"/>
      <c r="S150" s="640"/>
      <c r="T150" s="640"/>
      <c r="U150" s="640"/>
      <c r="V150" s="640"/>
      <c r="W150" s="640"/>
      <c r="X150" s="640"/>
      <c r="Y150" s="640"/>
      <c r="Z150" s="640"/>
      <c r="AA150" s="640"/>
      <c r="AB150" s="640"/>
      <c r="AC150" s="640"/>
      <c r="AD150" s="640"/>
      <c r="AE150" s="640"/>
      <c r="AF150" s="640"/>
      <c r="AG150" s="640"/>
      <c r="AH150" s="640"/>
      <c r="AI150" s="640"/>
      <c r="AJ150" s="640"/>
      <c r="AK150" s="640"/>
      <c r="AL150" s="640"/>
      <c r="AM150" s="640"/>
      <c r="AN150" s="640"/>
      <c r="AO150" s="640"/>
      <c r="AP150" s="640"/>
      <c r="AQ150" s="640"/>
      <c r="AR150" s="640"/>
      <c r="AS150" s="640"/>
      <c r="AT150" s="640"/>
      <c r="AU150" s="640"/>
      <c r="AV150" s="640"/>
      <c r="AW150" s="640"/>
      <c r="AX150" s="640"/>
    </row>
    <row r="151" spans="7:50" x14ac:dyDescent="0.25"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0"/>
      <c r="T151" s="640"/>
      <c r="U151" s="640"/>
      <c r="V151" s="640"/>
      <c r="W151" s="640"/>
      <c r="X151" s="640"/>
      <c r="Y151" s="640"/>
      <c r="Z151" s="640"/>
      <c r="AA151" s="640"/>
      <c r="AB151" s="640"/>
      <c r="AC151" s="640"/>
      <c r="AD151" s="640"/>
      <c r="AE151" s="640"/>
      <c r="AF151" s="640"/>
      <c r="AG151" s="640"/>
      <c r="AH151" s="640"/>
      <c r="AI151" s="640"/>
      <c r="AJ151" s="640"/>
      <c r="AK151" s="640"/>
      <c r="AL151" s="640"/>
      <c r="AM151" s="640"/>
      <c r="AN151" s="640"/>
      <c r="AO151" s="640"/>
      <c r="AP151" s="640"/>
      <c r="AQ151" s="640"/>
      <c r="AR151" s="640"/>
      <c r="AS151" s="640"/>
      <c r="AT151" s="640"/>
      <c r="AU151" s="640"/>
      <c r="AV151" s="640"/>
      <c r="AW151" s="640"/>
      <c r="AX151" s="640"/>
    </row>
    <row r="152" spans="7:50" x14ac:dyDescent="0.25">
      <c r="G152" s="640"/>
      <c r="H152" s="640"/>
      <c r="I152" s="640"/>
      <c r="J152" s="640"/>
      <c r="K152" s="640"/>
      <c r="L152" s="640"/>
      <c r="M152" s="640"/>
      <c r="N152" s="640"/>
      <c r="O152" s="640"/>
      <c r="P152" s="640"/>
      <c r="Q152" s="640"/>
      <c r="R152" s="640"/>
      <c r="S152" s="640"/>
      <c r="T152" s="640"/>
      <c r="U152" s="640"/>
      <c r="V152" s="640"/>
      <c r="W152" s="640"/>
      <c r="X152" s="640"/>
      <c r="Y152" s="640"/>
      <c r="Z152" s="640"/>
      <c r="AA152" s="640"/>
      <c r="AB152" s="640"/>
      <c r="AC152" s="640"/>
      <c r="AD152" s="640"/>
      <c r="AE152" s="640"/>
      <c r="AF152" s="640"/>
      <c r="AG152" s="640"/>
      <c r="AH152" s="640"/>
      <c r="AI152" s="640"/>
      <c r="AJ152" s="640"/>
      <c r="AK152" s="640"/>
      <c r="AL152" s="640"/>
      <c r="AM152" s="640"/>
      <c r="AN152" s="640"/>
      <c r="AO152" s="640"/>
      <c r="AP152" s="640"/>
      <c r="AQ152" s="640"/>
      <c r="AR152" s="640"/>
      <c r="AS152" s="640"/>
      <c r="AT152" s="640"/>
      <c r="AU152" s="640"/>
      <c r="AV152" s="640"/>
      <c r="AW152" s="640"/>
      <c r="AX152" s="640"/>
    </row>
    <row r="153" spans="7:50" x14ac:dyDescent="0.25"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640"/>
      <c r="Z153" s="640"/>
      <c r="AA153" s="640"/>
      <c r="AB153" s="640"/>
      <c r="AC153" s="640"/>
      <c r="AD153" s="640"/>
      <c r="AE153" s="640"/>
      <c r="AF153" s="640"/>
      <c r="AG153" s="640"/>
      <c r="AH153" s="640"/>
      <c r="AI153" s="640"/>
      <c r="AJ153" s="640"/>
      <c r="AK153" s="640"/>
      <c r="AL153" s="640"/>
      <c r="AM153" s="640"/>
      <c r="AN153" s="640"/>
      <c r="AO153" s="640"/>
      <c r="AP153" s="640"/>
      <c r="AQ153" s="640"/>
      <c r="AR153" s="640"/>
      <c r="AS153" s="640"/>
      <c r="AT153" s="640"/>
      <c r="AU153" s="640"/>
      <c r="AV153" s="640"/>
      <c r="AW153" s="640"/>
      <c r="AX153" s="640"/>
    </row>
    <row r="154" spans="7:50" x14ac:dyDescent="0.25"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  <c r="U154" s="640"/>
      <c r="V154" s="640"/>
      <c r="W154" s="640"/>
      <c r="X154" s="640"/>
      <c r="Y154" s="640"/>
      <c r="Z154" s="640"/>
      <c r="AA154" s="640"/>
      <c r="AB154" s="640"/>
      <c r="AC154" s="640"/>
      <c r="AD154" s="640"/>
      <c r="AE154" s="640"/>
      <c r="AF154" s="640"/>
      <c r="AG154" s="640"/>
      <c r="AH154" s="640"/>
      <c r="AI154" s="640"/>
      <c r="AJ154" s="640"/>
      <c r="AK154" s="640"/>
      <c r="AL154" s="640"/>
      <c r="AM154" s="640"/>
      <c r="AN154" s="640"/>
      <c r="AO154" s="640"/>
      <c r="AP154" s="640"/>
      <c r="AQ154" s="640"/>
      <c r="AR154" s="640"/>
      <c r="AS154" s="640"/>
      <c r="AT154" s="640"/>
      <c r="AU154" s="640"/>
      <c r="AV154" s="640"/>
      <c r="AW154" s="640"/>
      <c r="AX154" s="640"/>
    </row>
    <row r="155" spans="7:50" x14ac:dyDescent="0.25"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640"/>
      <c r="Z155" s="640"/>
      <c r="AA155" s="640"/>
      <c r="AB155" s="640"/>
      <c r="AC155" s="640"/>
      <c r="AD155" s="640"/>
      <c r="AE155" s="640"/>
      <c r="AF155" s="640"/>
      <c r="AG155" s="640"/>
      <c r="AH155" s="640"/>
      <c r="AI155" s="640"/>
      <c r="AJ155" s="640"/>
      <c r="AK155" s="640"/>
      <c r="AL155" s="640"/>
      <c r="AM155" s="640"/>
      <c r="AN155" s="640"/>
      <c r="AO155" s="640"/>
      <c r="AP155" s="640"/>
      <c r="AQ155" s="640"/>
      <c r="AR155" s="640"/>
      <c r="AS155" s="640"/>
      <c r="AT155" s="640"/>
      <c r="AU155" s="640"/>
      <c r="AV155" s="640"/>
      <c r="AW155" s="640"/>
      <c r="AX155" s="640"/>
    </row>
    <row r="156" spans="7:50" x14ac:dyDescent="0.25">
      <c r="G156" s="640"/>
      <c r="H156" s="640"/>
      <c r="I156" s="640"/>
      <c r="J156" s="640"/>
      <c r="K156" s="640"/>
      <c r="L156" s="640"/>
      <c r="M156" s="640"/>
      <c r="N156" s="640"/>
      <c r="O156" s="640"/>
      <c r="P156" s="640"/>
      <c r="Q156" s="640"/>
      <c r="R156" s="640"/>
      <c r="S156" s="640"/>
      <c r="T156" s="640"/>
      <c r="U156" s="640"/>
      <c r="V156" s="640"/>
      <c r="W156" s="640"/>
      <c r="X156" s="640"/>
      <c r="Y156" s="640"/>
      <c r="Z156" s="640"/>
      <c r="AA156" s="640"/>
      <c r="AB156" s="640"/>
      <c r="AC156" s="640"/>
      <c r="AD156" s="640"/>
      <c r="AE156" s="640"/>
      <c r="AF156" s="640"/>
      <c r="AG156" s="640"/>
      <c r="AH156" s="640"/>
      <c r="AI156" s="640"/>
      <c r="AJ156" s="640"/>
      <c r="AK156" s="640"/>
      <c r="AL156" s="640"/>
      <c r="AM156" s="640"/>
      <c r="AN156" s="640"/>
      <c r="AO156" s="640"/>
      <c r="AP156" s="640"/>
      <c r="AQ156" s="640"/>
      <c r="AR156" s="640"/>
      <c r="AS156" s="640"/>
      <c r="AT156" s="640"/>
      <c r="AU156" s="640"/>
      <c r="AV156" s="640"/>
      <c r="AW156" s="640"/>
      <c r="AX156" s="640"/>
    </row>
    <row r="157" spans="7:50" x14ac:dyDescent="0.25">
      <c r="G157" s="640"/>
      <c r="H157" s="640"/>
      <c r="I157" s="640"/>
      <c r="J157" s="640"/>
      <c r="K157" s="640"/>
      <c r="L157" s="640"/>
      <c r="M157" s="640"/>
      <c r="N157" s="640"/>
      <c r="O157" s="640"/>
      <c r="P157" s="640"/>
      <c r="Q157" s="640"/>
      <c r="R157" s="640"/>
      <c r="S157" s="640"/>
      <c r="T157" s="640"/>
      <c r="U157" s="640"/>
      <c r="V157" s="640"/>
      <c r="W157" s="640"/>
      <c r="X157" s="640"/>
      <c r="Y157" s="640"/>
      <c r="Z157" s="640"/>
      <c r="AA157" s="640"/>
      <c r="AB157" s="640"/>
      <c r="AC157" s="640"/>
      <c r="AD157" s="640"/>
      <c r="AE157" s="640"/>
      <c r="AF157" s="640"/>
      <c r="AG157" s="640"/>
      <c r="AH157" s="640"/>
      <c r="AI157" s="640"/>
      <c r="AJ157" s="640"/>
      <c r="AK157" s="640"/>
      <c r="AL157" s="640"/>
      <c r="AM157" s="640"/>
      <c r="AN157" s="640"/>
      <c r="AO157" s="640"/>
      <c r="AP157" s="640"/>
      <c r="AQ157" s="640"/>
      <c r="AR157" s="640"/>
      <c r="AS157" s="640"/>
      <c r="AT157" s="640"/>
      <c r="AU157" s="640"/>
      <c r="AV157" s="640"/>
      <c r="AW157" s="640"/>
      <c r="AX157" s="640"/>
    </row>
    <row r="158" spans="7:50" x14ac:dyDescent="0.25"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  <c r="U158" s="640"/>
      <c r="V158" s="640"/>
      <c r="W158" s="640"/>
      <c r="X158" s="640"/>
      <c r="Y158" s="640"/>
      <c r="Z158" s="640"/>
      <c r="AA158" s="640"/>
      <c r="AB158" s="640"/>
      <c r="AC158" s="640"/>
      <c r="AD158" s="640"/>
      <c r="AE158" s="640"/>
      <c r="AF158" s="640"/>
      <c r="AG158" s="640"/>
      <c r="AH158" s="640"/>
      <c r="AI158" s="640"/>
      <c r="AJ158" s="640"/>
      <c r="AK158" s="640"/>
      <c r="AL158" s="640"/>
      <c r="AM158" s="640"/>
      <c r="AN158" s="640"/>
      <c r="AO158" s="640"/>
      <c r="AP158" s="640"/>
      <c r="AQ158" s="640"/>
      <c r="AR158" s="640"/>
      <c r="AS158" s="640"/>
      <c r="AT158" s="640"/>
      <c r="AU158" s="640"/>
      <c r="AV158" s="640"/>
      <c r="AW158" s="640"/>
      <c r="AX158" s="640"/>
    </row>
    <row r="159" spans="7:50" x14ac:dyDescent="0.25">
      <c r="G159" s="640"/>
      <c r="H159" s="640"/>
      <c r="I159" s="640"/>
      <c r="J159" s="640"/>
      <c r="K159" s="640"/>
      <c r="L159" s="640"/>
      <c r="M159" s="640"/>
      <c r="N159" s="640"/>
      <c r="O159" s="640"/>
      <c r="P159" s="640"/>
      <c r="Q159" s="640"/>
      <c r="R159" s="640"/>
      <c r="S159" s="640"/>
      <c r="T159" s="640"/>
      <c r="U159" s="640"/>
      <c r="V159" s="640"/>
      <c r="W159" s="640"/>
      <c r="X159" s="640"/>
      <c r="Y159" s="640"/>
      <c r="Z159" s="640"/>
      <c r="AA159" s="640"/>
      <c r="AB159" s="640"/>
      <c r="AC159" s="640"/>
      <c r="AD159" s="640"/>
      <c r="AE159" s="640"/>
      <c r="AF159" s="640"/>
      <c r="AG159" s="640"/>
      <c r="AH159" s="640"/>
      <c r="AI159" s="640"/>
      <c r="AJ159" s="640"/>
      <c r="AK159" s="640"/>
      <c r="AL159" s="640"/>
      <c r="AM159" s="640"/>
      <c r="AN159" s="640"/>
      <c r="AO159" s="640"/>
      <c r="AP159" s="640"/>
      <c r="AQ159" s="640"/>
      <c r="AR159" s="640"/>
      <c r="AS159" s="640"/>
      <c r="AT159" s="640"/>
      <c r="AU159" s="640"/>
      <c r="AV159" s="640"/>
      <c r="AW159" s="640"/>
      <c r="AX159" s="640"/>
    </row>
    <row r="160" spans="7:50" x14ac:dyDescent="0.25">
      <c r="G160" s="640"/>
      <c r="H160" s="640"/>
      <c r="I160" s="640"/>
      <c r="J160" s="640"/>
      <c r="K160" s="640"/>
      <c r="L160" s="640"/>
      <c r="M160" s="640"/>
      <c r="N160" s="640"/>
      <c r="O160" s="640"/>
      <c r="P160" s="640"/>
      <c r="Q160" s="640"/>
      <c r="R160" s="640"/>
      <c r="S160" s="640"/>
      <c r="T160" s="640"/>
      <c r="U160" s="640"/>
      <c r="V160" s="640"/>
      <c r="W160" s="640"/>
      <c r="X160" s="640"/>
      <c r="Y160" s="640"/>
      <c r="Z160" s="640"/>
      <c r="AA160" s="640"/>
      <c r="AB160" s="640"/>
      <c r="AC160" s="640"/>
      <c r="AD160" s="640"/>
      <c r="AE160" s="640"/>
      <c r="AF160" s="640"/>
      <c r="AG160" s="640"/>
      <c r="AH160" s="640"/>
      <c r="AI160" s="640"/>
      <c r="AJ160" s="640"/>
      <c r="AK160" s="640"/>
      <c r="AL160" s="640"/>
      <c r="AM160" s="640"/>
      <c r="AN160" s="640"/>
      <c r="AO160" s="640"/>
      <c r="AP160" s="640"/>
      <c r="AQ160" s="640"/>
      <c r="AR160" s="640"/>
      <c r="AS160" s="640"/>
      <c r="AT160" s="640"/>
      <c r="AU160" s="640"/>
      <c r="AV160" s="640"/>
      <c r="AW160" s="640"/>
      <c r="AX160" s="640"/>
    </row>
    <row r="161" spans="7:50" x14ac:dyDescent="0.25">
      <c r="G161" s="640"/>
      <c r="H161" s="640"/>
      <c r="I161" s="640"/>
      <c r="J161" s="640"/>
      <c r="K161" s="640"/>
      <c r="L161" s="640"/>
      <c r="M161" s="640"/>
      <c r="N161" s="640"/>
      <c r="O161" s="640"/>
      <c r="P161" s="640"/>
      <c r="Q161" s="640"/>
      <c r="R161" s="640"/>
      <c r="S161" s="640"/>
      <c r="T161" s="640"/>
      <c r="U161" s="640"/>
      <c r="V161" s="640"/>
      <c r="W161" s="640"/>
      <c r="X161" s="640"/>
      <c r="Y161" s="640"/>
      <c r="Z161" s="640"/>
      <c r="AA161" s="640"/>
      <c r="AB161" s="640"/>
      <c r="AC161" s="640"/>
      <c r="AD161" s="640"/>
      <c r="AE161" s="640"/>
      <c r="AF161" s="640"/>
      <c r="AG161" s="640"/>
      <c r="AH161" s="640"/>
      <c r="AI161" s="640"/>
      <c r="AJ161" s="640"/>
      <c r="AK161" s="640"/>
      <c r="AL161" s="640"/>
      <c r="AM161" s="640"/>
      <c r="AN161" s="640"/>
      <c r="AO161" s="640"/>
      <c r="AP161" s="640"/>
      <c r="AQ161" s="640"/>
      <c r="AR161" s="640"/>
      <c r="AS161" s="640"/>
      <c r="AT161" s="640"/>
      <c r="AU161" s="640"/>
      <c r="AV161" s="640"/>
      <c r="AW161" s="640"/>
      <c r="AX161" s="640"/>
    </row>
    <row r="162" spans="7:50" x14ac:dyDescent="0.25">
      <c r="G162" s="640"/>
      <c r="H162" s="640"/>
      <c r="I162" s="640"/>
      <c r="J162" s="640"/>
      <c r="K162" s="640"/>
      <c r="L162" s="640"/>
      <c r="M162" s="640"/>
      <c r="N162" s="640"/>
      <c r="O162" s="640"/>
      <c r="P162" s="640"/>
      <c r="Q162" s="640"/>
      <c r="R162" s="640"/>
      <c r="S162" s="640"/>
      <c r="T162" s="640"/>
      <c r="U162" s="640"/>
      <c r="V162" s="640"/>
      <c r="W162" s="640"/>
      <c r="X162" s="640"/>
      <c r="Y162" s="640"/>
      <c r="Z162" s="640"/>
      <c r="AA162" s="640"/>
      <c r="AB162" s="640"/>
      <c r="AC162" s="640"/>
      <c r="AD162" s="640"/>
      <c r="AE162" s="640"/>
      <c r="AF162" s="640"/>
      <c r="AG162" s="640"/>
      <c r="AH162" s="640"/>
      <c r="AI162" s="640"/>
      <c r="AJ162" s="640"/>
      <c r="AK162" s="640"/>
      <c r="AL162" s="640"/>
      <c r="AM162" s="640"/>
      <c r="AN162" s="640"/>
      <c r="AO162" s="640"/>
      <c r="AP162" s="640"/>
      <c r="AQ162" s="640"/>
      <c r="AR162" s="640"/>
      <c r="AS162" s="640"/>
      <c r="AT162" s="640"/>
      <c r="AU162" s="640"/>
      <c r="AV162" s="640"/>
      <c r="AW162" s="640"/>
      <c r="AX162" s="640"/>
    </row>
    <row r="163" spans="7:50" x14ac:dyDescent="0.25">
      <c r="G163" s="640"/>
      <c r="H163" s="640"/>
      <c r="I163" s="640"/>
      <c r="J163" s="640"/>
      <c r="K163" s="640"/>
      <c r="L163" s="640"/>
      <c r="M163" s="640"/>
      <c r="N163" s="640"/>
      <c r="O163" s="640"/>
      <c r="P163" s="640"/>
      <c r="Q163" s="640"/>
      <c r="R163" s="640"/>
      <c r="S163" s="640"/>
      <c r="T163" s="640"/>
      <c r="U163" s="640"/>
      <c r="V163" s="640"/>
      <c r="W163" s="640"/>
      <c r="X163" s="640"/>
      <c r="Y163" s="640"/>
      <c r="Z163" s="640"/>
      <c r="AA163" s="640"/>
      <c r="AB163" s="640"/>
      <c r="AC163" s="640"/>
      <c r="AD163" s="640"/>
      <c r="AE163" s="640"/>
      <c r="AF163" s="640"/>
      <c r="AG163" s="640"/>
      <c r="AH163" s="640"/>
      <c r="AI163" s="640"/>
      <c r="AJ163" s="640"/>
      <c r="AK163" s="640"/>
      <c r="AL163" s="640"/>
      <c r="AM163" s="640"/>
      <c r="AN163" s="640"/>
      <c r="AO163" s="640"/>
      <c r="AP163" s="640"/>
      <c r="AQ163" s="640"/>
      <c r="AR163" s="640"/>
      <c r="AS163" s="640"/>
      <c r="AT163" s="640"/>
      <c r="AU163" s="640"/>
      <c r="AV163" s="640"/>
      <c r="AW163" s="640"/>
      <c r="AX163" s="640"/>
    </row>
    <row r="164" spans="7:50" x14ac:dyDescent="0.25">
      <c r="G164" s="640"/>
      <c r="H164" s="640"/>
      <c r="I164" s="640"/>
      <c r="J164" s="640"/>
      <c r="K164" s="640"/>
      <c r="L164" s="640"/>
      <c r="M164" s="640"/>
      <c r="N164" s="640"/>
      <c r="O164" s="640"/>
      <c r="P164" s="640"/>
      <c r="Q164" s="640"/>
      <c r="R164" s="640"/>
      <c r="S164" s="640"/>
      <c r="T164" s="640"/>
      <c r="U164" s="640"/>
      <c r="V164" s="640"/>
      <c r="W164" s="640"/>
      <c r="X164" s="640"/>
      <c r="Y164" s="640"/>
      <c r="Z164" s="640"/>
      <c r="AA164" s="640"/>
      <c r="AB164" s="640"/>
      <c r="AC164" s="640"/>
      <c r="AD164" s="640"/>
      <c r="AE164" s="640"/>
      <c r="AF164" s="640"/>
      <c r="AG164" s="640"/>
      <c r="AH164" s="640"/>
      <c r="AI164" s="640"/>
      <c r="AJ164" s="640"/>
      <c r="AK164" s="640"/>
      <c r="AL164" s="640"/>
      <c r="AM164" s="640"/>
      <c r="AN164" s="640"/>
      <c r="AO164" s="640"/>
      <c r="AP164" s="640"/>
      <c r="AQ164" s="640"/>
      <c r="AR164" s="640"/>
      <c r="AS164" s="640"/>
      <c r="AT164" s="640"/>
      <c r="AU164" s="640"/>
      <c r="AV164" s="640"/>
      <c r="AW164" s="640"/>
      <c r="AX164" s="640"/>
    </row>
    <row r="165" spans="7:50" x14ac:dyDescent="0.25">
      <c r="G165" s="640"/>
      <c r="H165" s="640"/>
      <c r="I165" s="640"/>
      <c r="J165" s="640"/>
      <c r="K165" s="640"/>
      <c r="L165" s="640"/>
      <c r="M165" s="640"/>
      <c r="N165" s="640"/>
      <c r="O165" s="640"/>
      <c r="P165" s="640"/>
      <c r="Q165" s="640"/>
      <c r="R165" s="640"/>
      <c r="S165" s="640"/>
      <c r="T165" s="640"/>
      <c r="U165" s="640"/>
      <c r="V165" s="640"/>
      <c r="W165" s="640"/>
      <c r="X165" s="640"/>
      <c r="Y165" s="640"/>
      <c r="Z165" s="640"/>
      <c r="AA165" s="640"/>
      <c r="AB165" s="640"/>
      <c r="AC165" s="640"/>
      <c r="AD165" s="640"/>
      <c r="AE165" s="640"/>
      <c r="AF165" s="640"/>
      <c r="AG165" s="640"/>
      <c r="AH165" s="640"/>
      <c r="AI165" s="640"/>
      <c r="AJ165" s="640"/>
      <c r="AK165" s="640"/>
      <c r="AL165" s="640"/>
      <c r="AM165" s="640"/>
      <c r="AN165" s="640"/>
      <c r="AO165" s="640"/>
      <c r="AP165" s="640"/>
      <c r="AQ165" s="640"/>
      <c r="AR165" s="640"/>
      <c r="AS165" s="640"/>
      <c r="AT165" s="640"/>
      <c r="AU165" s="640"/>
      <c r="AV165" s="640"/>
      <c r="AW165" s="640"/>
      <c r="AX165" s="640"/>
    </row>
    <row r="166" spans="7:50" x14ac:dyDescent="0.25">
      <c r="G166" s="640"/>
      <c r="H166" s="640"/>
      <c r="I166" s="640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  <c r="T166" s="640"/>
      <c r="U166" s="640"/>
      <c r="V166" s="640"/>
      <c r="W166" s="640"/>
      <c r="X166" s="640"/>
      <c r="Y166" s="640"/>
      <c r="Z166" s="640"/>
      <c r="AA166" s="640"/>
      <c r="AB166" s="640"/>
      <c r="AC166" s="640"/>
      <c r="AD166" s="640"/>
      <c r="AE166" s="640"/>
      <c r="AF166" s="640"/>
      <c r="AG166" s="640"/>
      <c r="AH166" s="640"/>
      <c r="AI166" s="640"/>
      <c r="AJ166" s="640"/>
      <c r="AK166" s="640"/>
      <c r="AL166" s="640"/>
      <c r="AM166" s="640"/>
      <c r="AN166" s="640"/>
      <c r="AO166" s="640"/>
      <c r="AP166" s="640"/>
      <c r="AQ166" s="640"/>
      <c r="AR166" s="640"/>
      <c r="AS166" s="640"/>
      <c r="AT166" s="640"/>
      <c r="AU166" s="640"/>
      <c r="AV166" s="640"/>
      <c r="AW166" s="640"/>
      <c r="AX166" s="640"/>
    </row>
    <row r="167" spans="7:50" x14ac:dyDescent="0.25">
      <c r="G167" s="640"/>
      <c r="H167" s="640"/>
      <c r="I167" s="640"/>
      <c r="J167" s="640"/>
      <c r="K167" s="640"/>
      <c r="L167" s="640"/>
      <c r="M167" s="640"/>
      <c r="N167" s="640"/>
      <c r="O167" s="640"/>
      <c r="P167" s="640"/>
      <c r="Q167" s="640"/>
      <c r="R167" s="640"/>
      <c r="S167" s="640"/>
      <c r="T167" s="640"/>
      <c r="U167" s="640"/>
      <c r="V167" s="640"/>
      <c r="W167" s="640"/>
      <c r="X167" s="640"/>
      <c r="Y167" s="640"/>
      <c r="Z167" s="640"/>
      <c r="AA167" s="640"/>
      <c r="AB167" s="640"/>
      <c r="AC167" s="640"/>
      <c r="AD167" s="640"/>
      <c r="AE167" s="640"/>
      <c r="AF167" s="640"/>
      <c r="AG167" s="640"/>
      <c r="AH167" s="640"/>
      <c r="AI167" s="640"/>
      <c r="AJ167" s="640"/>
      <c r="AK167" s="640"/>
      <c r="AL167" s="640"/>
      <c r="AM167" s="640"/>
      <c r="AN167" s="640"/>
      <c r="AO167" s="640"/>
      <c r="AP167" s="640"/>
      <c r="AQ167" s="640"/>
      <c r="AR167" s="640"/>
      <c r="AS167" s="640"/>
      <c r="AT167" s="640"/>
      <c r="AU167" s="640"/>
      <c r="AV167" s="640"/>
      <c r="AW167" s="640"/>
      <c r="AX167" s="640"/>
    </row>
    <row r="168" spans="7:50" x14ac:dyDescent="0.25">
      <c r="G168" s="640"/>
      <c r="H168" s="640"/>
      <c r="I168" s="640"/>
      <c r="J168" s="640"/>
      <c r="K168" s="640"/>
      <c r="L168" s="640"/>
      <c r="M168" s="640"/>
      <c r="N168" s="640"/>
      <c r="O168" s="640"/>
      <c r="P168" s="640"/>
      <c r="Q168" s="640"/>
      <c r="R168" s="640"/>
      <c r="S168" s="640"/>
      <c r="T168" s="640"/>
      <c r="U168" s="640"/>
      <c r="V168" s="640"/>
      <c r="W168" s="640"/>
      <c r="X168" s="640"/>
      <c r="Y168" s="640"/>
      <c r="Z168" s="640"/>
      <c r="AA168" s="640"/>
      <c r="AB168" s="640"/>
      <c r="AC168" s="640"/>
      <c r="AD168" s="640"/>
      <c r="AE168" s="640"/>
      <c r="AF168" s="640"/>
      <c r="AG168" s="640"/>
      <c r="AH168" s="640"/>
      <c r="AI168" s="640"/>
      <c r="AJ168" s="640"/>
      <c r="AK168" s="640"/>
      <c r="AL168" s="640"/>
      <c r="AM168" s="640"/>
      <c r="AN168" s="640"/>
      <c r="AO168" s="640"/>
      <c r="AP168" s="640"/>
      <c r="AQ168" s="640"/>
      <c r="AR168" s="640"/>
      <c r="AS168" s="640"/>
      <c r="AT168" s="640"/>
      <c r="AU168" s="640"/>
      <c r="AV168" s="640"/>
      <c r="AW168" s="640"/>
      <c r="AX168" s="640"/>
    </row>
    <row r="169" spans="7:50" x14ac:dyDescent="0.25">
      <c r="G169" s="640"/>
      <c r="H169" s="640"/>
      <c r="I169" s="640"/>
      <c r="J169" s="640"/>
      <c r="K169" s="640"/>
      <c r="L169" s="640"/>
      <c r="M169" s="640"/>
      <c r="N169" s="640"/>
      <c r="O169" s="640"/>
      <c r="P169" s="640"/>
      <c r="Q169" s="640"/>
      <c r="R169" s="640"/>
      <c r="S169" s="640"/>
      <c r="T169" s="640"/>
      <c r="U169" s="640"/>
      <c r="V169" s="640"/>
      <c r="W169" s="640"/>
      <c r="X169" s="640"/>
      <c r="Y169" s="640"/>
      <c r="Z169" s="640"/>
      <c r="AA169" s="640"/>
      <c r="AB169" s="640"/>
      <c r="AC169" s="640"/>
      <c r="AD169" s="640"/>
      <c r="AE169" s="640"/>
      <c r="AF169" s="640"/>
      <c r="AG169" s="640"/>
      <c r="AH169" s="640"/>
      <c r="AI169" s="640"/>
      <c r="AJ169" s="640"/>
      <c r="AK169" s="640"/>
      <c r="AL169" s="640"/>
      <c r="AM169" s="640"/>
      <c r="AN169" s="640"/>
      <c r="AO169" s="640"/>
      <c r="AP169" s="640"/>
      <c r="AQ169" s="640"/>
      <c r="AR169" s="640"/>
      <c r="AS169" s="640"/>
      <c r="AT169" s="640"/>
      <c r="AU169" s="640"/>
      <c r="AV169" s="640"/>
      <c r="AW169" s="640"/>
      <c r="AX169" s="640"/>
    </row>
    <row r="170" spans="7:50" x14ac:dyDescent="0.25">
      <c r="G170" s="640"/>
      <c r="H170" s="640"/>
      <c r="I170" s="640"/>
      <c r="J170" s="640"/>
      <c r="K170" s="640"/>
      <c r="L170" s="640"/>
      <c r="M170" s="640"/>
      <c r="N170" s="640"/>
      <c r="O170" s="640"/>
      <c r="P170" s="640"/>
      <c r="Q170" s="640"/>
      <c r="R170" s="640"/>
      <c r="S170" s="640"/>
      <c r="T170" s="640"/>
      <c r="U170" s="640"/>
      <c r="V170" s="640"/>
      <c r="W170" s="640"/>
      <c r="X170" s="640"/>
      <c r="Y170" s="640"/>
      <c r="Z170" s="640"/>
      <c r="AA170" s="640"/>
      <c r="AB170" s="640"/>
      <c r="AC170" s="640"/>
      <c r="AD170" s="640"/>
      <c r="AE170" s="640"/>
      <c r="AF170" s="640"/>
      <c r="AG170" s="640"/>
      <c r="AH170" s="640"/>
      <c r="AI170" s="640"/>
      <c r="AJ170" s="640"/>
      <c r="AK170" s="640"/>
      <c r="AL170" s="640"/>
      <c r="AM170" s="640"/>
      <c r="AN170" s="640"/>
      <c r="AO170" s="640"/>
      <c r="AP170" s="640"/>
      <c r="AQ170" s="640"/>
      <c r="AR170" s="640"/>
      <c r="AS170" s="640"/>
      <c r="AT170" s="640"/>
      <c r="AU170" s="640"/>
      <c r="AV170" s="640"/>
      <c r="AW170" s="640"/>
      <c r="AX170" s="640"/>
    </row>
    <row r="171" spans="7:50" x14ac:dyDescent="0.25">
      <c r="G171" s="640"/>
      <c r="H171" s="640"/>
      <c r="I171" s="640"/>
      <c r="J171" s="640"/>
      <c r="K171" s="640"/>
      <c r="L171" s="640"/>
      <c r="M171" s="640"/>
      <c r="N171" s="640"/>
      <c r="O171" s="640"/>
      <c r="P171" s="640"/>
      <c r="Q171" s="640"/>
      <c r="R171" s="640"/>
      <c r="S171" s="640"/>
      <c r="T171" s="640"/>
      <c r="U171" s="640"/>
      <c r="V171" s="640"/>
      <c r="W171" s="640"/>
      <c r="X171" s="640"/>
      <c r="Y171" s="640"/>
      <c r="Z171" s="640"/>
      <c r="AA171" s="640"/>
      <c r="AB171" s="640"/>
      <c r="AC171" s="640"/>
      <c r="AD171" s="640"/>
      <c r="AE171" s="640"/>
      <c r="AF171" s="640"/>
      <c r="AG171" s="640"/>
      <c r="AH171" s="640"/>
      <c r="AI171" s="640"/>
      <c r="AJ171" s="640"/>
      <c r="AK171" s="640"/>
      <c r="AL171" s="640"/>
      <c r="AM171" s="640"/>
      <c r="AN171" s="640"/>
      <c r="AO171" s="640"/>
      <c r="AP171" s="640"/>
      <c r="AQ171" s="640"/>
      <c r="AR171" s="640"/>
      <c r="AS171" s="640"/>
      <c r="AT171" s="640"/>
      <c r="AU171" s="640"/>
      <c r="AV171" s="640"/>
      <c r="AW171" s="640"/>
      <c r="AX171" s="640"/>
    </row>
    <row r="172" spans="7:50" x14ac:dyDescent="0.25">
      <c r="G172" s="640"/>
      <c r="H172" s="640"/>
      <c r="I172" s="640"/>
      <c r="J172" s="640"/>
      <c r="K172" s="640"/>
      <c r="L172" s="640"/>
      <c r="M172" s="640"/>
      <c r="N172" s="640"/>
      <c r="O172" s="640"/>
      <c r="P172" s="640"/>
      <c r="Q172" s="640"/>
      <c r="R172" s="640"/>
      <c r="S172" s="640"/>
      <c r="T172" s="640"/>
      <c r="U172" s="640"/>
      <c r="V172" s="640"/>
      <c r="W172" s="640"/>
      <c r="X172" s="640"/>
      <c r="Y172" s="640"/>
      <c r="Z172" s="640"/>
      <c r="AA172" s="640"/>
      <c r="AB172" s="640"/>
      <c r="AC172" s="640"/>
      <c r="AD172" s="640"/>
      <c r="AE172" s="640"/>
      <c r="AF172" s="640"/>
      <c r="AG172" s="640"/>
      <c r="AH172" s="640"/>
      <c r="AI172" s="640"/>
      <c r="AJ172" s="640"/>
      <c r="AK172" s="640"/>
      <c r="AL172" s="640"/>
      <c r="AM172" s="640"/>
      <c r="AN172" s="640"/>
      <c r="AO172" s="640"/>
      <c r="AP172" s="640"/>
      <c r="AQ172" s="640"/>
      <c r="AR172" s="640"/>
      <c r="AS172" s="640"/>
      <c r="AT172" s="640"/>
      <c r="AU172" s="640"/>
      <c r="AV172" s="640"/>
      <c r="AW172" s="640"/>
      <c r="AX172" s="640"/>
    </row>
    <row r="173" spans="7:50" x14ac:dyDescent="0.25">
      <c r="G173" s="640"/>
      <c r="H173" s="640"/>
      <c r="I173" s="640"/>
      <c r="J173" s="640"/>
      <c r="K173" s="640"/>
      <c r="L173" s="640"/>
      <c r="M173" s="640"/>
      <c r="N173" s="640"/>
      <c r="O173" s="640"/>
      <c r="P173" s="640"/>
      <c r="Q173" s="640"/>
      <c r="R173" s="640"/>
      <c r="S173" s="640"/>
      <c r="T173" s="640"/>
      <c r="U173" s="640"/>
      <c r="V173" s="640"/>
      <c r="W173" s="640"/>
      <c r="X173" s="640"/>
      <c r="Y173" s="640"/>
      <c r="Z173" s="640"/>
      <c r="AA173" s="640"/>
      <c r="AB173" s="640"/>
      <c r="AC173" s="640"/>
      <c r="AD173" s="640"/>
      <c r="AE173" s="640"/>
      <c r="AF173" s="640"/>
      <c r="AG173" s="640"/>
      <c r="AH173" s="640"/>
      <c r="AI173" s="640"/>
      <c r="AJ173" s="640"/>
      <c r="AK173" s="640"/>
      <c r="AL173" s="640"/>
      <c r="AM173" s="640"/>
      <c r="AN173" s="640"/>
      <c r="AO173" s="640"/>
      <c r="AP173" s="640"/>
      <c r="AQ173" s="640"/>
      <c r="AR173" s="640"/>
      <c r="AS173" s="640"/>
      <c r="AT173" s="640"/>
      <c r="AU173" s="640"/>
      <c r="AV173" s="640"/>
      <c r="AW173" s="640"/>
      <c r="AX173" s="640"/>
    </row>
    <row r="174" spans="7:50" x14ac:dyDescent="0.25">
      <c r="G174" s="640"/>
      <c r="H174" s="640"/>
      <c r="I174" s="640"/>
      <c r="J174" s="640"/>
      <c r="K174" s="640"/>
      <c r="L174" s="640"/>
      <c r="M174" s="640"/>
      <c r="N174" s="640"/>
      <c r="O174" s="640"/>
      <c r="P174" s="640"/>
      <c r="Q174" s="640"/>
      <c r="R174" s="640"/>
      <c r="S174" s="640"/>
      <c r="T174" s="640"/>
      <c r="U174" s="640"/>
      <c r="V174" s="640"/>
      <c r="W174" s="640"/>
      <c r="X174" s="640"/>
      <c r="Y174" s="640"/>
      <c r="Z174" s="640"/>
      <c r="AA174" s="640"/>
      <c r="AB174" s="640"/>
      <c r="AC174" s="640"/>
      <c r="AD174" s="640"/>
      <c r="AE174" s="640"/>
      <c r="AF174" s="640"/>
      <c r="AG174" s="640"/>
      <c r="AH174" s="640"/>
      <c r="AI174" s="640"/>
      <c r="AJ174" s="640"/>
      <c r="AK174" s="640"/>
      <c r="AL174" s="640"/>
      <c r="AM174" s="640"/>
      <c r="AN174" s="640"/>
      <c r="AO174" s="640"/>
      <c r="AP174" s="640"/>
      <c r="AQ174" s="640"/>
      <c r="AR174" s="640"/>
      <c r="AS174" s="640"/>
      <c r="AT174" s="640"/>
      <c r="AU174" s="640"/>
      <c r="AV174" s="640"/>
      <c r="AW174" s="640"/>
      <c r="AX174" s="640"/>
    </row>
    <row r="175" spans="7:50" x14ac:dyDescent="0.25">
      <c r="G175" s="640"/>
      <c r="H175" s="640"/>
      <c r="I175" s="640"/>
      <c r="J175" s="640"/>
      <c r="K175" s="640"/>
      <c r="L175" s="640"/>
      <c r="M175" s="640"/>
      <c r="N175" s="640"/>
      <c r="O175" s="640"/>
      <c r="P175" s="640"/>
      <c r="Q175" s="640"/>
      <c r="R175" s="640"/>
      <c r="S175" s="640"/>
      <c r="T175" s="640"/>
      <c r="U175" s="640"/>
      <c r="V175" s="640"/>
      <c r="W175" s="640"/>
      <c r="X175" s="640"/>
      <c r="Y175" s="640"/>
      <c r="Z175" s="640"/>
      <c r="AA175" s="640"/>
      <c r="AB175" s="640"/>
      <c r="AC175" s="640"/>
      <c r="AD175" s="640"/>
      <c r="AE175" s="640"/>
      <c r="AF175" s="640"/>
      <c r="AG175" s="640"/>
      <c r="AH175" s="640"/>
      <c r="AI175" s="640"/>
      <c r="AJ175" s="640"/>
      <c r="AK175" s="640"/>
      <c r="AL175" s="640"/>
      <c r="AM175" s="640"/>
      <c r="AN175" s="640"/>
      <c r="AO175" s="640"/>
      <c r="AP175" s="640"/>
      <c r="AQ175" s="640"/>
      <c r="AR175" s="640"/>
      <c r="AS175" s="640"/>
      <c r="AT175" s="640"/>
      <c r="AU175" s="640"/>
      <c r="AV175" s="640"/>
      <c r="AW175" s="640"/>
      <c r="AX175" s="640"/>
    </row>
    <row r="176" spans="7:50" x14ac:dyDescent="0.25">
      <c r="G176" s="640"/>
      <c r="H176" s="640"/>
      <c r="I176" s="640"/>
      <c r="J176" s="640"/>
      <c r="K176" s="640"/>
      <c r="L176" s="640"/>
      <c r="M176" s="640"/>
      <c r="N176" s="640"/>
      <c r="O176" s="640"/>
      <c r="P176" s="640"/>
      <c r="Q176" s="640"/>
      <c r="R176" s="640"/>
      <c r="S176" s="640"/>
      <c r="T176" s="640"/>
      <c r="U176" s="640"/>
      <c r="V176" s="640"/>
      <c r="W176" s="640"/>
      <c r="X176" s="640"/>
      <c r="Y176" s="640"/>
      <c r="Z176" s="640"/>
      <c r="AA176" s="640"/>
      <c r="AB176" s="640"/>
      <c r="AC176" s="640"/>
      <c r="AD176" s="640"/>
      <c r="AE176" s="640"/>
      <c r="AF176" s="640"/>
      <c r="AG176" s="640"/>
      <c r="AH176" s="640"/>
      <c r="AI176" s="640"/>
      <c r="AJ176" s="640"/>
      <c r="AK176" s="640"/>
      <c r="AL176" s="640"/>
      <c r="AM176" s="640"/>
      <c r="AN176" s="640"/>
      <c r="AO176" s="640"/>
      <c r="AP176" s="640"/>
      <c r="AQ176" s="640"/>
      <c r="AR176" s="640"/>
      <c r="AS176" s="640"/>
      <c r="AT176" s="640"/>
      <c r="AU176" s="640"/>
      <c r="AV176" s="640"/>
      <c r="AW176" s="640"/>
      <c r="AX176" s="640"/>
    </row>
    <row r="177" spans="7:50" x14ac:dyDescent="0.25">
      <c r="G177" s="640"/>
      <c r="H177" s="640"/>
      <c r="I177" s="640"/>
      <c r="J177" s="640"/>
      <c r="K177" s="640"/>
      <c r="L177" s="640"/>
      <c r="M177" s="640"/>
      <c r="N177" s="640"/>
      <c r="O177" s="640"/>
      <c r="P177" s="640"/>
      <c r="Q177" s="640"/>
      <c r="R177" s="640"/>
      <c r="S177" s="640"/>
      <c r="T177" s="640"/>
      <c r="U177" s="640"/>
      <c r="V177" s="640"/>
      <c r="W177" s="640"/>
      <c r="X177" s="640"/>
      <c r="Y177" s="640"/>
      <c r="Z177" s="640"/>
      <c r="AA177" s="640"/>
      <c r="AB177" s="640"/>
      <c r="AC177" s="640"/>
      <c r="AD177" s="640"/>
      <c r="AE177" s="640"/>
      <c r="AF177" s="640"/>
      <c r="AG177" s="640"/>
      <c r="AH177" s="640"/>
      <c r="AI177" s="640"/>
      <c r="AJ177" s="640"/>
      <c r="AK177" s="640"/>
      <c r="AL177" s="640"/>
      <c r="AM177" s="640"/>
      <c r="AN177" s="640"/>
      <c r="AO177" s="640"/>
      <c r="AP177" s="640"/>
      <c r="AQ177" s="640"/>
      <c r="AR177" s="640"/>
      <c r="AS177" s="640"/>
      <c r="AT177" s="640"/>
      <c r="AU177" s="640"/>
      <c r="AV177" s="640"/>
      <c r="AW177" s="640"/>
      <c r="AX177" s="640"/>
    </row>
    <row r="178" spans="7:50" x14ac:dyDescent="0.25">
      <c r="G178" s="640"/>
      <c r="H178" s="640"/>
      <c r="I178" s="640"/>
      <c r="J178" s="640"/>
      <c r="K178" s="640"/>
      <c r="L178" s="640"/>
      <c r="M178" s="640"/>
      <c r="N178" s="640"/>
      <c r="O178" s="640"/>
      <c r="P178" s="640"/>
      <c r="Q178" s="640"/>
      <c r="R178" s="640"/>
      <c r="S178" s="640"/>
      <c r="T178" s="640"/>
      <c r="U178" s="640"/>
      <c r="V178" s="640"/>
      <c r="W178" s="640"/>
      <c r="X178" s="640"/>
      <c r="Y178" s="640"/>
      <c r="Z178" s="640"/>
      <c r="AA178" s="640"/>
      <c r="AB178" s="640"/>
      <c r="AC178" s="640"/>
      <c r="AD178" s="640"/>
      <c r="AE178" s="640"/>
      <c r="AF178" s="640"/>
      <c r="AG178" s="640"/>
      <c r="AH178" s="640"/>
      <c r="AI178" s="640"/>
      <c r="AJ178" s="640"/>
      <c r="AK178" s="640"/>
      <c r="AL178" s="640"/>
      <c r="AM178" s="640"/>
      <c r="AN178" s="640"/>
      <c r="AO178" s="640"/>
      <c r="AP178" s="640"/>
      <c r="AQ178" s="640"/>
      <c r="AR178" s="640"/>
      <c r="AS178" s="640"/>
      <c r="AT178" s="640"/>
      <c r="AU178" s="640"/>
      <c r="AV178" s="640"/>
      <c r="AW178" s="640"/>
      <c r="AX178" s="640"/>
    </row>
    <row r="179" spans="7:50" x14ac:dyDescent="0.25">
      <c r="G179" s="640"/>
      <c r="H179" s="640"/>
      <c r="I179" s="640"/>
      <c r="J179" s="640"/>
      <c r="K179" s="640"/>
      <c r="L179" s="640"/>
      <c r="M179" s="640"/>
      <c r="N179" s="640"/>
      <c r="O179" s="640"/>
      <c r="P179" s="640"/>
      <c r="Q179" s="640"/>
      <c r="R179" s="640"/>
      <c r="S179" s="640"/>
      <c r="T179" s="640"/>
      <c r="U179" s="640"/>
      <c r="V179" s="640"/>
      <c r="W179" s="640"/>
      <c r="X179" s="640"/>
      <c r="Y179" s="640"/>
      <c r="Z179" s="640"/>
      <c r="AA179" s="640"/>
      <c r="AB179" s="640"/>
      <c r="AC179" s="640"/>
      <c r="AD179" s="640"/>
      <c r="AE179" s="640"/>
      <c r="AF179" s="640"/>
      <c r="AG179" s="640"/>
      <c r="AH179" s="640"/>
      <c r="AI179" s="640"/>
      <c r="AJ179" s="640"/>
      <c r="AK179" s="640"/>
      <c r="AL179" s="640"/>
      <c r="AM179" s="640"/>
      <c r="AN179" s="640"/>
      <c r="AO179" s="640"/>
      <c r="AP179" s="640"/>
      <c r="AQ179" s="640"/>
      <c r="AR179" s="640"/>
      <c r="AS179" s="640"/>
      <c r="AT179" s="640"/>
      <c r="AU179" s="640"/>
      <c r="AV179" s="640"/>
      <c r="AW179" s="640"/>
      <c r="AX179" s="640"/>
    </row>
    <row r="180" spans="7:50" x14ac:dyDescent="0.25">
      <c r="G180" s="640"/>
      <c r="H180" s="640"/>
      <c r="I180" s="640"/>
      <c r="J180" s="640"/>
      <c r="K180" s="640"/>
      <c r="L180" s="640"/>
      <c r="M180" s="640"/>
      <c r="N180" s="640"/>
      <c r="O180" s="640"/>
      <c r="P180" s="640"/>
      <c r="Q180" s="640"/>
      <c r="R180" s="640"/>
      <c r="S180" s="640"/>
      <c r="T180" s="640"/>
      <c r="U180" s="640"/>
      <c r="V180" s="640"/>
      <c r="W180" s="640"/>
      <c r="X180" s="640"/>
      <c r="Y180" s="640"/>
      <c r="Z180" s="640"/>
      <c r="AA180" s="640"/>
      <c r="AB180" s="640"/>
      <c r="AC180" s="640"/>
      <c r="AD180" s="640"/>
      <c r="AE180" s="640"/>
      <c r="AF180" s="640"/>
      <c r="AG180" s="640"/>
      <c r="AH180" s="640"/>
      <c r="AI180" s="640"/>
      <c r="AJ180" s="640"/>
      <c r="AK180" s="640"/>
      <c r="AL180" s="640"/>
      <c r="AM180" s="640"/>
      <c r="AN180" s="640"/>
      <c r="AO180" s="640"/>
      <c r="AP180" s="640"/>
      <c r="AQ180" s="640"/>
      <c r="AR180" s="640"/>
      <c r="AS180" s="640"/>
      <c r="AT180" s="640"/>
      <c r="AU180" s="640"/>
      <c r="AV180" s="640"/>
      <c r="AW180" s="640"/>
      <c r="AX180" s="640"/>
    </row>
    <row r="181" spans="7:50" x14ac:dyDescent="0.25">
      <c r="G181" s="640"/>
      <c r="H181" s="640"/>
      <c r="I181" s="640"/>
      <c r="J181" s="640"/>
      <c r="K181" s="640"/>
      <c r="L181" s="640"/>
      <c r="M181" s="640"/>
      <c r="N181" s="640"/>
      <c r="O181" s="640"/>
      <c r="P181" s="640"/>
      <c r="Q181" s="640"/>
      <c r="R181" s="640"/>
      <c r="S181" s="640"/>
      <c r="T181" s="640"/>
      <c r="U181" s="640"/>
      <c r="V181" s="640"/>
      <c r="W181" s="640"/>
      <c r="X181" s="640"/>
      <c r="Y181" s="640"/>
      <c r="Z181" s="640"/>
      <c r="AA181" s="640"/>
      <c r="AB181" s="640"/>
      <c r="AC181" s="640"/>
      <c r="AD181" s="640"/>
      <c r="AE181" s="640"/>
      <c r="AF181" s="640"/>
      <c r="AG181" s="640"/>
      <c r="AH181" s="640"/>
      <c r="AI181" s="640"/>
      <c r="AJ181" s="640"/>
      <c r="AK181" s="640"/>
      <c r="AL181" s="640"/>
      <c r="AM181" s="640"/>
      <c r="AN181" s="640"/>
      <c r="AO181" s="640"/>
      <c r="AP181" s="640"/>
      <c r="AQ181" s="640"/>
      <c r="AR181" s="640"/>
      <c r="AS181" s="640"/>
      <c r="AT181" s="640"/>
      <c r="AU181" s="640"/>
      <c r="AV181" s="640"/>
      <c r="AW181" s="640"/>
      <c r="AX181" s="640"/>
    </row>
    <row r="182" spans="7:50" x14ac:dyDescent="0.25">
      <c r="G182" s="640"/>
      <c r="H182" s="640"/>
      <c r="I182" s="640"/>
      <c r="J182" s="640"/>
      <c r="K182" s="640"/>
      <c r="L182" s="640"/>
      <c r="M182" s="640"/>
      <c r="N182" s="640"/>
      <c r="O182" s="640"/>
      <c r="P182" s="640"/>
      <c r="Q182" s="640"/>
      <c r="R182" s="640"/>
      <c r="S182" s="640"/>
      <c r="T182" s="640"/>
      <c r="U182" s="640"/>
      <c r="V182" s="640"/>
      <c r="W182" s="640"/>
      <c r="X182" s="640"/>
      <c r="Y182" s="640"/>
      <c r="Z182" s="640"/>
      <c r="AA182" s="640"/>
      <c r="AB182" s="640"/>
      <c r="AC182" s="640"/>
      <c r="AD182" s="640"/>
      <c r="AE182" s="640"/>
      <c r="AF182" s="640"/>
      <c r="AG182" s="640"/>
      <c r="AH182" s="640"/>
      <c r="AI182" s="640"/>
      <c r="AJ182" s="640"/>
      <c r="AK182" s="640"/>
      <c r="AL182" s="640"/>
      <c r="AM182" s="640"/>
      <c r="AN182" s="640"/>
      <c r="AO182" s="640"/>
      <c r="AP182" s="640"/>
      <c r="AQ182" s="640"/>
      <c r="AR182" s="640"/>
      <c r="AS182" s="640"/>
      <c r="AT182" s="640"/>
      <c r="AU182" s="640"/>
      <c r="AV182" s="640"/>
      <c r="AW182" s="640"/>
      <c r="AX182" s="640"/>
    </row>
    <row r="183" spans="7:50" x14ac:dyDescent="0.25">
      <c r="G183" s="640"/>
      <c r="H183" s="640"/>
      <c r="I183" s="640"/>
      <c r="J183" s="640"/>
      <c r="K183" s="640"/>
      <c r="L183" s="640"/>
      <c r="M183" s="640"/>
      <c r="N183" s="640"/>
      <c r="O183" s="640"/>
      <c r="P183" s="640"/>
      <c r="Q183" s="640"/>
      <c r="R183" s="640"/>
      <c r="S183" s="640"/>
      <c r="T183" s="640"/>
      <c r="U183" s="640"/>
      <c r="V183" s="640"/>
      <c r="W183" s="640"/>
      <c r="X183" s="640"/>
      <c r="Y183" s="640"/>
      <c r="Z183" s="640"/>
      <c r="AA183" s="640"/>
      <c r="AB183" s="640"/>
      <c r="AC183" s="640"/>
      <c r="AD183" s="640"/>
      <c r="AE183" s="640"/>
      <c r="AF183" s="640"/>
      <c r="AG183" s="640"/>
      <c r="AH183" s="640"/>
      <c r="AI183" s="640"/>
      <c r="AJ183" s="640"/>
      <c r="AK183" s="640"/>
      <c r="AL183" s="640"/>
      <c r="AM183" s="640"/>
      <c r="AN183" s="640"/>
      <c r="AO183" s="640"/>
      <c r="AP183" s="640"/>
      <c r="AQ183" s="640"/>
      <c r="AR183" s="640"/>
      <c r="AS183" s="640"/>
      <c r="AT183" s="640"/>
      <c r="AU183" s="640"/>
      <c r="AV183" s="640"/>
      <c r="AW183" s="640"/>
      <c r="AX183" s="640"/>
    </row>
    <row r="184" spans="7:50" x14ac:dyDescent="0.25">
      <c r="G184" s="640"/>
      <c r="H184" s="640"/>
      <c r="I184" s="640"/>
      <c r="J184" s="640"/>
      <c r="K184" s="640"/>
      <c r="L184" s="640"/>
      <c r="M184" s="640"/>
      <c r="N184" s="640"/>
      <c r="O184" s="640"/>
      <c r="P184" s="640"/>
      <c r="Q184" s="640"/>
      <c r="R184" s="640"/>
      <c r="S184" s="640"/>
      <c r="T184" s="640"/>
      <c r="U184" s="640"/>
      <c r="V184" s="640"/>
      <c r="W184" s="640"/>
      <c r="X184" s="640"/>
      <c r="Y184" s="640"/>
      <c r="Z184" s="640"/>
      <c r="AA184" s="640"/>
      <c r="AB184" s="640"/>
      <c r="AC184" s="640"/>
      <c r="AD184" s="640"/>
      <c r="AE184" s="640"/>
      <c r="AF184" s="640"/>
      <c r="AG184" s="640"/>
      <c r="AH184" s="640"/>
      <c r="AI184" s="640"/>
      <c r="AJ184" s="640"/>
      <c r="AK184" s="640"/>
      <c r="AL184" s="640"/>
      <c r="AM184" s="640"/>
      <c r="AN184" s="640"/>
      <c r="AO184" s="640"/>
      <c r="AP184" s="640"/>
      <c r="AQ184" s="640"/>
      <c r="AR184" s="640"/>
      <c r="AS184" s="640"/>
      <c r="AT184" s="640"/>
      <c r="AU184" s="640"/>
      <c r="AV184" s="640"/>
      <c r="AW184" s="640"/>
      <c r="AX184" s="640"/>
    </row>
    <row r="185" spans="7:50" x14ac:dyDescent="0.25">
      <c r="G185" s="640"/>
      <c r="H185" s="640"/>
      <c r="I185" s="640"/>
      <c r="J185" s="640"/>
      <c r="K185" s="640"/>
      <c r="L185" s="640"/>
      <c r="M185" s="640"/>
      <c r="N185" s="640"/>
      <c r="O185" s="640"/>
      <c r="P185" s="640"/>
      <c r="Q185" s="640"/>
      <c r="R185" s="640"/>
      <c r="S185" s="640"/>
      <c r="T185" s="640"/>
      <c r="U185" s="640"/>
      <c r="V185" s="640"/>
      <c r="W185" s="640"/>
      <c r="X185" s="640"/>
      <c r="Y185" s="640"/>
      <c r="Z185" s="640"/>
      <c r="AA185" s="640"/>
      <c r="AB185" s="640"/>
      <c r="AC185" s="640"/>
      <c r="AD185" s="640"/>
      <c r="AE185" s="640"/>
      <c r="AF185" s="640"/>
      <c r="AG185" s="640"/>
      <c r="AH185" s="640"/>
      <c r="AI185" s="640"/>
      <c r="AJ185" s="640"/>
      <c r="AK185" s="640"/>
      <c r="AL185" s="640"/>
      <c r="AM185" s="640"/>
      <c r="AN185" s="640"/>
      <c r="AO185" s="640"/>
      <c r="AP185" s="640"/>
      <c r="AQ185" s="640"/>
      <c r="AR185" s="640"/>
      <c r="AS185" s="640"/>
      <c r="AT185" s="640"/>
      <c r="AU185" s="640"/>
      <c r="AV185" s="640"/>
      <c r="AW185" s="640"/>
      <c r="AX185" s="640"/>
    </row>
    <row r="186" spans="7:50" x14ac:dyDescent="0.25">
      <c r="G186" s="640"/>
      <c r="H186" s="640"/>
      <c r="I186" s="640"/>
      <c r="J186" s="640"/>
      <c r="K186" s="640"/>
      <c r="L186" s="640"/>
      <c r="M186" s="640"/>
      <c r="N186" s="640"/>
      <c r="O186" s="640"/>
      <c r="P186" s="640"/>
      <c r="Q186" s="640"/>
      <c r="R186" s="640"/>
      <c r="S186" s="640"/>
      <c r="T186" s="640"/>
      <c r="U186" s="640"/>
      <c r="V186" s="640"/>
      <c r="W186" s="640"/>
      <c r="X186" s="640"/>
      <c r="Y186" s="640"/>
      <c r="Z186" s="640"/>
      <c r="AA186" s="640"/>
      <c r="AB186" s="640"/>
      <c r="AC186" s="640"/>
      <c r="AD186" s="640"/>
      <c r="AE186" s="640"/>
      <c r="AF186" s="640"/>
      <c r="AG186" s="640"/>
      <c r="AH186" s="640"/>
      <c r="AI186" s="640"/>
      <c r="AJ186" s="640"/>
      <c r="AK186" s="640"/>
      <c r="AL186" s="640"/>
      <c r="AM186" s="640"/>
      <c r="AN186" s="640"/>
      <c r="AO186" s="640"/>
      <c r="AP186" s="640"/>
      <c r="AQ186" s="640"/>
      <c r="AR186" s="640"/>
      <c r="AS186" s="640"/>
      <c r="AT186" s="640"/>
      <c r="AU186" s="640"/>
      <c r="AV186" s="640"/>
      <c r="AW186" s="640"/>
      <c r="AX186" s="640"/>
    </row>
    <row r="187" spans="7:50" x14ac:dyDescent="0.25"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640"/>
      <c r="AG187" s="640"/>
      <c r="AH187" s="640"/>
      <c r="AI187" s="640"/>
      <c r="AJ187" s="640"/>
      <c r="AK187" s="640"/>
      <c r="AL187" s="640"/>
      <c r="AM187" s="640"/>
      <c r="AN187" s="640"/>
      <c r="AO187" s="640"/>
      <c r="AP187" s="640"/>
      <c r="AQ187" s="640"/>
      <c r="AR187" s="640"/>
      <c r="AS187" s="640"/>
      <c r="AT187" s="640"/>
      <c r="AU187" s="640"/>
      <c r="AV187" s="640"/>
      <c r="AW187" s="640"/>
      <c r="AX187" s="640"/>
    </row>
    <row r="188" spans="7:50" x14ac:dyDescent="0.25">
      <c r="G188" s="640"/>
      <c r="H188" s="640"/>
      <c r="I188" s="640"/>
      <c r="J188" s="640"/>
      <c r="K188" s="640"/>
      <c r="L188" s="640"/>
      <c r="M188" s="640"/>
      <c r="N188" s="640"/>
      <c r="O188" s="640"/>
      <c r="P188" s="640"/>
      <c r="Q188" s="640"/>
      <c r="R188" s="640"/>
      <c r="S188" s="640"/>
      <c r="T188" s="640"/>
      <c r="U188" s="640"/>
      <c r="V188" s="640"/>
      <c r="W188" s="640"/>
      <c r="X188" s="640"/>
      <c r="Y188" s="640"/>
      <c r="Z188" s="640"/>
      <c r="AA188" s="640"/>
      <c r="AB188" s="640"/>
      <c r="AC188" s="640"/>
      <c r="AD188" s="640"/>
      <c r="AE188" s="640"/>
      <c r="AF188" s="640"/>
      <c r="AG188" s="640"/>
      <c r="AH188" s="640"/>
      <c r="AI188" s="640"/>
      <c r="AJ188" s="640"/>
      <c r="AK188" s="640"/>
      <c r="AL188" s="640"/>
      <c r="AM188" s="640"/>
      <c r="AN188" s="640"/>
      <c r="AO188" s="640"/>
      <c r="AP188" s="640"/>
      <c r="AQ188" s="640"/>
      <c r="AR188" s="640"/>
      <c r="AS188" s="640"/>
      <c r="AT188" s="640"/>
      <c r="AU188" s="640"/>
      <c r="AV188" s="640"/>
      <c r="AW188" s="640"/>
      <c r="AX188" s="640"/>
    </row>
    <row r="189" spans="7:50" x14ac:dyDescent="0.25">
      <c r="G189" s="640"/>
      <c r="H189" s="640"/>
      <c r="I189" s="640"/>
      <c r="J189" s="640"/>
      <c r="K189" s="640"/>
      <c r="L189" s="640"/>
      <c r="M189" s="640"/>
      <c r="N189" s="640"/>
      <c r="O189" s="640"/>
      <c r="P189" s="640"/>
      <c r="Q189" s="640"/>
      <c r="R189" s="640"/>
      <c r="S189" s="640"/>
      <c r="T189" s="640"/>
      <c r="U189" s="640"/>
      <c r="V189" s="640"/>
      <c r="W189" s="640"/>
      <c r="X189" s="640"/>
      <c r="Y189" s="640"/>
      <c r="Z189" s="640"/>
      <c r="AA189" s="640"/>
      <c r="AB189" s="640"/>
      <c r="AC189" s="640"/>
      <c r="AD189" s="640"/>
      <c r="AE189" s="640"/>
      <c r="AF189" s="640"/>
      <c r="AG189" s="640"/>
      <c r="AH189" s="640"/>
      <c r="AI189" s="640"/>
      <c r="AJ189" s="640"/>
      <c r="AK189" s="640"/>
      <c r="AL189" s="640"/>
      <c r="AM189" s="640"/>
      <c r="AN189" s="640"/>
      <c r="AO189" s="640"/>
      <c r="AP189" s="640"/>
      <c r="AQ189" s="640"/>
      <c r="AR189" s="640"/>
      <c r="AS189" s="640"/>
      <c r="AT189" s="640"/>
      <c r="AU189" s="640"/>
      <c r="AV189" s="640"/>
      <c r="AW189" s="640"/>
      <c r="AX189" s="640"/>
    </row>
    <row r="190" spans="7:50" x14ac:dyDescent="0.25">
      <c r="G190" s="640"/>
      <c r="H190" s="640"/>
      <c r="I190" s="640"/>
      <c r="J190" s="640"/>
      <c r="K190" s="640"/>
      <c r="L190" s="640"/>
      <c r="M190" s="640"/>
      <c r="N190" s="640"/>
      <c r="O190" s="640"/>
      <c r="P190" s="640"/>
      <c r="Q190" s="640"/>
      <c r="R190" s="640"/>
      <c r="S190" s="640"/>
      <c r="T190" s="640"/>
      <c r="U190" s="640"/>
      <c r="V190" s="640"/>
      <c r="W190" s="640"/>
      <c r="X190" s="640"/>
      <c r="Y190" s="640"/>
      <c r="Z190" s="640"/>
      <c r="AA190" s="640"/>
      <c r="AB190" s="640"/>
      <c r="AC190" s="640"/>
      <c r="AD190" s="640"/>
      <c r="AE190" s="640"/>
      <c r="AF190" s="640"/>
      <c r="AG190" s="640"/>
      <c r="AH190" s="640"/>
      <c r="AI190" s="640"/>
      <c r="AJ190" s="640"/>
      <c r="AK190" s="640"/>
      <c r="AL190" s="640"/>
      <c r="AM190" s="640"/>
      <c r="AN190" s="640"/>
      <c r="AO190" s="640"/>
      <c r="AP190" s="640"/>
      <c r="AQ190" s="640"/>
      <c r="AR190" s="640"/>
      <c r="AS190" s="640"/>
      <c r="AT190" s="640"/>
      <c r="AU190" s="640"/>
      <c r="AV190" s="640"/>
      <c r="AW190" s="640"/>
      <c r="AX190" s="640"/>
    </row>
    <row r="191" spans="7:50" x14ac:dyDescent="0.25">
      <c r="G191" s="640"/>
      <c r="H191" s="640"/>
      <c r="I191" s="640"/>
      <c r="J191" s="640"/>
      <c r="K191" s="640"/>
      <c r="L191" s="640"/>
      <c r="M191" s="640"/>
      <c r="N191" s="640"/>
      <c r="O191" s="640"/>
      <c r="P191" s="640"/>
      <c r="Q191" s="640"/>
      <c r="R191" s="640"/>
      <c r="S191" s="640"/>
      <c r="T191" s="640"/>
      <c r="U191" s="640"/>
      <c r="V191" s="640"/>
      <c r="W191" s="640"/>
      <c r="X191" s="640"/>
      <c r="Y191" s="640"/>
      <c r="Z191" s="640"/>
      <c r="AA191" s="640"/>
      <c r="AB191" s="640"/>
      <c r="AC191" s="640"/>
      <c r="AD191" s="640"/>
      <c r="AE191" s="640"/>
      <c r="AF191" s="640"/>
      <c r="AG191" s="640"/>
      <c r="AH191" s="640"/>
      <c r="AI191" s="640"/>
      <c r="AJ191" s="640"/>
      <c r="AK191" s="640"/>
      <c r="AL191" s="640"/>
      <c r="AM191" s="640"/>
      <c r="AN191" s="640"/>
      <c r="AO191" s="640"/>
      <c r="AP191" s="640"/>
      <c r="AQ191" s="640"/>
      <c r="AR191" s="640"/>
      <c r="AS191" s="640"/>
      <c r="AT191" s="640"/>
      <c r="AU191" s="640"/>
      <c r="AV191" s="640"/>
      <c r="AW191" s="640"/>
      <c r="AX191" s="640"/>
    </row>
    <row r="192" spans="7:50" x14ac:dyDescent="0.25">
      <c r="G192" s="640"/>
      <c r="H192" s="640"/>
      <c r="I192" s="640"/>
      <c r="J192" s="640"/>
      <c r="K192" s="640"/>
      <c r="L192" s="640"/>
      <c r="M192" s="640"/>
      <c r="N192" s="640"/>
      <c r="O192" s="640"/>
      <c r="P192" s="640"/>
      <c r="Q192" s="640"/>
      <c r="R192" s="640"/>
      <c r="S192" s="640"/>
      <c r="T192" s="640"/>
      <c r="U192" s="640"/>
      <c r="V192" s="640"/>
      <c r="W192" s="640"/>
      <c r="X192" s="640"/>
      <c r="Y192" s="640"/>
      <c r="Z192" s="640"/>
      <c r="AA192" s="640"/>
      <c r="AB192" s="640"/>
      <c r="AC192" s="640"/>
      <c r="AD192" s="640"/>
      <c r="AE192" s="640"/>
      <c r="AF192" s="640"/>
      <c r="AG192" s="640"/>
      <c r="AH192" s="640"/>
      <c r="AI192" s="640"/>
      <c r="AJ192" s="640"/>
      <c r="AK192" s="640"/>
      <c r="AL192" s="640"/>
      <c r="AM192" s="640"/>
      <c r="AN192" s="640"/>
      <c r="AO192" s="640"/>
      <c r="AP192" s="640"/>
      <c r="AQ192" s="640"/>
      <c r="AR192" s="640"/>
      <c r="AS192" s="640"/>
      <c r="AT192" s="640"/>
      <c r="AU192" s="640"/>
      <c r="AV192" s="640"/>
      <c r="AW192" s="640"/>
      <c r="AX192" s="640"/>
    </row>
    <row r="193" spans="7:50" x14ac:dyDescent="0.25">
      <c r="G193" s="640"/>
      <c r="H193" s="640"/>
      <c r="I193" s="640"/>
      <c r="J193" s="640"/>
      <c r="K193" s="640"/>
      <c r="L193" s="640"/>
      <c r="M193" s="640"/>
      <c r="N193" s="640"/>
      <c r="O193" s="640"/>
      <c r="P193" s="640"/>
      <c r="Q193" s="640"/>
      <c r="R193" s="640"/>
      <c r="S193" s="640"/>
      <c r="T193" s="640"/>
      <c r="U193" s="640"/>
      <c r="V193" s="640"/>
      <c r="W193" s="640"/>
      <c r="X193" s="640"/>
      <c r="Y193" s="640"/>
      <c r="Z193" s="640"/>
      <c r="AA193" s="640"/>
      <c r="AB193" s="640"/>
      <c r="AC193" s="640"/>
      <c r="AD193" s="640"/>
      <c r="AE193" s="640"/>
      <c r="AF193" s="640"/>
      <c r="AG193" s="640"/>
      <c r="AH193" s="640"/>
      <c r="AI193" s="640"/>
      <c r="AJ193" s="640"/>
      <c r="AK193" s="640"/>
      <c r="AL193" s="640"/>
      <c r="AM193" s="640"/>
      <c r="AN193" s="640"/>
      <c r="AO193" s="640"/>
      <c r="AP193" s="640"/>
      <c r="AQ193" s="640"/>
      <c r="AR193" s="640"/>
      <c r="AS193" s="640"/>
      <c r="AT193" s="640"/>
      <c r="AU193" s="640"/>
      <c r="AV193" s="640"/>
      <c r="AW193" s="640"/>
      <c r="AX193" s="640"/>
    </row>
    <row r="194" spans="7:50" x14ac:dyDescent="0.25">
      <c r="G194" s="640"/>
      <c r="H194" s="640"/>
      <c r="I194" s="640"/>
      <c r="J194" s="640"/>
      <c r="K194" s="640"/>
      <c r="L194" s="640"/>
      <c r="M194" s="640"/>
      <c r="N194" s="640"/>
      <c r="O194" s="640"/>
      <c r="P194" s="640"/>
      <c r="Q194" s="640"/>
      <c r="R194" s="640"/>
      <c r="S194" s="640"/>
      <c r="T194" s="640"/>
      <c r="U194" s="640"/>
      <c r="V194" s="640"/>
      <c r="W194" s="640"/>
      <c r="X194" s="640"/>
      <c r="Y194" s="640"/>
      <c r="Z194" s="640"/>
      <c r="AA194" s="640"/>
      <c r="AB194" s="640"/>
      <c r="AC194" s="640"/>
      <c r="AD194" s="640"/>
      <c r="AE194" s="640"/>
      <c r="AF194" s="640"/>
      <c r="AG194" s="640"/>
      <c r="AH194" s="640"/>
      <c r="AI194" s="640"/>
      <c r="AJ194" s="640"/>
      <c r="AK194" s="640"/>
      <c r="AL194" s="640"/>
      <c r="AM194" s="640"/>
      <c r="AN194" s="640"/>
      <c r="AO194" s="640"/>
      <c r="AP194" s="640"/>
      <c r="AQ194" s="640"/>
      <c r="AR194" s="640"/>
      <c r="AS194" s="640"/>
      <c r="AT194" s="640"/>
      <c r="AU194" s="640"/>
      <c r="AV194" s="640"/>
      <c r="AW194" s="640"/>
      <c r="AX194" s="640"/>
    </row>
    <row r="195" spans="7:50" x14ac:dyDescent="0.25">
      <c r="G195" s="640"/>
      <c r="H195" s="640"/>
      <c r="I195" s="640"/>
      <c r="J195" s="640"/>
      <c r="K195" s="640"/>
      <c r="L195" s="640"/>
      <c r="M195" s="640"/>
      <c r="N195" s="640"/>
      <c r="O195" s="640"/>
      <c r="P195" s="640"/>
      <c r="Q195" s="640"/>
      <c r="R195" s="640"/>
      <c r="S195" s="640"/>
      <c r="T195" s="640"/>
      <c r="U195" s="640"/>
      <c r="V195" s="640"/>
      <c r="W195" s="640"/>
      <c r="X195" s="640"/>
      <c r="Y195" s="640"/>
      <c r="Z195" s="640"/>
      <c r="AA195" s="640"/>
      <c r="AB195" s="640"/>
      <c r="AC195" s="640"/>
      <c r="AD195" s="640"/>
      <c r="AE195" s="640"/>
      <c r="AF195" s="640"/>
      <c r="AG195" s="640"/>
      <c r="AH195" s="640"/>
      <c r="AI195" s="640"/>
      <c r="AJ195" s="640"/>
      <c r="AK195" s="640"/>
      <c r="AL195" s="640"/>
      <c r="AM195" s="640"/>
      <c r="AN195" s="640"/>
      <c r="AO195" s="640"/>
      <c r="AP195" s="640"/>
      <c r="AQ195" s="640"/>
      <c r="AR195" s="640"/>
      <c r="AS195" s="640"/>
      <c r="AT195" s="640"/>
      <c r="AU195" s="640"/>
      <c r="AV195" s="640"/>
      <c r="AW195" s="640"/>
      <c r="AX195" s="640"/>
    </row>
    <row r="196" spans="7:50" x14ac:dyDescent="0.25">
      <c r="G196" s="640"/>
      <c r="H196" s="640"/>
      <c r="I196" s="640"/>
      <c r="J196" s="640"/>
      <c r="K196" s="640"/>
      <c r="L196" s="640"/>
      <c r="M196" s="640"/>
      <c r="N196" s="640"/>
      <c r="O196" s="640"/>
      <c r="P196" s="640"/>
      <c r="Q196" s="640"/>
      <c r="R196" s="640"/>
      <c r="S196" s="640"/>
      <c r="T196" s="640"/>
      <c r="U196" s="640"/>
      <c r="V196" s="640"/>
      <c r="W196" s="640"/>
      <c r="X196" s="640"/>
      <c r="Y196" s="640"/>
      <c r="Z196" s="640"/>
      <c r="AA196" s="640"/>
      <c r="AB196" s="640"/>
      <c r="AC196" s="640"/>
      <c r="AD196" s="640"/>
      <c r="AE196" s="640"/>
      <c r="AF196" s="640"/>
      <c r="AG196" s="640"/>
      <c r="AH196" s="640"/>
      <c r="AI196" s="640"/>
      <c r="AJ196" s="640"/>
      <c r="AK196" s="640"/>
      <c r="AL196" s="640"/>
      <c r="AM196" s="640"/>
      <c r="AN196" s="640"/>
      <c r="AO196" s="640"/>
      <c r="AP196" s="640"/>
      <c r="AQ196" s="640"/>
      <c r="AR196" s="640"/>
      <c r="AS196" s="640"/>
      <c r="AT196" s="640"/>
      <c r="AU196" s="640"/>
      <c r="AV196" s="640"/>
      <c r="AW196" s="640"/>
      <c r="AX196" s="640"/>
    </row>
    <row r="197" spans="7:50" x14ac:dyDescent="0.25">
      <c r="G197" s="640"/>
      <c r="H197" s="640"/>
      <c r="I197" s="640"/>
      <c r="J197" s="640"/>
      <c r="K197" s="640"/>
      <c r="L197" s="640"/>
      <c r="M197" s="640"/>
      <c r="N197" s="640"/>
      <c r="O197" s="640"/>
      <c r="P197" s="640"/>
      <c r="Q197" s="640"/>
      <c r="R197" s="640"/>
      <c r="S197" s="640"/>
      <c r="T197" s="640"/>
      <c r="U197" s="640"/>
      <c r="V197" s="640"/>
      <c r="W197" s="640"/>
      <c r="X197" s="640"/>
      <c r="Y197" s="640"/>
      <c r="Z197" s="640"/>
      <c r="AA197" s="640"/>
      <c r="AB197" s="640"/>
      <c r="AC197" s="640"/>
      <c r="AD197" s="640"/>
      <c r="AE197" s="640"/>
      <c r="AF197" s="640"/>
      <c r="AG197" s="640"/>
      <c r="AH197" s="640"/>
      <c r="AI197" s="640"/>
      <c r="AJ197" s="640"/>
      <c r="AK197" s="640"/>
      <c r="AL197" s="640"/>
      <c r="AM197" s="640"/>
      <c r="AN197" s="640"/>
      <c r="AO197" s="640"/>
      <c r="AP197" s="640"/>
      <c r="AQ197" s="640"/>
      <c r="AR197" s="640"/>
      <c r="AS197" s="640"/>
      <c r="AT197" s="640"/>
      <c r="AU197" s="640"/>
      <c r="AV197" s="640"/>
      <c r="AW197" s="640"/>
      <c r="AX197" s="640"/>
    </row>
    <row r="198" spans="7:50" x14ac:dyDescent="0.25">
      <c r="G198" s="640"/>
      <c r="H198" s="640"/>
      <c r="I198" s="640"/>
      <c r="J198" s="640"/>
      <c r="K198" s="640"/>
      <c r="L198" s="640"/>
      <c r="M198" s="640"/>
      <c r="N198" s="640"/>
      <c r="O198" s="640"/>
      <c r="P198" s="640"/>
      <c r="Q198" s="640"/>
      <c r="R198" s="640"/>
      <c r="S198" s="640"/>
      <c r="T198" s="640"/>
      <c r="U198" s="640"/>
      <c r="V198" s="640"/>
      <c r="W198" s="640"/>
      <c r="X198" s="640"/>
      <c r="Y198" s="640"/>
      <c r="Z198" s="640"/>
      <c r="AA198" s="640"/>
      <c r="AB198" s="640"/>
      <c r="AC198" s="640"/>
      <c r="AD198" s="640"/>
      <c r="AE198" s="640"/>
      <c r="AF198" s="640"/>
      <c r="AG198" s="640"/>
      <c r="AH198" s="640"/>
      <c r="AI198" s="640"/>
      <c r="AJ198" s="640"/>
      <c r="AK198" s="640"/>
      <c r="AL198" s="640"/>
      <c r="AM198" s="640"/>
      <c r="AN198" s="640"/>
      <c r="AO198" s="640"/>
      <c r="AP198" s="640"/>
      <c r="AQ198" s="640"/>
      <c r="AR198" s="640"/>
      <c r="AS198" s="640"/>
      <c r="AT198" s="640"/>
      <c r="AU198" s="640"/>
      <c r="AV198" s="640"/>
      <c r="AW198" s="640"/>
      <c r="AX198" s="640"/>
    </row>
    <row r="199" spans="7:50" x14ac:dyDescent="0.25">
      <c r="G199" s="640"/>
      <c r="H199" s="640"/>
      <c r="I199" s="640"/>
      <c r="J199" s="640"/>
      <c r="K199" s="640"/>
      <c r="L199" s="640"/>
      <c r="M199" s="640"/>
      <c r="N199" s="640"/>
      <c r="O199" s="640"/>
      <c r="P199" s="640"/>
      <c r="Q199" s="640"/>
      <c r="R199" s="640"/>
      <c r="S199" s="640"/>
      <c r="T199" s="640"/>
      <c r="U199" s="640"/>
      <c r="V199" s="640"/>
      <c r="W199" s="640"/>
      <c r="X199" s="640"/>
      <c r="Y199" s="640"/>
      <c r="Z199" s="640"/>
      <c r="AA199" s="640"/>
      <c r="AB199" s="640"/>
      <c r="AC199" s="640"/>
      <c r="AD199" s="640"/>
      <c r="AE199" s="640"/>
      <c r="AF199" s="640"/>
      <c r="AG199" s="640"/>
      <c r="AH199" s="640"/>
      <c r="AI199" s="640"/>
      <c r="AJ199" s="640"/>
      <c r="AK199" s="640"/>
      <c r="AL199" s="640"/>
      <c r="AM199" s="640"/>
      <c r="AN199" s="640"/>
      <c r="AO199" s="640"/>
      <c r="AP199" s="640"/>
      <c r="AQ199" s="640"/>
      <c r="AR199" s="640"/>
      <c r="AS199" s="640"/>
      <c r="AT199" s="640"/>
      <c r="AU199" s="640"/>
      <c r="AV199" s="640"/>
      <c r="AW199" s="640"/>
      <c r="AX199" s="640"/>
    </row>
    <row r="200" spans="7:50" x14ac:dyDescent="0.25">
      <c r="G200" s="640"/>
      <c r="H200" s="640"/>
      <c r="I200" s="640"/>
      <c r="J200" s="640"/>
      <c r="K200" s="640"/>
      <c r="L200" s="640"/>
      <c r="M200" s="640"/>
      <c r="N200" s="640"/>
      <c r="O200" s="640"/>
      <c r="P200" s="640"/>
      <c r="Q200" s="640"/>
      <c r="R200" s="640"/>
      <c r="S200" s="640"/>
      <c r="T200" s="640"/>
      <c r="U200" s="640"/>
      <c r="V200" s="640"/>
      <c r="W200" s="640"/>
      <c r="X200" s="640"/>
      <c r="Y200" s="640"/>
      <c r="Z200" s="640"/>
      <c r="AA200" s="640"/>
      <c r="AB200" s="640"/>
      <c r="AC200" s="640"/>
      <c r="AD200" s="640"/>
      <c r="AE200" s="640"/>
      <c r="AF200" s="640"/>
      <c r="AG200" s="640"/>
      <c r="AH200" s="640"/>
      <c r="AI200" s="640"/>
      <c r="AJ200" s="640"/>
      <c r="AK200" s="640"/>
      <c r="AL200" s="640"/>
      <c r="AM200" s="640"/>
      <c r="AN200" s="640"/>
      <c r="AO200" s="640"/>
      <c r="AP200" s="640"/>
      <c r="AQ200" s="640"/>
      <c r="AR200" s="640"/>
      <c r="AS200" s="640"/>
      <c r="AT200" s="640"/>
      <c r="AU200" s="640"/>
      <c r="AV200" s="640"/>
      <c r="AW200" s="640"/>
      <c r="AX200" s="640"/>
    </row>
    <row r="201" spans="7:50" x14ac:dyDescent="0.25"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640"/>
      <c r="S201" s="640"/>
      <c r="T201" s="640"/>
      <c r="U201" s="640"/>
      <c r="V201" s="640"/>
      <c r="W201" s="640"/>
      <c r="X201" s="640"/>
      <c r="Y201" s="640"/>
      <c r="Z201" s="640"/>
      <c r="AA201" s="640"/>
      <c r="AB201" s="640"/>
      <c r="AC201" s="640"/>
      <c r="AD201" s="640"/>
      <c r="AE201" s="640"/>
      <c r="AF201" s="640"/>
      <c r="AG201" s="640"/>
      <c r="AH201" s="640"/>
      <c r="AI201" s="640"/>
      <c r="AJ201" s="640"/>
      <c r="AK201" s="640"/>
      <c r="AL201" s="640"/>
      <c r="AM201" s="640"/>
      <c r="AN201" s="640"/>
      <c r="AO201" s="640"/>
      <c r="AP201" s="640"/>
      <c r="AQ201" s="640"/>
      <c r="AR201" s="640"/>
      <c r="AS201" s="640"/>
      <c r="AT201" s="640"/>
      <c r="AU201" s="640"/>
      <c r="AV201" s="640"/>
      <c r="AW201" s="640"/>
      <c r="AX201" s="640"/>
    </row>
    <row r="202" spans="7:50" x14ac:dyDescent="0.25">
      <c r="G202" s="640"/>
      <c r="H202" s="640"/>
      <c r="I202" s="640"/>
      <c r="J202" s="640"/>
      <c r="K202" s="640"/>
      <c r="L202" s="640"/>
      <c r="M202" s="640"/>
      <c r="N202" s="640"/>
      <c r="O202" s="640"/>
      <c r="P202" s="640"/>
      <c r="Q202" s="640"/>
      <c r="R202" s="640"/>
      <c r="S202" s="640"/>
      <c r="T202" s="640"/>
      <c r="U202" s="640"/>
      <c r="V202" s="640"/>
      <c r="W202" s="640"/>
      <c r="X202" s="640"/>
      <c r="Y202" s="640"/>
      <c r="Z202" s="640"/>
      <c r="AA202" s="640"/>
      <c r="AB202" s="640"/>
      <c r="AC202" s="640"/>
      <c r="AD202" s="640"/>
      <c r="AE202" s="640"/>
      <c r="AF202" s="640"/>
      <c r="AG202" s="640"/>
      <c r="AH202" s="640"/>
      <c r="AI202" s="640"/>
      <c r="AJ202" s="640"/>
      <c r="AK202" s="640"/>
      <c r="AL202" s="640"/>
      <c r="AM202" s="640"/>
      <c r="AN202" s="640"/>
      <c r="AO202" s="640"/>
      <c r="AP202" s="640"/>
      <c r="AQ202" s="640"/>
      <c r="AR202" s="640"/>
      <c r="AS202" s="640"/>
      <c r="AT202" s="640"/>
      <c r="AU202" s="640"/>
      <c r="AV202" s="640"/>
      <c r="AW202" s="640"/>
      <c r="AX202" s="640"/>
    </row>
    <row r="203" spans="7:50" x14ac:dyDescent="0.25">
      <c r="G203" s="640"/>
      <c r="H203" s="640"/>
      <c r="I203" s="640"/>
      <c r="J203" s="640"/>
      <c r="K203" s="640"/>
      <c r="L203" s="640"/>
      <c r="M203" s="640"/>
      <c r="N203" s="640"/>
      <c r="O203" s="640"/>
      <c r="P203" s="640"/>
      <c r="Q203" s="640"/>
      <c r="R203" s="640"/>
      <c r="S203" s="640"/>
      <c r="T203" s="640"/>
      <c r="U203" s="640"/>
      <c r="V203" s="640"/>
      <c r="W203" s="640"/>
      <c r="X203" s="640"/>
      <c r="Y203" s="640"/>
      <c r="Z203" s="640"/>
      <c r="AA203" s="640"/>
      <c r="AB203" s="640"/>
      <c r="AC203" s="640"/>
      <c r="AD203" s="640"/>
      <c r="AE203" s="640"/>
      <c r="AF203" s="640"/>
      <c r="AG203" s="640"/>
      <c r="AH203" s="640"/>
      <c r="AI203" s="640"/>
      <c r="AJ203" s="640"/>
      <c r="AK203" s="640"/>
      <c r="AL203" s="640"/>
      <c r="AM203" s="640"/>
      <c r="AN203" s="640"/>
      <c r="AO203" s="640"/>
      <c r="AP203" s="640"/>
      <c r="AQ203" s="640"/>
      <c r="AR203" s="640"/>
      <c r="AS203" s="640"/>
      <c r="AT203" s="640"/>
      <c r="AU203" s="640"/>
      <c r="AV203" s="640"/>
      <c r="AW203" s="640"/>
      <c r="AX203" s="640"/>
    </row>
    <row r="204" spans="7:50" x14ac:dyDescent="0.25">
      <c r="G204" s="640"/>
      <c r="H204" s="640"/>
      <c r="I204" s="640"/>
      <c r="J204" s="640"/>
      <c r="K204" s="640"/>
      <c r="L204" s="640"/>
      <c r="M204" s="640"/>
      <c r="N204" s="640"/>
      <c r="O204" s="640"/>
      <c r="P204" s="640"/>
      <c r="Q204" s="640"/>
      <c r="R204" s="640"/>
      <c r="S204" s="640"/>
      <c r="T204" s="640"/>
      <c r="U204" s="640"/>
      <c r="V204" s="640"/>
      <c r="W204" s="640"/>
      <c r="X204" s="640"/>
      <c r="Y204" s="640"/>
      <c r="Z204" s="640"/>
      <c r="AA204" s="640"/>
      <c r="AB204" s="640"/>
      <c r="AC204" s="640"/>
      <c r="AD204" s="640"/>
      <c r="AE204" s="640"/>
      <c r="AF204" s="640"/>
      <c r="AG204" s="640"/>
      <c r="AH204" s="640"/>
      <c r="AI204" s="640"/>
      <c r="AJ204" s="640"/>
      <c r="AK204" s="640"/>
      <c r="AL204" s="640"/>
      <c r="AM204" s="640"/>
      <c r="AN204" s="640"/>
      <c r="AO204" s="640"/>
      <c r="AP204" s="640"/>
      <c r="AQ204" s="640"/>
      <c r="AR204" s="640"/>
      <c r="AS204" s="640"/>
      <c r="AT204" s="640"/>
      <c r="AU204" s="640"/>
      <c r="AV204" s="640"/>
      <c r="AW204" s="640"/>
      <c r="AX204" s="640"/>
    </row>
    <row r="205" spans="7:50" x14ac:dyDescent="0.25">
      <c r="G205" s="640"/>
      <c r="H205" s="640"/>
      <c r="I205" s="640"/>
      <c r="J205" s="640"/>
      <c r="K205" s="640"/>
      <c r="L205" s="640"/>
      <c r="M205" s="640"/>
      <c r="N205" s="640"/>
      <c r="O205" s="640"/>
      <c r="P205" s="640"/>
      <c r="Q205" s="640"/>
      <c r="R205" s="640"/>
      <c r="S205" s="640"/>
      <c r="T205" s="640"/>
      <c r="U205" s="640"/>
      <c r="V205" s="640"/>
      <c r="W205" s="640"/>
      <c r="X205" s="640"/>
      <c r="Y205" s="640"/>
      <c r="Z205" s="640"/>
      <c r="AA205" s="640"/>
      <c r="AB205" s="640"/>
      <c r="AC205" s="640"/>
      <c r="AD205" s="640"/>
      <c r="AE205" s="640"/>
      <c r="AF205" s="640"/>
      <c r="AG205" s="640"/>
      <c r="AH205" s="640"/>
      <c r="AI205" s="640"/>
      <c r="AJ205" s="640"/>
      <c r="AK205" s="640"/>
      <c r="AL205" s="640"/>
      <c r="AM205" s="640"/>
      <c r="AN205" s="640"/>
      <c r="AO205" s="640"/>
      <c r="AP205" s="640"/>
      <c r="AQ205" s="640"/>
      <c r="AR205" s="640"/>
      <c r="AS205" s="640"/>
      <c r="AT205" s="640"/>
      <c r="AU205" s="640"/>
      <c r="AV205" s="640"/>
      <c r="AW205" s="640"/>
      <c r="AX205" s="640"/>
    </row>
    <row r="206" spans="7:50" x14ac:dyDescent="0.25">
      <c r="G206" s="640"/>
      <c r="H206" s="640"/>
      <c r="I206" s="640"/>
      <c r="J206" s="640"/>
      <c r="K206" s="640"/>
      <c r="L206" s="640"/>
      <c r="M206" s="640"/>
      <c r="N206" s="640"/>
      <c r="O206" s="640"/>
      <c r="P206" s="640"/>
      <c r="Q206" s="640"/>
      <c r="R206" s="640"/>
      <c r="S206" s="640"/>
      <c r="T206" s="640"/>
      <c r="U206" s="640"/>
      <c r="V206" s="640"/>
      <c r="W206" s="640"/>
      <c r="X206" s="640"/>
      <c r="Y206" s="640"/>
      <c r="Z206" s="640"/>
      <c r="AA206" s="640"/>
      <c r="AB206" s="640"/>
      <c r="AC206" s="640"/>
      <c r="AD206" s="640"/>
      <c r="AE206" s="640"/>
      <c r="AF206" s="640"/>
      <c r="AG206" s="640"/>
      <c r="AH206" s="640"/>
      <c r="AI206" s="640"/>
      <c r="AJ206" s="640"/>
      <c r="AK206" s="640"/>
      <c r="AL206" s="640"/>
      <c r="AM206" s="640"/>
      <c r="AN206" s="640"/>
      <c r="AO206" s="640"/>
      <c r="AP206" s="640"/>
      <c r="AQ206" s="640"/>
      <c r="AR206" s="640"/>
      <c r="AS206" s="640"/>
      <c r="AT206" s="640"/>
      <c r="AU206" s="640"/>
      <c r="AV206" s="640"/>
      <c r="AW206" s="640"/>
      <c r="AX206" s="640"/>
    </row>
    <row r="207" spans="7:50" x14ac:dyDescent="0.25">
      <c r="G207" s="640"/>
      <c r="H207" s="640"/>
      <c r="I207" s="640"/>
      <c r="J207" s="640"/>
      <c r="K207" s="640"/>
      <c r="L207" s="640"/>
      <c r="M207" s="640"/>
      <c r="N207" s="640"/>
      <c r="O207" s="640"/>
      <c r="P207" s="640"/>
      <c r="Q207" s="640"/>
      <c r="R207" s="640"/>
      <c r="S207" s="640"/>
      <c r="T207" s="640"/>
      <c r="U207" s="640"/>
      <c r="V207" s="640"/>
      <c r="W207" s="640"/>
      <c r="X207" s="640"/>
      <c r="Y207" s="640"/>
      <c r="Z207" s="640"/>
      <c r="AA207" s="640"/>
      <c r="AB207" s="640"/>
      <c r="AC207" s="640"/>
      <c r="AD207" s="640"/>
      <c r="AE207" s="640"/>
      <c r="AF207" s="640"/>
      <c r="AG207" s="640"/>
      <c r="AH207" s="640"/>
      <c r="AI207" s="640"/>
      <c r="AJ207" s="640"/>
      <c r="AK207" s="640"/>
      <c r="AL207" s="640"/>
      <c r="AM207" s="640"/>
      <c r="AN207" s="640"/>
      <c r="AO207" s="640"/>
      <c r="AP207" s="640"/>
      <c r="AQ207" s="640"/>
      <c r="AR207" s="640"/>
      <c r="AS207" s="640"/>
      <c r="AT207" s="640"/>
      <c r="AU207" s="640"/>
      <c r="AV207" s="640"/>
      <c r="AW207" s="640"/>
      <c r="AX207" s="640"/>
    </row>
    <row r="208" spans="7:50" x14ac:dyDescent="0.25">
      <c r="G208" s="640"/>
      <c r="H208" s="640"/>
      <c r="I208" s="640"/>
      <c r="J208" s="640"/>
      <c r="K208" s="640"/>
      <c r="L208" s="640"/>
      <c r="M208" s="640"/>
      <c r="N208" s="640"/>
      <c r="O208" s="640"/>
      <c r="P208" s="640"/>
      <c r="Q208" s="640"/>
      <c r="R208" s="640"/>
      <c r="S208" s="640"/>
      <c r="T208" s="640"/>
      <c r="U208" s="640"/>
      <c r="V208" s="640"/>
      <c r="W208" s="640"/>
      <c r="X208" s="640"/>
      <c r="Y208" s="640"/>
      <c r="Z208" s="640"/>
      <c r="AA208" s="640"/>
      <c r="AB208" s="640"/>
      <c r="AC208" s="640"/>
      <c r="AD208" s="640"/>
      <c r="AE208" s="640"/>
      <c r="AF208" s="640"/>
      <c r="AG208" s="640"/>
      <c r="AH208" s="640"/>
      <c r="AI208" s="640"/>
      <c r="AJ208" s="640"/>
      <c r="AK208" s="640"/>
      <c r="AL208" s="640"/>
      <c r="AM208" s="640"/>
      <c r="AN208" s="640"/>
      <c r="AO208" s="640"/>
      <c r="AP208" s="640"/>
      <c r="AQ208" s="640"/>
      <c r="AR208" s="640"/>
      <c r="AS208" s="640"/>
      <c r="AT208" s="640"/>
      <c r="AU208" s="640"/>
      <c r="AV208" s="640"/>
      <c r="AW208" s="640"/>
      <c r="AX208" s="640"/>
    </row>
    <row r="209" spans="7:50" x14ac:dyDescent="0.25">
      <c r="G209" s="640"/>
      <c r="H209" s="640"/>
      <c r="I209" s="640"/>
      <c r="J209" s="640"/>
      <c r="K209" s="640"/>
      <c r="L209" s="640"/>
      <c r="M209" s="640"/>
      <c r="N209" s="640"/>
      <c r="O209" s="640"/>
      <c r="P209" s="640"/>
      <c r="Q209" s="640"/>
      <c r="R209" s="640"/>
      <c r="S209" s="640"/>
      <c r="T209" s="640"/>
      <c r="U209" s="640"/>
      <c r="V209" s="640"/>
      <c r="W209" s="640"/>
      <c r="X209" s="640"/>
      <c r="Y209" s="640"/>
      <c r="Z209" s="640"/>
      <c r="AA209" s="640"/>
      <c r="AB209" s="640"/>
      <c r="AC209" s="640"/>
      <c r="AD209" s="640"/>
      <c r="AE209" s="640"/>
      <c r="AF209" s="640"/>
      <c r="AG209" s="640"/>
      <c r="AH209" s="640"/>
      <c r="AI209" s="640"/>
      <c r="AJ209" s="640"/>
      <c r="AK209" s="640"/>
      <c r="AL209" s="640"/>
      <c r="AM209" s="640"/>
      <c r="AN209" s="640"/>
      <c r="AO209" s="640"/>
      <c r="AP209" s="640"/>
      <c r="AQ209" s="640"/>
      <c r="AR209" s="640"/>
      <c r="AS209" s="640"/>
      <c r="AT209" s="640"/>
      <c r="AU209" s="640"/>
      <c r="AV209" s="640"/>
      <c r="AW209" s="640"/>
      <c r="AX209" s="640"/>
    </row>
    <row r="210" spans="7:50" x14ac:dyDescent="0.25">
      <c r="G210" s="640"/>
      <c r="H210" s="640"/>
      <c r="I210" s="640"/>
      <c r="J210" s="640"/>
      <c r="K210" s="640"/>
      <c r="L210" s="640"/>
      <c r="M210" s="640"/>
      <c r="N210" s="640"/>
      <c r="O210" s="640"/>
      <c r="P210" s="640"/>
      <c r="Q210" s="640"/>
      <c r="R210" s="640"/>
      <c r="S210" s="640"/>
      <c r="T210" s="640"/>
      <c r="U210" s="640"/>
      <c r="V210" s="640"/>
      <c r="W210" s="640"/>
      <c r="X210" s="640"/>
      <c r="Y210" s="640"/>
      <c r="Z210" s="640"/>
      <c r="AA210" s="640"/>
      <c r="AB210" s="640"/>
      <c r="AC210" s="640"/>
      <c r="AD210" s="640"/>
      <c r="AE210" s="640"/>
      <c r="AF210" s="640"/>
      <c r="AG210" s="640"/>
      <c r="AH210" s="640"/>
      <c r="AI210" s="640"/>
      <c r="AJ210" s="640"/>
      <c r="AK210" s="640"/>
      <c r="AL210" s="640"/>
      <c r="AM210" s="640"/>
      <c r="AN210" s="640"/>
      <c r="AO210" s="640"/>
      <c r="AP210" s="640"/>
      <c r="AQ210" s="640"/>
      <c r="AR210" s="640"/>
      <c r="AS210" s="640"/>
      <c r="AT210" s="640"/>
      <c r="AU210" s="640"/>
      <c r="AV210" s="640"/>
      <c r="AW210" s="640"/>
      <c r="AX210" s="640"/>
    </row>
    <row r="211" spans="7:50" x14ac:dyDescent="0.25">
      <c r="G211" s="640"/>
      <c r="H211" s="640"/>
      <c r="I211" s="640"/>
      <c r="J211" s="640"/>
      <c r="K211" s="640"/>
      <c r="L211" s="640"/>
      <c r="M211" s="640"/>
      <c r="N211" s="640"/>
      <c r="O211" s="640"/>
      <c r="P211" s="640"/>
      <c r="Q211" s="640"/>
      <c r="R211" s="640"/>
      <c r="S211" s="640"/>
      <c r="T211" s="640"/>
      <c r="U211" s="640"/>
      <c r="V211" s="640"/>
      <c r="W211" s="640"/>
      <c r="X211" s="640"/>
      <c r="Y211" s="640"/>
      <c r="Z211" s="640"/>
      <c r="AA211" s="640"/>
      <c r="AB211" s="640"/>
      <c r="AC211" s="640"/>
      <c r="AD211" s="640"/>
      <c r="AE211" s="640"/>
      <c r="AF211" s="640"/>
      <c r="AG211" s="640"/>
      <c r="AH211" s="640"/>
      <c r="AI211" s="640"/>
      <c r="AJ211" s="640"/>
      <c r="AK211" s="640"/>
      <c r="AL211" s="640"/>
      <c r="AM211" s="640"/>
      <c r="AN211" s="640"/>
      <c r="AO211" s="640"/>
      <c r="AP211" s="640"/>
      <c r="AQ211" s="640"/>
      <c r="AR211" s="640"/>
      <c r="AS211" s="640"/>
      <c r="AT211" s="640"/>
      <c r="AU211" s="640"/>
      <c r="AV211" s="640"/>
      <c r="AW211" s="640"/>
      <c r="AX211" s="640"/>
    </row>
    <row r="212" spans="7:50" x14ac:dyDescent="0.25">
      <c r="G212" s="640"/>
      <c r="H212" s="640"/>
      <c r="I212" s="640"/>
      <c r="J212" s="640"/>
      <c r="K212" s="640"/>
      <c r="L212" s="640"/>
      <c r="M212" s="640"/>
      <c r="N212" s="640"/>
      <c r="O212" s="640"/>
      <c r="P212" s="640"/>
      <c r="Q212" s="640"/>
      <c r="R212" s="640"/>
      <c r="S212" s="640"/>
      <c r="T212" s="640"/>
      <c r="U212" s="640"/>
      <c r="V212" s="640"/>
      <c r="W212" s="640"/>
      <c r="X212" s="640"/>
      <c r="Y212" s="640"/>
      <c r="Z212" s="640"/>
      <c r="AA212" s="640"/>
      <c r="AB212" s="640"/>
      <c r="AC212" s="640"/>
      <c r="AD212" s="640"/>
      <c r="AE212" s="640"/>
      <c r="AF212" s="640"/>
      <c r="AG212" s="640"/>
      <c r="AH212" s="640"/>
      <c r="AI212" s="640"/>
      <c r="AJ212" s="640"/>
      <c r="AK212" s="640"/>
      <c r="AL212" s="640"/>
      <c r="AM212" s="640"/>
      <c r="AN212" s="640"/>
      <c r="AO212" s="640"/>
      <c r="AP212" s="640"/>
      <c r="AQ212" s="640"/>
      <c r="AR212" s="640"/>
      <c r="AS212" s="640"/>
      <c r="AT212" s="640"/>
      <c r="AU212" s="640"/>
      <c r="AV212" s="640"/>
      <c r="AW212" s="640"/>
      <c r="AX212" s="640"/>
    </row>
    <row r="213" spans="7:50" x14ac:dyDescent="0.25">
      <c r="G213" s="640"/>
      <c r="H213" s="640"/>
      <c r="I213" s="640"/>
      <c r="J213" s="640"/>
      <c r="K213" s="640"/>
      <c r="L213" s="640"/>
      <c r="M213" s="640"/>
      <c r="N213" s="640"/>
      <c r="O213" s="640"/>
      <c r="P213" s="640"/>
      <c r="Q213" s="640"/>
      <c r="R213" s="640"/>
      <c r="S213" s="640"/>
      <c r="T213" s="640"/>
      <c r="U213" s="640"/>
      <c r="V213" s="640"/>
      <c r="W213" s="640"/>
      <c r="X213" s="640"/>
      <c r="Y213" s="640"/>
      <c r="Z213" s="640"/>
      <c r="AA213" s="640"/>
      <c r="AB213" s="640"/>
      <c r="AC213" s="640"/>
      <c r="AD213" s="640"/>
      <c r="AE213" s="640"/>
      <c r="AF213" s="640"/>
      <c r="AG213" s="640"/>
      <c r="AH213" s="640"/>
      <c r="AI213" s="640"/>
      <c r="AJ213" s="640"/>
      <c r="AK213" s="640"/>
      <c r="AL213" s="640"/>
      <c r="AM213" s="640"/>
      <c r="AN213" s="640"/>
      <c r="AO213" s="640"/>
      <c r="AP213" s="640"/>
      <c r="AQ213" s="640"/>
      <c r="AR213" s="640"/>
      <c r="AS213" s="640"/>
      <c r="AT213" s="640"/>
      <c r="AU213" s="640"/>
      <c r="AV213" s="640"/>
      <c r="AW213" s="640"/>
      <c r="AX213" s="640"/>
    </row>
    <row r="214" spans="7:50" x14ac:dyDescent="0.25">
      <c r="G214" s="640"/>
      <c r="H214" s="640"/>
      <c r="I214" s="640"/>
      <c r="J214" s="640"/>
      <c r="K214" s="640"/>
      <c r="L214" s="640"/>
      <c r="M214" s="640"/>
      <c r="N214" s="640"/>
      <c r="O214" s="640"/>
      <c r="P214" s="640"/>
      <c r="Q214" s="640"/>
      <c r="R214" s="640"/>
      <c r="S214" s="640"/>
      <c r="T214" s="640"/>
      <c r="U214" s="640"/>
      <c r="V214" s="640"/>
      <c r="W214" s="640"/>
      <c r="X214" s="640"/>
      <c r="Y214" s="640"/>
      <c r="Z214" s="640"/>
      <c r="AA214" s="640"/>
      <c r="AB214" s="640"/>
      <c r="AC214" s="640"/>
      <c r="AD214" s="640"/>
      <c r="AE214" s="640"/>
      <c r="AF214" s="640"/>
      <c r="AG214" s="640"/>
      <c r="AH214" s="640"/>
      <c r="AI214" s="640"/>
      <c r="AJ214" s="640"/>
      <c r="AK214" s="640"/>
      <c r="AL214" s="640"/>
      <c r="AM214" s="640"/>
      <c r="AN214" s="640"/>
      <c r="AO214" s="640"/>
      <c r="AP214" s="640"/>
      <c r="AQ214" s="640"/>
      <c r="AR214" s="640"/>
      <c r="AS214" s="640"/>
      <c r="AT214" s="640"/>
      <c r="AU214" s="640"/>
      <c r="AV214" s="640"/>
      <c r="AW214" s="640"/>
      <c r="AX214" s="640"/>
    </row>
    <row r="215" spans="7:50" x14ac:dyDescent="0.25">
      <c r="G215" s="640"/>
      <c r="H215" s="640"/>
      <c r="I215" s="640"/>
      <c r="J215" s="640"/>
      <c r="K215" s="640"/>
      <c r="L215" s="640"/>
      <c r="M215" s="640"/>
      <c r="N215" s="640"/>
      <c r="O215" s="640"/>
      <c r="P215" s="640"/>
      <c r="Q215" s="640"/>
      <c r="R215" s="640"/>
      <c r="S215" s="640"/>
      <c r="T215" s="640"/>
      <c r="U215" s="640"/>
      <c r="V215" s="640"/>
      <c r="W215" s="640"/>
      <c r="X215" s="640"/>
      <c r="Y215" s="640"/>
      <c r="Z215" s="640"/>
      <c r="AA215" s="640"/>
      <c r="AB215" s="640"/>
      <c r="AC215" s="640"/>
      <c r="AD215" s="640"/>
      <c r="AE215" s="640"/>
      <c r="AF215" s="640"/>
      <c r="AG215" s="640"/>
      <c r="AH215" s="640"/>
      <c r="AI215" s="640"/>
      <c r="AJ215" s="640"/>
      <c r="AK215" s="640"/>
      <c r="AL215" s="640"/>
      <c r="AM215" s="640"/>
      <c r="AN215" s="640"/>
      <c r="AO215" s="640"/>
      <c r="AP215" s="640"/>
      <c r="AQ215" s="640"/>
      <c r="AR215" s="640"/>
      <c r="AS215" s="640"/>
      <c r="AT215" s="640"/>
      <c r="AU215" s="640"/>
      <c r="AV215" s="640"/>
      <c r="AW215" s="640"/>
      <c r="AX215" s="640"/>
    </row>
    <row r="216" spans="7:50" x14ac:dyDescent="0.25">
      <c r="G216" s="640"/>
      <c r="H216" s="640"/>
      <c r="I216" s="640"/>
      <c r="J216" s="640"/>
      <c r="K216" s="640"/>
      <c r="L216" s="640"/>
      <c r="M216" s="640"/>
      <c r="N216" s="640"/>
      <c r="O216" s="640"/>
      <c r="P216" s="640"/>
      <c r="Q216" s="640"/>
      <c r="R216" s="640"/>
      <c r="S216" s="640"/>
      <c r="T216" s="640"/>
      <c r="U216" s="640"/>
      <c r="V216" s="640"/>
      <c r="W216" s="640"/>
      <c r="X216" s="640"/>
      <c r="Y216" s="640"/>
      <c r="Z216" s="640"/>
      <c r="AA216" s="640"/>
      <c r="AB216" s="640"/>
      <c r="AC216" s="640"/>
      <c r="AD216" s="640"/>
      <c r="AE216" s="640"/>
      <c r="AF216" s="640"/>
      <c r="AG216" s="640"/>
      <c r="AH216" s="640"/>
      <c r="AI216" s="640"/>
      <c r="AJ216" s="640"/>
      <c r="AK216" s="640"/>
      <c r="AL216" s="640"/>
      <c r="AM216" s="640"/>
      <c r="AN216" s="640"/>
      <c r="AO216" s="640"/>
      <c r="AP216" s="640"/>
      <c r="AQ216" s="640"/>
      <c r="AR216" s="640"/>
      <c r="AS216" s="640"/>
      <c r="AT216" s="640"/>
      <c r="AU216" s="640"/>
      <c r="AV216" s="640"/>
      <c r="AW216" s="640"/>
      <c r="AX216" s="640"/>
    </row>
    <row r="217" spans="7:50" x14ac:dyDescent="0.25">
      <c r="G217" s="640"/>
      <c r="H217" s="640"/>
      <c r="I217" s="640"/>
      <c r="J217" s="640"/>
      <c r="K217" s="640"/>
      <c r="L217" s="640"/>
      <c r="M217" s="640"/>
      <c r="N217" s="640"/>
      <c r="O217" s="640"/>
      <c r="P217" s="640"/>
      <c r="Q217" s="640"/>
      <c r="R217" s="640"/>
      <c r="S217" s="640"/>
      <c r="T217" s="640"/>
      <c r="U217" s="640"/>
      <c r="V217" s="640"/>
      <c r="W217" s="640"/>
      <c r="X217" s="640"/>
      <c r="Y217" s="640"/>
      <c r="Z217" s="640"/>
      <c r="AA217" s="640"/>
      <c r="AB217" s="640"/>
      <c r="AC217" s="640"/>
      <c r="AD217" s="640"/>
      <c r="AE217" s="640"/>
      <c r="AF217" s="640"/>
      <c r="AG217" s="640"/>
      <c r="AH217" s="640"/>
      <c r="AI217" s="640"/>
      <c r="AJ217" s="640"/>
      <c r="AK217" s="640"/>
      <c r="AL217" s="640"/>
      <c r="AM217" s="640"/>
      <c r="AN217" s="640"/>
      <c r="AO217" s="640"/>
      <c r="AP217" s="640"/>
      <c r="AQ217" s="640"/>
      <c r="AR217" s="640"/>
      <c r="AS217" s="640"/>
      <c r="AT217" s="640"/>
      <c r="AU217" s="640"/>
      <c r="AV217" s="640"/>
      <c r="AW217" s="640"/>
      <c r="AX217" s="640"/>
    </row>
    <row r="218" spans="7:50" x14ac:dyDescent="0.25">
      <c r="G218" s="640"/>
      <c r="H218" s="640"/>
      <c r="I218" s="640"/>
      <c r="J218" s="640"/>
      <c r="K218" s="640"/>
      <c r="L218" s="640"/>
      <c r="M218" s="640"/>
      <c r="N218" s="640"/>
      <c r="O218" s="640"/>
      <c r="P218" s="640"/>
      <c r="Q218" s="640"/>
      <c r="R218" s="640"/>
      <c r="S218" s="640"/>
      <c r="T218" s="640"/>
      <c r="U218" s="640"/>
      <c r="V218" s="640"/>
      <c r="W218" s="640"/>
      <c r="X218" s="640"/>
      <c r="Y218" s="640"/>
      <c r="Z218" s="640"/>
      <c r="AA218" s="640"/>
      <c r="AB218" s="640"/>
      <c r="AC218" s="640"/>
      <c r="AD218" s="640"/>
      <c r="AE218" s="640"/>
      <c r="AF218" s="640"/>
      <c r="AG218" s="640"/>
      <c r="AH218" s="640"/>
      <c r="AI218" s="640"/>
      <c r="AJ218" s="640"/>
      <c r="AK218" s="640"/>
      <c r="AL218" s="640"/>
      <c r="AM218" s="640"/>
      <c r="AN218" s="640"/>
      <c r="AO218" s="640"/>
      <c r="AP218" s="640"/>
      <c r="AQ218" s="640"/>
      <c r="AR218" s="640"/>
      <c r="AS218" s="640"/>
      <c r="AT218" s="640"/>
      <c r="AU218" s="640"/>
      <c r="AV218" s="640"/>
      <c r="AW218" s="640"/>
      <c r="AX218" s="640"/>
    </row>
    <row r="219" spans="7:50" x14ac:dyDescent="0.25">
      <c r="G219" s="640"/>
      <c r="H219" s="640"/>
      <c r="I219" s="640"/>
      <c r="J219" s="640"/>
      <c r="K219" s="640"/>
      <c r="L219" s="640"/>
      <c r="M219" s="640"/>
      <c r="N219" s="640"/>
      <c r="O219" s="640"/>
      <c r="P219" s="640"/>
      <c r="Q219" s="640"/>
      <c r="R219" s="640"/>
      <c r="S219" s="640"/>
      <c r="T219" s="640"/>
      <c r="U219" s="640"/>
      <c r="V219" s="640"/>
      <c r="W219" s="640"/>
      <c r="X219" s="640"/>
      <c r="Y219" s="640"/>
      <c r="Z219" s="640"/>
      <c r="AA219" s="640"/>
      <c r="AB219" s="640"/>
      <c r="AC219" s="640"/>
      <c r="AD219" s="640"/>
      <c r="AE219" s="640"/>
      <c r="AF219" s="640"/>
      <c r="AG219" s="640"/>
      <c r="AH219" s="640"/>
      <c r="AI219" s="640"/>
      <c r="AJ219" s="640"/>
      <c r="AK219" s="640"/>
      <c r="AL219" s="640"/>
      <c r="AM219" s="640"/>
      <c r="AN219" s="640"/>
      <c r="AO219" s="640"/>
      <c r="AP219" s="640"/>
      <c r="AQ219" s="640"/>
      <c r="AR219" s="640"/>
      <c r="AS219" s="640"/>
      <c r="AT219" s="640"/>
      <c r="AU219" s="640"/>
      <c r="AV219" s="640"/>
      <c r="AW219" s="640"/>
      <c r="AX219" s="640"/>
    </row>
    <row r="220" spans="7:50" x14ac:dyDescent="0.25"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640"/>
      <c r="S220" s="640"/>
      <c r="T220" s="640"/>
      <c r="U220" s="640"/>
      <c r="V220" s="640"/>
      <c r="W220" s="640"/>
      <c r="X220" s="640"/>
      <c r="Y220" s="640"/>
      <c r="Z220" s="640"/>
      <c r="AA220" s="640"/>
      <c r="AB220" s="640"/>
      <c r="AC220" s="640"/>
      <c r="AD220" s="640"/>
      <c r="AE220" s="640"/>
      <c r="AF220" s="640"/>
      <c r="AG220" s="640"/>
      <c r="AH220" s="640"/>
      <c r="AI220" s="640"/>
      <c r="AJ220" s="640"/>
      <c r="AK220" s="640"/>
      <c r="AL220" s="640"/>
      <c r="AM220" s="640"/>
      <c r="AN220" s="640"/>
      <c r="AO220" s="640"/>
      <c r="AP220" s="640"/>
      <c r="AQ220" s="640"/>
      <c r="AR220" s="640"/>
      <c r="AS220" s="640"/>
      <c r="AT220" s="640"/>
      <c r="AU220" s="640"/>
      <c r="AV220" s="640"/>
      <c r="AW220" s="640"/>
      <c r="AX220" s="640"/>
    </row>
    <row r="221" spans="7:50" x14ac:dyDescent="0.25">
      <c r="G221" s="640"/>
      <c r="H221" s="640"/>
      <c r="I221" s="640"/>
      <c r="J221" s="640"/>
      <c r="K221" s="640"/>
      <c r="L221" s="640"/>
      <c r="M221" s="640"/>
      <c r="N221" s="640"/>
      <c r="O221" s="640"/>
      <c r="P221" s="640"/>
      <c r="Q221" s="640"/>
      <c r="R221" s="640"/>
      <c r="S221" s="640"/>
      <c r="T221" s="640"/>
      <c r="U221" s="640"/>
      <c r="V221" s="640"/>
      <c r="W221" s="640"/>
      <c r="X221" s="640"/>
      <c r="Y221" s="640"/>
      <c r="Z221" s="640"/>
      <c r="AA221" s="640"/>
      <c r="AB221" s="640"/>
      <c r="AC221" s="640"/>
      <c r="AD221" s="640"/>
      <c r="AE221" s="640"/>
      <c r="AF221" s="640"/>
      <c r="AG221" s="640"/>
      <c r="AH221" s="640"/>
      <c r="AI221" s="640"/>
      <c r="AJ221" s="640"/>
      <c r="AK221" s="640"/>
      <c r="AL221" s="640"/>
      <c r="AM221" s="640"/>
      <c r="AN221" s="640"/>
      <c r="AO221" s="640"/>
      <c r="AP221" s="640"/>
      <c r="AQ221" s="640"/>
      <c r="AR221" s="640"/>
      <c r="AS221" s="640"/>
      <c r="AT221" s="640"/>
      <c r="AU221" s="640"/>
      <c r="AV221" s="640"/>
      <c r="AW221" s="640"/>
      <c r="AX221" s="640"/>
    </row>
    <row r="222" spans="7:50" x14ac:dyDescent="0.25">
      <c r="G222" s="640"/>
      <c r="H222" s="640"/>
      <c r="I222" s="640"/>
      <c r="J222" s="640"/>
      <c r="K222" s="640"/>
      <c r="L222" s="640"/>
      <c r="M222" s="640"/>
      <c r="N222" s="640"/>
      <c r="O222" s="640"/>
      <c r="P222" s="640"/>
      <c r="Q222" s="640"/>
      <c r="R222" s="640"/>
      <c r="S222" s="640"/>
      <c r="T222" s="640"/>
      <c r="U222" s="640"/>
      <c r="V222" s="640"/>
      <c r="W222" s="640"/>
      <c r="X222" s="640"/>
      <c r="Y222" s="640"/>
      <c r="Z222" s="640"/>
      <c r="AA222" s="640"/>
      <c r="AB222" s="640"/>
      <c r="AC222" s="640"/>
      <c r="AD222" s="640"/>
      <c r="AE222" s="640"/>
      <c r="AF222" s="640"/>
      <c r="AG222" s="640"/>
      <c r="AH222" s="640"/>
      <c r="AI222" s="640"/>
      <c r="AJ222" s="640"/>
      <c r="AK222" s="640"/>
      <c r="AL222" s="640"/>
      <c r="AM222" s="640"/>
      <c r="AN222" s="640"/>
      <c r="AO222" s="640"/>
      <c r="AP222" s="640"/>
      <c r="AQ222" s="640"/>
      <c r="AR222" s="640"/>
      <c r="AS222" s="640"/>
      <c r="AT222" s="640"/>
      <c r="AU222" s="640"/>
      <c r="AV222" s="640"/>
      <c r="AW222" s="640"/>
      <c r="AX222" s="640"/>
    </row>
    <row r="223" spans="7:50" x14ac:dyDescent="0.25">
      <c r="G223" s="640"/>
      <c r="H223" s="640"/>
      <c r="I223" s="640"/>
      <c r="J223" s="640"/>
      <c r="K223" s="640"/>
      <c r="L223" s="640"/>
      <c r="M223" s="640"/>
      <c r="N223" s="640"/>
      <c r="O223" s="640"/>
      <c r="P223" s="640"/>
      <c r="Q223" s="640"/>
      <c r="R223" s="640"/>
      <c r="S223" s="640"/>
      <c r="T223" s="640"/>
      <c r="U223" s="640"/>
      <c r="V223" s="640"/>
      <c r="W223" s="640"/>
      <c r="X223" s="640"/>
      <c r="Y223" s="640"/>
      <c r="Z223" s="640"/>
      <c r="AA223" s="640"/>
      <c r="AB223" s="640"/>
      <c r="AC223" s="640"/>
      <c r="AD223" s="640"/>
      <c r="AE223" s="640"/>
      <c r="AF223" s="640"/>
      <c r="AG223" s="640"/>
      <c r="AH223" s="640"/>
      <c r="AI223" s="640"/>
      <c r="AJ223" s="640"/>
      <c r="AK223" s="640"/>
      <c r="AL223" s="640"/>
      <c r="AM223" s="640"/>
      <c r="AN223" s="640"/>
      <c r="AO223" s="640"/>
      <c r="AP223" s="640"/>
      <c r="AQ223" s="640"/>
      <c r="AR223" s="640"/>
      <c r="AS223" s="640"/>
      <c r="AT223" s="640"/>
      <c r="AU223" s="640"/>
      <c r="AV223" s="640"/>
      <c r="AW223" s="640"/>
      <c r="AX223" s="640"/>
    </row>
    <row r="224" spans="7:50" x14ac:dyDescent="0.25">
      <c r="G224" s="640"/>
      <c r="H224" s="640"/>
      <c r="I224" s="640"/>
      <c r="J224" s="640"/>
      <c r="K224" s="640"/>
      <c r="L224" s="640"/>
      <c r="M224" s="640"/>
      <c r="N224" s="640"/>
      <c r="O224" s="640"/>
      <c r="P224" s="640"/>
      <c r="Q224" s="640"/>
      <c r="R224" s="640"/>
      <c r="S224" s="640"/>
      <c r="T224" s="640"/>
      <c r="U224" s="640"/>
      <c r="V224" s="640"/>
      <c r="W224" s="640"/>
      <c r="X224" s="640"/>
      <c r="Y224" s="640"/>
      <c r="Z224" s="640"/>
      <c r="AA224" s="640"/>
      <c r="AB224" s="640"/>
      <c r="AC224" s="640"/>
      <c r="AD224" s="640"/>
      <c r="AE224" s="640"/>
      <c r="AF224" s="640"/>
      <c r="AG224" s="640"/>
      <c r="AH224" s="640"/>
      <c r="AI224" s="640"/>
      <c r="AJ224" s="640"/>
      <c r="AK224" s="640"/>
      <c r="AL224" s="640"/>
      <c r="AM224" s="640"/>
      <c r="AN224" s="640"/>
      <c r="AO224" s="640"/>
      <c r="AP224" s="640"/>
      <c r="AQ224" s="640"/>
      <c r="AR224" s="640"/>
      <c r="AS224" s="640"/>
      <c r="AT224" s="640"/>
      <c r="AU224" s="640"/>
      <c r="AV224" s="640"/>
      <c r="AW224" s="640"/>
      <c r="AX224" s="640"/>
    </row>
    <row r="225" spans="7:50" x14ac:dyDescent="0.25">
      <c r="G225" s="640"/>
      <c r="H225" s="640"/>
      <c r="I225" s="640"/>
      <c r="J225" s="640"/>
      <c r="K225" s="640"/>
      <c r="L225" s="640"/>
      <c r="M225" s="640"/>
      <c r="N225" s="640"/>
      <c r="O225" s="640"/>
      <c r="P225" s="640"/>
      <c r="Q225" s="640"/>
      <c r="R225" s="640"/>
      <c r="S225" s="640"/>
      <c r="T225" s="640"/>
      <c r="U225" s="640"/>
      <c r="V225" s="640"/>
      <c r="W225" s="640"/>
      <c r="X225" s="640"/>
      <c r="Y225" s="640"/>
      <c r="Z225" s="640"/>
      <c r="AA225" s="640"/>
      <c r="AB225" s="640"/>
      <c r="AC225" s="640"/>
      <c r="AD225" s="640"/>
      <c r="AE225" s="640"/>
      <c r="AF225" s="640"/>
      <c r="AG225" s="640"/>
      <c r="AH225" s="640"/>
      <c r="AI225" s="640"/>
      <c r="AJ225" s="640"/>
      <c r="AK225" s="640"/>
      <c r="AL225" s="640"/>
      <c r="AM225" s="640"/>
      <c r="AN225" s="640"/>
      <c r="AO225" s="640"/>
      <c r="AP225" s="640"/>
      <c r="AQ225" s="640"/>
      <c r="AR225" s="640"/>
      <c r="AS225" s="640"/>
      <c r="AT225" s="640"/>
      <c r="AU225" s="640"/>
      <c r="AV225" s="640"/>
      <c r="AW225" s="640"/>
      <c r="AX225" s="640"/>
    </row>
    <row r="226" spans="7:50" x14ac:dyDescent="0.25">
      <c r="G226" s="640"/>
      <c r="H226" s="640"/>
      <c r="I226" s="640"/>
      <c r="J226" s="640"/>
      <c r="K226" s="640"/>
      <c r="L226" s="640"/>
      <c r="M226" s="640"/>
      <c r="N226" s="640"/>
      <c r="O226" s="640"/>
      <c r="P226" s="640"/>
      <c r="Q226" s="640"/>
      <c r="R226" s="640"/>
      <c r="S226" s="640"/>
      <c r="T226" s="640"/>
      <c r="U226" s="640"/>
      <c r="V226" s="640"/>
      <c r="W226" s="640"/>
      <c r="X226" s="640"/>
      <c r="Y226" s="640"/>
      <c r="Z226" s="640"/>
      <c r="AA226" s="640"/>
      <c r="AB226" s="640"/>
      <c r="AC226" s="640"/>
      <c r="AD226" s="640"/>
      <c r="AE226" s="640"/>
      <c r="AF226" s="640"/>
      <c r="AG226" s="640"/>
      <c r="AH226" s="640"/>
      <c r="AI226" s="640"/>
      <c r="AJ226" s="640"/>
      <c r="AK226" s="640"/>
      <c r="AL226" s="640"/>
      <c r="AM226" s="640"/>
      <c r="AN226" s="640"/>
      <c r="AO226" s="640"/>
      <c r="AP226" s="640"/>
      <c r="AQ226" s="640"/>
      <c r="AR226" s="640"/>
      <c r="AS226" s="640"/>
      <c r="AT226" s="640"/>
      <c r="AU226" s="640"/>
      <c r="AV226" s="640"/>
      <c r="AW226" s="640"/>
      <c r="AX226" s="640"/>
    </row>
    <row r="227" spans="7:50" x14ac:dyDescent="0.25">
      <c r="G227" s="640"/>
      <c r="H227" s="640"/>
      <c r="I227" s="640"/>
      <c r="J227" s="640"/>
      <c r="K227" s="640"/>
      <c r="L227" s="640"/>
      <c r="M227" s="640"/>
      <c r="N227" s="640"/>
      <c r="O227" s="640"/>
      <c r="P227" s="640"/>
      <c r="Q227" s="640"/>
      <c r="R227" s="640"/>
      <c r="S227" s="640"/>
      <c r="T227" s="640"/>
      <c r="U227" s="640"/>
      <c r="V227" s="640"/>
      <c r="W227" s="640"/>
      <c r="X227" s="640"/>
      <c r="Y227" s="640"/>
      <c r="Z227" s="640"/>
      <c r="AA227" s="640"/>
      <c r="AB227" s="640"/>
      <c r="AC227" s="640"/>
      <c r="AD227" s="640"/>
      <c r="AE227" s="640"/>
      <c r="AF227" s="640"/>
      <c r="AG227" s="640"/>
      <c r="AH227" s="640"/>
      <c r="AI227" s="640"/>
      <c r="AJ227" s="640"/>
      <c r="AK227" s="640"/>
      <c r="AL227" s="640"/>
      <c r="AM227" s="640"/>
      <c r="AN227" s="640"/>
      <c r="AO227" s="640"/>
      <c r="AP227" s="640"/>
      <c r="AQ227" s="640"/>
      <c r="AR227" s="640"/>
      <c r="AS227" s="640"/>
      <c r="AT227" s="640"/>
      <c r="AU227" s="640"/>
      <c r="AV227" s="640"/>
      <c r="AW227" s="640"/>
      <c r="AX227" s="640"/>
    </row>
    <row r="228" spans="7:50" x14ac:dyDescent="0.25">
      <c r="G228" s="640"/>
      <c r="H228" s="640"/>
      <c r="I228" s="640"/>
      <c r="J228" s="640"/>
      <c r="K228" s="640"/>
      <c r="L228" s="640"/>
      <c r="M228" s="640"/>
      <c r="N228" s="640"/>
      <c r="O228" s="640"/>
      <c r="P228" s="640"/>
      <c r="Q228" s="640"/>
      <c r="R228" s="640"/>
      <c r="S228" s="640"/>
      <c r="T228" s="640"/>
      <c r="U228" s="640"/>
      <c r="V228" s="640"/>
      <c r="W228" s="640"/>
      <c r="X228" s="640"/>
      <c r="Y228" s="640"/>
      <c r="Z228" s="640"/>
      <c r="AA228" s="640"/>
      <c r="AB228" s="640"/>
      <c r="AC228" s="640"/>
      <c r="AD228" s="640"/>
      <c r="AE228" s="640"/>
      <c r="AF228" s="640"/>
      <c r="AG228" s="640"/>
      <c r="AH228" s="640"/>
      <c r="AI228" s="640"/>
      <c r="AJ228" s="640"/>
      <c r="AK228" s="640"/>
      <c r="AL228" s="640"/>
      <c r="AM228" s="640"/>
      <c r="AN228" s="640"/>
      <c r="AO228" s="640"/>
      <c r="AP228" s="640"/>
      <c r="AQ228" s="640"/>
      <c r="AR228" s="640"/>
      <c r="AS228" s="640"/>
      <c r="AT228" s="640"/>
      <c r="AU228" s="640"/>
      <c r="AV228" s="640"/>
      <c r="AW228" s="640"/>
      <c r="AX228" s="640"/>
    </row>
    <row r="229" spans="7:50" x14ac:dyDescent="0.25">
      <c r="G229" s="640"/>
      <c r="H229" s="640"/>
      <c r="I229" s="640"/>
      <c r="J229" s="640"/>
      <c r="K229" s="640"/>
      <c r="L229" s="640"/>
      <c r="M229" s="640"/>
      <c r="N229" s="640"/>
      <c r="O229" s="640"/>
      <c r="P229" s="640"/>
      <c r="Q229" s="640"/>
      <c r="R229" s="640"/>
      <c r="S229" s="640"/>
      <c r="T229" s="640"/>
      <c r="U229" s="640"/>
      <c r="V229" s="640"/>
      <c r="W229" s="640"/>
      <c r="X229" s="640"/>
      <c r="Y229" s="640"/>
      <c r="Z229" s="640"/>
      <c r="AA229" s="640"/>
      <c r="AB229" s="640"/>
      <c r="AC229" s="640"/>
      <c r="AD229" s="640"/>
      <c r="AE229" s="640"/>
      <c r="AF229" s="640"/>
      <c r="AG229" s="640"/>
      <c r="AH229" s="640"/>
      <c r="AI229" s="640"/>
      <c r="AJ229" s="640"/>
      <c r="AK229" s="640"/>
      <c r="AL229" s="640"/>
      <c r="AM229" s="640"/>
      <c r="AN229" s="640"/>
      <c r="AO229" s="640"/>
      <c r="AP229" s="640"/>
      <c r="AQ229" s="640"/>
      <c r="AR229" s="640"/>
      <c r="AS229" s="640"/>
      <c r="AT229" s="640"/>
      <c r="AU229" s="640"/>
      <c r="AV229" s="640"/>
      <c r="AW229" s="640"/>
      <c r="AX229" s="640"/>
    </row>
    <row r="230" spans="7:50" x14ac:dyDescent="0.25">
      <c r="G230" s="640"/>
      <c r="H230" s="640"/>
      <c r="I230" s="640"/>
      <c r="J230" s="640"/>
      <c r="K230" s="640"/>
      <c r="L230" s="640"/>
      <c r="M230" s="640"/>
      <c r="N230" s="640"/>
      <c r="O230" s="640"/>
      <c r="P230" s="640"/>
      <c r="Q230" s="640"/>
      <c r="R230" s="640"/>
      <c r="S230" s="640"/>
      <c r="T230" s="640"/>
      <c r="U230" s="640"/>
      <c r="V230" s="640"/>
      <c r="W230" s="640"/>
      <c r="X230" s="640"/>
      <c r="Y230" s="640"/>
      <c r="Z230" s="640"/>
      <c r="AA230" s="640"/>
      <c r="AB230" s="640"/>
      <c r="AC230" s="640"/>
      <c r="AD230" s="640"/>
      <c r="AE230" s="640"/>
      <c r="AF230" s="640"/>
      <c r="AG230" s="640"/>
      <c r="AH230" s="640"/>
      <c r="AI230" s="640"/>
      <c r="AJ230" s="640"/>
      <c r="AK230" s="640"/>
      <c r="AL230" s="640"/>
      <c r="AM230" s="640"/>
      <c r="AN230" s="640"/>
      <c r="AO230" s="640"/>
      <c r="AP230" s="640"/>
      <c r="AQ230" s="640"/>
      <c r="AR230" s="640"/>
      <c r="AS230" s="640"/>
      <c r="AT230" s="640"/>
      <c r="AU230" s="640"/>
      <c r="AV230" s="640"/>
      <c r="AW230" s="640"/>
      <c r="AX230" s="640"/>
    </row>
    <row r="231" spans="7:50" x14ac:dyDescent="0.25">
      <c r="G231" s="640"/>
      <c r="H231" s="640"/>
      <c r="I231" s="640"/>
      <c r="J231" s="640"/>
      <c r="K231" s="640"/>
      <c r="L231" s="640"/>
      <c r="M231" s="640"/>
      <c r="N231" s="640"/>
      <c r="O231" s="640"/>
      <c r="P231" s="640"/>
      <c r="Q231" s="640"/>
      <c r="R231" s="640"/>
      <c r="S231" s="640"/>
      <c r="T231" s="640"/>
      <c r="U231" s="640"/>
      <c r="V231" s="640"/>
      <c r="W231" s="640"/>
      <c r="X231" s="640"/>
      <c r="Y231" s="640"/>
      <c r="Z231" s="640"/>
      <c r="AA231" s="640"/>
      <c r="AB231" s="640"/>
      <c r="AC231" s="640"/>
      <c r="AD231" s="640"/>
      <c r="AE231" s="640"/>
      <c r="AF231" s="640"/>
      <c r="AG231" s="640"/>
      <c r="AH231" s="640"/>
      <c r="AI231" s="640"/>
      <c r="AJ231" s="640"/>
      <c r="AK231" s="640"/>
      <c r="AL231" s="640"/>
      <c r="AM231" s="640"/>
      <c r="AN231" s="640"/>
      <c r="AO231" s="640"/>
      <c r="AP231" s="640"/>
      <c r="AQ231" s="640"/>
      <c r="AR231" s="640"/>
      <c r="AS231" s="640"/>
      <c r="AT231" s="640"/>
      <c r="AU231" s="640"/>
      <c r="AV231" s="640"/>
      <c r="AW231" s="640"/>
      <c r="AX231" s="640"/>
    </row>
    <row r="232" spans="7:50" x14ac:dyDescent="0.25">
      <c r="G232" s="640"/>
      <c r="H232" s="640"/>
      <c r="I232" s="640"/>
      <c r="J232" s="640"/>
      <c r="K232" s="640"/>
      <c r="L232" s="640"/>
      <c r="M232" s="640"/>
      <c r="N232" s="640"/>
      <c r="O232" s="640"/>
      <c r="P232" s="640"/>
      <c r="Q232" s="640"/>
      <c r="R232" s="640"/>
      <c r="S232" s="640"/>
      <c r="T232" s="640"/>
      <c r="U232" s="640"/>
      <c r="V232" s="640"/>
      <c r="W232" s="640"/>
      <c r="X232" s="640"/>
      <c r="Y232" s="640"/>
      <c r="Z232" s="640"/>
      <c r="AA232" s="640"/>
      <c r="AB232" s="640"/>
      <c r="AC232" s="640"/>
      <c r="AD232" s="640"/>
      <c r="AE232" s="640"/>
      <c r="AF232" s="640"/>
      <c r="AG232" s="640"/>
      <c r="AH232" s="640"/>
      <c r="AI232" s="640"/>
      <c r="AJ232" s="640"/>
      <c r="AK232" s="640"/>
      <c r="AL232" s="640"/>
      <c r="AM232" s="640"/>
      <c r="AN232" s="640"/>
      <c r="AO232" s="640"/>
      <c r="AP232" s="640"/>
      <c r="AQ232" s="640"/>
      <c r="AR232" s="640"/>
      <c r="AS232" s="640"/>
      <c r="AT232" s="640"/>
      <c r="AU232" s="640"/>
      <c r="AV232" s="640"/>
      <c r="AW232" s="640"/>
      <c r="AX232" s="640"/>
    </row>
    <row r="233" spans="7:50" x14ac:dyDescent="0.25">
      <c r="G233" s="640"/>
      <c r="H233" s="640"/>
      <c r="I233" s="640"/>
      <c r="J233" s="640"/>
      <c r="K233" s="640"/>
      <c r="L233" s="640"/>
      <c r="M233" s="640"/>
      <c r="N233" s="640"/>
      <c r="O233" s="640"/>
      <c r="P233" s="640"/>
      <c r="Q233" s="640"/>
      <c r="R233" s="640"/>
      <c r="S233" s="640"/>
      <c r="T233" s="640"/>
      <c r="U233" s="640"/>
      <c r="V233" s="640"/>
      <c r="W233" s="640"/>
      <c r="X233" s="640"/>
      <c r="Y233" s="640"/>
      <c r="Z233" s="640"/>
      <c r="AA233" s="640"/>
      <c r="AB233" s="640"/>
      <c r="AC233" s="640"/>
      <c r="AD233" s="640"/>
      <c r="AE233" s="640"/>
      <c r="AF233" s="640"/>
      <c r="AG233" s="640"/>
      <c r="AH233" s="640"/>
      <c r="AI233" s="640"/>
      <c r="AJ233" s="640"/>
      <c r="AK233" s="640"/>
      <c r="AL233" s="640"/>
      <c r="AM233" s="640"/>
      <c r="AN233" s="640"/>
      <c r="AO233" s="640"/>
      <c r="AP233" s="640"/>
      <c r="AQ233" s="640"/>
      <c r="AR233" s="640"/>
      <c r="AS233" s="640"/>
      <c r="AT233" s="640"/>
      <c r="AU233" s="640"/>
      <c r="AV233" s="640"/>
      <c r="AW233" s="640"/>
      <c r="AX233" s="640"/>
    </row>
    <row r="234" spans="7:50" x14ac:dyDescent="0.25">
      <c r="G234" s="640"/>
      <c r="H234" s="640"/>
      <c r="I234" s="640"/>
      <c r="J234" s="640"/>
      <c r="K234" s="640"/>
      <c r="L234" s="640"/>
      <c r="M234" s="640"/>
      <c r="N234" s="640"/>
      <c r="O234" s="640"/>
      <c r="P234" s="640"/>
      <c r="Q234" s="640"/>
      <c r="R234" s="640"/>
      <c r="S234" s="640"/>
      <c r="T234" s="640"/>
      <c r="U234" s="640"/>
      <c r="V234" s="640"/>
      <c r="W234" s="640"/>
      <c r="X234" s="640"/>
      <c r="Y234" s="640"/>
      <c r="Z234" s="640"/>
      <c r="AA234" s="640"/>
      <c r="AB234" s="640"/>
      <c r="AC234" s="640"/>
      <c r="AD234" s="640"/>
      <c r="AE234" s="640"/>
      <c r="AF234" s="640"/>
      <c r="AG234" s="640"/>
      <c r="AH234" s="640"/>
      <c r="AI234" s="640"/>
      <c r="AJ234" s="640"/>
      <c r="AK234" s="640"/>
      <c r="AL234" s="640"/>
      <c r="AM234" s="640"/>
      <c r="AN234" s="640"/>
      <c r="AO234" s="640"/>
      <c r="AP234" s="640"/>
      <c r="AQ234" s="640"/>
      <c r="AR234" s="640"/>
      <c r="AS234" s="640"/>
      <c r="AT234" s="640"/>
      <c r="AU234" s="640"/>
      <c r="AV234" s="640"/>
      <c r="AW234" s="640"/>
      <c r="AX234" s="640"/>
    </row>
  </sheetData>
  <mergeCells count="4">
    <mergeCell ref="B1:T1"/>
    <mergeCell ref="B2:T2"/>
    <mergeCell ref="W8:AJ8"/>
    <mergeCell ref="AL8:AO8"/>
  </mergeCells>
  <pageMargins left="0.70866141732283472" right="0.70866141732283472" top="0.74803149606299213" bottom="0.74803149606299213" header="0.31496062992125984" footer="0.31496062992125984"/>
  <pageSetup scale="44" orientation="landscape" horizontalDpi="300" verticalDpi="300" r:id="rId1"/>
  <colBreaks count="1" manualBreakCount="1">
    <brk id="20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4"/>
  <sheetViews>
    <sheetView view="pageBreakPreview" topLeftCell="G35" zoomScale="90" zoomScaleNormal="100" zoomScaleSheetLayoutView="90" workbookViewId="0">
      <selection activeCell="U28" sqref="U28"/>
    </sheetView>
  </sheetViews>
  <sheetFormatPr defaultColWidth="8.85546875" defaultRowHeight="12.75" x14ac:dyDescent="0.2"/>
  <cols>
    <col min="1" max="1" width="1.7109375" style="439" customWidth="1"/>
    <col min="2" max="2" width="3" style="439" customWidth="1"/>
    <col min="3" max="4" width="1.85546875" style="439" customWidth="1"/>
    <col min="5" max="5" width="55.85546875" style="439" customWidth="1"/>
    <col min="6" max="6" width="4.7109375" style="523" customWidth="1"/>
    <col min="7" max="20" width="17.85546875" style="439" customWidth="1"/>
    <col min="21" max="21" width="3" style="439" customWidth="1"/>
    <col min="22" max="22" width="1.7109375" style="439" customWidth="1"/>
    <col min="23" max="24" width="12.5703125" style="439" customWidth="1"/>
    <col min="25" max="25" width="9.85546875" style="439" customWidth="1"/>
    <col min="26" max="26" width="12.85546875" style="439" customWidth="1"/>
    <col min="27" max="31" width="8.85546875" style="439" customWidth="1"/>
    <col min="32" max="16384" width="8.85546875" style="439"/>
  </cols>
  <sheetData>
    <row r="1" spans="1:26" x14ac:dyDescent="0.2">
      <c r="B1" s="440"/>
      <c r="C1" s="440"/>
      <c r="D1" s="440"/>
      <c r="E1" s="244"/>
      <c r="F1" s="289"/>
      <c r="G1" s="440"/>
      <c r="H1" s="440"/>
      <c r="I1" s="440"/>
      <c r="J1" s="440"/>
      <c r="K1" s="440"/>
      <c r="L1" s="440"/>
      <c r="M1" s="440"/>
      <c r="N1" s="441"/>
      <c r="O1" s="441"/>
      <c r="P1" s="440"/>
      <c r="Q1" s="441"/>
      <c r="R1" s="442"/>
      <c r="S1" s="440"/>
      <c r="T1" s="443"/>
      <c r="U1" s="440"/>
    </row>
    <row r="2" spans="1:26" x14ac:dyDescent="0.2">
      <c r="A2" s="440"/>
      <c r="B2" s="440"/>
      <c r="C2" s="440"/>
      <c r="D2" s="440"/>
      <c r="E2" s="440"/>
      <c r="F2" s="218"/>
      <c r="G2" s="440"/>
      <c r="H2" s="440"/>
      <c r="I2" s="440"/>
      <c r="J2" s="440"/>
      <c r="K2" s="441"/>
      <c r="L2" s="442"/>
      <c r="M2" s="442"/>
      <c r="N2" s="441"/>
      <c r="O2" s="444"/>
      <c r="P2" s="440"/>
      <c r="Q2" s="441"/>
      <c r="R2" s="440"/>
      <c r="S2" s="440"/>
      <c r="T2" s="445"/>
      <c r="U2" s="440"/>
      <c r="V2" s="440"/>
    </row>
    <row r="3" spans="1:26" x14ac:dyDescent="0.2">
      <c r="A3" s="440"/>
      <c r="B3" s="440"/>
      <c r="C3" s="440"/>
      <c r="D3" s="440"/>
      <c r="E3" s="440"/>
      <c r="F3" s="218"/>
      <c r="G3" s="440"/>
      <c r="H3" s="440"/>
      <c r="I3" s="440"/>
      <c r="J3" s="440"/>
      <c r="K3" s="446"/>
      <c r="L3" s="442"/>
      <c r="M3" s="447"/>
      <c r="N3" s="441"/>
      <c r="O3" s="442"/>
      <c r="P3" s="442"/>
      <c r="Q3" s="442"/>
      <c r="R3" s="442"/>
      <c r="S3" s="442"/>
      <c r="T3" s="442"/>
      <c r="U3" s="440"/>
      <c r="V3" s="440"/>
    </row>
    <row r="4" spans="1:26" x14ac:dyDescent="0.2">
      <c r="A4" s="440"/>
      <c r="B4" s="440"/>
      <c r="D4" s="440"/>
      <c r="E4" s="440"/>
      <c r="F4" s="218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244"/>
      <c r="U4" s="440"/>
      <c r="V4" s="440"/>
    </row>
    <row r="5" spans="1:26" ht="15.75" x14ac:dyDescent="0.25">
      <c r="A5" s="440"/>
      <c r="B5" s="440"/>
      <c r="C5" s="448" t="s">
        <v>479</v>
      </c>
      <c r="D5" s="440"/>
      <c r="E5" s="440"/>
      <c r="F5" s="218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243"/>
    </row>
    <row r="6" spans="1:26" x14ac:dyDescent="0.2">
      <c r="A6" s="440"/>
      <c r="B6" s="449"/>
      <c r="C6" s="450"/>
      <c r="D6" s="451"/>
      <c r="E6" s="451"/>
      <c r="F6" s="452"/>
      <c r="G6" s="683" t="s">
        <v>164</v>
      </c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700"/>
      <c r="U6" s="453"/>
      <c r="V6" s="440"/>
    </row>
    <row r="7" spans="1:26" ht="15.75" customHeight="1" x14ac:dyDescent="0.2">
      <c r="A7" s="440"/>
      <c r="B7" s="449"/>
      <c r="C7" s="454"/>
      <c r="D7" s="455"/>
      <c r="E7" s="455"/>
      <c r="F7" s="456"/>
      <c r="G7" s="457" t="str">
        <f>+'[6]Statement 1'!$H$4</f>
        <v>Revised</v>
      </c>
      <c r="H7" s="158" t="s">
        <v>2</v>
      </c>
      <c r="I7" s="158" t="s">
        <v>3</v>
      </c>
      <c r="J7" s="158" t="s">
        <v>167</v>
      </c>
      <c r="K7" s="158" t="s">
        <v>5</v>
      </c>
      <c r="L7" s="146" t="s">
        <v>6</v>
      </c>
      <c r="M7" s="146" t="s">
        <v>7</v>
      </c>
      <c r="N7" s="158" t="s">
        <v>8</v>
      </c>
      <c r="O7" s="146" t="s">
        <v>9</v>
      </c>
      <c r="P7" s="158" t="s">
        <v>10</v>
      </c>
      <c r="Q7" s="146" t="s">
        <v>11</v>
      </c>
      <c r="R7" s="158" t="s">
        <v>12</v>
      </c>
      <c r="S7" s="146" t="s">
        <v>13</v>
      </c>
      <c r="T7" s="146" t="s">
        <v>14</v>
      </c>
      <c r="U7" s="453"/>
      <c r="V7" s="440"/>
      <c r="W7" s="447"/>
    </row>
    <row r="8" spans="1:26" x14ac:dyDescent="0.2">
      <c r="A8" s="440"/>
      <c r="B8" s="449"/>
      <c r="C8" s="458" t="s">
        <v>15</v>
      </c>
      <c r="D8" s="459"/>
      <c r="E8" s="459"/>
      <c r="F8" s="368"/>
      <c r="G8" s="460" t="s">
        <v>16</v>
      </c>
      <c r="H8" s="154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53"/>
      <c r="V8" s="440"/>
      <c r="W8" s="462"/>
    </row>
    <row r="9" spans="1:26" x14ac:dyDescent="0.2">
      <c r="A9" s="440"/>
      <c r="B9" s="449"/>
      <c r="C9" s="453"/>
      <c r="D9" s="440"/>
      <c r="E9" s="440"/>
      <c r="F9" s="218"/>
      <c r="G9" s="463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53"/>
      <c r="V9" s="440"/>
      <c r="W9" s="462"/>
    </row>
    <row r="10" spans="1:26" x14ac:dyDescent="0.2">
      <c r="A10" s="440"/>
      <c r="B10" s="449"/>
      <c r="C10" s="454" t="s">
        <v>480</v>
      </c>
      <c r="D10" s="455"/>
      <c r="E10" s="455"/>
      <c r="F10" s="465" t="s">
        <v>481</v>
      </c>
      <c r="G10" s="466">
        <f>+'[2]Statement 1'!$H$113</f>
        <v>1344796269.8205059</v>
      </c>
      <c r="H10" s="466">
        <f>72369777+[47]original!$G$6</f>
        <v>73561295</v>
      </c>
      <c r="I10" s="466">
        <f>91960891+[47]original!$H$6</f>
        <v>97483269</v>
      </c>
      <c r="J10" s="466">
        <f>146983292+[47]original!$I$6</f>
        <v>147176620</v>
      </c>
      <c r="K10" s="466">
        <f>74358637+[47]original!$J$6</f>
        <v>74595465</v>
      </c>
      <c r="L10" s="466">
        <f>117746720+[47]original!$K$6</f>
        <v>118283601</v>
      </c>
      <c r="M10" s="466">
        <f>117996432+[47]original!$L$6</f>
        <v>118306077</v>
      </c>
      <c r="N10" s="466">
        <f>83965060+[47]original!$M$6</f>
        <v>84114639</v>
      </c>
      <c r="O10" s="466">
        <f>95537530+[47]original!$N$6</f>
        <v>95927507</v>
      </c>
      <c r="P10" s="466">
        <f>160586770+[47]original!$O$6</f>
        <v>160730055</v>
      </c>
      <c r="Q10" s="466">
        <f>90700237+[47]original!$P$6</f>
        <v>91007790</v>
      </c>
      <c r="R10" s="466">
        <f>144219625+[47]original!$Q$6</f>
        <v>144778040</v>
      </c>
      <c r="S10" s="466">
        <f>136203303+[47]original!$R$6</f>
        <v>139465249</v>
      </c>
      <c r="T10" s="466">
        <f>SUM(H10:S10)</f>
        <v>1345429607</v>
      </c>
      <c r="U10" s="467"/>
      <c r="V10" s="468"/>
      <c r="W10" s="469"/>
      <c r="X10" s="243"/>
      <c r="Z10" s="447"/>
    </row>
    <row r="11" spans="1:26" x14ac:dyDescent="0.2">
      <c r="A11" s="440"/>
      <c r="B11" s="449"/>
      <c r="C11" s="454"/>
      <c r="D11" s="455"/>
      <c r="E11" s="455"/>
      <c r="F11" s="218"/>
      <c r="G11" s="470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7"/>
      <c r="V11" s="468"/>
      <c r="W11" s="462"/>
      <c r="X11" s="243"/>
    </row>
    <row r="12" spans="1:26" x14ac:dyDescent="0.2">
      <c r="A12" s="440"/>
      <c r="B12" s="449"/>
      <c r="C12" s="454" t="s">
        <v>482</v>
      </c>
      <c r="D12" s="455"/>
      <c r="E12" s="455"/>
      <c r="F12" s="465" t="s">
        <v>483</v>
      </c>
      <c r="G12" s="470">
        <f>+G14+G16+G23+G24+G25+G26+G28+G29</f>
        <v>1682304101</v>
      </c>
      <c r="H12" s="470">
        <f>146576599-[47]original!$G$40</f>
        <v>146708471</v>
      </c>
      <c r="I12" s="470">
        <f>113281775-[47]original!$H$40</f>
        <v>113365653</v>
      </c>
      <c r="J12" s="470">
        <f>109567054-[47]original!$I$40</f>
        <v>109590360</v>
      </c>
      <c r="K12" s="470">
        <f>182356944-[47]original!$J$40</f>
        <v>182476850</v>
      </c>
      <c r="L12" s="470">
        <f>161091063-[47]original!$K$40</f>
        <v>161091293</v>
      </c>
      <c r="M12" s="470">
        <f>123271247-[47]original!$L$40</f>
        <v>123271268</v>
      </c>
      <c r="N12" s="470">
        <f>126853765-[47]original!$M$40</f>
        <v>126853795</v>
      </c>
      <c r="O12" s="470">
        <f>129964955-[47]original!$N$40</f>
        <v>129966318</v>
      </c>
      <c r="P12" s="470">
        <f>164082691-[47]original!$O$40</f>
        <v>164190216</v>
      </c>
      <c r="Q12" s="470">
        <f>141300018-[47]original!$P$40</f>
        <v>141300316</v>
      </c>
      <c r="R12" s="470">
        <f>148411068-[47]original!$Q$40</f>
        <v>148411068</v>
      </c>
      <c r="S12" s="470">
        <f>142045844-[47]original!$R$40</f>
        <v>142045883</v>
      </c>
      <c r="T12" s="470">
        <f>SUM(H12:S12)</f>
        <v>1689271491</v>
      </c>
      <c r="U12" s="467"/>
      <c r="V12" s="39"/>
      <c r="W12" s="471"/>
      <c r="X12" s="243"/>
      <c r="Z12" s="447"/>
    </row>
    <row r="13" spans="1:26" x14ac:dyDescent="0.2">
      <c r="A13" s="440"/>
      <c r="B13" s="449"/>
      <c r="C13" s="453"/>
      <c r="D13" s="440"/>
      <c r="E13" s="440"/>
      <c r="F13" s="218"/>
      <c r="G13" s="472"/>
      <c r="H13" s="473"/>
      <c r="I13" s="473"/>
      <c r="J13" s="473"/>
      <c r="K13" s="473"/>
      <c r="L13" s="473"/>
      <c r="M13" s="473"/>
      <c r="N13" s="474"/>
      <c r="O13" s="473"/>
      <c r="P13" s="473"/>
      <c r="Q13" s="473"/>
      <c r="R13" s="473"/>
      <c r="S13" s="473"/>
      <c r="T13" s="473"/>
      <c r="U13" s="467"/>
      <c r="V13" s="468"/>
      <c r="W13" s="462"/>
      <c r="X13" s="243"/>
      <c r="Y13" s="462"/>
    </row>
    <row r="14" spans="1:26" x14ac:dyDescent="0.2">
      <c r="A14" s="440"/>
      <c r="B14" s="449"/>
      <c r="C14" s="453"/>
      <c r="D14" s="440" t="s">
        <v>484</v>
      </c>
      <c r="E14" s="440"/>
      <c r="F14" s="465" t="s">
        <v>485</v>
      </c>
      <c r="G14" s="472">
        <f>+'[10]19-20'!$I$47</f>
        <v>941168502</v>
      </c>
      <c r="H14" s="472">
        <f>+H12-H16-H23</f>
        <v>99111775</v>
      </c>
      <c r="I14" s="473">
        <f>+I12-I16-I23</f>
        <v>65175332</v>
      </c>
      <c r="J14" s="473">
        <f>+J12-J16-J23</f>
        <v>45269219</v>
      </c>
      <c r="K14" s="473">
        <f t="shared" ref="K14:N14" si="0">+K12-K16-K23</f>
        <v>111091158</v>
      </c>
      <c r="L14" s="473">
        <f t="shared" si="0"/>
        <v>84998676</v>
      </c>
      <c r="M14" s="473">
        <f t="shared" si="0"/>
        <v>62652526</v>
      </c>
      <c r="N14" s="473">
        <f t="shared" si="0"/>
        <v>78309040</v>
      </c>
      <c r="O14" s="473">
        <v>83881189</v>
      </c>
      <c r="P14" s="473">
        <v>94439753</v>
      </c>
      <c r="Q14" s="473">
        <v>68500090</v>
      </c>
      <c r="R14" s="473">
        <v>75007448</v>
      </c>
      <c r="S14" s="473">
        <v>74846644</v>
      </c>
      <c r="T14" s="474">
        <f>SUM(H14:S14)</f>
        <v>943282850</v>
      </c>
      <c r="U14" s="467"/>
      <c r="V14" s="468"/>
      <c r="W14" s="462"/>
      <c r="X14" s="243"/>
    </row>
    <row r="15" spans="1:26" x14ac:dyDescent="0.2">
      <c r="A15" s="440"/>
      <c r="B15" s="449"/>
      <c r="C15" s="453"/>
      <c r="D15" s="440"/>
      <c r="E15" s="440"/>
      <c r="F15" s="218"/>
      <c r="G15" s="472"/>
      <c r="H15" s="473"/>
      <c r="I15" s="473"/>
      <c r="J15" s="473"/>
      <c r="K15" s="473"/>
      <c r="L15" s="473"/>
      <c r="M15" s="473"/>
      <c r="N15" s="474"/>
      <c r="O15" s="473"/>
      <c r="P15" s="473"/>
      <c r="Q15" s="473"/>
      <c r="R15" s="473"/>
      <c r="S15" s="473"/>
      <c r="T15" s="473"/>
      <c r="U15" s="467"/>
      <c r="V15" s="468"/>
      <c r="W15" s="462"/>
      <c r="X15" s="243"/>
    </row>
    <row r="16" spans="1:26" s="480" customFormat="1" x14ac:dyDescent="0.2">
      <c r="A16" s="455"/>
      <c r="B16" s="476"/>
      <c r="C16" s="454"/>
      <c r="D16" s="455" t="s">
        <v>486</v>
      </c>
      <c r="E16" s="455"/>
      <c r="F16" s="456"/>
      <c r="G16" s="477">
        <f>SUM(G17:G21)</f>
        <v>745367573</v>
      </c>
      <c r="H16" s="478">
        <f t="shared" ref="H16:S16" si="1">SUM(H17:H21)</f>
        <v>47596696</v>
      </c>
      <c r="I16" s="478">
        <f t="shared" si="1"/>
        <v>48190321</v>
      </c>
      <c r="J16" s="478">
        <f>SUM(J17:J21)</f>
        <v>64321141</v>
      </c>
      <c r="K16" s="478">
        <f>SUM(K17:K21)</f>
        <v>71385692</v>
      </c>
      <c r="L16" s="478">
        <f>SUM(L17:L21)</f>
        <v>76092617</v>
      </c>
      <c r="M16" s="478">
        <f>SUM(M17:M21)</f>
        <v>60618742</v>
      </c>
      <c r="N16" s="466">
        <f>SUM(N17:N21)</f>
        <v>48544755</v>
      </c>
      <c r="O16" s="478">
        <f t="shared" si="1"/>
        <v>46113766</v>
      </c>
      <c r="P16" s="478">
        <f t="shared" si="1"/>
        <v>69642875</v>
      </c>
      <c r="Q16" s="478">
        <f t="shared" si="1"/>
        <v>72799928</v>
      </c>
      <c r="R16" s="478">
        <f>SUM(R17:R21)</f>
        <v>73403620</v>
      </c>
      <c r="S16" s="478">
        <f t="shared" si="1"/>
        <v>67199202</v>
      </c>
      <c r="T16" s="478">
        <f>SUM(T17:T21)</f>
        <v>745909355</v>
      </c>
      <c r="U16" s="479"/>
      <c r="V16" s="145"/>
      <c r="W16" s="462"/>
      <c r="X16" s="243"/>
    </row>
    <row r="17" spans="1:26" x14ac:dyDescent="0.2">
      <c r="A17" s="440"/>
      <c r="B17" s="449"/>
      <c r="C17" s="453"/>
      <c r="D17" s="440"/>
      <c r="E17" s="440" t="s">
        <v>487</v>
      </c>
      <c r="F17" s="481"/>
      <c r="G17" s="472">
        <f>+'[10]19-20'!$I$52</f>
        <v>203730750</v>
      </c>
      <c r="H17" s="473">
        <v>3596440</v>
      </c>
      <c r="I17" s="473">
        <v>4188052</v>
      </c>
      <c r="J17" s="473">
        <v>20309211</v>
      </c>
      <c r="K17" s="473">
        <v>27304283</v>
      </c>
      <c r="L17" s="473">
        <v>27624724</v>
      </c>
      <c r="M17" s="473">
        <v>16591374</v>
      </c>
      <c r="N17" s="474">
        <v>4518126</v>
      </c>
      <c r="O17" s="473">
        <v>2237241</v>
      </c>
      <c r="P17" s="473">
        <v>21222195</v>
      </c>
      <c r="Q17" s="473">
        <v>28812513</v>
      </c>
      <c r="R17" s="473">
        <v>29395974</v>
      </c>
      <c r="S17" s="473">
        <v>19094393</v>
      </c>
      <c r="T17" s="474">
        <f>SUM(H17:S17)</f>
        <v>204894526</v>
      </c>
      <c r="U17" s="467"/>
      <c r="V17" s="468"/>
      <c r="W17" s="462"/>
      <c r="X17" s="243"/>
      <c r="Y17" s="243"/>
    </row>
    <row r="18" spans="1:26" x14ac:dyDescent="0.2">
      <c r="A18" s="440"/>
      <c r="B18" s="449"/>
      <c r="C18" s="453"/>
      <c r="D18" s="440"/>
      <c r="E18" s="440" t="s">
        <v>488</v>
      </c>
      <c r="F18" s="289"/>
      <c r="G18" s="472">
        <f>+'[10]19-20'!$I$55</f>
        <v>505553753</v>
      </c>
      <c r="H18" s="473">
        <v>42129484</v>
      </c>
      <c r="I18" s="473">
        <v>42129482</v>
      </c>
      <c r="J18" s="473">
        <v>42129482</v>
      </c>
      <c r="K18" s="473">
        <v>42129482</v>
      </c>
      <c r="L18" s="473">
        <v>42129480</v>
      </c>
      <c r="M18" s="473">
        <v>42129480</v>
      </c>
      <c r="N18" s="474">
        <v>42129479</v>
      </c>
      <c r="O18" s="473">
        <v>42129479</v>
      </c>
      <c r="P18" s="473">
        <v>42129478</v>
      </c>
      <c r="Q18" s="473">
        <v>42129477</v>
      </c>
      <c r="R18" s="473">
        <v>42129475</v>
      </c>
      <c r="S18" s="473">
        <v>42129475</v>
      </c>
      <c r="T18" s="474">
        <f>SUM(H18:S18)</f>
        <v>505553753</v>
      </c>
      <c r="U18" s="467"/>
      <c r="V18" s="468"/>
      <c r="W18" s="462"/>
      <c r="X18" s="243"/>
      <c r="Y18" s="243"/>
      <c r="Z18" s="243"/>
    </row>
    <row r="19" spans="1:26" ht="14.45" customHeight="1" x14ac:dyDescent="0.2">
      <c r="A19" s="440"/>
      <c r="B19" s="449"/>
      <c r="C19" s="453"/>
      <c r="D19" s="440"/>
      <c r="E19" s="440" t="s">
        <v>489</v>
      </c>
      <c r="F19" s="218"/>
      <c r="G19" s="472">
        <f>+'[10]19-20'!$I$56</f>
        <v>13166793</v>
      </c>
      <c r="H19" s="473">
        <v>0</v>
      </c>
      <c r="I19" s="473">
        <v>0</v>
      </c>
      <c r="J19" s="473">
        <v>0</v>
      </c>
      <c r="K19" s="473">
        <v>0</v>
      </c>
      <c r="L19" s="473">
        <v>4388931</v>
      </c>
      <c r="M19" s="473">
        <v>0</v>
      </c>
      <c r="N19" s="474">
        <v>0</v>
      </c>
      <c r="O19" s="473">
        <v>0</v>
      </c>
      <c r="P19" s="473">
        <v>4388931</v>
      </c>
      <c r="Q19" s="473">
        <v>0</v>
      </c>
      <c r="R19" s="473">
        <v>0</v>
      </c>
      <c r="S19" s="473">
        <v>4388931</v>
      </c>
      <c r="T19" s="474">
        <f>SUM(H19:S19)</f>
        <v>13166793</v>
      </c>
      <c r="U19" s="467"/>
      <c r="V19" s="468"/>
      <c r="W19" s="462"/>
      <c r="X19" s="243"/>
      <c r="Y19" s="243"/>
    </row>
    <row r="20" spans="1:26" ht="14.45" customHeight="1" x14ac:dyDescent="0.2">
      <c r="A20" s="440"/>
      <c r="B20" s="449"/>
      <c r="C20" s="453"/>
      <c r="D20" s="440"/>
      <c r="E20" s="440" t="s">
        <v>490</v>
      </c>
      <c r="F20" s="218"/>
      <c r="G20" s="472">
        <f>+'[10]19-20'!$I$64</f>
        <v>18576305</v>
      </c>
      <c r="H20" s="473">
        <v>1563208</v>
      </c>
      <c r="I20" s="473">
        <v>1563208</v>
      </c>
      <c r="J20" s="473">
        <v>1563209</v>
      </c>
      <c r="K20" s="473">
        <v>1563209</v>
      </c>
      <c r="L20" s="473">
        <v>1563209</v>
      </c>
      <c r="M20" s="473">
        <v>1563209</v>
      </c>
      <c r="N20" s="474">
        <v>1563209</v>
      </c>
      <c r="O20" s="473">
        <v>1381004</v>
      </c>
      <c r="P20" s="473">
        <v>1563210</v>
      </c>
      <c r="Q20" s="473">
        <v>1563210</v>
      </c>
      <c r="R20" s="473">
        <v>1563210</v>
      </c>
      <c r="S20" s="473">
        <v>1270749</v>
      </c>
      <c r="T20" s="474">
        <f>SUM(H20:S20)</f>
        <v>18283844</v>
      </c>
      <c r="U20" s="467"/>
      <c r="V20" s="468"/>
      <c r="W20" s="462"/>
      <c r="X20" s="243"/>
      <c r="Y20" s="243"/>
    </row>
    <row r="21" spans="1:26" x14ac:dyDescent="0.2">
      <c r="A21" s="440"/>
      <c r="B21" s="449"/>
      <c r="C21" s="453"/>
      <c r="D21" s="440"/>
      <c r="E21" s="440" t="s">
        <v>491</v>
      </c>
      <c r="F21" s="218"/>
      <c r="G21" s="472">
        <f>+'[10]19-20'!$I$50+'[10]19-20'!$I$51+'[10]19-20'!$I$57+'[10]19-20'!$I$65+'[10]19-20'!$I$66+'[10]19-20'!$I$67</f>
        <v>4339972</v>
      </c>
      <c r="H21" s="473">
        <v>307564</v>
      </c>
      <c r="I21" s="473">
        <v>309579</v>
      </c>
      <c r="J21" s="473">
        <v>319239</v>
      </c>
      <c r="K21" s="473">
        <v>388718</v>
      </c>
      <c r="L21" s="473">
        <v>386273</v>
      </c>
      <c r="M21" s="473">
        <v>334679</v>
      </c>
      <c r="N21" s="474">
        <v>333941</v>
      </c>
      <c r="O21" s="473">
        <v>366042</v>
      </c>
      <c r="P21" s="473">
        <v>339061</v>
      </c>
      <c r="Q21" s="473">
        <v>294728</v>
      </c>
      <c r="R21" s="473">
        <v>314961</v>
      </c>
      <c r="S21" s="473">
        <v>315654</v>
      </c>
      <c r="T21" s="474">
        <f>SUM(H21:S21)</f>
        <v>4010439</v>
      </c>
      <c r="U21" s="467"/>
      <c r="V21" s="468"/>
      <c r="W21" s="462"/>
      <c r="X21" s="243"/>
      <c r="Y21" s="243"/>
    </row>
    <row r="22" spans="1:26" x14ac:dyDescent="0.2">
      <c r="A22" s="440"/>
      <c r="B22" s="449"/>
      <c r="C22" s="440"/>
      <c r="D22" s="455"/>
      <c r="E22" s="440"/>
      <c r="F22" s="218"/>
      <c r="G22" s="477"/>
      <c r="H22" s="478"/>
      <c r="I22" s="478"/>
      <c r="J22" s="478"/>
      <c r="K22" s="478"/>
      <c r="L22" s="478"/>
      <c r="M22" s="478"/>
      <c r="N22" s="466"/>
      <c r="O22" s="478"/>
      <c r="P22" s="478"/>
      <c r="Q22" s="478"/>
      <c r="R22" s="478"/>
      <c r="S22" s="478"/>
      <c r="T22" s="478"/>
      <c r="U22" s="467"/>
      <c r="V22" s="468"/>
      <c r="W22" s="462"/>
      <c r="X22" s="243"/>
    </row>
    <row r="23" spans="1:26" hidden="1" x14ac:dyDescent="0.2">
      <c r="A23" s="440"/>
      <c r="B23" s="449"/>
      <c r="C23" s="440"/>
      <c r="D23" s="439" t="str">
        <f>+'[11]19-20'!$A$64</f>
        <v>Provisional allocation for contingencies not assigned to votes</v>
      </c>
      <c r="E23" s="440"/>
      <c r="F23" s="218"/>
      <c r="G23" s="472"/>
      <c r="H23" s="473">
        <v>0</v>
      </c>
      <c r="I23" s="473">
        <v>0</v>
      </c>
      <c r="J23" s="473">
        <v>0</v>
      </c>
      <c r="K23" s="473">
        <v>0</v>
      </c>
      <c r="L23" s="473">
        <v>0</v>
      </c>
      <c r="M23" s="473">
        <v>0</v>
      </c>
      <c r="N23" s="474">
        <v>0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3">
        <f>SUM(H23:S23)</f>
        <v>0</v>
      </c>
      <c r="U23" s="467"/>
      <c r="V23" s="468"/>
      <c r="W23" s="462"/>
      <c r="X23" s="243"/>
    </row>
    <row r="24" spans="1:26" hidden="1" x14ac:dyDescent="0.2">
      <c r="A24" s="440"/>
      <c r="B24" s="449"/>
      <c r="C24" s="440"/>
      <c r="D24" s="439" t="str">
        <f>+'[11]19-20'!$A$65</f>
        <v>Infrastructure fund not assigned to votes</v>
      </c>
      <c r="E24" s="440"/>
      <c r="F24" s="218"/>
      <c r="G24" s="472"/>
      <c r="H24" s="473">
        <v>0</v>
      </c>
      <c r="I24" s="473">
        <v>0</v>
      </c>
      <c r="J24" s="473">
        <v>0</v>
      </c>
      <c r="K24" s="473">
        <v>0</v>
      </c>
      <c r="L24" s="473">
        <v>0</v>
      </c>
      <c r="M24" s="473">
        <v>0</v>
      </c>
      <c r="N24" s="474">
        <v>0</v>
      </c>
      <c r="O24" s="473">
        <v>0</v>
      </c>
      <c r="P24" s="473"/>
      <c r="Q24" s="473"/>
      <c r="R24" s="473"/>
      <c r="S24" s="473"/>
      <c r="T24" s="473">
        <f>SUM(H24:S24)</f>
        <v>0</v>
      </c>
      <c r="U24" s="467"/>
      <c r="V24" s="468"/>
      <c r="W24" s="462"/>
      <c r="X24" s="243"/>
    </row>
    <row r="25" spans="1:26" hidden="1" x14ac:dyDescent="0.2">
      <c r="A25" s="440"/>
      <c r="B25" s="449"/>
      <c r="C25" s="440"/>
      <c r="D25" s="439" t="str">
        <f>+'[11]19-20'!$A$66</f>
        <v xml:space="preserve">Provisional allocation for Eskom restructuring </v>
      </c>
      <c r="E25" s="440"/>
      <c r="F25" s="218"/>
      <c r="G25" s="472"/>
      <c r="H25" s="473">
        <v>0</v>
      </c>
      <c r="I25" s="473">
        <v>0</v>
      </c>
      <c r="J25" s="473">
        <v>0</v>
      </c>
      <c r="K25" s="473">
        <v>0</v>
      </c>
      <c r="L25" s="473">
        <v>0</v>
      </c>
      <c r="M25" s="473">
        <v>0</v>
      </c>
      <c r="N25" s="474">
        <v>0</v>
      </c>
      <c r="O25" s="473">
        <v>0</v>
      </c>
      <c r="P25" s="473"/>
      <c r="Q25" s="473"/>
      <c r="R25" s="473"/>
      <c r="S25" s="473"/>
      <c r="T25" s="473">
        <f>SUM(H25:S25)</f>
        <v>0</v>
      </c>
      <c r="U25" s="467"/>
      <c r="V25" s="468"/>
      <c r="W25" s="462"/>
      <c r="X25" s="243"/>
    </row>
    <row r="26" spans="1:26" hidden="1" x14ac:dyDescent="0.2">
      <c r="A26" s="440"/>
      <c r="B26" s="449"/>
      <c r="C26" s="440"/>
      <c r="D26" s="439" t="str">
        <f>+'[11]19-20'!$A$67</f>
        <v>Compensation of employees and other baseline adjustments</v>
      </c>
      <c r="E26" s="440"/>
      <c r="F26" s="218"/>
      <c r="G26" s="472"/>
      <c r="H26" s="473">
        <v>0</v>
      </c>
      <c r="I26" s="473">
        <v>0</v>
      </c>
      <c r="J26" s="473">
        <v>0</v>
      </c>
      <c r="K26" s="473">
        <v>0</v>
      </c>
      <c r="L26" s="473">
        <v>0</v>
      </c>
      <c r="M26" s="473">
        <v>0</v>
      </c>
      <c r="N26" s="474">
        <v>0</v>
      </c>
      <c r="O26" s="473">
        <v>0</v>
      </c>
      <c r="P26" s="473"/>
      <c r="Q26" s="473"/>
      <c r="R26" s="473"/>
      <c r="S26" s="473"/>
      <c r="T26" s="473">
        <f>SUM(H26:S26)</f>
        <v>0</v>
      </c>
      <c r="U26" s="467"/>
      <c r="V26" s="468"/>
      <c r="W26" s="462"/>
      <c r="X26" s="243"/>
    </row>
    <row r="27" spans="1:26" hidden="1" x14ac:dyDescent="0.2">
      <c r="A27" s="440"/>
      <c r="B27" s="449"/>
      <c r="C27" s="440"/>
      <c r="D27" s="480"/>
      <c r="E27" s="440"/>
      <c r="F27" s="218"/>
      <c r="G27" s="477"/>
      <c r="H27" s="473"/>
      <c r="I27" s="473"/>
      <c r="J27" s="473"/>
      <c r="K27" s="473"/>
      <c r="L27" s="473"/>
      <c r="M27" s="473"/>
      <c r="N27" s="474"/>
      <c r="O27" s="473"/>
      <c r="P27" s="473"/>
      <c r="Q27" s="473"/>
      <c r="R27" s="473"/>
      <c r="S27" s="473"/>
      <c r="T27" s="473"/>
      <c r="U27" s="467"/>
      <c r="V27" s="468"/>
      <c r="W27" s="462"/>
      <c r="X27" s="243"/>
    </row>
    <row r="28" spans="1:26" s="480" customFormat="1" x14ac:dyDescent="0.2">
      <c r="A28" s="455"/>
      <c r="B28" s="476"/>
      <c r="C28" s="455"/>
      <c r="D28" s="482" t="s">
        <v>243</v>
      </c>
      <c r="E28" s="455"/>
      <c r="F28" s="456"/>
      <c r="G28" s="477">
        <f>+'[10]19-20'!$I$75</f>
        <v>-4231974</v>
      </c>
      <c r="H28" s="478">
        <v>0</v>
      </c>
      <c r="I28" s="478">
        <v>0</v>
      </c>
      <c r="J28" s="478">
        <v>0</v>
      </c>
      <c r="K28" s="478">
        <v>0</v>
      </c>
      <c r="L28" s="478">
        <v>0</v>
      </c>
      <c r="M28" s="478">
        <v>0</v>
      </c>
      <c r="N28" s="466">
        <v>0</v>
      </c>
      <c r="O28" s="478">
        <v>0</v>
      </c>
      <c r="P28" s="478">
        <v>0</v>
      </c>
      <c r="Q28" s="478">
        <v>0</v>
      </c>
      <c r="R28" s="478">
        <v>0</v>
      </c>
      <c r="S28" s="478">
        <v>0</v>
      </c>
      <c r="T28" s="466">
        <f t="shared" ref="T28" si="2">SUM(H28:S28)</f>
        <v>0</v>
      </c>
      <c r="U28" s="479"/>
      <c r="V28" s="145"/>
      <c r="W28" s="483"/>
      <c r="X28" s="268"/>
    </row>
    <row r="29" spans="1:26" s="480" customFormat="1" hidden="1" x14ac:dyDescent="0.2">
      <c r="A29" s="455"/>
      <c r="B29" s="476"/>
      <c r="C29" s="455"/>
      <c r="D29" s="168"/>
      <c r="E29" s="440"/>
      <c r="F29" s="218"/>
      <c r="G29" s="472"/>
      <c r="H29" s="478"/>
      <c r="I29" s="478"/>
      <c r="J29" s="478"/>
      <c r="K29" s="478"/>
      <c r="L29" s="478"/>
      <c r="M29" s="473"/>
      <c r="N29" s="466"/>
      <c r="O29" s="473"/>
      <c r="P29" s="473"/>
      <c r="Q29" s="473"/>
      <c r="R29" s="478"/>
      <c r="S29" s="478"/>
      <c r="T29" s="474"/>
      <c r="U29" s="479"/>
      <c r="V29" s="145"/>
      <c r="W29" s="462"/>
      <c r="X29" s="243"/>
    </row>
    <row r="30" spans="1:26" s="480" customFormat="1" x14ac:dyDescent="0.2">
      <c r="A30" s="455"/>
      <c r="B30" s="476"/>
      <c r="C30" s="454"/>
      <c r="D30" s="455"/>
      <c r="E30" s="455"/>
      <c r="F30" s="456"/>
      <c r="G30" s="484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79"/>
      <c r="V30" s="145"/>
      <c r="W30" s="462"/>
      <c r="X30" s="243"/>
    </row>
    <row r="31" spans="1:26" s="480" customFormat="1" x14ac:dyDescent="0.2">
      <c r="A31" s="455"/>
      <c r="B31" s="476"/>
      <c r="C31" s="454"/>
      <c r="D31" s="455"/>
      <c r="E31" s="455"/>
      <c r="F31" s="456"/>
      <c r="G31" s="470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79"/>
      <c r="V31" s="145"/>
      <c r="W31" s="462"/>
      <c r="X31" s="243"/>
    </row>
    <row r="32" spans="1:26" s="480" customFormat="1" x14ac:dyDescent="0.2">
      <c r="A32" s="455"/>
      <c r="B32" s="476"/>
      <c r="C32" s="454" t="s">
        <v>492</v>
      </c>
      <c r="D32" s="455"/>
      <c r="E32" s="455"/>
      <c r="F32" s="456"/>
      <c r="G32" s="470">
        <f>+G10-G12</f>
        <v>-337507831.17949414</v>
      </c>
      <c r="H32" s="466">
        <f>(H10-H12)</f>
        <v>-73147176</v>
      </c>
      <c r="I32" s="466">
        <f t="shared" ref="I32:Q32" si="3">(I10-I12)</f>
        <v>-15882384</v>
      </c>
      <c r="J32" s="466">
        <f t="shared" si="3"/>
        <v>37586260</v>
      </c>
      <c r="K32" s="466">
        <f t="shared" si="3"/>
        <v>-107881385</v>
      </c>
      <c r="L32" s="466">
        <f t="shared" si="3"/>
        <v>-42807692</v>
      </c>
      <c r="M32" s="466">
        <f t="shared" si="3"/>
        <v>-4965191</v>
      </c>
      <c r="N32" s="466">
        <f t="shared" si="3"/>
        <v>-42739156</v>
      </c>
      <c r="O32" s="466">
        <f t="shared" si="3"/>
        <v>-34038811</v>
      </c>
      <c r="P32" s="466">
        <f t="shared" si="3"/>
        <v>-3460161</v>
      </c>
      <c r="Q32" s="466">
        <f t="shared" si="3"/>
        <v>-50292526</v>
      </c>
      <c r="R32" s="466">
        <f>(R10-R12)</f>
        <v>-3633028</v>
      </c>
      <c r="S32" s="466">
        <f>(S10-S12)</f>
        <v>-2580634</v>
      </c>
      <c r="T32" s="466">
        <f>(T10-T12)</f>
        <v>-343841884</v>
      </c>
      <c r="U32" s="479"/>
      <c r="V32" s="145"/>
      <c r="W32" s="462"/>
      <c r="X32" s="243"/>
    </row>
    <row r="33" spans="1:26" s="480" customFormat="1" x14ac:dyDescent="0.2">
      <c r="A33" s="455"/>
      <c r="B33" s="476"/>
      <c r="C33" s="454"/>
      <c r="D33" s="455"/>
      <c r="E33" s="245"/>
      <c r="F33" s="456"/>
      <c r="G33" s="470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79"/>
      <c r="V33" s="145"/>
      <c r="W33" s="462"/>
      <c r="X33" s="243"/>
    </row>
    <row r="34" spans="1:26" s="480" customFormat="1" x14ac:dyDescent="0.2">
      <c r="A34" s="455"/>
      <c r="B34" s="455"/>
      <c r="C34" s="454" t="s">
        <v>493</v>
      </c>
      <c r="D34" s="455"/>
      <c r="E34" s="455"/>
      <c r="F34" s="465"/>
      <c r="G34" s="470">
        <f>+G37+G39+G60+G84</f>
        <v>337507831.17949414</v>
      </c>
      <c r="H34" s="466">
        <f>+H37+H39+H60+H84+4</f>
        <v>73147176</v>
      </c>
      <c r="I34" s="466">
        <f>+I37+I39+I60+I84+2</f>
        <v>15882384</v>
      </c>
      <c r="J34" s="466">
        <f>+J37+J39+J60+J84</f>
        <v>-37586260</v>
      </c>
      <c r="K34" s="466">
        <f>+K37+K39+K60+K84</f>
        <v>107881385</v>
      </c>
      <c r="L34" s="466">
        <f>+L37+L39+L60+L84</f>
        <v>42807692</v>
      </c>
      <c r="M34" s="466">
        <f t="shared" ref="M34:S34" si="4">+M37+M39+M60+M84</f>
        <v>4965191</v>
      </c>
      <c r="N34" s="466">
        <f>+N37+N39+N60+N84</f>
        <v>42739156</v>
      </c>
      <c r="O34" s="466">
        <f>+O37+O39+O60+O84</f>
        <v>34038811</v>
      </c>
      <c r="P34" s="466">
        <f>+P37+P39+P60+P84</f>
        <v>3460161</v>
      </c>
      <c r="Q34" s="466">
        <f>+Q37+Q39+Q60+Q84</f>
        <v>50292526</v>
      </c>
      <c r="R34" s="466">
        <f t="shared" si="4"/>
        <v>3633028</v>
      </c>
      <c r="S34" s="466">
        <f t="shared" si="4"/>
        <v>2580634</v>
      </c>
      <c r="T34" s="466">
        <f>(+T37+T39+T60+T84)+6</f>
        <v>343841884</v>
      </c>
      <c r="U34" s="479"/>
      <c r="V34" s="145"/>
      <c r="W34" s="462"/>
      <c r="X34" s="243"/>
      <c r="Z34" s="268"/>
    </row>
    <row r="35" spans="1:26" s="480" customFormat="1" x14ac:dyDescent="0.2">
      <c r="A35" s="455"/>
      <c r="B35" s="455"/>
      <c r="C35" s="454"/>
      <c r="D35" s="455"/>
      <c r="E35" s="455"/>
      <c r="F35" s="456"/>
      <c r="G35" s="484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79"/>
      <c r="V35" s="145"/>
      <c r="W35" s="462"/>
      <c r="X35" s="243"/>
    </row>
    <row r="36" spans="1:26" s="480" customFormat="1" x14ac:dyDescent="0.2">
      <c r="A36" s="455"/>
      <c r="B36" s="455"/>
      <c r="C36" s="454"/>
      <c r="D36" s="455"/>
      <c r="E36" s="455"/>
      <c r="F36" s="456"/>
      <c r="G36" s="470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79"/>
      <c r="V36" s="145"/>
      <c r="W36" s="462"/>
      <c r="X36" s="243"/>
    </row>
    <row r="37" spans="1:26" s="480" customFormat="1" x14ac:dyDescent="0.2">
      <c r="A37" s="455"/>
      <c r="B37" s="455"/>
      <c r="C37" s="454" t="s">
        <v>257</v>
      </c>
      <c r="D37" s="455"/>
      <c r="E37" s="455"/>
      <c r="F37" s="456"/>
      <c r="G37" s="470">
        <f>[23]summary!$H$13</f>
        <v>36000000</v>
      </c>
      <c r="H37" s="466">
        <f>[34]summary!$M$13</f>
        <v>32089095</v>
      </c>
      <c r="I37" s="466">
        <f>[34]summary!$R$13</f>
        <v>12375928</v>
      </c>
      <c r="J37" s="466">
        <f>[34]summary!$W$13</f>
        <v>21645154</v>
      </c>
      <c r="K37" s="466">
        <f>[34]summary!$AB$13</f>
        <v>4387554</v>
      </c>
      <c r="L37" s="466">
        <f>[34]summary!$AG$13</f>
        <v>10613091</v>
      </c>
      <c r="M37" s="466">
        <f>[34]summary!$AL$13</f>
        <v>-17323880</v>
      </c>
      <c r="N37" s="466">
        <f>[34]summary!$AQ$13</f>
        <v>7778423</v>
      </c>
      <c r="O37" s="466">
        <f>[34]summary!$AV$13</f>
        <v>6126860</v>
      </c>
      <c r="P37" s="466">
        <f>[34]summary!$BA$13</f>
        <v>-16508019</v>
      </c>
      <c r="Q37" s="466">
        <f>[34]summary!$BF$13</f>
        <v>13250851</v>
      </c>
      <c r="R37" s="466">
        <f>[34]summary!$BK$13</f>
        <v>-2500139</v>
      </c>
      <c r="S37" s="466">
        <f>[34]summary!$BP$13</f>
        <v>-35857416</v>
      </c>
      <c r="T37" s="466">
        <f>SUM(H37:S37)</f>
        <v>36077502</v>
      </c>
      <c r="U37" s="479"/>
      <c r="V37" s="145"/>
      <c r="W37" s="462"/>
      <c r="X37" s="243"/>
    </row>
    <row r="38" spans="1:26" s="480" customFormat="1" x14ac:dyDescent="0.2">
      <c r="A38" s="455"/>
      <c r="B38" s="455"/>
      <c r="C38" s="454"/>
      <c r="D38" s="455"/>
      <c r="E38" s="455"/>
      <c r="F38" s="456"/>
      <c r="G38" s="470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79"/>
      <c r="V38" s="145"/>
      <c r="W38" s="462"/>
      <c r="X38" s="243"/>
    </row>
    <row r="39" spans="1:26" s="480" customFormat="1" x14ac:dyDescent="0.2">
      <c r="A39" s="455"/>
      <c r="B39" s="455"/>
      <c r="C39" s="454" t="s">
        <v>265</v>
      </c>
      <c r="D39" s="455"/>
      <c r="E39" s="455"/>
      <c r="F39" s="456"/>
      <c r="G39" s="470">
        <f>+G41+G48+G53+G57</f>
        <v>279365000</v>
      </c>
      <c r="H39" s="486">
        <f t="shared" ref="H39:R39" si="5">+H41+H48+H53+H57</f>
        <v>19134410</v>
      </c>
      <c r="I39" s="486">
        <f t="shared" si="5"/>
        <v>24383035</v>
      </c>
      <c r="J39" s="486">
        <f t="shared" si="5"/>
        <v>19205091</v>
      </c>
      <c r="K39" s="486">
        <f t="shared" si="5"/>
        <v>22800224</v>
      </c>
      <c r="L39" s="486">
        <f t="shared" si="5"/>
        <v>28165310</v>
      </c>
      <c r="M39" s="486">
        <f t="shared" si="5"/>
        <v>29107369</v>
      </c>
      <c r="N39" s="486">
        <f t="shared" si="5"/>
        <v>30927020</v>
      </c>
      <c r="O39" s="486">
        <f t="shared" si="5"/>
        <v>30718792</v>
      </c>
      <c r="P39" s="486">
        <f t="shared" si="5"/>
        <v>23853310</v>
      </c>
      <c r="Q39" s="486">
        <f t="shared" si="5"/>
        <v>3150815</v>
      </c>
      <c r="R39" s="486">
        <f t="shared" si="5"/>
        <v>29159155</v>
      </c>
      <c r="S39" s="486">
        <f>+S41+S48+S53+S57</f>
        <v>25417050</v>
      </c>
      <c r="T39" s="466">
        <f>+T41+T48+T53+T57</f>
        <v>286021581</v>
      </c>
      <c r="U39" s="479"/>
      <c r="V39" s="145"/>
      <c r="W39" s="487"/>
      <c r="X39" s="243"/>
    </row>
    <row r="40" spans="1:26" x14ac:dyDescent="0.2">
      <c r="A40" s="440"/>
      <c r="B40" s="440"/>
      <c r="C40" s="453"/>
      <c r="D40" s="440"/>
      <c r="E40" s="440"/>
      <c r="F40" s="218"/>
      <c r="G40" s="488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67"/>
      <c r="V40" s="468"/>
      <c r="W40" s="462"/>
      <c r="X40" s="243"/>
    </row>
    <row r="41" spans="1:26" x14ac:dyDescent="0.2">
      <c r="A41" s="440"/>
      <c r="B41" s="440"/>
      <c r="C41" s="453"/>
      <c r="D41" s="440" t="s">
        <v>494</v>
      </c>
      <c r="E41" s="440"/>
      <c r="F41" s="218"/>
      <c r="G41" s="488">
        <f>SUM(G42:G46)</f>
        <v>279654290</v>
      </c>
      <c r="H41" s="489">
        <f t="shared" ref="H41:S41" si="6">SUM(H42:H46)</f>
        <v>19134410</v>
      </c>
      <c r="I41" s="489">
        <f t="shared" si="6"/>
        <v>24672325</v>
      </c>
      <c r="J41" s="489">
        <f t="shared" si="6"/>
        <v>19205091</v>
      </c>
      <c r="K41" s="489">
        <f t="shared" si="6"/>
        <v>22800224</v>
      </c>
      <c r="L41" s="489">
        <f t="shared" si="6"/>
        <v>28165310</v>
      </c>
      <c r="M41" s="489">
        <f t="shared" si="6"/>
        <v>29107369</v>
      </c>
      <c r="N41" s="489">
        <f t="shared" si="6"/>
        <v>30927020</v>
      </c>
      <c r="O41" s="489">
        <f>SUM(O42:O46)</f>
        <v>30718792</v>
      </c>
      <c r="P41" s="489">
        <f t="shared" si="6"/>
        <v>23853310</v>
      </c>
      <c r="Q41" s="489">
        <f t="shared" si="6"/>
        <v>3150815</v>
      </c>
      <c r="R41" s="489">
        <f t="shared" si="6"/>
        <v>29159155</v>
      </c>
      <c r="S41" s="489">
        <f t="shared" si="6"/>
        <v>25417050</v>
      </c>
      <c r="T41" s="474">
        <f>SUM(T42:T46)</f>
        <v>286310871</v>
      </c>
      <c r="U41" s="467"/>
      <c r="V41" s="468"/>
      <c r="W41" s="487"/>
      <c r="X41" s="243"/>
    </row>
    <row r="42" spans="1:26" x14ac:dyDescent="0.2">
      <c r="A42" s="440"/>
      <c r="B42" s="440"/>
      <c r="C42" s="453"/>
      <c r="D42" s="440"/>
      <c r="E42" s="440" t="s">
        <v>495</v>
      </c>
      <c r="F42" s="218"/>
      <c r="G42" s="475">
        <f>[23]summary!$H$25</f>
        <v>321662290</v>
      </c>
      <c r="H42" s="474">
        <f>[34]summary!$M$25</f>
        <v>20725876</v>
      </c>
      <c r="I42" s="474">
        <f>[34]summary!$R$25</f>
        <v>26579251</v>
      </c>
      <c r="J42" s="474">
        <f>[34]summary!$W$25</f>
        <v>21124207</v>
      </c>
      <c r="K42" s="474">
        <f>[34]summary!$AB$25</f>
        <v>24760828</v>
      </c>
      <c r="L42" s="474">
        <f>[34]summary!$AG$25</f>
        <v>30904734</v>
      </c>
      <c r="M42" s="474">
        <f>[34]summary!$AL$25</f>
        <v>32089447</v>
      </c>
      <c r="N42" s="474">
        <f>[34]summary!$AQ$25</f>
        <v>33970885</v>
      </c>
      <c r="O42" s="474">
        <f>[34]summary!$AV$25</f>
        <v>34588835</v>
      </c>
      <c r="P42" s="474">
        <f>[34]summary!$BA$25</f>
        <v>26476333</v>
      </c>
      <c r="Q42" s="474">
        <f>[34]summary!$BF$25</f>
        <v>21562772</v>
      </c>
      <c r="R42" s="474">
        <f>[34]summary!$BK$25</f>
        <v>32267535</v>
      </c>
      <c r="S42" s="474">
        <f>[34]summary!$BP$25</f>
        <v>30466846</v>
      </c>
      <c r="T42" s="474">
        <f>SUM(H42:S42)</f>
        <v>335517549</v>
      </c>
      <c r="U42" s="467"/>
      <c r="V42" s="468"/>
      <c r="W42" s="487"/>
      <c r="X42" s="243"/>
    </row>
    <row r="43" spans="1:26" x14ac:dyDescent="0.2">
      <c r="A43" s="440"/>
      <c r="B43" s="440"/>
      <c r="C43" s="453"/>
      <c r="D43" s="440"/>
      <c r="E43" s="440" t="s">
        <v>496</v>
      </c>
      <c r="F43" s="218"/>
      <c r="G43" s="475">
        <f>[23]summary!$H$26</f>
        <v>-22473000</v>
      </c>
      <c r="H43" s="474">
        <f>[34]summary!$M$26</f>
        <v>-1256954</v>
      </c>
      <c r="I43" s="474">
        <f>[34]summary!$R$26</f>
        <v>-1652532</v>
      </c>
      <c r="J43" s="474">
        <f>[34]summary!$W$26</f>
        <v>-1668026</v>
      </c>
      <c r="K43" s="474">
        <f>[34]summary!$AB$26</f>
        <v>-1721005</v>
      </c>
      <c r="L43" s="474">
        <f>[34]summary!$AG$26</f>
        <v>-2422421</v>
      </c>
      <c r="M43" s="474">
        <f>[34]summary!$AL$26</f>
        <v>-2517677</v>
      </c>
      <c r="N43" s="474">
        <f>[34]summary!$AQ$26</f>
        <v>-2852893</v>
      </c>
      <c r="O43" s="474">
        <f>[34]summary!$AV$26</f>
        <v>-3497342</v>
      </c>
      <c r="P43" s="474">
        <f>[34]summary!$BA$26</f>
        <v>-2287072</v>
      </c>
      <c r="Q43" s="474">
        <f>[34]summary!$BF$26</f>
        <v>-2282238</v>
      </c>
      <c r="R43" s="474">
        <f>[34]summary!$BK$26</f>
        <v>-2868557</v>
      </c>
      <c r="S43" s="474">
        <f>[34]summary!$BP$26</f>
        <v>-4752306</v>
      </c>
      <c r="T43" s="474">
        <f>SUM(H43:S43)</f>
        <v>-29779023</v>
      </c>
      <c r="U43" s="467"/>
      <c r="V43" s="468"/>
      <c r="W43" s="487"/>
      <c r="X43" s="243"/>
    </row>
    <row r="44" spans="1:26" hidden="1" x14ac:dyDescent="0.2">
      <c r="A44" s="440"/>
      <c r="B44" s="440"/>
      <c r="C44" s="453"/>
      <c r="D44" s="440"/>
      <c r="E44" s="440" t="s">
        <v>497</v>
      </c>
      <c r="F44" s="218"/>
      <c r="G44" s="475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67"/>
      <c r="V44" s="468"/>
      <c r="W44" s="462"/>
      <c r="X44" s="243"/>
    </row>
    <row r="45" spans="1:26" x14ac:dyDescent="0.2">
      <c r="A45" s="440"/>
      <c r="B45" s="440"/>
      <c r="C45" s="453"/>
      <c r="D45" s="440"/>
      <c r="E45" s="440" t="s">
        <v>436</v>
      </c>
      <c r="F45" s="218"/>
      <c r="G45" s="475">
        <f>[23]summary!$H$28</f>
        <v>-19535000</v>
      </c>
      <c r="H45" s="474">
        <f>[34]summary!$M$28</f>
        <v>-334512</v>
      </c>
      <c r="I45" s="474">
        <f>[34]summary!$R$28</f>
        <v>-254394</v>
      </c>
      <c r="J45" s="474">
        <f>[34]summary!$W$28</f>
        <v>-251090</v>
      </c>
      <c r="K45" s="474">
        <f>[34]summary!$AB$28</f>
        <v>-239599</v>
      </c>
      <c r="L45" s="474">
        <f>[34]summary!$AG$28</f>
        <v>-317003</v>
      </c>
      <c r="M45" s="474">
        <f>[34]summary!$AL$28</f>
        <v>-464401</v>
      </c>
      <c r="N45" s="474">
        <f>[34]summary!$AQ$28</f>
        <v>-190972</v>
      </c>
      <c r="O45" s="474">
        <f>[34]summary!$AV$28</f>
        <v>-372701</v>
      </c>
      <c r="P45" s="474">
        <f>[34]summary!$BA$28</f>
        <v>-335951</v>
      </c>
      <c r="Q45" s="474">
        <f>[34]summary!$BF$28</f>
        <v>-16129719</v>
      </c>
      <c r="R45" s="474">
        <f>[34]summary!$BK$28</f>
        <v>-239823</v>
      </c>
      <c r="S45" s="474">
        <f>[34]summary!$BP$28</f>
        <v>-297490</v>
      </c>
      <c r="T45" s="474">
        <f>SUM(H45:S45)</f>
        <v>-19427655</v>
      </c>
      <c r="U45" s="467"/>
      <c r="V45" s="468"/>
      <c r="W45" s="462"/>
      <c r="X45" s="243"/>
    </row>
    <row r="46" spans="1:26" hidden="1" x14ac:dyDescent="0.2">
      <c r="A46" s="440"/>
      <c r="B46" s="440"/>
      <c r="C46" s="453"/>
      <c r="D46" s="440"/>
      <c r="E46" s="440" t="s">
        <v>498</v>
      </c>
      <c r="F46" s="218"/>
      <c r="G46" s="475">
        <v>0</v>
      </c>
      <c r="H46" s="474">
        <v>0</v>
      </c>
      <c r="I46" s="474">
        <v>0</v>
      </c>
      <c r="J46" s="474">
        <v>0</v>
      </c>
      <c r="K46" s="474">
        <v>0</v>
      </c>
      <c r="L46" s="474">
        <v>0</v>
      </c>
      <c r="M46" s="474">
        <v>0</v>
      </c>
      <c r="N46" s="474">
        <v>0</v>
      </c>
      <c r="O46" s="474">
        <v>0</v>
      </c>
      <c r="P46" s="474">
        <v>0</v>
      </c>
      <c r="Q46" s="474">
        <v>0</v>
      </c>
      <c r="R46" s="474">
        <v>0</v>
      </c>
      <c r="S46" s="474">
        <v>0</v>
      </c>
      <c r="T46" s="474">
        <f>SUM(H46:S46)</f>
        <v>0</v>
      </c>
      <c r="U46" s="467"/>
      <c r="V46" s="468"/>
      <c r="W46" s="462"/>
      <c r="X46" s="243"/>
    </row>
    <row r="47" spans="1:26" x14ac:dyDescent="0.2">
      <c r="A47" s="440"/>
      <c r="B47" s="440"/>
      <c r="C47" s="453"/>
      <c r="D47" s="440"/>
      <c r="E47" s="440"/>
      <c r="F47" s="218"/>
      <c r="G47" s="475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67"/>
      <c r="V47" s="468"/>
      <c r="W47" s="462"/>
      <c r="X47" s="243"/>
    </row>
    <row r="48" spans="1:26" x14ac:dyDescent="0.2">
      <c r="A48" s="440"/>
      <c r="B48" s="440"/>
      <c r="C48" s="453"/>
      <c r="D48" s="440" t="s">
        <v>499</v>
      </c>
      <c r="E48" s="440"/>
      <c r="F48" s="218"/>
      <c r="G48" s="475">
        <f>SUM(G49:G51)</f>
        <v>-289290</v>
      </c>
      <c r="H48" s="489">
        <f t="shared" ref="H48:S48" si="7">SUM(H49:H51)</f>
        <v>0</v>
      </c>
      <c r="I48" s="489">
        <f t="shared" si="7"/>
        <v>-289290</v>
      </c>
      <c r="J48" s="489">
        <f t="shared" si="7"/>
        <v>0</v>
      </c>
      <c r="K48" s="489">
        <f t="shared" si="7"/>
        <v>0</v>
      </c>
      <c r="L48" s="489">
        <f t="shared" si="7"/>
        <v>0</v>
      </c>
      <c r="M48" s="489">
        <f t="shared" si="7"/>
        <v>0</v>
      </c>
      <c r="N48" s="489">
        <f t="shared" si="7"/>
        <v>0</v>
      </c>
      <c r="O48" s="489">
        <f t="shared" si="7"/>
        <v>0</v>
      </c>
      <c r="P48" s="489">
        <f t="shared" si="7"/>
        <v>0</v>
      </c>
      <c r="Q48" s="489">
        <f t="shared" si="7"/>
        <v>0</v>
      </c>
      <c r="R48" s="489">
        <f t="shared" si="7"/>
        <v>0</v>
      </c>
      <c r="S48" s="489">
        <f t="shared" si="7"/>
        <v>0</v>
      </c>
      <c r="T48" s="474">
        <f>SUM(T49:T51)</f>
        <v>-289290</v>
      </c>
      <c r="U48" s="467"/>
      <c r="V48" s="468"/>
      <c r="W48" s="462"/>
      <c r="X48" s="243"/>
    </row>
    <row r="49" spans="1:26" x14ac:dyDescent="0.2">
      <c r="A49" s="440"/>
      <c r="B49" s="440"/>
      <c r="C49" s="453"/>
      <c r="D49" s="440"/>
      <c r="E49" s="440" t="s">
        <v>495</v>
      </c>
      <c r="F49" s="218"/>
      <c r="G49" s="475">
        <f>[23]summary!$H$32</f>
        <v>14152656</v>
      </c>
      <c r="H49" s="474">
        <f>[24]summary!$BU$32</f>
        <v>0</v>
      </c>
      <c r="I49" s="474">
        <f>[34]summary!$R$32</f>
        <v>14152656</v>
      </c>
      <c r="J49" s="474">
        <f>[26]summary!$W$32</f>
        <v>0</v>
      </c>
      <c r="K49" s="474">
        <f>[27]summary!$AB$32</f>
        <v>0</v>
      </c>
      <c r="L49" s="474">
        <f>[28]summary!$AG$32</f>
        <v>0</v>
      </c>
      <c r="M49" s="474">
        <f>[29]summary!$AL$32</f>
        <v>0</v>
      </c>
      <c r="N49" s="474">
        <f>[30]summary!$AQ$32</f>
        <v>0</v>
      </c>
      <c r="O49" s="474">
        <f>[31]summary!$AV$32</f>
        <v>0</v>
      </c>
      <c r="P49" s="474">
        <f>[32]summary!$BA$32</f>
        <v>0</v>
      </c>
      <c r="Q49" s="474">
        <f>[33]summary!$BF$32</f>
        <v>0</v>
      </c>
      <c r="R49" s="474">
        <f>[23]summary!$BK$32</f>
        <v>0</v>
      </c>
      <c r="S49" s="474">
        <f>[34]summary!$BP$32</f>
        <v>0</v>
      </c>
      <c r="T49" s="474">
        <f>SUM(H49:S49)</f>
        <v>14152656</v>
      </c>
      <c r="U49" s="467"/>
      <c r="V49" s="468"/>
      <c r="W49" s="462"/>
      <c r="X49" s="243"/>
    </row>
    <row r="50" spans="1:26" x14ac:dyDescent="0.2">
      <c r="A50" s="440"/>
      <c r="B50" s="440"/>
      <c r="C50" s="453"/>
      <c r="D50" s="440"/>
      <c r="E50" s="440" t="s">
        <v>496</v>
      </c>
      <c r="F50" s="218"/>
      <c r="G50" s="475">
        <f>[23]summary!$H$33</f>
        <v>-1646946</v>
      </c>
      <c r="H50" s="474">
        <f>[24]summary!$BU$33</f>
        <v>0</v>
      </c>
      <c r="I50" s="474">
        <f>[34]summary!$R$33</f>
        <v>-1646946</v>
      </c>
      <c r="J50" s="474">
        <f>[26]summary!$W$33</f>
        <v>0</v>
      </c>
      <c r="K50" s="474">
        <f>[27]summary!$AB$33</f>
        <v>0</v>
      </c>
      <c r="L50" s="474">
        <f>[28]summary!$AG$33</f>
        <v>0</v>
      </c>
      <c r="M50" s="474">
        <f>[29]summary!$AL$33</f>
        <v>0</v>
      </c>
      <c r="N50" s="474">
        <f>[30]summary!$AQ$33</f>
        <v>0</v>
      </c>
      <c r="O50" s="474">
        <f>[31]summary!$AV$33</f>
        <v>0</v>
      </c>
      <c r="P50" s="474">
        <f>[32]summary!$BA$33</f>
        <v>0</v>
      </c>
      <c r="Q50" s="474">
        <f>[33]summary!$BF$33</f>
        <v>0</v>
      </c>
      <c r="R50" s="474">
        <f>[23]summary!$BK$33</f>
        <v>0</v>
      </c>
      <c r="S50" s="474">
        <f>[34]summary!$BP$33</f>
        <v>0</v>
      </c>
      <c r="T50" s="474">
        <f>SUM(H50:S50)</f>
        <v>-1646946</v>
      </c>
      <c r="U50" s="467"/>
      <c r="V50" s="468"/>
      <c r="W50" s="462"/>
      <c r="X50" s="243"/>
      <c r="Z50" s="243"/>
    </row>
    <row r="51" spans="1:26" x14ac:dyDescent="0.2">
      <c r="A51" s="440"/>
      <c r="B51" s="440"/>
      <c r="C51" s="453"/>
      <c r="D51" s="440"/>
      <c r="E51" s="440" t="s">
        <v>500</v>
      </c>
      <c r="F51" s="218"/>
      <c r="G51" s="475">
        <f>[23]summary!$H$34</f>
        <v>-12795000</v>
      </c>
      <c r="H51" s="474">
        <f>[24]summary!$BU$34</f>
        <v>0</v>
      </c>
      <c r="I51" s="474">
        <f>[34]summary!$R$34</f>
        <v>-12795000</v>
      </c>
      <c r="J51" s="474">
        <f>[26]summary!$W$34</f>
        <v>0</v>
      </c>
      <c r="K51" s="474">
        <f>[27]summary!$AB$34</f>
        <v>0</v>
      </c>
      <c r="L51" s="474">
        <f>[28]summary!$AG$34</f>
        <v>0</v>
      </c>
      <c r="M51" s="474">
        <f>[29]summary!$AL$34</f>
        <v>0</v>
      </c>
      <c r="N51" s="474">
        <f>[30]summary!$AQ$34</f>
        <v>0</v>
      </c>
      <c r="O51" s="474">
        <f>[31]summary!$AV$34</f>
        <v>0</v>
      </c>
      <c r="P51" s="474">
        <f>[32]summary!$BA$34</f>
        <v>0</v>
      </c>
      <c r="Q51" s="474">
        <f>[33]summary!$BF$34</f>
        <v>0</v>
      </c>
      <c r="R51" s="474">
        <f>[23]summary!$BK$34</f>
        <v>0</v>
      </c>
      <c r="S51" s="474">
        <f>[34]summary!$BP$34</f>
        <v>0</v>
      </c>
      <c r="T51" s="474">
        <f>SUM(H51:S51)</f>
        <v>-12795000</v>
      </c>
      <c r="U51" s="467"/>
      <c r="V51" s="468"/>
      <c r="W51" s="462"/>
      <c r="X51" s="243"/>
    </row>
    <row r="52" spans="1:26" x14ac:dyDescent="0.2">
      <c r="A52" s="440"/>
      <c r="B52" s="440"/>
      <c r="C52" s="453"/>
      <c r="D52" s="440"/>
      <c r="E52" s="440"/>
      <c r="F52" s="218"/>
      <c r="G52" s="475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67"/>
      <c r="V52" s="468"/>
      <c r="W52" s="462"/>
      <c r="X52" s="243"/>
    </row>
    <row r="53" spans="1:26" x14ac:dyDescent="0.2">
      <c r="A53" s="440"/>
      <c r="B53" s="440"/>
      <c r="C53" s="453"/>
      <c r="D53" s="440" t="s">
        <v>501</v>
      </c>
      <c r="E53" s="440"/>
      <c r="F53" s="218"/>
      <c r="G53" s="475">
        <f t="shared" ref="G53:T53" si="8">SUM(G54:G55)</f>
        <v>0</v>
      </c>
      <c r="H53" s="489">
        <f t="shared" si="8"/>
        <v>0</v>
      </c>
      <c r="I53" s="489">
        <f t="shared" si="8"/>
        <v>0</v>
      </c>
      <c r="J53" s="489">
        <f t="shared" si="8"/>
        <v>0</v>
      </c>
      <c r="K53" s="489">
        <f>SUM(K54:K55)</f>
        <v>0</v>
      </c>
      <c r="L53" s="489">
        <f t="shared" si="8"/>
        <v>0</v>
      </c>
      <c r="M53" s="489">
        <f t="shared" si="8"/>
        <v>0</v>
      </c>
      <c r="N53" s="489">
        <f t="shared" si="8"/>
        <v>0</v>
      </c>
      <c r="O53" s="489">
        <f t="shared" si="8"/>
        <v>0</v>
      </c>
      <c r="P53" s="489">
        <f t="shared" si="8"/>
        <v>0</v>
      </c>
      <c r="Q53" s="489">
        <f t="shared" si="8"/>
        <v>0</v>
      </c>
      <c r="R53" s="489">
        <f t="shared" si="8"/>
        <v>0</v>
      </c>
      <c r="S53" s="489">
        <f t="shared" si="8"/>
        <v>0</v>
      </c>
      <c r="T53" s="474">
        <f t="shared" si="8"/>
        <v>0</v>
      </c>
      <c r="U53" s="467"/>
      <c r="V53" s="468"/>
      <c r="W53" s="462"/>
      <c r="X53" s="243"/>
    </row>
    <row r="54" spans="1:26" x14ac:dyDescent="0.2">
      <c r="A54" s="440"/>
      <c r="B54" s="440"/>
      <c r="C54" s="453"/>
      <c r="D54" s="440"/>
      <c r="E54" s="440" t="s">
        <v>502</v>
      </c>
      <c r="F54" s="218"/>
      <c r="G54" s="475">
        <f>[23]summary!$H$37</f>
        <v>3633916</v>
      </c>
      <c r="H54" s="474">
        <f>[34]summary!$M$37</f>
        <v>3109689</v>
      </c>
      <c r="I54" s="474">
        <f>[77]summary!$R$37</f>
        <v>0</v>
      </c>
      <c r="J54" s="474">
        <f>[26]summary!$W$37</f>
        <v>0</v>
      </c>
      <c r="K54" s="474">
        <f>[27]summary!$AB$37</f>
        <v>0</v>
      </c>
      <c r="L54" s="474">
        <f>[34]summary!$AG$37</f>
        <v>289217</v>
      </c>
      <c r="M54" s="474">
        <f>[34]summary!$AL$37</f>
        <v>235010</v>
      </c>
      <c r="N54" s="474">
        <f>[30]summary!$AQ$37</f>
        <v>0</v>
      </c>
      <c r="O54" s="474">
        <f>[34]summary!$AV$37</f>
        <v>64127</v>
      </c>
      <c r="P54" s="474">
        <f>[32]summary!$BA$37</f>
        <v>0</v>
      </c>
      <c r="Q54" s="474">
        <f>[33]summary!$BF$37</f>
        <v>0</v>
      </c>
      <c r="R54" s="474">
        <f>[23]summary!$BK$37</f>
        <v>0</v>
      </c>
      <c r="S54" s="474">
        <f>[34]summary!$BP$37</f>
        <v>663239</v>
      </c>
      <c r="T54" s="474">
        <f>SUM(H54:S54)</f>
        <v>4361282</v>
      </c>
      <c r="U54" s="467"/>
      <c r="V54" s="468"/>
      <c r="W54" s="462"/>
      <c r="X54" s="243"/>
    </row>
    <row r="55" spans="1:26" x14ac:dyDescent="0.2">
      <c r="A55" s="440"/>
      <c r="B55" s="440"/>
      <c r="C55" s="453"/>
      <c r="D55" s="440"/>
      <c r="E55" s="440" t="s">
        <v>503</v>
      </c>
      <c r="F55" s="218"/>
      <c r="G55" s="475">
        <f>[23]summary!$H$38</f>
        <v>-3633916</v>
      </c>
      <c r="H55" s="474">
        <f>[34]summary!$M$38</f>
        <v>-3109689</v>
      </c>
      <c r="I55" s="474">
        <f>[77]summary!$R$38</f>
        <v>0</v>
      </c>
      <c r="J55" s="474">
        <f>[26]summary!$W$38</f>
        <v>0</v>
      </c>
      <c r="K55" s="474">
        <f>[27]summary!$AB$38</f>
        <v>0</v>
      </c>
      <c r="L55" s="474">
        <f>[34]summary!$AG$38</f>
        <v>-289217</v>
      </c>
      <c r="M55" s="474">
        <f>[34]summary!$AL$38</f>
        <v>-235010</v>
      </c>
      <c r="N55" s="474">
        <f>[30]summary!$AQ$38</f>
        <v>0</v>
      </c>
      <c r="O55" s="474">
        <f>[34]summary!$AV$38</f>
        <v>-64127</v>
      </c>
      <c r="P55" s="474">
        <f>[32]summary!$BA$38</f>
        <v>0</v>
      </c>
      <c r="Q55" s="474">
        <f>[33]summary!$BF$38</f>
        <v>0</v>
      </c>
      <c r="R55" s="474">
        <f>[23]summary!$BK$38</f>
        <v>0</v>
      </c>
      <c r="S55" s="474">
        <f>[34]summary!$BP$38</f>
        <v>-663239</v>
      </c>
      <c r="T55" s="474">
        <f>SUM(H55:S55)</f>
        <v>-4361282</v>
      </c>
      <c r="U55" s="467"/>
      <c r="V55" s="468"/>
      <c r="W55" s="462"/>
      <c r="X55" s="243"/>
    </row>
    <row r="56" spans="1:26" x14ac:dyDescent="0.2">
      <c r="A56" s="440"/>
      <c r="B56" s="440"/>
      <c r="C56" s="453"/>
      <c r="D56" s="440"/>
      <c r="E56" s="440"/>
      <c r="F56" s="218"/>
      <c r="G56" s="475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67"/>
      <c r="V56" s="468"/>
      <c r="W56" s="462"/>
      <c r="X56" s="243"/>
    </row>
    <row r="57" spans="1:26" ht="12.75" hidden="1" customHeight="1" x14ac:dyDescent="0.2">
      <c r="A57" s="440"/>
      <c r="B57" s="440"/>
      <c r="C57" s="453"/>
      <c r="D57" s="440" t="s">
        <v>504</v>
      </c>
      <c r="E57" s="440"/>
      <c r="F57" s="218"/>
      <c r="G57" s="261">
        <v>0</v>
      </c>
      <c r="H57" s="278">
        <f t="shared" ref="H57:S57" si="9">SUM(H58:H58)</f>
        <v>0</v>
      </c>
      <c r="I57" s="278">
        <f t="shared" si="9"/>
        <v>0</v>
      </c>
      <c r="J57" s="278">
        <f t="shared" si="9"/>
        <v>0</v>
      </c>
      <c r="K57" s="278">
        <f t="shared" si="9"/>
        <v>0</v>
      </c>
      <c r="L57" s="278">
        <f t="shared" si="9"/>
        <v>0</v>
      </c>
      <c r="M57" s="278">
        <f t="shared" si="9"/>
        <v>0</v>
      </c>
      <c r="N57" s="278">
        <f t="shared" si="9"/>
        <v>0</v>
      </c>
      <c r="O57" s="278">
        <f t="shared" si="9"/>
        <v>0</v>
      </c>
      <c r="P57" s="278">
        <f t="shared" si="9"/>
        <v>0</v>
      </c>
      <c r="Q57" s="278">
        <f t="shared" si="9"/>
        <v>0</v>
      </c>
      <c r="R57" s="278">
        <f t="shared" si="9"/>
        <v>0</v>
      </c>
      <c r="S57" s="278">
        <f t="shared" si="9"/>
        <v>0</v>
      </c>
      <c r="T57" s="278">
        <f>SUM(T58:T58)</f>
        <v>0</v>
      </c>
      <c r="U57" s="467"/>
      <c r="V57" s="468"/>
      <c r="W57" s="462"/>
      <c r="X57" s="243"/>
    </row>
    <row r="58" spans="1:26" ht="12.75" hidden="1" customHeight="1" x14ac:dyDescent="0.2">
      <c r="A58" s="440"/>
      <c r="B58" s="440"/>
      <c r="C58" s="453"/>
      <c r="D58" s="440"/>
      <c r="E58" s="440" t="s">
        <v>495</v>
      </c>
      <c r="F58" s="218"/>
      <c r="G58" s="261">
        <v>0</v>
      </c>
      <c r="H58" s="278">
        <v>0</v>
      </c>
      <c r="I58" s="278">
        <v>0</v>
      </c>
      <c r="J58" s="278">
        <v>0</v>
      </c>
      <c r="K58" s="278">
        <v>0</v>
      </c>
      <c r="L58" s="278">
        <v>0</v>
      </c>
      <c r="M58" s="278">
        <v>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78">
        <v>0</v>
      </c>
      <c r="T58" s="474">
        <f>SUM(H58:S58)</f>
        <v>0</v>
      </c>
      <c r="U58" s="467"/>
      <c r="V58" s="468"/>
      <c r="W58" s="462"/>
      <c r="X58" s="243"/>
    </row>
    <row r="59" spans="1:26" ht="12.75" hidden="1" customHeight="1" x14ac:dyDescent="0.2">
      <c r="A59" s="440"/>
      <c r="B59" s="440"/>
      <c r="C59" s="453"/>
      <c r="D59" s="440"/>
      <c r="E59" s="440"/>
      <c r="F59" s="218"/>
      <c r="G59" s="475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67"/>
      <c r="V59" s="468"/>
      <c r="W59" s="462"/>
      <c r="X59" s="243"/>
    </row>
    <row r="60" spans="1:26" s="480" customFormat="1" x14ac:dyDescent="0.2">
      <c r="A60" s="455"/>
      <c r="B60" s="455"/>
      <c r="C60" s="454" t="s">
        <v>282</v>
      </c>
      <c r="D60" s="455"/>
      <c r="E60" s="455"/>
      <c r="F60" s="456"/>
      <c r="G60" s="470">
        <f>+G62+G69+G76</f>
        <v>25844000</v>
      </c>
      <c r="H60" s="466">
        <f t="shared" ref="H60:S60" si="10">+H62+H69+H76</f>
        <v>-628449</v>
      </c>
      <c r="I60" s="466">
        <f t="shared" si="10"/>
        <v>-25247385</v>
      </c>
      <c r="J60" s="466">
        <f t="shared" si="10"/>
        <v>0</v>
      </c>
      <c r="K60" s="466">
        <f t="shared" si="10"/>
        <v>0</v>
      </c>
      <c r="L60" s="466">
        <f t="shared" si="10"/>
        <v>0</v>
      </c>
      <c r="M60" s="466">
        <f t="shared" si="10"/>
        <v>76052000</v>
      </c>
      <c r="N60" s="466">
        <f t="shared" si="10"/>
        <v>-654491</v>
      </c>
      <c r="O60" s="466">
        <f t="shared" si="10"/>
        <v>-6365</v>
      </c>
      <c r="P60" s="466">
        <f t="shared" si="10"/>
        <v>0</v>
      </c>
      <c r="Q60" s="466">
        <f t="shared" si="10"/>
        <v>0</v>
      </c>
      <c r="R60" s="466">
        <f t="shared" si="10"/>
        <v>0</v>
      </c>
      <c r="S60" s="466">
        <f t="shared" si="10"/>
        <v>-24692267</v>
      </c>
      <c r="T60" s="466">
        <f>+T62+T69+T76</f>
        <v>24823043</v>
      </c>
      <c r="U60" s="479"/>
      <c r="V60" s="145"/>
      <c r="W60" s="462"/>
      <c r="X60" s="243"/>
    </row>
    <row r="61" spans="1:26" x14ac:dyDescent="0.2">
      <c r="A61" s="440"/>
      <c r="B61" s="440"/>
      <c r="C61" s="453"/>
      <c r="D61" s="440"/>
      <c r="E61" s="440"/>
      <c r="F61" s="218"/>
      <c r="G61" s="475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67"/>
      <c r="V61" s="468"/>
      <c r="W61" s="462"/>
      <c r="X61" s="243"/>
    </row>
    <row r="62" spans="1:26" x14ac:dyDescent="0.2">
      <c r="A62" s="440"/>
      <c r="B62" s="440"/>
      <c r="C62" s="453"/>
      <c r="D62" s="440" t="s">
        <v>494</v>
      </c>
      <c r="E62" s="440"/>
      <c r="F62" s="218"/>
      <c r="G62" s="475">
        <f>SUM(G63:G67)</f>
        <v>25844000</v>
      </c>
      <c r="H62" s="475">
        <f t="shared" ref="H62:S62" si="11">SUM(H63:H67)</f>
        <v>-628449</v>
      </c>
      <c r="I62" s="475">
        <f t="shared" si="11"/>
        <v>-25247385</v>
      </c>
      <c r="J62" s="475">
        <f t="shared" si="11"/>
        <v>0</v>
      </c>
      <c r="K62" s="475">
        <f t="shared" si="11"/>
        <v>0</v>
      </c>
      <c r="L62" s="475">
        <f t="shared" si="11"/>
        <v>0</v>
      </c>
      <c r="M62" s="475">
        <f>SUM(M63:M67)</f>
        <v>76052000</v>
      </c>
      <c r="N62" s="475">
        <f t="shared" si="11"/>
        <v>-654491</v>
      </c>
      <c r="O62" s="475">
        <f t="shared" si="11"/>
        <v>-6365</v>
      </c>
      <c r="P62" s="475">
        <f t="shared" si="11"/>
        <v>0</v>
      </c>
      <c r="Q62" s="475">
        <f t="shared" si="11"/>
        <v>0</v>
      </c>
      <c r="R62" s="475">
        <f t="shared" si="11"/>
        <v>0</v>
      </c>
      <c r="S62" s="475">
        <f t="shared" si="11"/>
        <v>-24692267</v>
      </c>
      <c r="T62" s="475">
        <f>SUM(T63:T67)</f>
        <v>24823043</v>
      </c>
      <c r="U62" s="467"/>
      <c r="V62" s="468"/>
      <c r="W62" s="462"/>
      <c r="X62" s="243"/>
    </row>
    <row r="63" spans="1:26" x14ac:dyDescent="0.2">
      <c r="A63" s="440"/>
      <c r="B63" s="440"/>
      <c r="C63" s="453"/>
      <c r="D63" s="440"/>
      <c r="E63" s="440" t="s">
        <v>495</v>
      </c>
      <c r="F63" s="218"/>
      <c r="G63" s="475">
        <f>[23]summary!$H$47</f>
        <v>76052000</v>
      </c>
      <c r="H63" s="474">
        <f>[24]summary!$BU$47</f>
        <v>0</v>
      </c>
      <c r="I63" s="474">
        <f>[77]summary!$R$47</f>
        <v>0</v>
      </c>
      <c r="J63" s="474">
        <f>[26]summary!$W$47</f>
        <v>0</v>
      </c>
      <c r="K63" s="474">
        <f>[27]summary!$AB$47</f>
        <v>0</v>
      </c>
      <c r="L63" s="474">
        <f>[28]summary!$AG$47</f>
        <v>0</v>
      </c>
      <c r="M63" s="474">
        <f>[34]summary!$AL$47</f>
        <v>76052000</v>
      </c>
      <c r="N63" s="474">
        <f>[30]summary!$AQ$47</f>
        <v>0</v>
      </c>
      <c r="O63" s="474">
        <f>[31]summary!$AV$47</f>
        <v>0</v>
      </c>
      <c r="P63" s="474">
        <f>[32]summary!$BA$47</f>
        <v>0</v>
      </c>
      <c r="Q63" s="474">
        <f>[33]summary!$BF$47</f>
        <v>0</v>
      </c>
      <c r="R63" s="474">
        <f>[23]summary!$BK$47</f>
        <v>0</v>
      </c>
      <c r="S63" s="474">
        <f>[34]summary!$BP$47</f>
        <v>0</v>
      </c>
      <c r="T63" s="474">
        <f>SUM(H63:S63)</f>
        <v>76052000</v>
      </c>
      <c r="U63" s="467"/>
      <c r="V63" s="468"/>
      <c r="W63" s="462"/>
      <c r="X63" s="243"/>
    </row>
    <row r="64" spans="1:26" x14ac:dyDescent="0.2">
      <c r="A64" s="440"/>
      <c r="B64" s="440"/>
      <c r="C64" s="453"/>
      <c r="D64" s="440"/>
      <c r="E64" s="440" t="s">
        <v>496</v>
      </c>
      <c r="F64" s="218"/>
      <c r="G64" s="475">
        <f>[24]summary!$H$48</f>
        <v>0</v>
      </c>
      <c r="H64" s="474">
        <f>[24]summary!$BU$48</f>
        <v>0</v>
      </c>
      <c r="I64" s="474">
        <f>[77]summary!$R$48</f>
        <v>0</v>
      </c>
      <c r="J64" s="474">
        <f>[26]summary!$W$48</f>
        <v>0</v>
      </c>
      <c r="K64" s="474">
        <f>[27]summary!$AB$48</f>
        <v>0</v>
      </c>
      <c r="L64" s="474">
        <f>[28]summary!$AG$48</f>
        <v>0</v>
      </c>
      <c r="M64" s="474">
        <f>[29]summary!$AL$48</f>
        <v>0</v>
      </c>
      <c r="N64" s="474">
        <f>[30]summary!$AQ$48</f>
        <v>0</v>
      </c>
      <c r="O64" s="474">
        <f>[31]summary!$AV$48</f>
        <v>0</v>
      </c>
      <c r="P64" s="474">
        <f>[32]summary!$BA$48</f>
        <v>0</v>
      </c>
      <c r="Q64" s="474">
        <f>[33]summary!$BF$48</f>
        <v>0</v>
      </c>
      <c r="R64" s="474">
        <f>[23]summary!$BK$48</f>
        <v>0</v>
      </c>
      <c r="S64" s="474">
        <f>[34]summary!$BP$48</f>
        <v>0</v>
      </c>
      <c r="T64" s="474">
        <f>SUM(H64:S64)</f>
        <v>0</v>
      </c>
      <c r="U64" s="467"/>
      <c r="V64" s="468"/>
      <c r="W64" s="462"/>
      <c r="X64" s="243"/>
    </row>
    <row r="65" spans="1:24" x14ac:dyDescent="0.2">
      <c r="A65" s="440"/>
      <c r="B65" s="440"/>
      <c r="C65" s="453"/>
      <c r="D65" s="440"/>
      <c r="E65" s="440" t="s">
        <v>436</v>
      </c>
      <c r="F65" s="218"/>
      <c r="G65" s="475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67"/>
      <c r="V65" s="468"/>
      <c r="W65" s="462"/>
      <c r="X65" s="243"/>
    </row>
    <row r="66" spans="1:24" x14ac:dyDescent="0.2">
      <c r="A66" s="440"/>
      <c r="B66" s="440"/>
      <c r="C66" s="453"/>
      <c r="D66" s="440"/>
      <c r="E66" s="490" t="s">
        <v>505</v>
      </c>
      <c r="F66" s="218"/>
      <c r="G66" s="475">
        <f>[23]summary!$H$50</f>
        <v>-26952000</v>
      </c>
      <c r="H66" s="474">
        <f>[34]summary!$M$50</f>
        <v>-391647</v>
      </c>
      <c r="I66" s="474">
        <f>[34]summary!$R$50</f>
        <v>-14120864</v>
      </c>
      <c r="J66" s="474">
        <f>[26]summary!$W$50</f>
        <v>0</v>
      </c>
      <c r="K66" s="474">
        <f>[27]summary!$AB$50</f>
        <v>0</v>
      </c>
      <c r="L66" s="474">
        <f>[28]summary!$AG$50</f>
        <v>0</v>
      </c>
      <c r="M66" s="474">
        <f>[29]summary!$AL$50</f>
        <v>0</v>
      </c>
      <c r="N66" s="474">
        <f>[34]summary!$AQ$50</f>
        <v>-391647</v>
      </c>
      <c r="O66" s="474">
        <f>[34]summary!$AV$50</f>
        <v>-1940</v>
      </c>
      <c r="P66" s="474">
        <f>[32]summary!$BA$50</f>
        <v>0</v>
      </c>
      <c r="Q66" s="474">
        <f>[33]summary!$BF$50</f>
        <v>0</v>
      </c>
      <c r="R66" s="474">
        <f>[23]summary!$BK$50</f>
        <v>0</v>
      </c>
      <c r="S66" s="474">
        <f>[34]summary!$BP$50</f>
        <v>-12046193</v>
      </c>
      <c r="T66" s="474">
        <f>SUM(H66:S66)</f>
        <v>-26952291</v>
      </c>
      <c r="U66" s="467"/>
      <c r="V66" s="468"/>
      <c r="W66" s="462"/>
      <c r="X66" s="243"/>
    </row>
    <row r="67" spans="1:24" x14ac:dyDescent="0.2">
      <c r="A67" s="440"/>
      <c r="B67" s="440"/>
      <c r="C67" s="453"/>
      <c r="D67" s="440"/>
      <c r="E67" s="490" t="s">
        <v>506</v>
      </c>
      <c r="F67" s="481"/>
      <c r="G67" s="475">
        <f>[23]summary!$H$51</f>
        <v>-23256000</v>
      </c>
      <c r="H67" s="474">
        <f>[34]summary!$M$51</f>
        <v>-236802</v>
      </c>
      <c r="I67" s="474">
        <f>[34]summary!$R$51</f>
        <v>-11126521</v>
      </c>
      <c r="J67" s="474">
        <f>[26]summary!$W$51</f>
        <v>0</v>
      </c>
      <c r="K67" s="474">
        <f>[27]summary!$AB$51</f>
        <v>0</v>
      </c>
      <c r="L67" s="474">
        <f>[28]summary!$AG$51</f>
        <v>0</v>
      </c>
      <c r="M67" s="474">
        <f>[29]summary!$AL$51</f>
        <v>0</v>
      </c>
      <c r="N67" s="474">
        <f>[34]summary!$AQ$51</f>
        <v>-262844</v>
      </c>
      <c r="O67" s="474">
        <f>[34]summary!$AV$51</f>
        <v>-4425</v>
      </c>
      <c r="P67" s="474">
        <f>[32]summary!$BA$51</f>
        <v>0</v>
      </c>
      <c r="Q67" s="474">
        <f>[33]summary!$BF$51</f>
        <v>0</v>
      </c>
      <c r="R67" s="474">
        <f>[23]summary!$BK$51</f>
        <v>0</v>
      </c>
      <c r="S67" s="474">
        <f>[34]summary!$BP$51</f>
        <v>-12646074</v>
      </c>
      <c r="T67" s="474">
        <f>SUM(H67:S67)</f>
        <v>-24276666</v>
      </c>
      <c r="U67" s="467"/>
      <c r="V67" s="468"/>
      <c r="W67" s="462"/>
      <c r="X67" s="243"/>
    </row>
    <row r="68" spans="1:24" x14ac:dyDescent="0.2">
      <c r="A68" s="440"/>
      <c r="B68" s="440"/>
      <c r="C68" s="453"/>
      <c r="D68" s="440"/>
      <c r="E68" s="490"/>
      <c r="F68" s="481"/>
      <c r="G68" s="475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67"/>
      <c r="V68" s="468"/>
      <c r="W68" s="462"/>
      <c r="X68" s="243"/>
    </row>
    <row r="69" spans="1:24" hidden="1" x14ac:dyDescent="0.2">
      <c r="A69" s="440"/>
      <c r="B69" s="440"/>
      <c r="C69" s="453"/>
      <c r="D69" s="440" t="s">
        <v>499</v>
      </c>
      <c r="E69" s="440"/>
      <c r="F69" s="481"/>
      <c r="G69" s="475">
        <f t="shared" ref="G69:S69" si="12">SUM(G70:G74)</f>
        <v>0</v>
      </c>
      <c r="H69" s="475">
        <f t="shared" si="12"/>
        <v>0</v>
      </c>
      <c r="I69" s="475">
        <f t="shared" si="12"/>
        <v>0</v>
      </c>
      <c r="J69" s="475">
        <f t="shared" si="12"/>
        <v>0</v>
      </c>
      <c r="K69" s="475">
        <f t="shared" si="12"/>
        <v>0</v>
      </c>
      <c r="L69" s="475">
        <f t="shared" si="12"/>
        <v>0</v>
      </c>
      <c r="M69" s="475">
        <f t="shared" si="12"/>
        <v>0</v>
      </c>
      <c r="N69" s="475">
        <f t="shared" si="12"/>
        <v>0</v>
      </c>
      <c r="O69" s="475">
        <f t="shared" si="12"/>
        <v>0</v>
      </c>
      <c r="P69" s="475">
        <f t="shared" si="12"/>
        <v>0</v>
      </c>
      <c r="Q69" s="475">
        <f t="shared" si="12"/>
        <v>0</v>
      </c>
      <c r="R69" s="475">
        <f t="shared" si="12"/>
        <v>0</v>
      </c>
      <c r="S69" s="475">
        <f t="shared" si="12"/>
        <v>0</v>
      </c>
      <c r="T69" s="474">
        <f>SUM(T70:T74)</f>
        <v>0</v>
      </c>
      <c r="U69" s="467"/>
      <c r="V69" s="468"/>
      <c r="W69" s="462"/>
      <c r="X69" s="243"/>
    </row>
    <row r="70" spans="1:24" hidden="1" x14ac:dyDescent="0.2">
      <c r="A70" s="440"/>
      <c r="B70" s="440"/>
      <c r="C70" s="453"/>
      <c r="D70" s="440"/>
      <c r="E70" s="440" t="s">
        <v>495</v>
      </c>
      <c r="F70" s="481"/>
      <c r="G70" s="475">
        <f>[78]summary!$H$55</f>
        <v>0</v>
      </c>
      <c r="H70" s="475">
        <f>[78]summary!$M$55</f>
        <v>0</v>
      </c>
      <c r="I70" s="475">
        <f>[79]summary!$R$55</f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f>[80]summary!$BP$55</f>
        <v>0</v>
      </c>
      <c r="T70" s="474">
        <f>SUM(H70:S70)</f>
        <v>0</v>
      </c>
      <c r="U70" s="467"/>
      <c r="V70" s="468"/>
      <c r="W70" s="462"/>
      <c r="X70" s="243"/>
    </row>
    <row r="71" spans="1:24" hidden="1" x14ac:dyDescent="0.2">
      <c r="A71" s="440"/>
      <c r="B71" s="440"/>
      <c r="C71" s="453"/>
      <c r="D71" s="440"/>
      <c r="E71" s="440" t="s">
        <v>496</v>
      </c>
      <c r="F71" s="481"/>
      <c r="G71" s="475">
        <f>[78]summary!$H$56</f>
        <v>0</v>
      </c>
      <c r="H71" s="475">
        <f>[78]summary!$M$56</f>
        <v>0</v>
      </c>
      <c r="I71" s="475">
        <f>[79]summary!$R$56</f>
        <v>0</v>
      </c>
      <c r="J71" s="475">
        <v>0</v>
      </c>
      <c r="K71" s="475">
        <v>0</v>
      </c>
      <c r="L71" s="475">
        <v>0</v>
      </c>
      <c r="M71" s="475">
        <v>0</v>
      </c>
      <c r="N71" s="475">
        <v>0</v>
      </c>
      <c r="O71" s="475">
        <v>0</v>
      </c>
      <c r="P71" s="475">
        <v>0</v>
      </c>
      <c r="Q71" s="475">
        <v>0</v>
      </c>
      <c r="R71" s="475">
        <v>0</v>
      </c>
      <c r="S71" s="475">
        <f>[80]summary!$BP$56</f>
        <v>0</v>
      </c>
      <c r="T71" s="474">
        <f>SUM(H71:S71)</f>
        <v>0</v>
      </c>
      <c r="U71" s="467"/>
      <c r="V71" s="468"/>
      <c r="W71" s="462"/>
      <c r="X71" s="243"/>
    </row>
    <row r="72" spans="1:24" hidden="1" x14ac:dyDescent="0.2">
      <c r="A72" s="440"/>
      <c r="B72" s="440"/>
      <c r="C72" s="453"/>
      <c r="D72" s="440"/>
      <c r="E72" s="440" t="s">
        <v>507</v>
      </c>
      <c r="F72" s="481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4"/>
      <c r="U72" s="467"/>
      <c r="V72" s="468"/>
      <c r="W72" s="462"/>
      <c r="X72" s="243"/>
    </row>
    <row r="73" spans="1:24" hidden="1" x14ac:dyDescent="0.2">
      <c r="A73" s="440"/>
      <c r="B73" s="440"/>
      <c r="C73" s="453"/>
      <c r="D73" s="440"/>
      <c r="E73" s="490" t="s">
        <v>505</v>
      </c>
      <c r="F73" s="481"/>
      <c r="G73" s="475">
        <f>[78]summary!$H$58</f>
        <v>0</v>
      </c>
      <c r="H73" s="475">
        <f>[78]summary!$M$58</f>
        <v>0</v>
      </c>
      <c r="I73" s="475">
        <f>[79]summary!$R$58</f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f>[80]summary!$BP$58</f>
        <v>0</v>
      </c>
      <c r="T73" s="474">
        <f>SUM(H73:S73)</f>
        <v>0</v>
      </c>
      <c r="U73" s="467"/>
      <c r="V73" s="468"/>
      <c r="W73" s="462"/>
      <c r="X73" s="243"/>
    </row>
    <row r="74" spans="1:24" hidden="1" x14ac:dyDescent="0.2">
      <c r="A74" s="440"/>
      <c r="B74" s="440"/>
      <c r="C74" s="453"/>
      <c r="D74" s="440"/>
      <c r="E74" s="490" t="s">
        <v>506</v>
      </c>
      <c r="F74" s="481"/>
      <c r="G74" s="475">
        <f>[78]summary!$H$59</f>
        <v>0</v>
      </c>
      <c r="H74" s="475">
        <f>[78]summary!$M$59</f>
        <v>0</v>
      </c>
      <c r="I74" s="475">
        <f>[79]summary!$R$59</f>
        <v>0</v>
      </c>
      <c r="J74" s="475">
        <v>0</v>
      </c>
      <c r="K74" s="475">
        <v>0</v>
      </c>
      <c r="L74" s="475">
        <v>0</v>
      </c>
      <c r="M74" s="475">
        <v>0</v>
      </c>
      <c r="N74" s="475">
        <v>0</v>
      </c>
      <c r="O74" s="475">
        <v>0</v>
      </c>
      <c r="P74" s="475">
        <v>0</v>
      </c>
      <c r="Q74" s="475">
        <v>0</v>
      </c>
      <c r="R74" s="475">
        <v>0</v>
      </c>
      <c r="S74" s="475">
        <f>[80]summary!$BP$59</f>
        <v>0</v>
      </c>
      <c r="T74" s="474">
        <f>SUM(H74:S74)</f>
        <v>0</v>
      </c>
      <c r="U74" s="467"/>
      <c r="V74" s="468"/>
      <c r="W74" s="462"/>
      <c r="X74" s="243"/>
    </row>
    <row r="75" spans="1:24" hidden="1" x14ac:dyDescent="0.2">
      <c r="A75" s="440"/>
      <c r="B75" s="440"/>
      <c r="C75" s="453"/>
      <c r="D75" s="440"/>
      <c r="E75" s="490"/>
      <c r="F75" s="481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4"/>
      <c r="U75" s="467"/>
      <c r="V75" s="468"/>
      <c r="W75" s="462"/>
      <c r="X75" s="243"/>
    </row>
    <row r="76" spans="1:24" hidden="1" x14ac:dyDescent="0.2">
      <c r="A76" s="440"/>
      <c r="B76" s="440"/>
      <c r="C76" s="453"/>
      <c r="D76" s="440" t="s">
        <v>508</v>
      </c>
      <c r="E76" s="440"/>
      <c r="F76" s="481"/>
      <c r="G76" s="475">
        <v>0</v>
      </c>
      <c r="H76" s="475">
        <f t="shared" ref="H76:S76" si="13">SUM(H77:H81)</f>
        <v>0</v>
      </c>
      <c r="I76" s="475">
        <f t="shared" si="13"/>
        <v>0</v>
      </c>
      <c r="J76" s="475">
        <f t="shared" si="13"/>
        <v>0</v>
      </c>
      <c r="K76" s="475">
        <f t="shared" si="13"/>
        <v>0</v>
      </c>
      <c r="L76" s="475">
        <f t="shared" si="13"/>
        <v>0</v>
      </c>
      <c r="M76" s="475">
        <f t="shared" si="13"/>
        <v>0</v>
      </c>
      <c r="N76" s="475">
        <f t="shared" si="13"/>
        <v>0</v>
      </c>
      <c r="O76" s="475">
        <f t="shared" si="13"/>
        <v>0</v>
      </c>
      <c r="P76" s="475">
        <f t="shared" si="13"/>
        <v>0</v>
      </c>
      <c r="Q76" s="475">
        <f t="shared" si="13"/>
        <v>0</v>
      </c>
      <c r="R76" s="475">
        <f t="shared" si="13"/>
        <v>0</v>
      </c>
      <c r="S76" s="475">
        <f t="shared" si="13"/>
        <v>0</v>
      </c>
      <c r="T76" s="474">
        <f>SUM(T77:T81)</f>
        <v>0</v>
      </c>
      <c r="U76" s="467"/>
      <c r="V76" s="468"/>
      <c r="W76" s="462"/>
      <c r="X76" s="243"/>
    </row>
    <row r="77" spans="1:24" hidden="1" x14ac:dyDescent="0.2">
      <c r="A77" s="440"/>
      <c r="B77" s="440"/>
      <c r="C77" s="453"/>
      <c r="D77" s="440"/>
      <c r="E77" s="440" t="s">
        <v>495</v>
      </c>
      <c r="F77" s="481"/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0</v>
      </c>
      <c r="N77" s="475">
        <v>0</v>
      </c>
      <c r="O77" s="475">
        <v>0</v>
      </c>
      <c r="P77" s="475">
        <v>0</v>
      </c>
      <c r="Q77" s="475">
        <v>0</v>
      </c>
      <c r="R77" s="475">
        <v>0</v>
      </c>
      <c r="S77" s="475">
        <v>0</v>
      </c>
      <c r="T77" s="474">
        <f>SUM(H77:S77)</f>
        <v>0</v>
      </c>
      <c r="U77" s="467"/>
      <c r="V77" s="468"/>
      <c r="W77" s="462"/>
      <c r="X77" s="243"/>
    </row>
    <row r="78" spans="1:24" hidden="1" x14ac:dyDescent="0.2">
      <c r="A78" s="440"/>
      <c r="B78" s="440"/>
      <c r="C78" s="453"/>
      <c r="D78" s="440"/>
      <c r="E78" s="440" t="s">
        <v>496</v>
      </c>
      <c r="F78" s="481"/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4">
        <f>SUM(H78:S78)</f>
        <v>0</v>
      </c>
      <c r="U78" s="467"/>
      <c r="V78" s="468"/>
      <c r="W78" s="462"/>
      <c r="X78" s="243"/>
    </row>
    <row r="79" spans="1:24" hidden="1" x14ac:dyDescent="0.2">
      <c r="A79" s="440"/>
      <c r="B79" s="440"/>
      <c r="C79" s="453"/>
      <c r="D79" s="440"/>
      <c r="E79" s="440" t="s">
        <v>509</v>
      </c>
      <c r="F79" s="481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4"/>
      <c r="U79" s="467"/>
      <c r="V79" s="468"/>
      <c r="W79" s="462"/>
      <c r="X79" s="243"/>
    </row>
    <row r="80" spans="1:24" hidden="1" x14ac:dyDescent="0.2">
      <c r="A80" s="440"/>
      <c r="B80" s="440"/>
      <c r="C80" s="453"/>
      <c r="D80" s="440"/>
      <c r="E80" s="490" t="s">
        <v>505</v>
      </c>
      <c r="F80" s="481"/>
      <c r="G80" s="475">
        <v>0</v>
      </c>
      <c r="H80" s="475">
        <v>0</v>
      </c>
      <c r="I80" s="475">
        <v>0</v>
      </c>
      <c r="J80" s="475">
        <v>0</v>
      </c>
      <c r="K80" s="475">
        <v>0</v>
      </c>
      <c r="L80" s="475">
        <v>0</v>
      </c>
      <c r="M80" s="475">
        <v>0</v>
      </c>
      <c r="N80" s="475">
        <v>0</v>
      </c>
      <c r="O80" s="475">
        <v>0</v>
      </c>
      <c r="P80" s="475">
        <v>0</v>
      </c>
      <c r="Q80" s="475">
        <v>0</v>
      </c>
      <c r="R80" s="475">
        <v>0</v>
      </c>
      <c r="S80" s="475">
        <v>0</v>
      </c>
      <c r="T80" s="474">
        <f>SUM(H80:S80)</f>
        <v>0</v>
      </c>
      <c r="U80" s="467"/>
      <c r="V80" s="468"/>
      <c r="W80" s="462"/>
      <c r="X80" s="243"/>
    </row>
    <row r="81" spans="1:24" hidden="1" x14ac:dyDescent="0.2">
      <c r="A81" s="440"/>
      <c r="B81" s="440"/>
      <c r="C81" s="453"/>
      <c r="D81" s="440"/>
      <c r="E81" s="490" t="s">
        <v>506</v>
      </c>
      <c r="F81" s="481"/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4">
        <f>SUM(H81:S81)</f>
        <v>0</v>
      </c>
      <c r="U81" s="467"/>
      <c r="V81" s="468"/>
      <c r="W81" s="462"/>
      <c r="X81" s="243"/>
    </row>
    <row r="82" spans="1:24" hidden="1" x14ac:dyDescent="0.2">
      <c r="A82" s="440"/>
      <c r="B82" s="440"/>
      <c r="C82" s="453"/>
      <c r="D82" s="440"/>
      <c r="E82" s="440"/>
      <c r="F82" s="481"/>
      <c r="G82" s="475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67"/>
      <c r="V82" s="468"/>
      <c r="W82" s="462"/>
      <c r="X82" s="243"/>
    </row>
    <row r="83" spans="1:24" hidden="1" x14ac:dyDescent="0.2">
      <c r="A83" s="440"/>
      <c r="B83" s="440"/>
      <c r="C83" s="453"/>
      <c r="D83" s="440"/>
      <c r="E83" s="440"/>
      <c r="F83" s="218"/>
      <c r="G83" s="475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67"/>
      <c r="V83" s="468"/>
      <c r="W83" s="462"/>
      <c r="X83" s="243"/>
    </row>
    <row r="84" spans="1:24" s="480" customFormat="1" x14ac:dyDescent="0.2">
      <c r="A84" s="455"/>
      <c r="B84" s="455"/>
      <c r="C84" s="454" t="s">
        <v>510</v>
      </c>
      <c r="D84" s="455"/>
      <c r="E84" s="455"/>
      <c r="F84" s="465" t="s">
        <v>511</v>
      </c>
      <c r="G84" s="470">
        <f>SUM(G85:G88)</f>
        <v>-3701168.8205058575</v>
      </c>
      <c r="H84" s="466">
        <f t="shared" ref="H84:S84" si="14">SUM(H85:H88)</f>
        <v>22552116</v>
      </c>
      <c r="I84" s="466">
        <f t="shared" si="14"/>
        <v>4370804</v>
      </c>
      <c r="J84" s="466">
        <f>SUM(J85:J88)</f>
        <v>-78436505</v>
      </c>
      <c r="K84" s="466">
        <f>SUM(K85:K88)</f>
        <v>80693607</v>
      </c>
      <c r="L84" s="466">
        <f>SUM(L85:L88)</f>
        <v>4029291</v>
      </c>
      <c r="M84" s="466">
        <f t="shared" si="14"/>
        <v>-82870298</v>
      </c>
      <c r="N84" s="466">
        <f>SUM(N85:N88)</f>
        <v>4688204</v>
      </c>
      <c r="O84" s="466">
        <f t="shared" si="14"/>
        <v>-2800476</v>
      </c>
      <c r="P84" s="466">
        <f>SUM(P85:P88)</f>
        <v>-3885130</v>
      </c>
      <c r="Q84" s="466">
        <f t="shared" si="14"/>
        <v>33890860</v>
      </c>
      <c r="R84" s="466">
        <f>SUM(R85:R88)</f>
        <v>-23025988</v>
      </c>
      <c r="S84" s="466">
        <f t="shared" si="14"/>
        <v>37713267</v>
      </c>
      <c r="T84" s="466">
        <f>SUM(T85:T88)</f>
        <v>-3080248</v>
      </c>
      <c r="U84" s="479"/>
      <c r="V84" s="145"/>
      <c r="W84" s="462"/>
      <c r="X84" s="243"/>
    </row>
    <row r="85" spans="1:24" x14ac:dyDescent="0.2">
      <c r="A85" s="440"/>
      <c r="B85" s="440"/>
      <c r="C85" s="453"/>
      <c r="D85" s="440"/>
      <c r="E85" s="440" t="s">
        <v>512</v>
      </c>
      <c r="F85" s="218"/>
      <c r="G85" s="475">
        <f>'[81]Table 3.4'!$H$27+'[81]Table 3.4'!$H$32</f>
        <v>-2977168.8205058575</v>
      </c>
      <c r="H85" s="474">
        <f>[34]summary!$M$73+[34]summary!$M$74</f>
        <v>1285536</v>
      </c>
      <c r="I85" s="474">
        <f>[34]summary!$R$73+[34]summary!$R$74</f>
        <v>0</v>
      </c>
      <c r="J85" s="474">
        <f>[34]summary!$W$73+[34]summary!$W$74</f>
        <v>12272</v>
      </c>
      <c r="K85" s="474">
        <f>[34]summary!$AB$73+[34]summary!$AB$74</f>
        <v>0</v>
      </c>
      <c r="L85" s="474">
        <f>[34]summary!$AG$73+[34]summary!$AG$74</f>
        <v>1736821</v>
      </c>
      <c r="M85" s="474">
        <f>[34]summary!$AL$73+[34]summary!$AL$74</f>
        <v>245929</v>
      </c>
      <c r="N85" s="474">
        <f>[34]summary!$AQ$73+[34]summary!$AQ$74</f>
        <v>1889237</v>
      </c>
      <c r="O85" s="474">
        <f>[34]summary!$AV$73+[34]summary!$AV$74</f>
        <v>1146180</v>
      </c>
      <c r="P85" s="474">
        <f>[34]summary!$BA$73+[34]summary!$BA$74</f>
        <v>1005353</v>
      </c>
      <c r="Q85" s="474">
        <f>[34]summary!$BF$73+[34]summary!$BF$74</f>
        <v>41798</v>
      </c>
      <c r="R85" s="474">
        <f>[34]summary!$BK$73+[34]summary!$BK$74</f>
        <v>360442</v>
      </c>
      <c r="S85" s="474">
        <f>[34]summary!$BP$73+[34]summary!$BP$74</f>
        <v>3730325</v>
      </c>
      <c r="T85" s="474">
        <f>SUM(H85:S85)</f>
        <v>11453893</v>
      </c>
      <c r="U85" s="467"/>
      <c r="V85" s="468"/>
      <c r="W85" s="462"/>
      <c r="X85" s="243"/>
    </row>
    <row r="86" spans="1:24" x14ac:dyDescent="0.2">
      <c r="A86" s="440"/>
      <c r="B86" s="440"/>
      <c r="C86" s="453"/>
      <c r="D86" s="440"/>
      <c r="E86" s="440" t="s">
        <v>513</v>
      </c>
      <c r="F86" s="491"/>
      <c r="G86" s="474">
        <f>[24]cashbalances!$H$23</f>
        <v>0</v>
      </c>
      <c r="H86" s="492">
        <f>[34]summary!$M$71</f>
        <v>-17895405</v>
      </c>
      <c r="I86" s="492">
        <f>[34]summary!$R$71</f>
        <v>-2162772</v>
      </c>
      <c r="J86" s="492">
        <f>[34]summary!$W$71</f>
        <v>1746060</v>
      </c>
      <c r="K86" s="492">
        <f>[34]summary!$AB$71</f>
        <v>9207825</v>
      </c>
      <c r="L86" s="492">
        <f>[34]summary!$AG$71</f>
        <v>-8222766</v>
      </c>
      <c r="M86" s="492">
        <f>[34]summary!$AL$71</f>
        <v>21412052</v>
      </c>
      <c r="N86" s="492">
        <f>[34]summary!$AQ$71</f>
        <v>67094</v>
      </c>
      <c r="O86" s="492">
        <f>[34]summary!$AV$71</f>
        <v>5423083</v>
      </c>
      <c r="P86" s="492">
        <f>[34]summary!$BA$71</f>
        <v>3006040</v>
      </c>
      <c r="Q86" s="492">
        <f>[34]summary!$BF$71</f>
        <v>484408</v>
      </c>
      <c r="R86" s="492">
        <f>[34]summary!$BK$71</f>
        <v>4553332</v>
      </c>
      <c r="S86" s="492">
        <f>[34]summary!$BP$71</f>
        <v>-34627077</v>
      </c>
      <c r="T86" s="474">
        <f>SUM(H86:S86)</f>
        <v>-17008126</v>
      </c>
      <c r="U86" s="467"/>
      <c r="V86" s="468"/>
      <c r="W86" s="462"/>
      <c r="X86" s="243"/>
    </row>
    <row r="87" spans="1:24" x14ac:dyDescent="0.2">
      <c r="A87" s="440"/>
      <c r="B87" s="440"/>
      <c r="C87" s="453"/>
      <c r="D87" s="440"/>
      <c r="E87" s="440" t="s">
        <v>464</v>
      </c>
      <c r="F87" s="218"/>
      <c r="G87" s="475">
        <f>[31]summary!$H$72</f>
        <v>0</v>
      </c>
      <c r="H87" s="474">
        <f>[24]summary!$BU$73</f>
        <v>0</v>
      </c>
      <c r="I87" s="474">
        <f>[34]summary!$R$72</f>
        <v>0</v>
      </c>
      <c r="J87" s="474">
        <v>0</v>
      </c>
      <c r="K87" s="474">
        <v>0</v>
      </c>
      <c r="L87" s="474">
        <v>0</v>
      </c>
      <c r="M87" s="474">
        <f>[34]summary!$AL$72</f>
        <v>0</v>
      </c>
      <c r="N87" s="474">
        <f>[34]summary!$AQ$72</f>
        <v>0</v>
      </c>
      <c r="O87" s="474">
        <f>[34]summary!$AV$72</f>
        <v>0</v>
      </c>
      <c r="P87" s="474">
        <f>[34]summary!$BA$72</f>
        <v>0</v>
      </c>
      <c r="Q87" s="474">
        <f>[34]summary!$BF$72</f>
        <v>0</v>
      </c>
      <c r="R87" s="474">
        <f>[34]summary!$BK$72</f>
        <v>0</v>
      </c>
      <c r="S87" s="474">
        <f>[34]summary!$BP$72</f>
        <v>0</v>
      </c>
      <c r="T87" s="474">
        <v>0</v>
      </c>
      <c r="U87" s="467"/>
      <c r="V87" s="468"/>
      <c r="W87" s="462"/>
      <c r="X87" s="243"/>
    </row>
    <row r="88" spans="1:24" x14ac:dyDescent="0.2">
      <c r="A88" s="440"/>
      <c r="B88" s="440"/>
      <c r="C88" s="453"/>
      <c r="D88" s="440"/>
      <c r="E88" s="440" t="s">
        <v>514</v>
      </c>
      <c r="F88" s="218"/>
      <c r="G88" s="475">
        <f>+G92</f>
        <v>-724000</v>
      </c>
      <c r="H88" s="474">
        <f>+H92</f>
        <v>39161985</v>
      </c>
      <c r="I88" s="474">
        <f>+I92</f>
        <v>6533576</v>
      </c>
      <c r="J88" s="474">
        <f>+J92</f>
        <v>-80194837</v>
      </c>
      <c r="K88" s="474">
        <f>+K92</f>
        <v>71485782</v>
      </c>
      <c r="L88" s="474">
        <f>L92</f>
        <v>10515236</v>
      </c>
      <c r="M88" s="474">
        <f t="shared" ref="M88:R88" si="15">M92</f>
        <v>-104528279</v>
      </c>
      <c r="N88" s="474">
        <f>N92</f>
        <v>2731873</v>
      </c>
      <c r="O88" s="474">
        <f t="shared" si="15"/>
        <v>-9369739</v>
      </c>
      <c r="P88" s="474">
        <f>P92</f>
        <v>-7896523</v>
      </c>
      <c r="Q88" s="474">
        <f t="shared" si="15"/>
        <v>33364654</v>
      </c>
      <c r="R88" s="474">
        <f t="shared" si="15"/>
        <v>-27939762</v>
      </c>
      <c r="S88" s="474">
        <f>S92</f>
        <v>68610019</v>
      </c>
      <c r="T88" s="474">
        <f>+T92</f>
        <v>2473985</v>
      </c>
      <c r="U88" s="467"/>
      <c r="V88" s="468"/>
      <c r="W88" s="462"/>
      <c r="X88" s="243"/>
    </row>
    <row r="89" spans="1:24" x14ac:dyDescent="0.2">
      <c r="A89" s="440"/>
      <c r="B89" s="440"/>
      <c r="C89" s="493"/>
      <c r="D89" s="494"/>
      <c r="E89" s="494"/>
      <c r="F89" s="495"/>
      <c r="G89" s="496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67"/>
      <c r="V89" s="468"/>
      <c r="W89" s="462"/>
      <c r="X89" s="243"/>
    </row>
    <row r="90" spans="1:24" x14ac:dyDescent="0.2">
      <c r="A90" s="440"/>
      <c r="B90" s="440"/>
      <c r="C90" s="440"/>
      <c r="D90" s="440"/>
      <c r="E90" s="440"/>
      <c r="F90" s="21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68"/>
      <c r="V90" s="468"/>
      <c r="W90" s="462"/>
      <c r="X90" s="243"/>
    </row>
    <row r="91" spans="1:24" x14ac:dyDescent="0.2">
      <c r="A91" s="440"/>
      <c r="B91" s="449"/>
      <c r="C91" s="499"/>
      <c r="D91" s="500"/>
      <c r="E91" s="501"/>
      <c r="F91" s="502"/>
      <c r="G91" s="503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3"/>
      <c r="U91" s="479"/>
      <c r="V91" s="468"/>
      <c r="W91" s="462"/>
      <c r="X91" s="243"/>
    </row>
    <row r="92" spans="1:24" s="480" customFormat="1" x14ac:dyDescent="0.2">
      <c r="A92" s="455"/>
      <c r="B92" s="476"/>
      <c r="C92" s="505" t="s">
        <v>515</v>
      </c>
      <c r="D92" s="506"/>
      <c r="E92" s="455"/>
      <c r="F92" s="465" t="s">
        <v>511</v>
      </c>
      <c r="G92" s="470">
        <f>+G94-G100</f>
        <v>-724000</v>
      </c>
      <c r="H92" s="466">
        <f t="shared" ref="H92:S92" si="16">+H94-H100</f>
        <v>39161985</v>
      </c>
      <c r="I92" s="466">
        <f t="shared" si="16"/>
        <v>6533576</v>
      </c>
      <c r="J92" s="466">
        <f>+J94-J100</f>
        <v>-80194837</v>
      </c>
      <c r="K92" s="466">
        <f>+K94-K100</f>
        <v>71485782</v>
      </c>
      <c r="L92" s="466">
        <f>+L94-L100</f>
        <v>10515236</v>
      </c>
      <c r="M92" s="466">
        <f t="shared" si="16"/>
        <v>-104528279</v>
      </c>
      <c r="N92" s="466">
        <f>+N94-N100</f>
        <v>2731873</v>
      </c>
      <c r="O92" s="466">
        <f t="shared" si="16"/>
        <v>-9369739</v>
      </c>
      <c r="P92" s="466">
        <f t="shared" si="16"/>
        <v>-7896523</v>
      </c>
      <c r="Q92" s="466">
        <f>+Q94-Q100</f>
        <v>33364654</v>
      </c>
      <c r="R92" s="466">
        <f t="shared" si="16"/>
        <v>-27939762</v>
      </c>
      <c r="S92" s="466">
        <f t="shared" si="16"/>
        <v>68610019</v>
      </c>
      <c r="T92" s="470">
        <f>+T94-T100</f>
        <v>2473985</v>
      </c>
      <c r="U92" s="467"/>
      <c r="V92" s="145"/>
      <c r="W92" s="462"/>
      <c r="X92" s="243"/>
    </row>
    <row r="93" spans="1:24" x14ac:dyDescent="0.2">
      <c r="A93" s="440"/>
      <c r="B93" s="449"/>
      <c r="C93" s="507"/>
      <c r="D93" s="508"/>
      <c r="E93" s="440"/>
      <c r="F93" s="218"/>
      <c r="G93" s="475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5"/>
      <c r="U93" s="467"/>
      <c r="V93" s="468"/>
      <c r="W93" s="462"/>
      <c r="X93" s="243"/>
    </row>
    <row r="94" spans="1:24" x14ac:dyDescent="0.2">
      <c r="A94" s="440"/>
      <c r="B94" s="449"/>
      <c r="C94" s="453" t="s">
        <v>516</v>
      </c>
      <c r="D94" s="440"/>
      <c r="E94" s="440"/>
      <c r="F94" s="465" t="s">
        <v>517</v>
      </c>
      <c r="G94" s="509">
        <f>SUM(G95:G96)</f>
        <v>238061000</v>
      </c>
      <c r="H94" s="278">
        <f>SUM(H95:H97)</f>
        <v>238135653</v>
      </c>
      <c r="I94" s="278">
        <f t="shared" ref="I94:M94" si="17">SUM(I95:I97)</f>
        <v>198973668</v>
      </c>
      <c r="J94" s="278">
        <f>SUM(J95:J97)</f>
        <v>192440092</v>
      </c>
      <c r="K94" s="278">
        <f t="shared" si="17"/>
        <v>272634929</v>
      </c>
      <c r="L94" s="278">
        <f t="shared" si="17"/>
        <v>201149147</v>
      </c>
      <c r="M94" s="278">
        <f t="shared" si="17"/>
        <v>190633911</v>
      </c>
      <c r="N94" s="278">
        <f>SUM(N95:N97)</f>
        <v>295162190</v>
      </c>
      <c r="O94" s="278">
        <f t="shared" ref="O94:S94" si="18">SUM(O95:O97)</f>
        <v>292430317</v>
      </c>
      <c r="P94" s="278">
        <f t="shared" si="18"/>
        <v>301800056</v>
      </c>
      <c r="Q94" s="278">
        <f t="shared" si="18"/>
        <v>309696579</v>
      </c>
      <c r="R94" s="278">
        <f t="shared" si="18"/>
        <v>276331925</v>
      </c>
      <c r="S94" s="278">
        <f t="shared" si="18"/>
        <v>304271687</v>
      </c>
      <c r="T94" s="261">
        <f>SUM(T95:T97)</f>
        <v>238135653</v>
      </c>
      <c r="U94" s="467"/>
      <c r="V94" s="468"/>
      <c r="W94" s="462"/>
      <c r="X94" s="243"/>
    </row>
    <row r="95" spans="1:24" x14ac:dyDescent="0.2">
      <c r="A95" s="440"/>
      <c r="B95" s="449"/>
      <c r="C95" s="510"/>
      <c r="D95" s="511"/>
      <c r="E95" s="440" t="s">
        <v>518</v>
      </c>
      <c r="F95" s="218"/>
      <c r="G95" s="475">
        <f>[31]cashbalances!$H$14</f>
        <v>174643000</v>
      </c>
      <c r="H95" s="489">
        <f>[24]cashbalances!$M$14</f>
        <v>174717635</v>
      </c>
      <c r="I95" s="489">
        <f t="shared" ref="I95:M96" si="19">H101</f>
        <v>171432024</v>
      </c>
      <c r="J95" s="489">
        <f>I101</f>
        <v>159100607</v>
      </c>
      <c r="K95" s="489">
        <f t="shared" si="19"/>
        <v>157556488</v>
      </c>
      <c r="L95" s="489">
        <f t="shared" si="19"/>
        <v>154393121</v>
      </c>
      <c r="M95" s="489">
        <f t="shared" si="19"/>
        <v>153790115</v>
      </c>
      <c r="N95" s="489">
        <f>M101</f>
        <v>226475319</v>
      </c>
      <c r="O95" s="489">
        <f>N101</f>
        <v>223710506</v>
      </c>
      <c r="P95" s="489">
        <f>O101</f>
        <v>222808884</v>
      </c>
      <c r="Q95" s="489">
        <f t="shared" ref="O95:Q96" si="20">P101</f>
        <v>216296990</v>
      </c>
      <c r="R95" s="489">
        <f>Q101</f>
        <v>214990489</v>
      </c>
      <c r="S95" s="489">
        <f>R101</f>
        <v>214239939</v>
      </c>
      <c r="T95" s="475">
        <f>H95</f>
        <v>174717635</v>
      </c>
      <c r="U95" s="467"/>
      <c r="V95" s="468"/>
      <c r="W95" s="462"/>
      <c r="X95" s="243"/>
    </row>
    <row r="96" spans="1:24" x14ac:dyDescent="0.2">
      <c r="A96" s="440"/>
      <c r="B96" s="449"/>
      <c r="C96" s="510"/>
      <c r="D96" s="511"/>
      <c r="E96" s="440" t="s">
        <v>519</v>
      </c>
      <c r="F96" s="218"/>
      <c r="G96" s="475">
        <f>[31]cashbalances!$H$15</f>
        <v>63418000</v>
      </c>
      <c r="H96" s="489">
        <f>[24]cashbalances!$M$15</f>
        <v>63418018</v>
      </c>
      <c r="I96" s="489">
        <f t="shared" si="19"/>
        <v>27541644</v>
      </c>
      <c r="J96" s="489">
        <f>I102</f>
        <v>33339485</v>
      </c>
      <c r="K96" s="489">
        <f t="shared" si="19"/>
        <v>115078441</v>
      </c>
      <c r="L96" s="489">
        <f t="shared" si="19"/>
        <v>46756026</v>
      </c>
      <c r="M96" s="489">
        <f t="shared" si="19"/>
        <v>36843796</v>
      </c>
      <c r="N96" s="489">
        <f>M102</f>
        <v>68686871</v>
      </c>
      <c r="O96" s="489">
        <f t="shared" si="20"/>
        <v>68719811</v>
      </c>
      <c r="P96" s="489">
        <f>O102</f>
        <v>78991172</v>
      </c>
      <c r="Q96" s="489">
        <f t="shared" si="20"/>
        <v>93399589</v>
      </c>
      <c r="R96" s="489">
        <f>Q102</f>
        <v>61341436</v>
      </c>
      <c r="S96" s="489">
        <f>R102</f>
        <v>90031748</v>
      </c>
      <c r="T96" s="475">
        <f>H96</f>
        <v>63418018</v>
      </c>
      <c r="U96" s="467"/>
      <c r="V96" s="468"/>
      <c r="W96" s="462"/>
      <c r="X96" s="243"/>
    </row>
    <row r="97" spans="1:24" hidden="1" x14ac:dyDescent="0.2">
      <c r="A97" s="440"/>
      <c r="B97" s="449"/>
      <c r="C97" s="453"/>
      <c r="D97" s="440"/>
      <c r="E97" s="440" t="s">
        <v>520</v>
      </c>
      <c r="F97" s="218"/>
      <c r="G97" s="475">
        <v>0</v>
      </c>
      <c r="H97" s="474">
        <v>0</v>
      </c>
      <c r="I97" s="474">
        <v>0</v>
      </c>
      <c r="J97" s="474">
        <v>0</v>
      </c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R97" s="474">
        <v>0</v>
      </c>
      <c r="S97" s="474">
        <v>0</v>
      </c>
      <c r="T97" s="475">
        <f>H97</f>
        <v>0</v>
      </c>
      <c r="U97" s="479"/>
      <c r="V97" s="468"/>
      <c r="W97" s="462"/>
      <c r="X97" s="243"/>
    </row>
    <row r="98" spans="1:24" x14ac:dyDescent="0.2">
      <c r="A98" s="440"/>
      <c r="B98" s="449"/>
      <c r="C98" s="453"/>
      <c r="D98" s="440"/>
      <c r="E98" s="440"/>
      <c r="F98" s="218"/>
      <c r="G98" s="475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5"/>
      <c r="U98" s="467"/>
      <c r="V98" s="468"/>
      <c r="W98" s="462"/>
      <c r="X98" s="243"/>
    </row>
    <row r="99" spans="1:24" hidden="1" x14ac:dyDescent="0.2">
      <c r="A99" s="440"/>
      <c r="B99" s="449"/>
      <c r="C99" s="453"/>
      <c r="D99" s="440"/>
      <c r="E99" s="440"/>
      <c r="F99" s="218"/>
      <c r="G99" s="475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5"/>
      <c r="U99" s="467"/>
      <c r="V99" s="468"/>
      <c r="W99" s="462"/>
      <c r="X99" s="243"/>
    </row>
    <row r="100" spans="1:24" x14ac:dyDescent="0.2">
      <c r="A100" s="440"/>
      <c r="B100" s="449"/>
      <c r="C100" s="453" t="s">
        <v>521</v>
      </c>
      <c r="D100" s="440"/>
      <c r="E100" s="440"/>
      <c r="F100" s="218"/>
      <c r="G100" s="489">
        <f>SUM(G101:G103)</f>
        <v>238785000</v>
      </c>
      <c r="H100" s="474">
        <f>SUM(H101:H103)</f>
        <v>198973668</v>
      </c>
      <c r="I100" s="474">
        <f>SUM(I101:I103)</f>
        <v>192440092</v>
      </c>
      <c r="J100" s="474">
        <f>SUM(J101:J103)</f>
        <v>272634929</v>
      </c>
      <c r="K100" s="474">
        <f t="shared" ref="K100:R100" si="21">SUM(K101:K103)</f>
        <v>201149147</v>
      </c>
      <c r="L100" s="474">
        <f t="shared" si="21"/>
        <v>190633911</v>
      </c>
      <c r="M100" s="474">
        <f t="shared" si="21"/>
        <v>295162190</v>
      </c>
      <c r="N100" s="474">
        <f t="shared" si="21"/>
        <v>292430317</v>
      </c>
      <c r="O100" s="474">
        <f t="shared" si="21"/>
        <v>301800056</v>
      </c>
      <c r="P100" s="474">
        <f t="shared" si="21"/>
        <v>309696579</v>
      </c>
      <c r="Q100" s="474">
        <f>SUM(Q101:Q103)</f>
        <v>276331925</v>
      </c>
      <c r="R100" s="474">
        <f t="shared" si="21"/>
        <v>304271687</v>
      </c>
      <c r="S100" s="474">
        <f>SUM(S101:S103)</f>
        <v>235661668</v>
      </c>
      <c r="T100" s="475">
        <f>SUM(T101:T103)</f>
        <v>235661668</v>
      </c>
      <c r="U100" s="467"/>
      <c r="V100" s="468"/>
      <c r="W100" s="462"/>
      <c r="X100" s="243"/>
    </row>
    <row r="101" spans="1:24" x14ac:dyDescent="0.2">
      <c r="A101" s="440"/>
      <c r="B101" s="449"/>
      <c r="C101" s="453"/>
      <c r="D101" s="440"/>
      <c r="E101" s="440" t="s">
        <v>518</v>
      </c>
      <c r="F101" s="218"/>
      <c r="G101" s="475">
        <f>'[81]Table 3.4'!$H$18</f>
        <v>188785000</v>
      </c>
      <c r="H101" s="489">
        <f>[34]cashbalances!$M$18</f>
        <v>171432024</v>
      </c>
      <c r="I101" s="489">
        <f>[34]cashbalances!$R$18</f>
        <v>159100607</v>
      </c>
      <c r="J101" s="489">
        <f>[34]cashbalances!$W$18</f>
        <v>157556488</v>
      </c>
      <c r="K101" s="489">
        <f>[34]cashbalances!$AB$18</f>
        <v>154393121</v>
      </c>
      <c r="L101" s="489">
        <f>[34]cashbalances!$AG$18</f>
        <v>153790115</v>
      </c>
      <c r="M101" s="489">
        <f>[34]cashbalances!$AL$18</f>
        <v>226475319</v>
      </c>
      <c r="N101" s="489">
        <f>[34]cashbalances!$AQ$18</f>
        <v>223710506</v>
      </c>
      <c r="O101" s="489">
        <f>[34]cashbalances!$AV$18</f>
        <v>222808884</v>
      </c>
      <c r="P101" s="489">
        <f>[34]cashbalances!$BA$18</f>
        <v>216296990</v>
      </c>
      <c r="Q101" s="489">
        <f>[34]cashbalances!$BF$18</f>
        <v>214990489</v>
      </c>
      <c r="R101" s="489">
        <f>[34]cashbalances!$BK$18</f>
        <v>214239939</v>
      </c>
      <c r="S101" s="489">
        <f>[34]cashbalances!$BP$18</f>
        <v>191125443</v>
      </c>
      <c r="T101" s="475">
        <f>S101</f>
        <v>191125443</v>
      </c>
      <c r="U101" s="467"/>
      <c r="V101" s="468"/>
      <c r="W101" s="462"/>
      <c r="X101" s="243"/>
    </row>
    <row r="102" spans="1:24" x14ac:dyDescent="0.2">
      <c r="A102" s="440"/>
      <c r="B102" s="449"/>
      <c r="C102" s="453"/>
      <c r="D102" s="440"/>
      <c r="E102" s="440" t="s">
        <v>522</v>
      </c>
      <c r="F102" s="465"/>
      <c r="G102" s="475">
        <f>'[81]Table 3.4'!$H$19</f>
        <v>50000000</v>
      </c>
      <c r="H102" s="489">
        <f>[34]cashbalances!$M$19</f>
        <v>27541644</v>
      </c>
      <c r="I102" s="489">
        <f>[34]cashbalances!$R$19</f>
        <v>33339485</v>
      </c>
      <c r="J102" s="489">
        <f>[34]cashbalances!$W$19</f>
        <v>115078441</v>
      </c>
      <c r="K102" s="489">
        <f>[34]cashbalances!$AB$19</f>
        <v>46756026</v>
      </c>
      <c r="L102" s="489">
        <f>[34]cashbalances!$AG$19</f>
        <v>36843796</v>
      </c>
      <c r="M102" s="489">
        <f>[34]cashbalances!$AL$19</f>
        <v>68686871</v>
      </c>
      <c r="N102" s="489">
        <f>[34]cashbalances!$AQ$19</f>
        <v>68719811</v>
      </c>
      <c r="O102" s="489">
        <f>[34]cashbalances!$AV$19</f>
        <v>78991172</v>
      </c>
      <c r="P102" s="489">
        <f>[34]cashbalances!$BA$19</f>
        <v>93399589</v>
      </c>
      <c r="Q102" s="489">
        <f>[34]cashbalances!$BF$19</f>
        <v>61341436</v>
      </c>
      <c r="R102" s="489">
        <f>[34]cashbalances!$BK$19</f>
        <v>90031748</v>
      </c>
      <c r="S102" s="489">
        <f>[34]cashbalances!$BP$19</f>
        <v>44536225</v>
      </c>
      <c r="T102" s="475">
        <f>S102</f>
        <v>44536225</v>
      </c>
      <c r="U102" s="467"/>
      <c r="V102" s="468"/>
      <c r="W102" s="462"/>
      <c r="X102" s="243"/>
    </row>
    <row r="103" spans="1:24" hidden="1" x14ac:dyDescent="0.2">
      <c r="A103" s="440"/>
      <c r="B103" s="440"/>
      <c r="C103" s="453"/>
      <c r="D103" s="440"/>
      <c r="E103" s="440" t="s">
        <v>520</v>
      </c>
      <c r="F103" s="218"/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4">
        <f>J103</f>
        <v>0</v>
      </c>
      <c r="U103" s="479"/>
      <c r="V103" s="468"/>
      <c r="W103" s="462"/>
      <c r="X103" s="243"/>
    </row>
    <row r="104" spans="1:24" x14ac:dyDescent="0.2">
      <c r="A104" s="440"/>
      <c r="B104" s="440"/>
      <c r="C104" s="493"/>
      <c r="D104" s="494"/>
      <c r="E104" s="494"/>
      <c r="F104" s="495"/>
      <c r="G104" s="496"/>
      <c r="H104" s="496"/>
      <c r="I104" s="496"/>
      <c r="J104" s="496"/>
      <c r="K104" s="496"/>
      <c r="L104" s="496"/>
      <c r="M104" s="496"/>
      <c r="N104" s="496"/>
      <c r="O104" s="497"/>
      <c r="P104" s="496"/>
      <c r="Q104" s="497"/>
      <c r="R104" s="497"/>
      <c r="S104" s="496"/>
      <c r="T104" s="497"/>
      <c r="U104" s="467"/>
      <c r="V104" s="468"/>
      <c r="W104" s="462"/>
      <c r="X104" s="243"/>
    </row>
    <row r="105" spans="1:24" x14ac:dyDescent="0.2">
      <c r="A105" s="440"/>
      <c r="B105" s="440"/>
      <c r="C105" s="512" t="s">
        <v>523</v>
      </c>
      <c r="D105" s="512"/>
      <c r="E105" s="188"/>
      <c r="F105" s="218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468"/>
      <c r="V105" s="468"/>
      <c r="W105" s="462"/>
      <c r="X105" s="243"/>
    </row>
    <row r="106" spans="1:24" x14ac:dyDescent="0.2">
      <c r="A106" s="440"/>
      <c r="B106" s="440"/>
      <c r="C106" s="512" t="s">
        <v>524</v>
      </c>
      <c r="D106" s="512"/>
      <c r="E106" s="514"/>
      <c r="F106" s="218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468"/>
      <c r="V106" s="468"/>
      <c r="W106" s="462"/>
      <c r="X106" s="243"/>
    </row>
    <row r="107" spans="1:24" x14ac:dyDescent="0.2">
      <c r="A107" s="440"/>
      <c r="B107" s="440"/>
      <c r="C107" s="512" t="s">
        <v>525</v>
      </c>
      <c r="D107" s="512"/>
      <c r="E107" s="514"/>
      <c r="F107" s="218"/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468"/>
      <c r="V107" s="468"/>
      <c r="W107" s="462"/>
      <c r="X107" s="243"/>
    </row>
    <row r="108" spans="1:24" x14ac:dyDescent="0.2">
      <c r="A108" s="440"/>
      <c r="B108" s="440"/>
      <c r="C108" s="515" t="s">
        <v>526</v>
      </c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468"/>
      <c r="V108" s="468"/>
      <c r="W108" s="462"/>
      <c r="X108" s="243"/>
    </row>
    <row r="109" spans="1:24" x14ac:dyDescent="0.2">
      <c r="A109" s="440"/>
      <c r="B109" s="440"/>
      <c r="C109" s="516"/>
      <c r="F109" s="439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468"/>
      <c r="V109" s="468"/>
      <c r="W109" s="517"/>
    </row>
    <row r="110" spans="1:24" ht="13.5" x14ac:dyDescent="0.2">
      <c r="A110" s="440"/>
      <c r="B110" s="440"/>
      <c r="C110" s="518"/>
      <c r="F110" s="439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468"/>
      <c r="V110" s="468"/>
      <c r="W110" s="517"/>
    </row>
    <row r="111" spans="1:24" s="440" customFormat="1" x14ac:dyDescent="0.2"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468"/>
      <c r="V111" s="468"/>
      <c r="W111" s="468"/>
    </row>
    <row r="112" spans="1:24" s="440" customFormat="1" x14ac:dyDescent="0.2"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468"/>
      <c r="V112" s="468"/>
      <c r="W112" s="468"/>
    </row>
    <row r="113" spans="1:25" s="440" customFormat="1" x14ac:dyDescent="0.2"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  <c r="Q113" s="513"/>
      <c r="R113" s="513"/>
      <c r="S113" s="513"/>
      <c r="T113" s="513"/>
      <c r="U113" s="468"/>
      <c r="V113" s="468"/>
      <c r="W113" s="468"/>
      <c r="X113" s="244"/>
    </row>
    <row r="114" spans="1:25" s="440" customFormat="1" x14ac:dyDescent="0.2"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  <c r="Q114" s="513"/>
      <c r="R114" s="513"/>
      <c r="S114" s="513"/>
      <c r="T114" s="513"/>
      <c r="U114" s="468"/>
      <c r="V114" s="468"/>
      <c r="W114" s="468"/>
    </row>
    <row r="115" spans="1:25" s="440" customFormat="1" x14ac:dyDescent="0.2"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468"/>
      <c r="V115" s="468"/>
      <c r="W115" s="468"/>
    </row>
    <row r="116" spans="1:25" s="440" customFormat="1" x14ac:dyDescent="0.2">
      <c r="G116" s="513"/>
      <c r="H116" s="513"/>
      <c r="I116" s="513"/>
      <c r="J116" s="519"/>
      <c r="K116" s="513"/>
      <c r="L116" s="513"/>
      <c r="M116" s="513"/>
      <c r="N116" s="513"/>
      <c r="O116" s="513"/>
      <c r="P116" s="513"/>
      <c r="Q116" s="513"/>
      <c r="R116" s="513"/>
      <c r="S116" s="513"/>
      <c r="T116" s="519"/>
      <c r="U116" s="468"/>
      <c r="V116" s="468"/>
      <c r="W116" s="468"/>
    </row>
    <row r="117" spans="1:25" s="440" customFormat="1" x14ac:dyDescent="0.2"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468"/>
      <c r="V117" s="468"/>
      <c r="W117" s="468"/>
    </row>
    <row r="118" spans="1:25" x14ac:dyDescent="0.2">
      <c r="A118" s="440"/>
      <c r="B118" s="440"/>
      <c r="F118" s="439"/>
      <c r="G118" s="513"/>
      <c r="H118" s="513"/>
      <c r="I118" s="513"/>
      <c r="J118" s="513"/>
      <c r="K118" s="513"/>
      <c r="L118" s="520"/>
      <c r="M118" s="513"/>
      <c r="N118" s="513"/>
      <c r="O118" s="513"/>
      <c r="P118" s="521"/>
      <c r="Q118" s="513"/>
      <c r="R118" s="513"/>
      <c r="S118" s="513"/>
      <c r="T118" s="513"/>
      <c r="U118" s="468"/>
      <c r="V118" s="468"/>
      <c r="W118" s="517"/>
    </row>
    <row r="119" spans="1:25" x14ac:dyDescent="0.2">
      <c r="A119" s="440"/>
      <c r="B119" s="440"/>
      <c r="F119" s="439"/>
      <c r="G119" s="521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21"/>
      <c r="S119" s="513"/>
      <c r="T119" s="513"/>
      <c r="U119" s="468"/>
      <c r="V119" s="468"/>
      <c r="W119" s="517"/>
    </row>
    <row r="120" spans="1:25" x14ac:dyDescent="0.2">
      <c r="A120" s="440"/>
      <c r="B120" s="440"/>
      <c r="F120" s="439"/>
      <c r="G120" s="521"/>
      <c r="H120" s="513"/>
      <c r="I120" s="513"/>
      <c r="J120" s="513"/>
      <c r="K120" s="513"/>
      <c r="L120" s="513"/>
      <c r="M120" s="513"/>
      <c r="N120" s="513"/>
      <c r="O120" s="521"/>
      <c r="P120" s="513"/>
      <c r="Q120" s="513"/>
      <c r="R120" s="513"/>
      <c r="S120" s="513"/>
      <c r="T120" s="513"/>
      <c r="U120" s="468"/>
      <c r="V120" s="468"/>
      <c r="W120" s="517"/>
      <c r="Y120" s="522"/>
    </row>
    <row r="121" spans="1:25" x14ac:dyDescent="0.2">
      <c r="A121" s="440"/>
      <c r="B121" s="440"/>
      <c r="F121" s="439"/>
      <c r="G121" s="513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/>
      <c r="U121" s="468"/>
      <c r="V121" s="468"/>
      <c r="W121" s="517"/>
    </row>
    <row r="122" spans="1:25" x14ac:dyDescent="0.2">
      <c r="A122" s="440"/>
      <c r="B122" s="440"/>
      <c r="F122" s="439"/>
      <c r="G122" s="513"/>
      <c r="H122" s="513"/>
      <c r="I122" s="513"/>
      <c r="J122" s="513"/>
      <c r="K122" s="513"/>
      <c r="L122" s="513"/>
      <c r="M122" s="513"/>
      <c r="N122" s="513"/>
      <c r="O122" s="513"/>
      <c r="P122" s="513"/>
      <c r="Q122" s="513"/>
      <c r="R122" s="513"/>
      <c r="S122" s="513"/>
      <c r="T122" s="513"/>
      <c r="U122" s="468"/>
      <c r="V122" s="468"/>
      <c r="W122" s="517"/>
    </row>
    <row r="123" spans="1:25" x14ac:dyDescent="0.2">
      <c r="A123" s="440"/>
      <c r="B123" s="440"/>
      <c r="F123" s="439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468"/>
      <c r="V123" s="468"/>
      <c r="W123" s="517"/>
    </row>
    <row r="124" spans="1:25" x14ac:dyDescent="0.2">
      <c r="A124" s="440"/>
      <c r="B124" s="440"/>
      <c r="F124" s="439"/>
      <c r="G124" s="513"/>
      <c r="H124" s="513"/>
      <c r="I124" s="513"/>
      <c r="J124" s="513"/>
      <c r="K124" s="513"/>
      <c r="L124" s="513"/>
      <c r="M124" s="513"/>
      <c r="N124" s="513"/>
      <c r="O124" s="513"/>
      <c r="P124" s="513"/>
      <c r="Q124" s="513"/>
      <c r="R124" s="513"/>
      <c r="S124" s="513"/>
      <c r="T124" s="513"/>
      <c r="U124" s="468"/>
      <c r="V124" s="468"/>
      <c r="W124" s="517"/>
    </row>
    <row r="125" spans="1:25" x14ac:dyDescent="0.2">
      <c r="A125" s="440"/>
      <c r="B125" s="440"/>
      <c r="F125" s="439"/>
      <c r="G125" s="513"/>
      <c r="H125" s="513"/>
      <c r="I125" s="513"/>
      <c r="J125" s="513"/>
      <c r="K125" s="513"/>
      <c r="L125" s="513"/>
      <c r="M125" s="513"/>
      <c r="N125" s="513"/>
      <c r="O125" s="513"/>
      <c r="P125" s="513"/>
      <c r="Q125" s="513"/>
      <c r="R125" s="513"/>
      <c r="S125" s="513"/>
      <c r="T125" s="513"/>
      <c r="U125" s="468"/>
      <c r="V125" s="468"/>
      <c r="W125" s="517"/>
    </row>
    <row r="126" spans="1:25" x14ac:dyDescent="0.2">
      <c r="A126" s="440"/>
      <c r="B126" s="440"/>
      <c r="F126" s="439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  <c r="T126" s="513"/>
      <c r="U126" s="468"/>
      <c r="V126" s="468"/>
      <c r="W126" s="517"/>
    </row>
    <row r="127" spans="1:25" x14ac:dyDescent="0.2">
      <c r="A127" s="440"/>
      <c r="B127" s="440"/>
      <c r="F127" s="439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513"/>
      <c r="R127" s="513"/>
      <c r="S127" s="513"/>
      <c r="T127" s="513"/>
      <c r="U127" s="468"/>
      <c r="V127" s="468"/>
      <c r="W127" s="517"/>
    </row>
    <row r="128" spans="1:25" x14ac:dyDescent="0.2">
      <c r="A128" s="440"/>
      <c r="B128" s="440"/>
      <c r="F128" s="439"/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  <c r="Q128" s="513"/>
      <c r="R128" s="513"/>
      <c r="S128" s="513"/>
      <c r="T128" s="513"/>
      <c r="U128" s="468"/>
      <c r="V128" s="468"/>
      <c r="W128" s="517"/>
    </row>
    <row r="129" spans="1:23" x14ac:dyDescent="0.2">
      <c r="A129" s="440"/>
      <c r="B129" s="440"/>
      <c r="F129" s="439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/>
      <c r="U129" s="468"/>
      <c r="V129" s="468"/>
      <c r="W129" s="517"/>
    </row>
    <row r="130" spans="1:23" x14ac:dyDescent="0.2">
      <c r="A130" s="440"/>
      <c r="B130" s="440"/>
      <c r="F130" s="439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468"/>
      <c r="V130" s="468"/>
      <c r="W130" s="517"/>
    </row>
    <row r="131" spans="1:23" x14ac:dyDescent="0.2">
      <c r="A131" s="440"/>
      <c r="B131" s="440"/>
      <c r="F131" s="439"/>
      <c r="G131" s="513"/>
      <c r="H131" s="513" t="e">
        <f>H10-#REF!</f>
        <v>#REF!</v>
      </c>
      <c r="I131" s="513" t="e">
        <f>I10-#REF!</f>
        <v>#REF!</v>
      </c>
      <c r="J131" s="513" t="e">
        <f>J10-#REF!</f>
        <v>#REF!</v>
      </c>
      <c r="K131" s="513" t="e">
        <f>K10-#REF!</f>
        <v>#REF!</v>
      </c>
      <c r="L131" s="513" t="e">
        <f>L10-#REF!</f>
        <v>#REF!</v>
      </c>
      <c r="M131" s="513" t="e">
        <f>M10-#REF!</f>
        <v>#REF!</v>
      </c>
      <c r="N131" s="513" t="e">
        <f>N10-#REF!</f>
        <v>#REF!</v>
      </c>
      <c r="O131" s="513" t="e">
        <f>O10-#REF!</f>
        <v>#REF!</v>
      </c>
      <c r="P131" s="513" t="e">
        <f>P10-#REF!</f>
        <v>#REF!</v>
      </c>
      <c r="Q131" s="513" t="e">
        <f>Q10-#REF!</f>
        <v>#REF!</v>
      </c>
      <c r="R131" s="513" t="e">
        <f>R10-#REF!</f>
        <v>#REF!</v>
      </c>
      <c r="S131" s="513" t="e">
        <f>S10-#REF!</f>
        <v>#REF!</v>
      </c>
      <c r="T131" s="513" t="e">
        <f>T10-#REF!</f>
        <v>#REF!</v>
      </c>
      <c r="U131" s="468"/>
      <c r="V131" s="468"/>
      <c r="W131" s="517"/>
    </row>
    <row r="132" spans="1:23" x14ac:dyDescent="0.2">
      <c r="A132" s="440"/>
      <c r="B132" s="440"/>
      <c r="F132" s="439"/>
      <c r="G132" s="513"/>
      <c r="H132" s="513" t="e">
        <f>H11-#REF!</f>
        <v>#REF!</v>
      </c>
      <c r="I132" s="513" t="e">
        <f>I11-#REF!</f>
        <v>#REF!</v>
      </c>
      <c r="J132" s="513" t="e">
        <f>J11-#REF!</f>
        <v>#REF!</v>
      </c>
      <c r="K132" s="513" t="e">
        <f>K11-#REF!</f>
        <v>#REF!</v>
      </c>
      <c r="L132" s="513" t="e">
        <f>L11-#REF!</f>
        <v>#REF!</v>
      </c>
      <c r="M132" s="513" t="e">
        <f>M11-#REF!</f>
        <v>#REF!</v>
      </c>
      <c r="N132" s="513" t="e">
        <f>N11-#REF!</f>
        <v>#REF!</v>
      </c>
      <c r="O132" s="513" t="e">
        <f>O11-#REF!</f>
        <v>#REF!</v>
      </c>
      <c r="P132" s="513" t="e">
        <f>P11-#REF!</f>
        <v>#REF!</v>
      </c>
      <c r="Q132" s="513" t="e">
        <f>Q11-#REF!</f>
        <v>#REF!</v>
      </c>
      <c r="R132" s="513" t="e">
        <f>R11-#REF!</f>
        <v>#REF!</v>
      </c>
      <c r="S132" s="513" t="e">
        <f>S11-#REF!</f>
        <v>#REF!</v>
      </c>
      <c r="T132" s="513" t="e">
        <f>T11-#REF!</f>
        <v>#REF!</v>
      </c>
      <c r="U132" s="468"/>
      <c r="V132" s="468"/>
      <c r="W132" s="517"/>
    </row>
    <row r="133" spans="1:23" x14ac:dyDescent="0.2">
      <c r="A133" s="440"/>
      <c r="B133" s="440"/>
      <c r="F133" s="439"/>
      <c r="G133" s="513"/>
      <c r="H133" s="513" t="e">
        <f>H12-#REF!</f>
        <v>#REF!</v>
      </c>
      <c r="I133" s="513" t="e">
        <f>I12-#REF!</f>
        <v>#REF!</v>
      </c>
      <c r="J133" s="513" t="e">
        <f>J12-#REF!</f>
        <v>#REF!</v>
      </c>
      <c r="K133" s="513" t="e">
        <f>K12-#REF!</f>
        <v>#REF!</v>
      </c>
      <c r="L133" s="513" t="e">
        <f>L12-#REF!</f>
        <v>#REF!</v>
      </c>
      <c r="M133" s="513" t="e">
        <f>M12-#REF!</f>
        <v>#REF!</v>
      </c>
      <c r="N133" s="513" t="e">
        <f>N12-#REF!</f>
        <v>#REF!</v>
      </c>
      <c r="O133" s="513" t="e">
        <f>O12-#REF!</f>
        <v>#REF!</v>
      </c>
      <c r="P133" s="513" t="e">
        <f>P12-#REF!</f>
        <v>#REF!</v>
      </c>
      <c r="Q133" s="513" t="e">
        <f>Q12-#REF!</f>
        <v>#REF!</v>
      </c>
      <c r="R133" s="513" t="e">
        <f>R12-#REF!</f>
        <v>#REF!</v>
      </c>
      <c r="S133" s="513" t="e">
        <f>S12-#REF!</f>
        <v>#REF!</v>
      </c>
      <c r="T133" s="513" t="e">
        <f>T12-#REF!</f>
        <v>#REF!</v>
      </c>
      <c r="U133" s="468"/>
      <c r="V133" s="468"/>
      <c r="W133" s="517"/>
    </row>
    <row r="134" spans="1:23" x14ac:dyDescent="0.2">
      <c r="A134" s="440"/>
      <c r="B134" s="514"/>
      <c r="F134" s="439"/>
      <c r="G134" s="513"/>
      <c r="H134" s="513" t="e">
        <f>H13-#REF!</f>
        <v>#REF!</v>
      </c>
      <c r="I134" s="513" t="e">
        <f>I13-#REF!</f>
        <v>#REF!</v>
      </c>
      <c r="J134" s="513" t="e">
        <f>J13-#REF!</f>
        <v>#REF!</v>
      </c>
      <c r="K134" s="513" t="e">
        <f>K13-#REF!</f>
        <v>#REF!</v>
      </c>
      <c r="L134" s="513" t="e">
        <f>L13-#REF!</f>
        <v>#REF!</v>
      </c>
      <c r="M134" s="513" t="e">
        <f>M13-#REF!</f>
        <v>#REF!</v>
      </c>
      <c r="N134" s="513" t="e">
        <f>N13-#REF!</f>
        <v>#REF!</v>
      </c>
      <c r="O134" s="513" t="e">
        <f>O13-#REF!</f>
        <v>#REF!</v>
      </c>
      <c r="P134" s="513" t="e">
        <f>P13-#REF!</f>
        <v>#REF!</v>
      </c>
      <c r="Q134" s="513" t="e">
        <f>Q13-#REF!</f>
        <v>#REF!</v>
      </c>
      <c r="R134" s="513" t="e">
        <f>R13-#REF!</f>
        <v>#REF!</v>
      </c>
      <c r="S134" s="513" t="e">
        <f>S13-#REF!</f>
        <v>#REF!</v>
      </c>
      <c r="T134" s="513" t="e">
        <f>T13-#REF!</f>
        <v>#REF!</v>
      </c>
      <c r="U134" s="468"/>
      <c r="V134" s="468"/>
      <c r="W134" s="517"/>
    </row>
    <row r="135" spans="1:23" x14ac:dyDescent="0.2">
      <c r="F135" s="439"/>
      <c r="G135" s="513"/>
      <c r="H135" s="513" t="e">
        <f>H14-#REF!</f>
        <v>#REF!</v>
      </c>
      <c r="I135" s="513" t="e">
        <f>I14-#REF!</f>
        <v>#REF!</v>
      </c>
      <c r="J135" s="513" t="e">
        <f>J14-#REF!</f>
        <v>#REF!</v>
      </c>
      <c r="K135" s="513" t="e">
        <f>K14-#REF!</f>
        <v>#REF!</v>
      </c>
      <c r="L135" s="513" t="e">
        <f>L14-#REF!</f>
        <v>#REF!</v>
      </c>
      <c r="M135" s="513" t="e">
        <f>M14-#REF!</f>
        <v>#REF!</v>
      </c>
      <c r="N135" s="513" t="e">
        <f>N14-#REF!</f>
        <v>#REF!</v>
      </c>
      <c r="O135" s="513" t="e">
        <f>O14-#REF!</f>
        <v>#REF!</v>
      </c>
      <c r="P135" s="513" t="e">
        <f>P14-#REF!</f>
        <v>#REF!</v>
      </c>
      <c r="Q135" s="513" t="e">
        <f>Q14-#REF!</f>
        <v>#REF!</v>
      </c>
      <c r="R135" s="513" t="e">
        <f>R14-#REF!</f>
        <v>#REF!</v>
      </c>
      <c r="S135" s="513" t="e">
        <f>S14-#REF!</f>
        <v>#REF!</v>
      </c>
      <c r="T135" s="513" t="e">
        <f>T14-#REF!</f>
        <v>#REF!</v>
      </c>
      <c r="U135" s="517"/>
      <c r="V135" s="517"/>
      <c r="W135" s="517"/>
    </row>
    <row r="136" spans="1:23" x14ac:dyDescent="0.2">
      <c r="F136" s="439"/>
      <c r="G136" s="513"/>
      <c r="H136" s="513" t="e">
        <f>H15-#REF!</f>
        <v>#REF!</v>
      </c>
      <c r="I136" s="513" t="e">
        <f>I15-#REF!</f>
        <v>#REF!</v>
      </c>
      <c r="J136" s="513" t="e">
        <f>J15-#REF!</f>
        <v>#REF!</v>
      </c>
      <c r="K136" s="513" t="e">
        <f>K15-#REF!</f>
        <v>#REF!</v>
      </c>
      <c r="L136" s="513" t="e">
        <f>L15-#REF!</f>
        <v>#REF!</v>
      </c>
      <c r="M136" s="513" t="e">
        <f>M15-#REF!</f>
        <v>#REF!</v>
      </c>
      <c r="N136" s="513" t="e">
        <f>N15-#REF!</f>
        <v>#REF!</v>
      </c>
      <c r="O136" s="513" t="e">
        <f>O15-#REF!</f>
        <v>#REF!</v>
      </c>
      <c r="P136" s="513" t="e">
        <f>P15-#REF!</f>
        <v>#REF!</v>
      </c>
      <c r="Q136" s="513" t="e">
        <f>Q15-#REF!</f>
        <v>#REF!</v>
      </c>
      <c r="R136" s="513" t="e">
        <f>R15-#REF!</f>
        <v>#REF!</v>
      </c>
      <c r="S136" s="513" t="e">
        <f>S15-#REF!</f>
        <v>#REF!</v>
      </c>
      <c r="T136" s="513" t="e">
        <f>T15-#REF!</f>
        <v>#REF!</v>
      </c>
      <c r="U136" s="517"/>
      <c r="V136" s="517"/>
      <c r="W136" s="517"/>
    </row>
    <row r="137" spans="1:23" x14ac:dyDescent="0.2">
      <c r="F137" s="439"/>
      <c r="G137" s="513"/>
      <c r="H137" s="513" t="e">
        <f>H16-#REF!</f>
        <v>#REF!</v>
      </c>
      <c r="I137" s="513" t="e">
        <f>I16-#REF!</f>
        <v>#REF!</v>
      </c>
      <c r="J137" s="513" t="e">
        <f>J16-#REF!</f>
        <v>#REF!</v>
      </c>
      <c r="K137" s="513" t="e">
        <f>K16-#REF!</f>
        <v>#REF!</v>
      </c>
      <c r="L137" s="513" t="e">
        <f>L16-#REF!</f>
        <v>#REF!</v>
      </c>
      <c r="M137" s="513" t="e">
        <f>M16-#REF!</f>
        <v>#REF!</v>
      </c>
      <c r="N137" s="513" t="e">
        <f>N16-#REF!</f>
        <v>#REF!</v>
      </c>
      <c r="O137" s="513" t="e">
        <f>O16-#REF!</f>
        <v>#REF!</v>
      </c>
      <c r="P137" s="513" t="e">
        <f>P16-#REF!</f>
        <v>#REF!</v>
      </c>
      <c r="Q137" s="513" t="e">
        <f>Q16-#REF!</f>
        <v>#REF!</v>
      </c>
      <c r="R137" s="513" t="e">
        <f>R16-#REF!</f>
        <v>#REF!</v>
      </c>
      <c r="S137" s="513" t="e">
        <f>S16-#REF!</f>
        <v>#REF!</v>
      </c>
      <c r="T137" s="513" t="e">
        <f>T16-#REF!</f>
        <v>#REF!</v>
      </c>
      <c r="U137" s="517"/>
      <c r="V137" s="517"/>
      <c r="W137" s="517"/>
    </row>
    <row r="138" spans="1:23" x14ac:dyDescent="0.2">
      <c r="F138" s="439"/>
      <c r="G138" s="513"/>
      <c r="H138" s="513" t="e">
        <f>H17-#REF!</f>
        <v>#REF!</v>
      </c>
      <c r="I138" s="513" t="e">
        <f>I17-#REF!</f>
        <v>#REF!</v>
      </c>
      <c r="J138" s="513" t="e">
        <f>J17-#REF!</f>
        <v>#REF!</v>
      </c>
      <c r="K138" s="513" t="e">
        <f>K17-#REF!</f>
        <v>#REF!</v>
      </c>
      <c r="L138" s="513" t="e">
        <f>L17-#REF!</f>
        <v>#REF!</v>
      </c>
      <c r="M138" s="513" t="e">
        <f>M17-#REF!</f>
        <v>#REF!</v>
      </c>
      <c r="N138" s="513" t="e">
        <f>N17-#REF!</f>
        <v>#REF!</v>
      </c>
      <c r="O138" s="513" t="e">
        <f>O17-#REF!</f>
        <v>#REF!</v>
      </c>
      <c r="P138" s="513" t="e">
        <f>P17-#REF!</f>
        <v>#REF!</v>
      </c>
      <c r="Q138" s="513" t="e">
        <f>Q17-#REF!</f>
        <v>#REF!</v>
      </c>
      <c r="R138" s="513" t="e">
        <f>R17-#REF!</f>
        <v>#REF!</v>
      </c>
      <c r="S138" s="513" t="e">
        <f>S17-#REF!</f>
        <v>#REF!</v>
      </c>
      <c r="T138" s="513" t="e">
        <f>T17-#REF!</f>
        <v>#REF!</v>
      </c>
      <c r="U138" s="517"/>
      <c r="V138" s="517"/>
      <c r="W138" s="517"/>
    </row>
    <row r="139" spans="1:23" x14ac:dyDescent="0.2">
      <c r="F139" s="439"/>
      <c r="G139" s="513"/>
      <c r="H139" s="513" t="e">
        <f>H18-#REF!</f>
        <v>#REF!</v>
      </c>
      <c r="I139" s="513" t="e">
        <f>I18-#REF!</f>
        <v>#REF!</v>
      </c>
      <c r="J139" s="513" t="e">
        <f>J18-#REF!</f>
        <v>#REF!</v>
      </c>
      <c r="K139" s="513" t="e">
        <f>K18-#REF!</f>
        <v>#REF!</v>
      </c>
      <c r="L139" s="513" t="e">
        <f>L18-#REF!</f>
        <v>#REF!</v>
      </c>
      <c r="M139" s="513" t="e">
        <f>M18-#REF!</f>
        <v>#REF!</v>
      </c>
      <c r="N139" s="513" t="e">
        <f>N18-#REF!</f>
        <v>#REF!</v>
      </c>
      <c r="O139" s="513" t="e">
        <f>O18-#REF!</f>
        <v>#REF!</v>
      </c>
      <c r="P139" s="513" t="e">
        <f>P18-#REF!</f>
        <v>#REF!</v>
      </c>
      <c r="Q139" s="513" t="e">
        <f>Q18-#REF!</f>
        <v>#REF!</v>
      </c>
      <c r="R139" s="513" t="e">
        <f>R18-#REF!</f>
        <v>#REF!</v>
      </c>
      <c r="S139" s="513" t="e">
        <f>S18-#REF!</f>
        <v>#REF!</v>
      </c>
      <c r="T139" s="513" t="e">
        <f>T18-#REF!</f>
        <v>#REF!</v>
      </c>
      <c r="U139" s="517"/>
      <c r="V139" s="517"/>
      <c r="W139" s="517"/>
    </row>
    <row r="140" spans="1:23" x14ac:dyDescent="0.2">
      <c r="F140" s="439"/>
      <c r="G140" s="513"/>
      <c r="H140" s="513" t="e">
        <f>H19-#REF!</f>
        <v>#REF!</v>
      </c>
      <c r="I140" s="513" t="e">
        <f>I19-#REF!</f>
        <v>#REF!</v>
      </c>
      <c r="J140" s="513" t="e">
        <f>J19-#REF!</f>
        <v>#REF!</v>
      </c>
      <c r="K140" s="513" t="e">
        <f>K19-#REF!</f>
        <v>#REF!</v>
      </c>
      <c r="L140" s="513" t="e">
        <f>L19-#REF!</f>
        <v>#REF!</v>
      </c>
      <c r="M140" s="513" t="e">
        <f>M19-#REF!</f>
        <v>#REF!</v>
      </c>
      <c r="N140" s="513" t="e">
        <f>N19-#REF!</f>
        <v>#REF!</v>
      </c>
      <c r="O140" s="513" t="e">
        <f>O19-#REF!</f>
        <v>#REF!</v>
      </c>
      <c r="P140" s="513" t="e">
        <f>P19-#REF!</f>
        <v>#REF!</v>
      </c>
      <c r="Q140" s="513" t="e">
        <f>Q19-#REF!</f>
        <v>#REF!</v>
      </c>
      <c r="R140" s="513" t="e">
        <f>R19-#REF!</f>
        <v>#REF!</v>
      </c>
      <c r="S140" s="513" t="e">
        <f>S19-#REF!</f>
        <v>#REF!</v>
      </c>
      <c r="T140" s="513" t="e">
        <f>T19-#REF!</f>
        <v>#REF!</v>
      </c>
      <c r="U140" s="517"/>
      <c r="V140" s="517"/>
      <c r="W140" s="517"/>
    </row>
    <row r="141" spans="1:23" x14ac:dyDescent="0.2">
      <c r="F141" s="439"/>
      <c r="G141" s="513"/>
      <c r="H141" s="513" t="e">
        <f>H21-#REF!</f>
        <v>#REF!</v>
      </c>
      <c r="I141" s="513" t="e">
        <f>I21-#REF!</f>
        <v>#REF!</v>
      </c>
      <c r="J141" s="513" t="e">
        <f>J21-#REF!</f>
        <v>#REF!</v>
      </c>
      <c r="K141" s="513" t="e">
        <f>K21-#REF!</f>
        <v>#REF!</v>
      </c>
      <c r="L141" s="513" t="e">
        <f>L21-#REF!</f>
        <v>#REF!</v>
      </c>
      <c r="M141" s="513" t="e">
        <f>M21-#REF!</f>
        <v>#REF!</v>
      </c>
      <c r="N141" s="513" t="e">
        <f>N21-#REF!</f>
        <v>#REF!</v>
      </c>
      <c r="O141" s="513" t="e">
        <f>O21-#REF!</f>
        <v>#REF!</v>
      </c>
      <c r="P141" s="513" t="e">
        <f>P21-#REF!</f>
        <v>#REF!</v>
      </c>
      <c r="Q141" s="513" t="e">
        <f>Q21-#REF!</f>
        <v>#REF!</v>
      </c>
      <c r="R141" s="513" t="e">
        <f>R21-#REF!</f>
        <v>#REF!</v>
      </c>
      <c r="S141" s="513" t="e">
        <f>S21-#REF!</f>
        <v>#REF!</v>
      </c>
      <c r="T141" s="513" t="e">
        <f>T21-#REF!</f>
        <v>#REF!</v>
      </c>
      <c r="U141" s="517"/>
      <c r="V141" s="517"/>
      <c r="W141" s="517"/>
    </row>
    <row r="142" spans="1:23" x14ac:dyDescent="0.2">
      <c r="F142" s="439"/>
      <c r="G142" s="513"/>
      <c r="H142" s="513" t="e">
        <f>H22-#REF!</f>
        <v>#REF!</v>
      </c>
      <c r="I142" s="513" t="e">
        <f>I22-#REF!</f>
        <v>#REF!</v>
      </c>
      <c r="J142" s="513" t="e">
        <f>J22-#REF!</f>
        <v>#REF!</v>
      </c>
      <c r="K142" s="513" t="e">
        <f>K22-#REF!</f>
        <v>#REF!</v>
      </c>
      <c r="L142" s="513" t="e">
        <f>L22-#REF!</f>
        <v>#REF!</v>
      </c>
      <c r="M142" s="513" t="e">
        <f>M22-#REF!</f>
        <v>#REF!</v>
      </c>
      <c r="N142" s="513" t="e">
        <f>N22-#REF!</f>
        <v>#REF!</v>
      </c>
      <c r="O142" s="513" t="e">
        <f>O22-#REF!</f>
        <v>#REF!</v>
      </c>
      <c r="P142" s="513" t="e">
        <f>P22-#REF!</f>
        <v>#REF!</v>
      </c>
      <c r="Q142" s="513" t="e">
        <f>Q22-#REF!</f>
        <v>#REF!</v>
      </c>
      <c r="R142" s="513" t="e">
        <f>R22-#REF!</f>
        <v>#REF!</v>
      </c>
      <c r="S142" s="513" t="e">
        <f>S22-#REF!</f>
        <v>#REF!</v>
      </c>
      <c r="T142" s="513" t="e">
        <f>T22-#REF!</f>
        <v>#REF!</v>
      </c>
      <c r="U142" s="517"/>
      <c r="V142" s="517"/>
      <c r="W142" s="517"/>
    </row>
    <row r="143" spans="1:23" x14ac:dyDescent="0.2">
      <c r="F143" s="439"/>
      <c r="G143" s="513"/>
      <c r="H143" s="513" t="e">
        <f>H23-#REF!</f>
        <v>#REF!</v>
      </c>
      <c r="I143" s="513" t="e">
        <f>I23-#REF!</f>
        <v>#REF!</v>
      </c>
      <c r="J143" s="513" t="e">
        <f>J23-#REF!</f>
        <v>#REF!</v>
      </c>
      <c r="K143" s="513" t="e">
        <f>K23-#REF!</f>
        <v>#REF!</v>
      </c>
      <c r="L143" s="513" t="e">
        <f>L23-#REF!</f>
        <v>#REF!</v>
      </c>
      <c r="M143" s="513" t="e">
        <f>M23-#REF!</f>
        <v>#REF!</v>
      </c>
      <c r="N143" s="513" t="e">
        <f>N23-#REF!</f>
        <v>#REF!</v>
      </c>
      <c r="O143" s="513" t="e">
        <f>O23-#REF!</f>
        <v>#REF!</v>
      </c>
      <c r="P143" s="513" t="e">
        <f>P23-#REF!</f>
        <v>#REF!</v>
      </c>
      <c r="Q143" s="513" t="e">
        <f>Q23-#REF!</f>
        <v>#REF!</v>
      </c>
      <c r="R143" s="513" t="e">
        <f>R23-#REF!</f>
        <v>#REF!</v>
      </c>
      <c r="S143" s="513" t="e">
        <f>S23-#REF!</f>
        <v>#REF!</v>
      </c>
      <c r="T143" s="513" t="e">
        <f>T23-#REF!</f>
        <v>#REF!</v>
      </c>
      <c r="U143" s="517"/>
      <c r="V143" s="517"/>
      <c r="W143" s="517"/>
    </row>
    <row r="144" spans="1:23" x14ac:dyDescent="0.2">
      <c r="F144" s="439"/>
      <c r="G144" s="513"/>
      <c r="H144" s="513" t="e">
        <f>#REF!-#REF!</f>
        <v>#REF!</v>
      </c>
      <c r="I144" s="513" t="e">
        <f>#REF!-#REF!</f>
        <v>#REF!</v>
      </c>
      <c r="J144" s="513" t="e">
        <f>#REF!-#REF!</f>
        <v>#REF!</v>
      </c>
      <c r="K144" s="513" t="e">
        <f>#REF!-#REF!</f>
        <v>#REF!</v>
      </c>
      <c r="L144" s="513" t="e">
        <f>#REF!-#REF!</f>
        <v>#REF!</v>
      </c>
      <c r="M144" s="513" t="e">
        <f>#REF!-#REF!</f>
        <v>#REF!</v>
      </c>
      <c r="N144" s="513" t="e">
        <f>#REF!-#REF!</f>
        <v>#REF!</v>
      </c>
      <c r="O144" s="513" t="e">
        <f>#REF!-#REF!</f>
        <v>#REF!</v>
      </c>
      <c r="P144" s="513" t="e">
        <f>#REF!-#REF!</f>
        <v>#REF!</v>
      </c>
      <c r="Q144" s="513" t="e">
        <f>#REF!-#REF!</f>
        <v>#REF!</v>
      </c>
      <c r="R144" s="513" t="e">
        <f>#REF!-#REF!</f>
        <v>#REF!</v>
      </c>
      <c r="S144" s="513" t="e">
        <f>#REF!-#REF!</f>
        <v>#REF!</v>
      </c>
      <c r="T144" s="513" t="e">
        <f>#REF!-#REF!</f>
        <v>#REF!</v>
      </c>
      <c r="U144" s="517"/>
      <c r="V144" s="517"/>
      <c r="W144" s="517"/>
    </row>
    <row r="145" spans="6:23" x14ac:dyDescent="0.2">
      <c r="F145" s="439"/>
      <c r="G145" s="513"/>
      <c r="H145" s="513" t="e">
        <f>H30-#REF!</f>
        <v>#REF!</v>
      </c>
      <c r="I145" s="513" t="e">
        <f>I30-#REF!</f>
        <v>#REF!</v>
      </c>
      <c r="J145" s="513" t="e">
        <f>J30-#REF!</f>
        <v>#REF!</v>
      </c>
      <c r="K145" s="513" t="e">
        <f>K30-#REF!</f>
        <v>#REF!</v>
      </c>
      <c r="L145" s="513" t="e">
        <f>L30-#REF!</f>
        <v>#REF!</v>
      </c>
      <c r="M145" s="513" t="e">
        <f>M30-#REF!</f>
        <v>#REF!</v>
      </c>
      <c r="N145" s="513" t="e">
        <f>N30-#REF!</f>
        <v>#REF!</v>
      </c>
      <c r="O145" s="513" t="e">
        <f>O30-#REF!</f>
        <v>#REF!</v>
      </c>
      <c r="P145" s="513" t="e">
        <f>P30-#REF!</f>
        <v>#REF!</v>
      </c>
      <c r="Q145" s="513" t="e">
        <f>Q30-#REF!</f>
        <v>#REF!</v>
      </c>
      <c r="R145" s="513" t="e">
        <f>R30-#REF!</f>
        <v>#REF!</v>
      </c>
      <c r="S145" s="513" t="e">
        <f>S30-#REF!</f>
        <v>#REF!</v>
      </c>
      <c r="T145" s="513" t="e">
        <f>T30-#REF!</f>
        <v>#REF!</v>
      </c>
      <c r="U145" s="517"/>
      <c r="V145" s="517"/>
      <c r="W145" s="517"/>
    </row>
    <row r="146" spans="6:23" x14ac:dyDescent="0.2">
      <c r="F146" s="439"/>
      <c r="G146" s="513"/>
      <c r="H146" s="513" t="e">
        <f>H31-#REF!</f>
        <v>#REF!</v>
      </c>
      <c r="I146" s="513" t="e">
        <f>I31-#REF!</f>
        <v>#REF!</v>
      </c>
      <c r="J146" s="513" t="e">
        <f>J31-#REF!</f>
        <v>#REF!</v>
      </c>
      <c r="K146" s="513" t="e">
        <f>K31-#REF!</f>
        <v>#REF!</v>
      </c>
      <c r="L146" s="513" t="e">
        <f>L31-#REF!</f>
        <v>#REF!</v>
      </c>
      <c r="M146" s="513" t="e">
        <f>M31-#REF!</f>
        <v>#REF!</v>
      </c>
      <c r="N146" s="513" t="e">
        <f>N31-#REF!</f>
        <v>#REF!</v>
      </c>
      <c r="O146" s="513" t="e">
        <f>O31-#REF!</f>
        <v>#REF!</v>
      </c>
      <c r="P146" s="513" t="e">
        <f>P31-#REF!</f>
        <v>#REF!</v>
      </c>
      <c r="Q146" s="513" t="e">
        <f>Q31-#REF!</f>
        <v>#REF!</v>
      </c>
      <c r="R146" s="513" t="e">
        <f>R31-#REF!</f>
        <v>#REF!</v>
      </c>
      <c r="S146" s="513" t="e">
        <f>S31-#REF!</f>
        <v>#REF!</v>
      </c>
      <c r="T146" s="513" t="e">
        <f>T31-#REF!</f>
        <v>#REF!</v>
      </c>
      <c r="U146" s="517"/>
      <c r="V146" s="517"/>
      <c r="W146" s="517"/>
    </row>
    <row r="147" spans="6:23" x14ac:dyDescent="0.2">
      <c r="F147" s="439"/>
      <c r="G147" s="513"/>
      <c r="H147" s="513" t="e">
        <f>H32-#REF!</f>
        <v>#REF!</v>
      </c>
      <c r="I147" s="513" t="e">
        <f>I32-#REF!</f>
        <v>#REF!</v>
      </c>
      <c r="J147" s="513" t="e">
        <f>J32-#REF!</f>
        <v>#REF!</v>
      </c>
      <c r="K147" s="513" t="e">
        <f>K32-#REF!</f>
        <v>#REF!</v>
      </c>
      <c r="L147" s="513" t="e">
        <f>L32-#REF!</f>
        <v>#REF!</v>
      </c>
      <c r="M147" s="513" t="e">
        <f>M32-#REF!</f>
        <v>#REF!</v>
      </c>
      <c r="N147" s="513" t="e">
        <f>N32-#REF!</f>
        <v>#REF!</v>
      </c>
      <c r="O147" s="513" t="e">
        <f>O32-#REF!</f>
        <v>#REF!</v>
      </c>
      <c r="P147" s="513" t="e">
        <f>P32-#REF!</f>
        <v>#REF!</v>
      </c>
      <c r="Q147" s="513" t="e">
        <f>Q32-#REF!</f>
        <v>#REF!</v>
      </c>
      <c r="R147" s="513" t="e">
        <f>R32-#REF!</f>
        <v>#REF!</v>
      </c>
      <c r="S147" s="513" t="e">
        <f>S32-#REF!</f>
        <v>#REF!</v>
      </c>
      <c r="T147" s="513" t="e">
        <f>T32-#REF!</f>
        <v>#REF!</v>
      </c>
      <c r="U147" s="517"/>
      <c r="V147" s="517"/>
      <c r="W147" s="517"/>
    </row>
    <row r="148" spans="6:23" x14ac:dyDescent="0.2">
      <c r="F148" s="439"/>
      <c r="G148" s="513"/>
      <c r="H148" s="513" t="e">
        <f>H33-#REF!</f>
        <v>#REF!</v>
      </c>
      <c r="I148" s="513" t="e">
        <f>I33-#REF!</f>
        <v>#REF!</v>
      </c>
      <c r="J148" s="513" t="e">
        <f>J33-#REF!</f>
        <v>#REF!</v>
      </c>
      <c r="K148" s="513" t="e">
        <f>K33-#REF!</f>
        <v>#REF!</v>
      </c>
      <c r="L148" s="513" t="e">
        <f>L33-#REF!</f>
        <v>#REF!</v>
      </c>
      <c r="M148" s="513" t="e">
        <f>M33-#REF!</f>
        <v>#REF!</v>
      </c>
      <c r="N148" s="513" t="e">
        <f>N33-#REF!</f>
        <v>#REF!</v>
      </c>
      <c r="O148" s="513" t="e">
        <f>O33-#REF!</f>
        <v>#REF!</v>
      </c>
      <c r="P148" s="513" t="e">
        <f>P33-#REF!</f>
        <v>#REF!</v>
      </c>
      <c r="Q148" s="513" t="e">
        <f>Q33-#REF!</f>
        <v>#REF!</v>
      </c>
      <c r="R148" s="513" t="e">
        <f>R33-#REF!</f>
        <v>#REF!</v>
      </c>
      <c r="S148" s="513" t="e">
        <f>S33-#REF!</f>
        <v>#REF!</v>
      </c>
      <c r="T148" s="513" t="e">
        <f>T33-#REF!</f>
        <v>#REF!</v>
      </c>
      <c r="U148" s="517"/>
      <c r="V148" s="517"/>
      <c r="W148" s="517"/>
    </row>
    <row r="149" spans="6:23" x14ac:dyDescent="0.2">
      <c r="F149" s="439"/>
      <c r="G149" s="513"/>
      <c r="H149" s="513" t="e">
        <f>H34-#REF!</f>
        <v>#REF!</v>
      </c>
      <c r="I149" s="513" t="e">
        <f>I34-#REF!</f>
        <v>#REF!</v>
      </c>
      <c r="J149" s="513" t="e">
        <f>J34-#REF!</f>
        <v>#REF!</v>
      </c>
      <c r="K149" s="513" t="e">
        <f>K34-#REF!</f>
        <v>#REF!</v>
      </c>
      <c r="L149" s="513" t="e">
        <f>L34-#REF!</f>
        <v>#REF!</v>
      </c>
      <c r="M149" s="513" t="e">
        <f>M34-#REF!</f>
        <v>#REF!</v>
      </c>
      <c r="N149" s="513" t="e">
        <f>N34-#REF!</f>
        <v>#REF!</v>
      </c>
      <c r="O149" s="513" t="e">
        <f>O34-#REF!</f>
        <v>#REF!</v>
      </c>
      <c r="P149" s="513" t="e">
        <f>P34-#REF!</f>
        <v>#REF!</v>
      </c>
      <c r="Q149" s="513" t="e">
        <f>Q34-#REF!</f>
        <v>#REF!</v>
      </c>
      <c r="R149" s="513" t="e">
        <f>R34-#REF!</f>
        <v>#REF!</v>
      </c>
      <c r="S149" s="513" t="e">
        <f>S34-#REF!</f>
        <v>#REF!</v>
      </c>
      <c r="T149" s="513" t="e">
        <f>T34-#REF!</f>
        <v>#REF!</v>
      </c>
      <c r="U149" s="517"/>
      <c r="V149" s="517"/>
      <c r="W149" s="517"/>
    </row>
    <row r="150" spans="6:23" x14ac:dyDescent="0.2">
      <c r="F150" s="439"/>
      <c r="G150" s="513"/>
      <c r="H150" s="513" t="e">
        <f>H35-#REF!</f>
        <v>#REF!</v>
      </c>
      <c r="I150" s="513" t="e">
        <f>I35-#REF!</f>
        <v>#REF!</v>
      </c>
      <c r="J150" s="513" t="e">
        <f>J35-#REF!</f>
        <v>#REF!</v>
      </c>
      <c r="K150" s="513" t="e">
        <f>K35-#REF!</f>
        <v>#REF!</v>
      </c>
      <c r="L150" s="513" t="e">
        <f>L35-#REF!</f>
        <v>#REF!</v>
      </c>
      <c r="M150" s="513" t="e">
        <f>M35-#REF!</f>
        <v>#REF!</v>
      </c>
      <c r="N150" s="513" t="e">
        <f>N35-#REF!</f>
        <v>#REF!</v>
      </c>
      <c r="O150" s="513" t="e">
        <f>O35-#REF!</f>
        <v>#REF!</v>
      </c>
      <c r="P150" s="513" t="e">
        <f>P35-#REF!</f>
        <v>#REF!</v>
      </c>
      <c r="Q150" s="513" t="e">
        <f>Q35-#REF!</f>
        <v>#REF!</v>
      </c>
      <c r="R150" s="513" t="e">
        <f>R35-#REF!</f>
        <v>#REF!</v>
      </c>
      <c r="S150" s="513" t="e">
        <f>S35-#REF!</f>
        <v>#REF!</v>
      </c>
      <c r="T150" s="513" t="e">
        <f>T35-#REF!</f>
        <v>#REF!</v>
      </c>
      <c r="U150" s="517"/>
      <c r="V150" s="517"/>
      <c r="W150" s="517"/>
    </row>
    <row r="151" spans="6:23" x14ac:dyDescent="0.2">
      <c r="F151" s="439"/>
      <c r="G151" s="513"/>
      <c r="H151" s="513" t="e">
        <f>H36-#REF!</f>
        <v>#REF!</v>
      </c>
      <c r="I151" s="513" t="e">
        <f>I36-#REF!</f>
        <v>#REF!</v>
      </c>
      <c r="J151" s="513" t="e">
        <f>J36-#REF!</f>
        <v>#REF!</v>
      </c>
      <c r="K151" s="513" t="e">
        <f>K36-#REF!</f>
        <v>#REF!</v>
      </c>
      <c r="L151" s="513" t="e">
        <f>L36-#REF!</f>
        <v>#REF!</v>
      </c>
      <c r="M151" s="513" t="e">
        <f>M36-#REF!</f>
        <v>#REF!</v>
      </c>
      <c r="N151" s="513" t="e">
        <f>N36-#REF!</f>
        <v>#REF!</v>
      </c>
      <c r="O151" s="513" t="e">
        <f>O36-#REF!</f>
        <v>#REF!</v>
      </c>
      <c r="P151" s="513" t="e">
        <f>P36-#REF!</f>
        <v>#REF!</v>
      </c>
      <c r="Q151" s="513" t="e">
        <f>Q36-#REF!</f>
        <v>#REF!</v>
      </c>
      <c r="R151" s="513" t="e">
        <f>R36-#REF!</f>
        <v>#REF!</v>
      </c>
      <c r="S151" s="513" t="e">
        <f>S36-#REF!</f>
        <v>#REF!</v>
      </c>
      <c r="T151" s="513" t="e">
        <f>T36-#REF!</f>
        <v>#REF!</v>
      </c>
      <c r="U151" s="517"/>
      <c r="V151" s="517"/>
      <c r="W151" s="517"/>
    </row>
    <row r="152" spans="6:23" x14ac:dyDescent="0.2">
      <c r="F152" s="439"/>
      <c r="G152" s="513"/>
      <c r="H152" s="513" t="e">
        <f>H37-#REF!</f>
        <v>#REF!</v>
      </c>
      <c r="I152" s="513" t="e">
        <f>I37-#REF!</f>
        <v>#REF!</v>
      </c>
      <c r="J152" s="513" t="e">
        <f>J37-#REF!</f>
        <v>#REF!</v>
      </c>
      <c r="K152" s="513" t="e">
        <f>K37-#REF!</f>
        <v>#REF!</v>
      </c>
      <c r="L152" s="513" t="e">
        <f>L37-#REF!</f>
        <v>#REF!</v>
      </c>
      <c r="M152" s="513" t="e">
        <f>M37-#REF!</f>
        <v>#REF!</v>
      </c>
      <c r="N152" s="513" t="e">
        <f>N37-#REF!</f>
        <v>#REF!</v>
      </c>
      <c r="O152" s="513" t="e">
        <f>O37-#REF!</f>
        <v>#REF!</v>
      </c>
      <c r="P152" s="513" t="e">
        <f>P37-#REF!</f>
        <v>#REF!</v>
      </c>
      <c r="Q152" s="513" t="e">
        <f>Q37-#REF!</f>
        <v>#REF!</v>
      </c>
      <c r="R152" s="513" t="e">
        <f>R37-#REF!</f>
        <v>#REF!</v>
      </c>
      <c r="S152" s="513" t="e">
        <f>S37-#REF!</f>
        <v>#REF!</v>
      </c>
      <c r="T152" s="513" t="e">
        <f>T37-#REF!</f>
        <v>#REF!</v>
      </c>
      <c r="U152" s="517"/>
      <c r="V152" s="517"/>
      <c r="W152" s="517"/>
    </row>
    <row r="153" spans="6:23" x14ac:dyDescent="0.2">
      <c r="F153" s="439"/>
      <c r="G153" s="513"/>
      <c r="H153" s="513" t="e">
        <f>H38-#REF!</f>
        <v>#REF!</v>
      </c>
      <c r="I153" s="513" t="e">
        <f>I38-#REF!</f>
        <v>#REF!</v>
      </c>
      <c r="J153" s="513" t="e">
        <f>J38-#REF!</f>
        <v>#REF!</v>
      </c>
      <c r="K153" s="513" t="e">
        <f>K38-#REF!</f>
        <v>#REF!</v>
      </c>
      <c r="L153" s="513" t="e">
        <f>L38-#REF!</f>
        <v>#REF!</v>
      </c>
      <c r="M153" s="513" t="e">
        <f>M38-#REF!</f>
        <v>#REF!</v>
      </c>
      <c r="N153" s="513" t="e">
        <f>N38-#REF!</f>
        <v>#REF!</v>
      </c>
      <c r="O153" s="513" t="e">
        <f>O38-#REF!</f>
        <v>#REF!</v>
      </c>
      <c r="P153" s="513" t="e">
        <f>P38-#REF!</f>
        <v>#REF!</v>
      </c>
      <c r="Q153" s="513" t="e">
        <f>Q38-#REF!</f>
        <v>#REF!</v>
      </c>
      <c r="R153" s="513" t="e">
        <f>R38-#REF!</f>
        <v>#REF!</v>
      </c>
      <c r="S153" s="513" t="e">
        <f>S38-#REF!</f>
        <v>#REF!</v>
      </c>
      <c r="T153" s="513" t="e">
        <f>T38-#REF!</f>
        <v>#REF!</v>
      </c>
      <c r="U153" s="517"/>
      <c r="V153" s="517"/>
      <c r="W153" s="517"/>
    </row>
    <row r="154" spans="6:23" x14ac:dyDescent="0.2">
      <c r="F154" s="439"/>
      <c r="G154" s="513"/>
      <c r="H154" s="513" t="e">
        <f>H39-#REF!</f>
        <v>#REF!</v>
      </c>
      <c r="I154" s="513" t="e">
        <f>I39-#REF!</f>
        <v>#REF!</v>
      </c>
      <c r="J154" s="513" t="e">
        <f>J39-#REF!</f>
        <v>#REF!</v>
      </c>
      <c r="K154" s="513" t="e">
        <f>K39-#REF!</f>
        <v>#REF!</v>
      </c>
      <c r="L154" s="513" t="e">
        <f>L39-#REF!</f>
        <v>#REF!</v>
      </c>
      <c r="M154" s="513" t="e">
        <f>M39-#REF!</f>
        <v>#REF!</v>
      </c>
      <c r="N154" s="513" t="e">
        <f>N39-#REF!</f>
        <v>#REF!</v>
      </c>
      <c r="O154" s="513" t="e">
        <f>O39-#REF!</f>
        <v>#REF!</v>
      </c>
      <c r="P154" s="513" t="e">
        <f>P39-#REF!</f>
        <v>#REF!</v>
      </c>
      <c r="Q154" s="513" t="e">
        <f>Q39-#REF!</f>
        <v>#REF!</v>
      </c>
      <c r="R154" s="513" t="e">
        <f>R39-#REF!</f>
        <v>#REF!</v>
      </c>
      <c r="S154" s="513" t="e">
        <f>S39-#REF!</f>
        <v>#REF!</v>
      </c>
      <c r="T154" s="513" t="e">
        <f>T39-#REF!</f>
        <v>#REF!</v>
      </c>
      <c r="U154" s="517"/>
      <c r="V154" s="517"/>
      <c r="W154" s="517"/>
    </row>
    <row r="155" spans="6:23" x14ac:dyDescent="0.2">
      <c r="F155" s="439"/>
      <c r="G155" s="513"/>
      <c r="H155" s="513" t="e">
        <f>H40-#REF!</f>
        <v>#REF!</v>
      </c>
      <c r="I155" s="513" t="e">
        <f>I40-#REF!</f>
        <v>#REF!</v>
      </c>
      <c r="J155" s="513" t="e">
        <f>J40-#REF!</f>
        <v>#REF!</v>
      </c>
      <c r="K155" s="513" t="e">
        <f>K40-#REF!</f>
        <v>#REF!</v>
      </c>
      <c r="L155" s="513" t="e">
        <f>L40-#REF!</f>
        <v>#REF!</v>
      </c>
      <c r="M155" s="513" t="e">
        <f>M40-#REF!</f>
        <v>#REF!</v>
      </c>
      <c r="N155" s="513" t="e">
        <f>N40-#REF!</f>
        <v>#REF!</v>
      </c>
      <c r="O155" s="513" t="e">
        <f>O40-#REF!</f>
        <v>#REF!</v>
      </c>
      <c r="P155" s="513" t="e">
        <f>P40-#REF!</f>
        <v>#REF!</v>
      </c>
      <c r="Q155" s="513" t="e">
        <f>Q40-#REF!</f>
        <v>#REF!</v>
      </c>
      <c r="R155" s="513" t="e">
        <f>R40-#REF!</f>
        <v>#REF!</v>
      </c>
      <c r="S155" s="513" t="e">
        <f>S40-#REF!</f>
        <v>#REF!</v>
      </c>
      <c r="T155" s="513" t="e">
        <f>T40-#REF!</f>
        <v>#REF!</v>
      </c>
      <c r="U155" s="517"/>
      <c r="V155" s="517"/>
      <c r="W155" s="517"/>
    </row>
    <row r="156" spans="6:23" x14ac:dyDescent="0.2">
      <c r="F156" s="439"/>
      <c r="G156" s="513"/>
      <c r="H156" s="513" t="e">
        <f>H41-#REF!</f>
        <v>#REF!</v>
      </c>
      <c r="I156" s="513" t="e">
        <f>I41-#REF!</f>
        <v>#REF!</v>
      </c>
      <c r="J156" s="513" t="e">
        <f>J41-#REF!</f>
        <v>#REF!</v>
      </c>
      <c r="K156" s="513" t="e">
        <f>K41-#REF!</f>
        <v>#REF!</v>
      </c>
      <c r="L156" s="513" t="e">
        <f>L41-#REF!</f>
        <v>#REF!</v>
      </c>
      <c r="M156" s="513" t="e">
        <f>M41-#REF!</f>
        <v>#REF!</v>
      </c>
      <c r="N156" s="513" t="e">
        <f>N41-#REF!</f>
        <v>#REF!</v>
      </c>
      <c r="O156" s="513" t="e">
        <f>O41-#REF!</f>
        <v>#REF!</v>
      </c>
      <c r="P156" s="513" t="e">
        <f>P41-#REF!</f>
        <v>#REF!</v>
      </c>
      <c r="Q156" s="513" t="e">
        <f>Q41-#REF!</f>
        <v>#REF!</v>
      </c>
      <c r="R156" s="513" t="e">
        <f>R41-#REF!</f>
        <v>#REF!</v>
      </c>
      <c r="S156" s="513" t="e">
        <f>S41-#REF!</f>
        <v>#REF!</v>
      </c>
      <c r="T156" s="513" t="e">
        <f>T41-#REF!</f>
        <v>#REF!</v>
      </c>
      <c r="U156" s="517"/>
      <c r="V156" s="517"/>
      <c r="W156" s="517"/>
    </row>
    <row r="157" spans="6:23" x14ac:dyDescent="0.2">
      <c r="F157" s="439"/>
      <c r="G157" s="513"/>
      <c r="H157" s="513" t="e">
        <f>H42-#REF!</f>
        <v>#REF!</v>
      </c>
      <c r="I157" s="513" t="e">
        <f>I42-#REF!</f>
        <v>#REF!</v>
      </c>
      <c r="J157" s="513" t="e">
        <f>J42-#REF!</f>
        <v>#REF!</v>
      </c>
      <c r="K157" s="513" t="e">
        <f>K42-#REF!</f>
        <v>#REF!</v>
      </c>
      <c r="L157" s="513" t="e">
        <f>L42-#REF!</f>
        <v>#REF!</v>
      </c>
      <c r="M157" s="513" t="e">
        <f>M42-#REF!</f>
        <v>#REF!</v>
      </c>
      <c r="N157" s="513" t="e">
        <f>N42-#REF!</f>
        <v>#REF!</v>
      </c>
      <c r="O157" s="513" t="e">
        <f>O42-#REF!</f>
        <v>#REF!</v>
      </c>
      <c r="P157" s="513" t="e">
        <f>P42-#REF!</f>
        <v>#REF!</v>
      </c>
      <c r="Q157" s="513" t="e">
        <f>Q42-#REF!</f>
        <v>#REF!</v>
      </c>
      <c r="R157" s="513" t="e">
        <f>R42-#REF!</f>
        <v>#REF!</v>
      </c>
      <c r="S157" s="513" t="e">
        <f>S42-#REF!</f>
        <v>#REF!</v>
      </c>
      <c r="T157" s="513" t="e">
        <f>T42-#REF!</f>
        <v>#REF!</v>
      </c>
      <c r="U157" s="517"/>
      <c r="V157" s="517"/>
      <c r="W157" s="517"/>
    </row>
    <row r="158" spans="6:23" x14ac:dyDescent="0.2">
      <c r="F158" s="439"/>
      <c r="G158" s="513"/>
      <c r="H158" s="513" t="e">
        <f>H43-#REF!</f>
        <v>#REF!</v>
      </c>
      <c r="I158" s="513" t="e">
        <f>I43-#REF!</f>
        <v>#REF!</v>
      </c>
      <c r="J158" s="513" t="e">
        <f>J43-#REF!</f>
        <v>#REF!</v>
      </c>
      <c r="K158" s="513" t="e">
        <f>K43-#REF!</f>
        <v>#REF!</v>
      </c>
      <c r="L158" s="513" t="e">
        <f>L43-#REF!</f>
        <v>#REF!</v>
      </c>
      <c r="M158" s="513" t="e">
        <f>M43-#REF!</f>
        <v>#REF!</v>
      </c>
      <c r="N158" s="513" t="e">
        <f>N43-#REF!</f>
        <v>#REF!</v>
      </c>
      <c r="O158" s="513" t="e">
        <f>O43-#REF!</f>
        <v>#REF!</v>
      </c>
      <c r="P158" s="513" t="e">
        <f>P43-#REF!</f>
        <v>#REF!</v>
      </c>
      <c r="Q158" s="513" t="e">
        <f>Q43-#REF!</f>
        <v>#REF!</v>
      </c>
      <c r="R158" s="513" t="e">
        <f>R43-#REF!</f>
        <v>#REF!</v>
      </c>
      <c r="S158" s="513" t="e">
        <f>S43-#REF!</f>
        <v>#REF!</v>
      </c>
      <c r="T158" s="513" t="e">
        <f>T43-#REF!</f>
        <v>#REF!</v>
      </c>
      <c r="U158" s="517"/>
      <c r="V158" s="517"/>
      <c r="W158" s="517"/>
    </row>
    <row r="159" spans="6:23" x14ac:dyDescent="0.2">
      <c r="F159" s="439"/>
      <c r="G159" s="513"/>
      <c r="H159" s="513" t="e">
        <f>H44-#REF!</f>
        <v>#REF!</v>
      </c>
      <c r="I159" s="513" t="e">
        <f>I44-#REF!</f>
        <v>#REF!</v>
      </c>
      <c r="J159" s="513" t="e">
        <f>J44-#REF!</f>
        <v>#REF!</v>
      </c>
      <c r="K159" s="513" t="e">
        <f>K44-#REF!</f>
        <v>#REF!</v>
      </c>
      <c r="L159" s="513" t="e">
        <f>L44-#REF!</f>
        <v>#REF!</v>
      </c>
      <c r="M159" s="513" t="e">
        <f>M44-#REF!</f>
        <v>#REF!</v>
      </c>
      <c r="N159" s="513" t="e">
        <f>N44-#REF!</f>
        <v>#REF!</v>
      </c>
      <c r="O159" s="513" t="e">
        <f>O44-#REF!</f>
        <v>#REF!</v>
      </c>
      <c r="P159" s="513" t="e">
        <f>P44-#REF!</f>
        <v>#REF!</v>
      </c>
      <c r="Q159" s="513" t="e">
        <f>Q44-#REF!</f>
        <v>#REF!</v>
      </c>
      <c r="R159" s="513" t="e">
        <f>R44-#REF!</f>
        <v>#REF!</v>
      </c>
      <c r="S159" s="513" t="e">
        <f>S44-#REF!</f>
        <v>#REF!</v>
      </c>
      <c r="T159" s="513" t="e">
        <f>T44-#REF!</f>
        <v>#REF!</v>
      </c>
      <c r="U159" s="517"/>
      <c r="V159" s="517"/>
      <c r="W159" s="517"/>
    </row>
    <row r="160" spans="6:23" x14ac:dyDescent="0.2">
      <c r="F160" s="439"/>
      <c r="G160" s="513"/>
      <c r="H160" s="513" t="e">
        <f>H45-#REF!</f>
        <v>#REF!</v>
      </c>
      <c r="I160" s="513" t="e">
        <f>I45-#REF!</f>
        <v>#REF!</v>
      </c>
      <c r="J160" s="513" t="e">
        <f>J45-#REF!</f>
        <v>#REF!</v>
      </c>
      <c r="K160" s="513" t="e">
        <f>K45-#REF!</f>
        <v>#REF!</v>
      </c>
      <c r="L160" s="513" t="e">
        <f>L45-#REF!</f>
        <v>#REF!</v>
      </c>
      <c r="M160" s="513" t="e">
        <f>M45-#REF!</f>
        <v>#REF!</v>
      </c>
      <c r="N160" s="513" t="e">
        <f>N45-#REF!</f>
        <v>#REF!</v>
      </c>
      <c r="O160" s="513" t="e">
        <f>O45-#REF!</f>
        <v>#REF!</v>
      </c>
      <c r="P160" s="513" t="e">
        <f>P45-#REF!</f>
        <v>#REF!</v>
      </c>
      <c r="Q160" s="513" t="e">
        <f>Q45-#REF!</f>
        <v>#REF!</v>
      </c>
      <c r="R160" s="513" t="e">
        <f>R45-#REF!</f>
        <v>#REF!</v>
      </c>
      <c r="S160" s="513" t="e">
        <f>S45-#REF!</f>
        <v>#REF!</v>
      </c>
      <c r="T160" s="513" t="e">
        <f>T45-#REF!</f>
        <v>#REF!</v>
      </c>
      <c r="U160" s="517"/>
      <c r="V160" s="517"/>
      <c r="W160" s="517"/>
    </row>
    <row r="161" spans="6:23" x14ac:dyDescent="0.2">
      <c r="F161" s="439"/>
      <c r="G161" s="513"/>
      <c r="H161" s="513" t="e">
        <f>H46-#REF!</f>
        <v>#REF!</v>
      </c>
      <c r="I161" s="513" t="e">
        <f>I46-#REF!</f>
        <v>#REF!</v>
      </c>
      <c r="J161" s="513" t="e">
        <f>J46-#REF!</f>
        <v>#REF!</v>
      </c>
      <c r="K161" s="513" t="e">
        <f>K46-#REF!</f>
        <v>#REF!</v>
      </c>
      <c r="L161" s="513" t="e">
        <f>L46-#REF!</f>
        <v>#REF!</v>
      </c>
      <c r="M161" s="513" t="e">
        <f>M46-#REF!</f>
        <v>#REF!</v>
      </c>
      <c r="N161" s="513" t="e">
        <f>N46-#REF!</f>
        <v>#REF!</v>
      </c>
      <c r="O161" s="513" t="e">
        <f>O46-#REF!</f>
        <v>#REF!</v>
      </c>
      <c r="P161" s="513" t="e">
        <f>P46-#REF!</f>
        <v>#REF!</v>
      </c>
      <c r="Q161" s="513" t="e">
        <f>Q46-#REF!</f>
        <v>#REF!</v>
      </c>
      <c r="R161" s="513" t="e">
        <f>R46-#REF!</f>
        <v>#REF!</v>
      </c>
      <c r="S161" s="513" t="e">
        <f>S46-#REF!</f>
        <v>#REF!</v>
      </c>
      <c r="T161" s="513" t="e">
        <f>T46-#REF!</f>
        <v>#REF!</v>
      </c>
      <c r="U161" s="517"/>
      <c r="V161" s="517"/>
      <c r="W161" s="517"/>
    </row>
    <row r="162" spans="6:23" x14ac:dyDescent="0.2">
      <c r="F162" s="439"/>
      <c r="G162" s="513"/>
      <c r="H162" s="513" t="e">
        <f>H47-#REF!</f>
        <v>#REF!</v>
      </c>
      <c r="I162" s="513" t="e">
        <f>I47-#REF!</f>
        <v>#REF!</v>
      </c>
      <c r="J162" s="513" t="e">
        <f>J47-#REF!</f>
        <v>#REF!</v>
      </c>
      <c r="K162" s="513" t="e">
        <f>K47-#REF!</f>
        <v>#REF!</v>
      </c>
      <c r="L162" s="513" t="e">
        <f>L47-#REF!</f>
        <v>#REF!</v>
      </c>
      <c r="M162" s="513" t="e">
        <f>M47-#REF!</f>
        <v>#REF!</v>
      </c>
      <c r="N162" s="513" t="e">
        <f>N47-#REF!</f>
        <v>#REF!</v>
      </c>
      <c r="O162" s="513" t="e">
        <f>O47-#REF!</f>
        <v>#REF!</v>
      </c>
      <c r="P162" s="513" t="e">
        <f>P47-#REF!</f>
        <v>#REF!</v>
      </c>
      <c r="Q162" s="513" t="e">
        <f>Q47-#REF!</f>
        <v>#REF!</v>
      </c>
      <c r="R162" s="513" t="e">
        <f>R47-#REF!</f>
        <v>#REF!</v>
      </c>
      <c r="S162" s="513" t="e">
        <f>S47-#REF!</f>
        <v>#REF!</v>
      </c>
      <c r="T162" s="513" t="e">
        <f>T47-#REF!</f>
        <v>#REF!</v>
      </c>
      <c r="U162" s="517"/>
      <c r="V162" s="517"/>
      <c r="W162" s="517"/>
    </row>
    <row r="163" spans="6:23" x14ac:dyDescent="0.2">
      <c r="F163" s="439"/>
      <c r="G163" s="513"/>
      <c r="H163" s="513" t="e">
        <f>H48-#REF!</f>
        <v>#REF!</v>
      </c>
      <c r="I163" s="513" t="e">
        <f>I48-#REF!</f>
        <v>#REF!</v>
      </c>
      <c r="J163" s="513" t="e">
        <f>J48-#REF!</f>
        <v>#REF!</v>
      </c>
      <c r="K163" s="513" t="e">
        <f>K48-#REF!</f>
        <v>#REF!</v>
      </c>
      <c r="L163" s="513" t="e">
        <f>L48-#REF!</f>
        <v>#REF!</v>
      </c>
      <c r="M163" s="513" t="e">
        <f>M48-#REF!</f>
        <v>#REF!</v>
      </c>
      <c r="N163" s="513" t="e">
        <f>N48-#REF!</f>
        <v>#REF!</v>
      </c>
      <c r="O163" s="513" t="e">
        <f>O48-#REF!</f>
        <v>#REF!</v>
      </c>
      <c r="P163" s="513" t="e">
        <f>P48-#REF!</f>
        <v>#REF!</v>
      </c>
      <c r="Q163" s="513" t="e">
        <f>Q48-#REF!</f>
        <v>#REF!</v>
      </c>
      <c r="R163" s="513" t="e">
        <f>R48-#REF!</f>
        <v>#REF!</v>
      </c>
      <c r="S163" s="513" t="e">
        <f>S48-#REF!</f>
        <v>#REF!</v>
      </c>
      <c r="T163" s="513" t="e">
        <f>T48-#REF!</f>
        <v>#REF!</v>
      </c>
      <c r="U163" s="517"/>
      <c r="V163" s="517"/>
      <c r="W163" s="517"/>
    </row>
    <row r="164" spans="6:23" x14ac:dyDescent="0.2">
      <c r="F164" s="439"/>
      <c r="G164" s="513"/>
      <c r="H164" s="513" t="e">
        <f>H49-#REF!</f>
        <v>#REF!</v>
      </c>
      <c r="I164" s="513" t="e">
        <f>I49-#REF!</f>
        <v>#REF!</v>
      </c>
      <c r="J164" s="513" t="e">
        <f>J49-#REF!</f>
        <v>#REF!</v>
      </c>
      <c r="K164" s="513" t="e">
        <f>K49-#REF!</f>
        <v>#REF!</v>
      </c>
      <c r="L164" s="513" t="e">
        <f>L49-#REF!</f>
        <v>#REF!</v>
      </c>
      <c r="M164" s="513" t="e">
        <f>M49-#REF!</f>
        <v>#REF!</v>
      </c>
      <c r="N164" s="513" t="e">
        <f>N49-#REF!</f>
        <v>#REF!</v>
      </c>
      <c r="O164" s="513" t="e">
        <f>O49-#REF!</f>
        <v>#REF!</v>
      </c>
      <c r="P164" s="513" t="e">
        <f>P49-#REF!</f>
        <v>#REF!</v>
      </c>
      <c r="Q164" s="513" t="e">
        <f>Q49-#REF!</f>
        <v>#REF!</v>
      </c>
      <c r="R164" s="513" t="e">
        <f>R49-#REF!</f>
        <v>#REF!</v>
      </c>
      <c r="S164" s="513" t="e">
        <f>S49-#REF!</f>
        <v>#REF!</v>
      </c>
      <c r="T164" s="513" t="e">
        <f>T49-#REF!</f>
        <v>#REF!</v>
      </c>
      <c r="U164" s="517"/>
      <c r="V164" s="517"/>
      <c r="W164" s="517"/>
    </row>
    <row r="165" spans="6:23" x14ac:dyDescent="0.2">
      <c r="F165" s="439"/>
      <c r="G165" s="513"/>
      <c r="H165" s="513" t="e">
        <f>H50-#REF!</f>
        <v>#REF!</v>
      </c>
      <c r="I165" s="513" t="e">
        <f>I50-#REF!</f>
        <v>#REF!</v>
      </c>
      <c r="J165" s="513" t="e">
        <f>J50-#REF!</f>
        <v>#REF!</v>
      </c>
      <c r="K165" s="513" t="e">
        <f>K50-#REF!</f>
        <v>#REF!</v>
      </c>
      <c r="L165" s="513" t="e">
        <f>L50-#REF!</f>
        <v>#REF!</v>
      </c>
      <c r="M165" s="513" t="e">
        <f>M50-#REF!</f>
        <v>#REF!</v>
      </c>
      <c r="N165" s="513" t="e">
        <f>N50-#REF!</f>
        <v>#REF!</v>
      </c>
      <c r="O165" s="513" t="e">
        <f>O50-#REF!</f>
        <v>#REF!</v>
      </c>
      <c r="P165" s="513" t="e">
        <f>P50-#REF!</f>
        <v>#REF!</v>
      </c>
      <c r="Q165" s="513" t="e">
        <f>Q50-#REF!</f>
        <v>#REF!</v>
      </c>
      <c r="R165" s="513" t="e">
        <f>R50-#REF!</f>
        <v>#REF!</v>
      </c>
      <c r="S165" s="513" t="e">
        <f>S50-#REF!</f>
        <v>#REF!</v>
      </c>
      <c r="T165" s="513" t="e">
        <f>T50-#REF!</f>
        <v>#REF!</v>
      </c>
      <c r="U165" s="517"/>
      <c r="V165" s="517"/>
      <c r="W165" s="517"/>
    </row>
    <row r="166" spans="6:23" x14ac:dyDescent="0.2">
      <c r="F166" s="439"/>
      <c r="G166" s="513"/>
      <c r="H166" s="513" t="e">
        <f>H51-#REF!</f>
        <v>#REF!</v>
      </c>
      <c r="I166" s="513" t="e">
        <f>I51-#REF!</f>
        <v>#REF!</v>
      </c>
      <c r="J166" s="513" t="e">
        <f>J51-#REF!</f>
        <v>#REF!</v>
      </c>
      <c r="K166" s="513" t="e">
        <f>K51-#REF!</f>
        <v>#REF!</v>
      </c>
      <c r="L166" s="513" t="e">
        <f>L51-#REF!</f>
        <v>#REF!</v>
      </c>
      <c r="M166" s="513" t="e">
        <f>M51-#REF!</f>
        <v>#REF!</v>
      </c>
      <c r="N166" s="513" t="e">
        <f>N51-#REF!</f>
        <v>#REF!</v>
      </c>
      <c r="O166" s="513" t="e">
        <f>O51-#REF!</f>
        <v>#REF!</v>
      </c>
      <c r="P166" s="513" t="e">
        <f>P51-#REF!</f>
        <v>#REF!</v>
      </c>
      <c r="Q166" s="513" t="e">
        <f>Q51-#REF!</f>
        <v>#REF!</v>
      </c>
      <c r="R166" s="513" t="e">
        <f>R51-#REF!</f>
        <v>#REF!</v>
      </c>
      <c r="S166" s="513" t="e">
        <f>S51-#REF!</f>
        <v>#REF!</v>
      </c>
      <c r="T166" s="513" t="e">
        <f>T51-#REF!</f>
        <v>#REF!</v>
      </c>
      <c r="U166" s="517"/>
      <c r="V166" s="517"/>
      <c r="W166" s="517"/>
    </row>
    <row r="167" spans="6:23" x14ac:dyDescent="0.2">
      <c r="F167" s="439"/>
      <c r="G167" s="513"/>
      <c r="H167" s="513" t="e">
        <f>H52-#REF!</f>
        <v>#REF!</v>
      </c>
      <c r="I167" s="513" t="e">
        <f>I52-#REF!</f>
        <v>#REF!</v>
      </c>
      <c r="J167" s="513" t="e">
        <f>J52-#REF!</f>
        <v>#REF!</v>
      </c>
      <c r="K167" s="513" t="e">
        <f>K52-#REF!</f>
        <v>#REF!</v>
      </c>
      <c r="L167" s="513" t="e">
        <f>L52-#REF!</f>
        <v>#REF!</v>
      </c>
      <c r="M167" s="513" t="e">
        <f>M52-#REF!</f>
        <v>#REF!</v>
      </c>
      <c r="N167" s="513" t="e">
        <f>N52-#REF!</f>
        <v>#REF!</v>
      </c>
      <c r="O167" s="513" t="e">
        <f>O52-#REF!</f>
        <v>#REF!</v>
      </c>
      <c r="P167" s="513" t="e">
        <f>P52-#REF!</f>
        <v>#REF!</v>
      </c>
      <c r="Q167" s="513" t="e">
        <f>Q52-#REF!</f>
        <v>#REF!</v>
      </c>
      <c r="R167" s="513" t="e">
        <f>R52-#REF!</f>
        <v>#REF!</v>
      </c>
      <c r="S167" s="513" t="e">
        <f>S52-#REF!</f>
        <v>#REF!</v>
      </c>
      <c r="T167" s="513" t="e">
        <f>T52-#REF!</f>
        <v>#REF!</v>
      </c>
      <c r="U167" s="517"/>
      <c r="V167" s="517"/>
      <c r="W167" s="517"/>
    </row>
    <row r="168" spans="6:23" x14ac:dyDescent="0.2">
      <c r="F168" s="439"/>
      <c r="G168" s="513"/>
      <c r="H168" s="513" t="e">
        <f>H53-#REF!</f>
        <v>#REF!</v>
      </c>
      <c r="I168" s="513" t="e">
        <f>I53-#REF!</f>
        <v>#REF!</v>
      </c>
      <c r="J168" s="513" t="e">
        <f>J53-#REF!</f>
        <v>#REF!</v>
      </c>
      <c r="K168" s="513" t="e">
        <f>K53-#REF!</f>
        <v>#REF!</v>
      </c>
      <c r="L168" s="513" t="e">
        <f>L53-#REF!</f>
        <v>#REF!</v>
      </c>
      <c r="M168" s="513" t="e">
        <f>M53-#REF!</f>
        <v>#REF!</v>
      </c>
      <c r="N168" s="513" t="e">
        <f>N53-#REF!</f>
        <v>#REF!</v>
      </c>
      <c r="O168" s="513" t="e">
        <f>O53-#REF!</f>
        <v>#REF!</v>
      </c>
      <c r="P168" s="513" t="e">
        <f>P53-#REF!</f>
        <v>#REF!</v>
      </c>
      <c r="Q168" s="513" t="e">
        <f>Q53-#REF!</f>
        <v>#REF!</v>
      </c>
      <c r="R168" s="513" t="e">
        <f>R53-#REF!</f>
        <v>#REF!</v>
      </c>
      <c r="S168" s="513" t="e">
        <f>S53-#REF!</f>
        <v>#REF!</v>
      </c>
      <c r="T168" s="513" t="e">
        <f>T53-#REF!</f>
        <v>#REF!</v>
      </c>
      <c r="U168" s="517"/>
      <c r="V168" s="517"/>
      <c r="W168" s="517"/>
    </row>
    <row r="169" spans="6:23" x14ac:dyDescent="0.2">
      <c r="F169" s="439"/>
      <c r="G169" s="513"/>
      <c r="H169" s="513" t="e">
        <f>H54-#REF!</f>
        <v>#REF!</v>
      </c>
      <c r="I169" s="513" t="e">
        <f>I54-#REF!</f>
        <v>#REF!</v>
      </c>
      <c r="J169" s="513" t="e">
        <f>J54-#REF!</f>
        <v>#REF!</v>
      </c>
      <c r="K169" s="513" t="e">
        <f>K54-#REF!</f>
        <v>#REF!</v>
      </c>
      <c r="L169" s="513" t="e">
        <f>L54-#REF!</f>
        <v>#REF!</v>
      </c>
      <c r="M169" s="513" t="e">
        <f>M54-#REF!</f>
        <v>#REF!</v>
      </c>
      <c r="N169" s="513" t="e">
        <f>N54-#REF!</f>
        <v>#REF!</v>
      </c>
      <c r="O169" s="513" t="e">
        <f>O54-#REF!</f>
        <v>#REF!</v>
      </c>
      <c r="P169" s="513" t="e">
        <f>P54-#REF!</f>
        <v>#REF!</v>
      </c>
      <c r="Q169" s="513" t="e">
        <f>Q54-#REF!</f>
        <v>#REF!</v>
      </c>
      <c r="R169" s="513" t="e">
        <f>R54-#REF!</f>
        <v>#REF!</v>
      </c>
      <c r="S169" s="513" t="e">
        <f>S54-#REF!</f>
        <v>#REF!</v>
      </c>
      <c r="T169" s="513" t="e">
        <f>T54-#REF!</f>
        <v>#REF!</v>
      </c>
      <c r="U169" s="517"/>
      <c r="V169" s="517"/>
      <c r="W169" s="517"/>
    </row>
    <row r="170" spans="6:23" x14ac:dyDescent="0.2">
      <c r="F170" s="439"/>
      <c r="G170" s="513"/>
      <c r="H170" s="513" t="e">
        <f>H55-#REF!</f>
        <v>#REF!</v>
      </c>
      <c r="I170" s="513" t="e">
        <f>I55-#REF!</f>
        <v>#REF!</v>
      </c>
      <c r="J170" s="513" t="e">
        <f>J55-#REF!</f>
        <v>#REF!</v>
      </c>
      <c r="K170" s="513" t="e">
        <f>K55-#REF!</f>
        <v>#REF!</v>
      </c>
      <c r="L170" s="513" t="e">
        <f>L55-#REF!</f>
        <v>#REF!</v>
      </c>
      <c r="M170" s="513" t="e">
        <f>M55-#REF!</f>
        <v>#REF!</v>
      </c>
      <c r="N170" s="513" t="e">
        <f>N55-#REF!</f>
        <v>#REF!</v>
      </c>
      <c r="O170" s="513" t="e">
        <f>O55-#REF!</f>
        <v>#REF!</v>
      </c>
      <c r="P170" s="513" t="e">
        <f>P55-#REF!</f>
        <v>#REF!</v>
      </c>
      <c r="Q170" s="513" t="e">
        <f>Q55-#REF!</f>
        <v>#REF!</v>
      </c>
      <c r="R170" s="513" t="e">
        <f>R55-#REF!</f>
        <v>#REF!</v>
      </c>
      <c r="S170" s="513" t="e">
        <f>S55-#REF!</f>
        <v>#REF!</v>
      </c>
      <c r="T170" s="513" t="e">
        <f>T55-#REF!</f>
        <v>#REF!</v>
      </c>
      <c r="U170" s="517"/>
      <c r="V170" s="517"/>
      <c r="W170" s="517"/>
    </row>
    <row r="171" spans="6:23" x14ac:dyDescent="0.2">
      <c r="F171" s="439"/>
      <c r="G171" s="513"/>
      <c r="H171" s="513" t="e">
        <f>H56-#REF!</f>
        <v>#REF!</v>
      </c>
      <c r="I171" s="513" t="e">
        <f>I56-#REF!</f>
        <v>#REF!</v>
      </c>
      <c r="J171" s="513" t="e">
        <f>J56-#REF!</f>
        <v>#REF!</v>
      </c>
      <c r="K171" s="513" t="e">
        <f>K56-#REF!</f>
        <v>#REF!</v>
      </c>
      <c r="L171" s="513" t="e">
        <f>L56-#REF!</f>
        <v>#REF!</v>
      </c>
      <c r="M171" s="513" t="e">
        <f>M56-#REF!</f>
        <v>#REF!</v>
      </c>
      <c r="N171" s="513" t="e">
        <f>N56-#REF!</f>
        <v>#REF!</v>
      </c>
      <c r="O171" s="513" t="e">
        <f>O56-#REF!</f>
        <v>#REF!</v>
      </c>
      <c r="P171" s="513" t="e">
        <f>P56-#REF!</f>
        <v>#REF!</v>
      </c>
      <c r="Q171" s="513" t="e">
        <f>Q56-#REF!</f>
        <v>#REF!</v>
      </c>
      <c r="R171" s="513" t="e">
        <f>R56-#REF!</f>
        <v>#REF!</v>
      </c>
      <c r="S171" s="513" t="e">
        <f>S56-#REF!</f>
        <v>#REF!</v>
      </c>
      <c r="T171" s="513" t="e">
        <f>T56-#REF!</f>
        <v>#REF!</v>
      </c>
      <c r="U171" s="517"/>
      <c r="V171" s="517"/>
      <c r="W171" s="517"/>
    </row>
    <row r="172" spans="6:23" x14ac:dyDescent="0.2">
      <c r="F172" s="439"/>
      <c r="G172" s="513"/>
      <c r="H172" s="513" t="e">
        <f>H57-#REF!</f>
        <v>#REF!</v>
      </c>
      <c r="I172" s="513" t="e">
        <f>I57-#REF!</f>
        <v>#REF!</v>
      </c>
      <c r="J172" s="513" t="e">
        <f>J57-#REF!</f>
        <v>#REF!</v>
      </c>
      <c r="K172" s="513" t="e">
        <f>K57-#REF!</f>
        <v>#REF!</v>
      </c>
      <c r="L172" s="513" t="e">
        <f>L57-#REF!</f>
        <v>#REF!</v>
      </c>
      <c r="M172" s="513" t="e">
        <f>M57-#REF!</f>
        <v>#REF!</v>
      </c>
      <c r="N172" s="513" t="e">
        <f>N57-#REF!</f>
        <v>#REF!</v>
      </c>
      <c r="O172" s="513" t="e">
        <f>O57-#REF!</f>
        <v>#REF!</v>
      </c>
      <c r="P172" s="513" t="e">
        <f>P57-#REF!</f>
        <v>#REF!</v>
      </c>
      <c r="Q172" s="513" t="e">
        <f>Q57-#REF!</f>
        <v>#REF!</v>
      </c>
      <c r="R172" s="513" t="e">
        <f>R57-#REF!</f>
        <v>#REF!</v>
      </c>
      <c r="S172" s="513" t="e">
        <f>S57-#REF!</f>
        <v>#REF!</v>
      </c>
      <c r="T172" s="513" t="e">
        <f>T57-#REF!</f>
        <v>#REF!</v>
      </c>
      <c r="U172" s="517"/>
      <c r="V172" s="517"/>
      <c r="W172" s="517"/>
    </row>
    <row r="173" spans="6:23" x14ac:dyDescent="0.2">
      <c r="F173" s="439"/>
      <c r="G173" s="513"/>
      <c r="H173" s="513" t="e">
        <f>H58-#REF!</f>
        <v>#REF!</v>
      </c>
      <c r="I173" s="513" t="e">
        <f>I58-#REF!</f>
        <v>#REF!</v>
      </c>
      <c r="J173" s="513" t="e">
        <f>J58-#REF!</f>
        <v>#REF!</v>
      </c>
      <c r="K173" s="513" t="e">
        <f>K58-#REF!</f>
        <v>#REF!</v>
      </c>
      <c r="L173" s="513" t="e">
        <f>L58-#REF!</f>
        <v>#REF!</v>
      </c>
      <c r="M173" s="513" t="e">
        <f>M58-#REF!</f>
        <v>#REF!</v>
      </c>
      <c r="N173" s="513" t="e">
        <f>N58-#REF!</f>
        <v>#REF!</v>
      </c>
      <c r="O173" s="513" t="e">
        <f>O58-#REF!</f>
        <v>#REF!</v>
      </c>
      <c r="P173" s="513" t="e">
        <f>P58-#REF!</f>
        <v>#REF!</v>
      </c>
      <c r="Q173" s="513" t="e">
        <f>Q58-#REF!</f>
        <v>#REF!</v>
      </c>
      <c r="R173" s="513" t="e">
        <f>R58-#REF!</f>
        <v>#REF!</v>
      </c>
      <c r="S173" s="513" t="e">
        <f>S58-#REF!</f>
        <v>#REF!</v>
      </c>
      <c r="T173" s="513" t="e">
        <f>T58-#REF!</f>
        <v>#REF!</v>
      </c>
      <c r="U173" s="517"/>
      <c r="V173" s="517"/>
      <c r="W173" s="517"/>
    </row>
    <row r="174" spans="6:23" x14ac:dyDescent="0.2">
      <c r="F174" s="439"/>
      <c r="G174" s="513"/>
      <c r="H174" s="513" t="e">
        <f>H59-#REF!</f>
        <v>#REF!</v>
      </c>
      <c r="I174" s="513" t="e">
        <f>I59-#REF!</f>
        <v>#REF!</v>
      </c>
      <c r="J174" s="513" t="e">
        <f>J59-#REF!</f>
        <v>#REF!</v>
      </c>
      <c r="K174" s="513" t="e">
        <f>K59-#REF!</f>
        <v>#REF!</v>
      </c>
      <c r="L174" s="513" t="e">
        <f>L59-#REF!</f>
        <v>#REF!</v>
      </c>
      <c r="M174" s="513" t="e">
        <f>M59-#REF!</f>
        <v>#REF!</v>
      </c>
      <c r="N174" s="513" t="e">
        <f>N59-#REF!</f>
        <v>#REF!</v>
      </c>
      <c r="O174" s="513" t="e">
        <f>O59-#REF!</f>
        <v>#REF!</v>
      </c>
      <c r="P174" s="513" t="e">
        <f>P59-#REF!</f>
        <v>#REF!</v>
      </c>
      <c r="Q174" s="513" t="e">
        <f>Q59-#REF!</f>
        <v>#REF!</v>
      </c>
      <c r="R174" s="513" t="e">
        <f>R59-#REF!</f>
        <v>#REF!</v>
      </c>
      <c r="S174" s="513" t="e">
        <f>S59-#REF!</f>
        <v>#REF!</v>
      </c>
      <c r="T174" s="513" t="e">
        <f>T59-#REF!</f>
        <v>#REF!</v>
      </c>
      <c r="U174" s="517"/>
      <c r="V174" s="517"/>
      <c r="W174" s="517"/>
    </row>
    <row r="175" spans="6:23" x14ac:dyDescent="0.2">
      <c r="F175" s="439"/>
      <c r="G175" s="513"/>
      <c r="H175" s="513" t="e">
        <f>H60-#REF!</f>
        <v>#REF!</v>
      </c>
      <c r="I175" s="513" t="e">
        <f>I60-#REF!</f>
        <v>#REF!</v>
      </c>
      <c r="J175" s="513" t="e">
        <f>J60-#REF!</f>
        <v>#REF!</v>
      </c>
      <c r="K175" s="513" t="e">
        <f>K60-#REF!</f>
        <v>#REF!</v>
      </c>
      <c r="L175" s="513" t="e">
        <f>L60-#REF!</f>
        <v>#REF!</v>
      </c>
      <c r="M175" s="513" t="e">
        <f>M60-#REF!</f>
        <v>#REF!</v>
      </c>
      <c r="N175" s="513" t="e">
        <f>N60-#REF!</f>
        <v>#REF!</v>
      </c>
      <c r="O175" s="513" t="e">
        <f>O60-#REF!</f>
        <v>#REF!</v>
      </c>
      <c r="P175" s="513" t="e">
        <f>P60-#REF!</f>
        <v>#REF!</v>
      </c>
      <c r="Q175" s="513" t="e">
        <f>Q60-#REF!</f>
        <v>#REF!</v>
      </c>
      <c r="R175" s="513" t="e">
        <f>R60-#REF!</f>
        <v>#REF!</v>
      </c>
      <c r="S175" s="513" t="e">
        <f>S60-#REF!</f>
        <v>#REF!</v>
      </c>
      <c r="T175" s="513" t="e">
        <f>T60-#REF!</f>
        <v>#REF!</v>
      </c>
      <c r="U175" s="517"/>
      <c r="V175" s="517"/>
      <c r="W175" s="517"/>
    </row>
    <row r="176" spans="6:23" x14ac:dyDescent="0.2">
      <c r="F176" s="439"/>
      <c r="G176" s="513"/>
      <c r="H176" s="513" t="e">
        <f>H61-#REF!</f>
        <v>#REF!</v>
      </c>
      <c r="I176" s="513" t="e">
        <f>I61-#REF!</f>
        <v>#REF!</v>
      </c>
      <c r="J176" s="513" t="e">
        <f>J61-#REF!</f>
        <v>#REF!</v>
      </c>
      <c r="K176" s="513" t="e">
        <f>K61-#REF!</f>
        <v>#REF!</v>
      </c>
      <c r="L176" s="513" t="e">
        <f>L61-#REF!</f>
        <v>#REF!</v>
      </c>
      <c r="M176" s="513" t="e">
        <f>M61-#REF!</f>
        <v>#REF!</v>
      </c>
      <c r="N176" s="513" t="e">
        <f>N61-#REF!</f>
        <v>#REF!</v>
      </c>
      <c r="O176" s="513" t="e">
        <f>O61-#REF!</f>
        <v>#REF!</v>
      </c>
      <c r="P176" s="513" t="e">
        <f>P61-#REF!</f>
        <v>#REF!</v>
      </c>
      <c r="Q176" s="513" t="e">
        <f>Q61-#REF!</f>
        <v>#REF!</v>
      </c>
      <c r="R176" s="513" t="e">
        <f>R61-#REF!</f>
        <v>#REF!</v>
      </c>
      <c r="S176" s="513" t="e">
        <f>S61-#REF!</f>
        <v>#REF!</v>
      </c>
      <c r="T176" s="513" t="e">
        <f>T61-#REF!</f>
        <v>#REF!</v>
      </c>
      <c r="U176" s="517"/>
      <c r="V176" s="517"/>
      <c r="W176" s="517"/>
    </row>
    <row r="177" spans="6:23" x14ac:dyDescent="0.2">
      <c r="F177" s="439"/>
      <c r="G177" s="513"/>
      <c r="H177" s="513" t="e">
        <f>H62-#REF!</f>
        <v>#REF!</v>
      </c>
      <c r="I177" s="513" t="e">
        <f>I62-#REF!</f>
        <v>#REF!</v>
      </c>
      <c r="J177" s="513" t="e">
        <f>J62-#REF!</f>
        <v>#REF!</v>
      </c>
      <c r="K177" s="513" t="e">
        <f>K62-#REF!</f>
        <v>#REF!</v>
      </c>
      <c r="L177" s="513" t="e">
        <f>L62-#REF!</f>
        <v>#REF!</v>
      </c>
      <c r="M177" s="513" t="e">
        <f>M62-#REF!</f>
        <v>#REF!</v>
      </c>
      <c r="N177" s="513" t="e">
        <f>N62-#REF!</f>
        <v>#REF!</v>
      </c>
      <c r="O177" s="513" t="e">
        <f>O62-#REF!</f>
        <v>#REF!</v>
      </c>
      <c r="P177" s="513" t="e">
        <f>P62-#REF!</f>
        <v>#REF!</v>
      </c>
      <c r="Q177" s="513" t="e">
        <f>Q62-#REF!</f>
        <v>#REF!</v>
      </c>
      <c r="R177" s="513" t="e">
        <f>R62-#REF!</f>
        <v>#REF!</v>
      </c>
      <c r="S177" s="513" t="e">
        <f>S62-#REF!</f>
        <v>#REF!</v>
      </c>
      <c r="T177" s="513" t="e">
        <f>T62-#REF!</f>
        <v>#REF!</v>
      </c>
      <c r="U177" s="517"/>
      <c r="V177" s="517"/>
      <c r="W177" s="517"/>
    </row>
    <row r="178" spans="6:23" x14ac:dyDescent="0.2">
      <c r="F178" s="439"/>
      <c r="G178" s="513"/>
      <c r="H178" s="513" t="e">
        <f>H63-#REF!</f>
        <v>#REF!</v>
      </c>
      <c r="I178" s="513" t="e">
        <f>I63-#REF!</f>
        <v>#REF!</v>
      </c>
      <c r="J178" s="513" t="e">
        <f>J63-#REF!</f>
        <v>#REF!</v>
      </c>
      <c r="K178" s="513" t="e">
        <f>K63-#REF!</f>
        <v>#REF!</v>
      </c>
      <c r="L178" s="513" t="e">
        <f>L63-#REF!</f>
        <v>#REF!</v>
      </c>
      <c r="M178" s="513" t="e">
        <f>M63-#REF!</f>
        <v>#REF!</v>
      </c>
      <c r="N178" s="513" t="e">
        <f>N63-#REF!</f>
        <v>#REF!</v>
      </c>
      <c r="O178" s="513" t="e">
        <f>O63-#REF!</f>
        <v>#REF!</v>
      </c>
      <c r="P178" s="513" t="e">
        <f>P63-#REF!</f>
        <v>#REF!</v>
      </c>
      <c r="Q178" s="513" t="e">
        <f>Q63-#REF!</f>
        <v>#REF!</v>
      </c>
      <c r="R178" s="513" t="e">
        <f>R63-#REF!</f>
        <v>#REF!</v>
      </c>
      <c r="S178" s="513" t="e">
        <f>S63-#REF!</f>
        <v>#REF!</v>
      </c>
      <c r="T178" s="513" t="e">
        <f>T63-#REF!</f>
        <v>#REF!</v>
      </c>
      <c r="U178" s="517"/>
      <c r="V178" s="517"/>
      <c r="W178" s="517"/>
    </row>
    <row r="179" spans="6:23" x14ac:dyDescent="0.2">
      <c r="F179" s="439"/>
      <c r="G179" s="513"/>
      <c r="H179" s="513" t="e">
        <f>H64-#REF!</f>
        <v>#REF!</v>
      </c>
      <c r="I179" s="513" t="e">
        <f>I64-#REF!</f>
        <v>#REF!</v>
      </c>
      <c r="J179" s="513" t="e">
        <f>J64-#REF!</f>
        <v>#REF!</v>
      </c>
      <c r="K179" s="513" t="e">
        <f>K64-#REF!</f>
        <v>#REF!</v>
      </c>
      <c r="L179" s="513" t="e">
        <f>L64-#REF!</f>
        <v>#REF!</v>
      </c>
      <c r="M179" s="513" t="e">
        <f>M64-#REF!</f>
        <v>#REF!</v>
      </c>
      <c r="N179" s="513" t="e">
        <f>N64-#REF!</f>
        <v>#REF!</v>
      </c>
      <c r="O179" s="513" t="e">
        <f>O64-#REF!</f>
        <v>#REF!</v>
      </c>
      <c r="P179" s="513" t="e">
        <f>P64-#REF!</f>
        <v>#REF!</v>
      </c>
      <c r="Q179" s="513" t="e">
        <f>Q64-#REF!</f>
        <v>#REF!</v>
      </c>
      <c r="R179" s="513" t="e">
        <f>R64-#REF!</f>
        <v>#REF!</v>
      </c>
      <c r="S179" s="513" t="e">
        <f>S64-#REF!</f>
        <v>#REF!</v>
      </c>
      <c r="T179" s="513" t="e">
        <f>T64-#REF!</f>
        <v>#REF!</v>
      </c>
      <c r="U179" s="517"/>
      <c r="V179" s="517"/>
      <c r="W179" s="517"/>
    </row>
    <row r="180" spans="6:23" x14ac:dyDescent="0.2">
      <c r="F180" s="439"/>
      <c r="G180" s="513"/>
      <c r="H180" s="513" t="e">
        <f>H65-#REF!</f>
        <v>#REF!</v>
      </c>
      <c r="I180" s="513" t="e">
        <f>I65-#REF!</f>
        <v>#REF!</v>
      </c>
      <c r="J180" s="513" t="e">
        <f>J65-#REF!</f>
        <v>#REF!</v>
      </c>
      <c r="K180" s="513" t="e">
        <f>K65-#REF!</f>
        <v>#REF!</v>
      </c>
      <c r="L180" s="513" t="e">
        <f>L65-#REF!</f>
        <v>#REF!</v>
      </c>
      <c r="M180" s="513" t="e">
        <f>M65-#REF!</f>
        <v>#REF!</v>
      </c>
      <c r="N180" s="513" t="e">
        <f>N65-#REF!</f>
        <v>#REF!</v>
      </c>
      <c r="O180" s="513" t="e">
        <f>O65-#REF!</f>
        <v>#REF!</v>
      </c>
      <c r="P180" s="513" t="e">
        <f>P65-#REF!</f>
        <v>#REF!</v>
      </c>
      <c r="Q180" s="513" t="e">
        <f>Q65-#REF!</f>
        <v>#REF!</v>
      </c>
      <c r="R180" s="513" t="e">
        <f>R65-#REF!</f>
        <v>#REF!</v>
      </c>
      <c r="S180" s="513" t="e">
        <f>S65-#REF!</f>
        <v>#REF!</v>
      </c>
      <c r="T180" s="513" t="e">
        <f>T65-#REF!</f>
        <v>#REF!</v>
      </c>
      <c r="U180" s="517"/>
      <c r="V180" s="517"/>
      <c r="W180" s="517"/>
    </row>
    <row r="181" spans="6:23" x14ac:dyDescent="0.2">
      <c r="F181" s="439"/>
      <c r="G181" s="513"/>
      <c r="H181" s="513" t="e">
        <f>#REF!-#REF!</f>
        <v>#REF!</v>
      </c>
      <c r="I181" s="513" t="e">
        <f>#REF!-#REF!</f>
        <v>#REF!</v>
      </c>
      <c r="J181" s="513" t="e">
        <f>#REF!-#REF!</f>
        <v>#REF!</v>
      </c>
      <c r="K181" s="513" t="e">
        <f>#REF!-#REF!</f>
        <v>#REF!</v>
      </c>
      <c r="L181" s="513" t="e">
        <f>#REF!-#REF!</f>
        <v>#REF!</v>
      </c>
      <c r="M181" s="513" t="e">
        <f>#REF!-#REF!</f>
        <v>#REF!</v>
      </c>
      <c r="N181" s="513" t="e">
        <f>#REF!-#REF!</f>
        <v>#REF!</v>
      </c>
      <c r="O181" s="513" t="e">
        <f>#REF!-#REF!</f>
        <v>#REF!</v>
      </c>
      <c r="P181" s="513" t="e">
        <f>#REF!-#REF!</f>
        <v>#REF!</v>
      </c>
      <c r="Q181" s="513" t="e">
        <f>#REF!-#REF!</f>
        <v>#REF!</v>
      </c>
      <c r="R181" s="513" t="e">
        <f>#REF!-#REF!</f>
        <v>#REF!</v>
      </c>
      <c r="S181" s="513" t="e">
        <f>#REF!-#REF!</f>
        <v>#REF!</v>
      </c>
      <c r="T181" s="513" t="e">
        <f>#REF!-#REF!</f>
        <v>#REF!</v>
      </c>
      <c r="U181" s="517"/>
      <c r="V181" s="517"/>
      <c r="W181" s="517"/>
    </row>
    <row r="182" spans="6:23" x14ac:dyDescent="0.2">
      <c r="F182" s="439"/>
      <c r="G182" s="513"/>
      <c r="H182" s="513" t="e">
        <f>H66-#REF!</f>
        <v>#REF!</v>
      </c>
      <c r="I182" s="513" t="e">
        <f>I66-#REF!</f>
        <v>#REF!</v>
      </c>
      <c r="J182" s="513" t="e">
        <f>J66-#REF!</f>
        <v>#REF!</v>
      </c>
      <c r="K182" s="513" t="e">
        <f>K66-#REF!</f>
        <v>#REF!</v>
      </c>
      <c r="L182" s="513" t="e">
        <f>L66-#REF!</f>
        <v>#REF!</v>
      </c>
      <c r="M182" s="513" t="e">
        <f>M66-#REF!</f>
        <v>#REF!</v>
      </c>
      <c r="N182" s="513" t="e">
        <f>N66-#REF!</f>
        <v>#REF!</v>
      </c>
      <c r="O182" s="513" t="e">
        <f>O66-#REF!</f>
        <v>#REF!</v>
      </c>
      <c r="P182" s="513" t="e">
        <f>P66-#REF!</f>
        <v>#REF!</v>
      </c>
      <c r="Q182" s="513" t="e">
        <f>Q66-#REF!</f>
        <v>#REF!</v>
      </c>
      <c r="R182" s="513" t="e">
        <f>R66-#REF!</f>
        <v>#REF!</v>
      </c>
      <c r="S182" s="513" t="e">
        <f>S66-#REF!</f>
        <v>#REF!</v>
      </c>
      <c r="T182" s="513" t="e">
        <f>T66-#REF!</f>
        <v>#REF!</v>
      </c>
      <c r="U182" s="517"/>
      <c r="V182" s="517"/>
      <c r="W182" s="517"/>
    </row>
    <row r="183" spans="6:23" x14ac:dyDescent="0.2">
      <c r="F183" s="439"/>
      <c r="G183" s="513"/>
      <c r="H183" s="513" t="e">
        <f>H67-#REF!</f>
        <v>#REF!</v>
      </c>
      <c r="I183" s="513" t="e">
        <f>I67-#REF!</f>
        <v>#REF!</v>
      </c>
      <c r="J183" s="513" t="e">
        <f>J67-#REF!</f>
        <v>#REF!</v>
      </c>
      <c r="K183" s="513" t="e">
        <f>K67-#REF!</f>
        <v>#REF!</v>
      </c>
      <c r="L183" s="513" t="e">
        <f>L67-#REF!</f>
        <v>#REF!</v>
      </c>
      <c r="M183" s="513" t="e">
        <f>M67-#REF!</f>
        <v>#REF!</v>
      </c>
      <c r="N183" s="513" t="e">
        <f>N67-#REF!</f>
        <v>#REF!</v>
      </c>
      <c r="O183" s="513" t="e">
        <f>O67-#REF!</f>
        <v>#REF!</v>
      </c>
      <c r="P183" s="513" t="e">
        <f>P67-#REF!</f>
        <v>#REF!</v>
      </c>
      <c r="Q183" s="513" t="e">
        <f>Q67-#REF!</f>
        <v>#REF!</v>
      </c>
      <c r="R183" s="513" t="e">
        <f>R67-#REF!</f>
        <v>#REF!</v>
      </c>
      <c r="S183" s="513" t="e">
        <f>S67-#REF!</f>
        <v>#REF!</v>
      </c>
      <c r="T183" s="513" t="e">
        <f>T67-#REF!</f>
        <v>#REF!</v>
      </c>
      <c r="U183" s="517"/>
      <c r="V183" s="517"/>
      <c r="W183" s="517"/>
    </row>
    <row r="184" spans="6:23" x14ac:dyDescent="0.2">
      <c r="F184" s="439"/>
      <c r="G184" s="513"/>
      <c r="H184" s="513" t="e">
        <f>H68-#REF!</f>
        <v>#REF!</v>
      </c>
      <c r="I184" s="513" t="e">
        <f>I68-#REF!</f>
        <v>#REF!</v>
      </c>
      <c r="J184" s="513" t="e">
        <f>J68-#REF!</f>
        <v>#REF!</v>
      </c>
      <c r="K184" s="513" t="e">
        <f>K68-#REF!</f>
        <v>#REF!</v>
      </c>
      <c r="L184" s="513" t="e">
        <f>L68-#REF!</f>
        <v>#REF!</v>
      </c>
      <c r="M184" s="513" t="e">
        <f>M68-#REF!</f>
        <v>#REF!</v>
      </c>
      <c r="N184" s="513" t="e">
        <f>N68-#REF!</f>
        <v>#REF!</v>
      </c>
      <c r="O184" s="513" t="e">
        <f>O68-#REF!</f>
        <v>#REF!</v>
      </c>
      <c r="P184" s="513" t="e">
        <f>P68-#REF!</f>
        <v>#REF!</v>
      </c>
      <c r="Q184" s="513" t="e">
        <f>Q68-#REF!</f>
        <v>#REF!</v>
      </c>
      <c r="R184" s="513" t="e">
        <f>R68-#REF!</f>
        <v>#REF!</v>
      </c>
      <c r="S184" s="513" t="e">
        <f>S68-#REF!</f>
        <v>#REF!</v>
      </c>
      <c r="T184" s="513" t="e">
        <f>T68-#REF!</f>
        <v>#REF!</v>
      </c>
      <c r="U184" s="517"/>
      <c r="V184" s="517"/>
      <c r="W184" s="517"/>
    </row>
    <row r="185" spans="6:23" x14ac:dyDescent="0.2">
      <c r="F185" s="439"/>
      <c r="G185" s="513"/>
      <c r="H185" s="513" t="e">
        <f>H69-#REF!</f>
        <v>#REF!</v>
      </c>
      <c r="I185" s="513" t="e">
        <f>I69-#REF!</f>
        <v>#REF!</v>
      </c>
      <c r="J185" s="513" t="e">
        <f>J69-#REF!</f>
        <v>#REF!</v>
      </c>
      <c r="K185" s="513" t="e">
        <f>K69-#REF!</f>
        <v>#REF!</v>
      </c>
      <c r="L185" s="513" t="e">
        <f>L69-#REF!</f>
        <v>#REF!</v>
      </c>
      <c r="M185" s="513" t="e">
        <f>M69-#REF!</f>
        <v>#REF!</v>
      </c>
      <c r="N185" s="513" t="e">
        <f>N69-#REF!</f>
        <v>#REF!</v>
      </c>
      <c r="O185" s="513" t="e">
        <f>O69-#REF!</f>
        <v>#REF!</v>
      </c>
      <c r="P185" s="513" t="e">
        <f>P69-#REF!</f>
        <v>#REF!</v>
      </c>
      <c r="Q185" s="513" t="e">
        <f>Q69-#REF!</f>
        <v>#REF!</v>
      </c>
      <c r="R185" s="513" t="e">
        <f>R69-#REF!</f>
        <v>#REF!</v>
      </c>
      <c r="S185" s="513" t="e">
        <f>S69-#REF!</f>
        <v>#REF!</v>
      </c>
      <c r="T185" s="513" t="e">
        <f>T69-#REF!</f>
        <v>#REF!</v>
      </c>
      <c r="U185" s="517"/>
      <c r="V185" s="517"/>
      <c r="W185" s="517"/>
    </row>
    <row r="186" spans="6:23" x14ac:dyDescent="0.2">
      <c r="F186" s="439"/>
      <c r="G186" s="513"/>
      <c r="H186" s="513" t="e">
        <f>H70-#REF!</f>
        <v>#REF!</v>
      </c>
      <c r="I186" s="513" t="e">
        <f>I70-#REF!</f>
        <v>#REF!</v>
      </c>
      <c r="J186" s="513" t="e">
        <f>J70-#REF!</f>
        <v>#REF!</v>
      </c>
      <c r="K186" s="513" t="e">
        <f>K70-#REF!</f>
        <v>#REF!</v>
      </c>
      <c r="L186" s="513" t="e">
        <f>L70-#REF!</f>
        <v>#REF!</v>
      </c>
      <c r="M186" s="513" t="e">
        <f>M70-#REF!</f>
        <v>#REF!</v>
      </c>
      <c r="N186" s="513" t="e">
        <f>N70-#REF!</f>
        <v>#REF!</v>
      </c>
      <c r="O186" s="513" t="e">
        <f>O70-#REF!</f>
        <v>#REF!</v>
      </c>
      <c r="P186" s="513" t="e">
        <f>P70-#REF!</f>
        <v>#REF!</v>
      </c>
      <c r="Q186" s="513" t="e">
        <f>Q70-#REF!</f>
        <v>#REF!</v>
      </c>
      <c r="R186" s="513" t="e">
        <f>R70-#REF!</f>
        <v>#REF!</v>
      </c>
      <c r="S186" s="513" t="e">
        <f>S70-#REF!</f>
        <v>#REF!</v>
      </c>
      <c r="T186" s="513" t="e">
        <f>T70-#REF!</f>
        <v>#REF!</v>
      </c>
      <c r="U186" s="517"/>
      <c r="V186" s="517"/>
      <c r="W186" s="517"/>
    </row>
    <row r="187" spans="6:23" x14ac:dyDescent="0.2">
      <c r="F187" s="439"/>
      <c r="G187" s="513"/>
      <c r="H187" s="513" t="e">
        <f>H71-#REF!</f>
        <v>#REF!</v>
      </c>
      <c r="I187" s="513" t="e">
        <f>I71-#REF!</f>
        <v>#REF!</v>
      </c>
      <c r="J187" s="513" t="e">
        <f>J71-#REF!</f>
        <v>#REF!</v>
      </c>
      <c r="K187" s="513" t="e">
        <f>K71-#REF!</f>
        <v>#REF!</v>
      </c>
      <c r="L187" s="513" t="e">
        <f>L71-#REF!</f>
        <v>#REF!</v>
      </c>
      <c r="M187" s="513" t="e">
        <f>M71-#REF!</f>
        <v>#REF!</v>
      </c>
      <c r="N187" s="513" t="e">
        <f>N71-#REF!</f>
        <v>#REF!</v>
      </c>
      <c r="O187" s="513" t="e">
        <f>O71-#REF!</f>
        <v>#REF!</v>
      </c>
      <c r="P187" s="513" t="e">
        <f>P71-#REF!</f>
        <v>#REF!</v>
      </c>
      <c r="Q187" s="513" t="e">
        <f>Q71-#REF!</f>
        <v>#REF!</v>
      </c>
      <c r="R187" s="513" t="e">
        <f>R71-#REF!</f>
        <v>#REF!</v>
      </c>
      <c r="S187" s="513" t="e">
        <f>S71-#REF!</f>
        <v>#REF!</v>
      </c>
      <c r="T187" s="513" t="e">
        <f>T71-#REF!</f>
        <v>#REF!</v>
      </c>
      <c r="U187" s="517"/>
      <c r="V187" s="517"/>
      <c r="W187" s="517"/>
    </row>
    <row r="188" spans="6:23" x14ac:dyDescent="0.2">
      <c r="F188" s="439"/>
      <c r="G188" s="513"/>
      <c r="H188" s="513" t="e">
        <f>H72-#REF!</f>
        <v>#REF!</v>
      </c>
      <c r="I188" s="513" t="e">
        <f>I72-#REF!</f>
        <v>#REF!</v>
      </c>
      <c r="J188" s="513" t="e">
        <f>J72-#REF!</f>
        <v>#REF!</v>
      </c>
      <c r="K188" s="513" t="e">
        <f>K72-#REF!</f>
        <v>#REF!</v>
      </c>
      <c r="L188" s="513" t="e">
        <f>L72-#REF!</f>
        <v>#REF!</v>
      </c>
      <c r="M188" s="513" t="e">
        <f>M72-#REF!</f>
        <v>#REF!</v>
      </c>
      <c r="N188" s="513" t="e">
        <f>N72-#REF!</f>
        <v>#REF!</v>
      </c>
      <c r="O188" s="513" t="e">
        <f>O72-#REF!</f>
        <v>#REF!</v>
      </c>
      <c r="P188" s="513" t="e">
        <f>P72-#REF!</f>
        <v>#REF!</v>
      </c>
      <c r="Q188" s="513" t="e">
        <f>Q72-#REF!</f>
        <v>#REF!</v>
      </c>
      <c r="R188" s="513" t="e">
        <f>R72-#REF!</f>
        <v>#REF!</v>
      </c>
      <c r="S188" s="513" t="e">
        <f>S72-#REF!</f>
        <v>#REF!</v>
      </c>
      <c r="T188" s="513" t="e">
        <f>T72-#REF!</f>
        <v>#REF!</v>
      </c>
      <c r="U188" s="517"/>
      <c r="V188" s="517"/>
      <c r="W188" s="517"/>
    </row>
    <row r="189" spans="6:23" x14ac:dyDescent="0.2">
      <c r="F189" s="439"/>
      <c r="G189" s="513"/>
      <c r="H189" s="513" t="e">
        <f>H73-#REF!</f>
        <v>#REF!</v>
      </c>
      <c r="I189" s="513" t="e">
        <f>I73-#REF!</f>
        <v>#REF!</v>
      </c>
      <c r="J189" s="513" t="e">
        <f>J73-#REF!</f>
        <v>#REF!</v>
      </c>
      <c r="K189" s="513" t="e">
        <f>K73-#REF!</f>
        <v>#REF!</v>
      </c>
      <c r="L189" s="513" t="e">
        <f>L73-#REF!</f>
        <v>#REF!</v>
      </c>
      <c r="M189" s="513" t="e">
        <f>M73-#REF!</f>
        <v>#REF!</v>
      </c>
      <c r="N189" s="513" t="e">
        <f>N73-#REF!</f>
        <v>#REF!</v>
      </c>
      <c r="O189" s="513" t="e">
        <f>O73-#REF!</f>
        <v>#REF!</v>
      </c>
      <c r="P189" s="513" t="e">
        <f>P73-#REF!</f>
        <v>#REF!</v>
      </c>
      <c r="Q189" s="513" t="e">
        <f>Q73-#REF!</f>
        <v>#REF!</v>
      </c>
      <c r="R189" s="513" t="e">
        <f>R73-#REF!</f>
        <v>#REF!</v>
      </c>
      <c r="S189" s="513" t="e">
        <f>S73-#REF!</f>
        <v>#REF!</v>
      </c>
      <c r="T189" s="513" t="e">
        <f>T73-#REF!</f>
        <v>#REF!</v>
      </c>
      <c r="U189" s="517"/>
      <c r="V189" s="517"/>
      <c r="W189" s="517"/>
    </row>
    <row r="190" spans="6:23" x14ac:dyDescent="0.2">
      <c r="F190" s="439"/>
      <c r="G190" s="513"/>
      <c r="H190" s="513" t="e">
        <f>H74-#REF!</f>
        <v>#REF!</v>
      </c>
      <c r="I190" s="513" t="e">
        <f>I74-#REF!</f>
        <v>#REF!</v>
      </c>
      <c r="J190" s="513" t="e">
        <f>J74-#REF!</f>
        <v>#REF!</v>
      </c>
      <c r="K190" s="513" t="e">
        <f>K74-#REF!</f>
        <v>#REF!</v>
      </c>
      <c r="L190" s="513" t="e">
        <f>L74-#REF!</f>
        <v>#REF!</v>
      </c>
      <c r="M190" s="513" t="e">
        <f>M74-#REF!</f>
        <v>#REF!</v>
      </c>
      <c r="N190" s="513" t="e">
        <f>N74-#REF!</f>
        <v>#REF!</v>
      </c>
      <c r="O190" s="513" t="e">
        <f>O74-#REF!</f>
        <v>#REF!</v>
      </c>
      <c r="P190" s="513" t="e">
        <f>P74-#REF!</f>
        <v>#REF!</v>
      </c>
      <c r="Q190" s="513" t="e">
        <f>Q74-#REF!</f>
        <v>#REF!</v>
      </c>
      <c r="R190" s="513" t="e">
        <f>R74-#REF!</f>
        <v>#REF!</v>
      </c>
      <c r="S190" s="513" t="e">
        <f>S74-#REF!</f>
        <v>#REF!</v>
      </c>
      <c r="T190" s="513" t="e">
        <f>T74-#REF!</f>
        <v>#REF!</v>
      </c>
      <c r="U190" s="517"/>
      <c r="V190" s="517"/>
      <c r="W190" s="517"/>
    </row>
    <row r="191" spans="6:23" x14ac:dyDescent="0.2">
      <c r="F191" s="439"/>
      <c r="G191" s="513"/>
      <c r="H191" s="513" t="e">
        <f>H75-#REF!</f>
        <v>#REF!</v>
      </c>
      <c r="I191" s="513" t="e">
        <f>I75-#REF!</f>
        <v>#REF!</v>
      </c>
      <c r="J191" s="513" t="e">
        <f>J75-#REF!</f>
        <v>#REF!</v>
      </c>
      <c r="K191" s="513" t="e">
        <f>K75-#REF!</f>
        <v>#REF!</v>
      </c>
      <c r="L191" s="513" t="e">
        <f>L75-#REF!</f>
        <v>#REF!</v>
      </c>
      <c r="M191" s="513" t="e">
        <f>M75-#REF!</f>
        <v>#REF!</v>
      </c>
      <c r="N191" s="513" t="e">
        <f>N75-#REF!</f>
        <v>#REF!</v>
      </c>
      <c r="O191" s="513" t="e">
        <f>O75-#REF!</f>
        <v>#REF!</v>
      </c>
      <c r="P191" s="513" t="e">
        <f>P75-#REF!</f>
        <v>#REF!</v>
      </c>
      <c r="Q191" s="513" t="e">
        <f>Q75-#REF!</f>
        <v>#REF!</v>
      </c>
      <c r="R191" s="513" t="e">
        <f>R75-#REF!</f>
        <v>#REF!</v>
      </c>
      <c r="S191" s="513" t="e">
        <f>S75-#REF!</f>
        <v>#REF!</v>
      </c>
      <c r="T191" s="513" t="e">
        <f>T75-#REF!</f>
        <v>#REF!</v>
      </c>
      <c r="U191" s="517"/>
      <c r="V191" s="517"/>
      <c r="W191" s="517"/>
    </row>
    <row r="192" spans="6:23" x14ac:dyDescent="0.2">
      <c r="F192" s="439"/>
      <c r="G192" s="513"/>
      <c r="H192" s="513" t="e">
        <f>H76-#REF!</f>
        <v>#REF!</v>
      </c>
      <c r="I192" s="513" t="e">
        <f>I76-#REF!</f>
        <v>#REF!</v>
      </c>
      <c r="J192" s="513" t="e">
        <f>J76-#REF!</f>
        <v>#REF!</v>
      </c>
      <c r="K192" s="513" t="e">
        <f>K76-#REF!</f>
        <v>#REF!</v>
      </c>
      <c r="L192" s="513" t="e">
        <f>L76-#REF!</f>
        <v>#REF!</v>
      </c>
      <c r="M192" s="513" t="e">
        <f>M76-#REF!</f>
        <v>#REF!</v>
      </c>
      <c r="N192" s="513" t="e">
        <f>N76-#REF!</f>
        <v>#REF!</v>
      </c>
      <c r="O192" s="513" t="e">
        <f>O76-#REF!</f>
        <v>#REF!</v>
      </c>
      <c r="P192" s="513" t="e">
        <f>P76-#REF!</f>
        <v>#REF!</v>
      </c>
      <c r="Q192" s="513" t="e">
        <f>Q76-#REF!</f>
        <v>#REF!</v>
      </c>
      <c r="R192" s="513" t="e">
        <f>R76-#REF!</f>
        <v>#REF!</v>
      </c>
      <c r="S192" s="513" t="e">
        <f>S76-#REF!</f>
        <v>#REF!</v>
      </c>
      <c r="T192" s="513" t="e">
        <f>T76-#REF!</f>
        <v>#REF!</v>
      </c>
      <c r="U192" s="517"/>
      <c r="V192" s="517"/>
      <c r="W192" s="517"/>
    </row>
    <row r="193" spans="6:23" x14ac:dyDescent="0.2">
      <c r="F193" s="439"/>
      <c r="G193" s="513"/>
      <c r="H193" s="513" t="e">
        <f>H77-#REF!</f>
        <v>#REF!</v>
      </c>
      <c r="I193" s="513" t="e">
        <f>I77-#REF!</f>
        <v>#REF!</v>
      </c>
      <c r="J193" s="513" t="e">
        <f>J77-#REF!</f>
        <v>#REF!</v>
      </c>
      <c r="K193" s="513" t="e">
        <f>K77-#REF!</f>
        <v>#REF!</v>
      </c>
      <c r="L193" s="513" t="e">
        <f>L77-#REF!</f>
        <v>#REF!</v>
      </c>
      <c r="M193" s="513" t="e">
        <f>M77-#REF!</f>
        <v>#REF!</v>
      </c>
      <c r="N193" s="513" t="e">
        <f>N77-#REF!</f>
        <v>#REF!</v>
      </c>
      <c r="O193" s="513" t="e">
        <f>O77-#REF!</f>
        <v>#REF!</v>
      </c>
      <c r="P193" s="513" t="e">
        <f>P77-#REF!</f>
        <v>#REF!</v>
      </c>
      <c r="Q193" s="513" t="e">
        <f>Q77-#REF!</f>
        <v>#REF!</v>
      </c>
      <c r="R193" s="513" t="e">
        <f>R77-#REF!</f>
        <v>#REF!</v>
      </c>
      <c r="S193" s="513" t="e">
        <f>S77-#REF!</f>
        <v>#REF!</v>
      </c>
      <c r="T193" s="513" t="e">
        <f>T77-#REF!</f>
        <v>#REF!</v>
      </c>
      <c r="U193" s="517"/>
      <c r="V193" s="517"/>
      <c r="W193" s="517"/>
    </row>
    <row r="194" spans="6:23" x14ac:dyDescent="0.2">
      <c r="F194" s="439"/>
      <c r="G194" s="513"/>
      <c r="H194" s="513" t="e">
        <f>H78-#REF!</f>
        <v>#REF!</v>
      </c>
      <c r="I194" s="513" t="e">
        <f>I78-#REF!</f>
        <v>#REF!</v>
      </c>
      <c r="J194" s="513" t="e">
        <f>J78-#REF!</f>
        <v>#REF!</v>
      </c>
      <c r="K194" s="513" t="e">
        <f>K78-#REF!</f>
        <v>#REF!</v>
      </c>
      <c r="L194" s="513" t="e">
        <f>L78-#REF!</f>
        <v>#REF!</v>
      </c>
      <c r="M194" s="513" t="e">
        <f>M78-#REF!</f>
        <v>#REF!</v>
      </c>
      <c r="N194" s="513" t="e">
        <f>N78-#REF!</f>
        <v>#REF!</v>
      </c>
      <c r="O194" s="513" t="e">
        <f>O78-#REF!</f>
        <v>#REF!</v>
      </c>
      <c r="P194" s="513" t="e">
        <f>P78-#REF!</f>
        <v>#REF!</v>
      </c>
      <c r="Q194" s="513" t="e">
        <f>Q78-#REF!</f>
        <v>#REF!</v>
      </c>
      <c r="R194" s="513" t="e">
        <f>R78-#REF!</f>
        <v>#REF!</v>
      </c>
      <c r="S194" s="513" t="e">
        <f>S78-#REF!</f>
        <v>#REF!</v>
      </c>
      <c r="T194" s="513" t="e">
        <f>T78-#REF!</f>
        <v>#REF!</v>
      </c>
      <c r="U194" s="517"/>
      <c r="V194" s="517"/>
      <c r="W194" s="517"/>
    </row>
    <row r="195" spans="6:23" x14ac:dyDescent="0.2">
      <c r="F195" s="439"/>
      <c r="G195" s="513"/>
      <c r="H195" s="513" t="e">
        <f>H79-#REF!</f>
        <v>#REF!</v>
      </c>
      <c r="I195" s="513" t="e">
        <f>I79-#REF!</f>
        <v>#REF!</v>
      </c>
      <c r="J195" s="513" t="e">
        <f>J79-#REF!</f>
        <v>#REF!</v>
      </c>
      <c r="K195" s="513" t="e">
        <f>K79-#REF!</f>
        <v>#REF!</v>
      </c>
      <c r="L195" s="513" t="e">
        <f>L79-#REF!</f>
        <v>#REF!</v>
      </c>
      <c r="M195" s="513" t="e">
        <f>M79-#REF!</f>
        <v>#REF!</v>
      </c>
      <c r="N195" s="513" t="e">
        <f>N79-#REF!</f>
        <v>#REF!</v>
      </c>
      <c r="O195" s="513" t="e">
        <f>O79-#REF!</f>
        <v>#REF!</v>
      </c>
      <c r="P195" s="513" t="e">
        <f>P79-#REF!</f>
        <v>#REF!</v>
      </c>
      <c r="Q195" s="513" t="e">
        <f>Q79-#REF!</f>
        <v>#REF!</v>
      </c>
      <c r="R195" s="513" t="e">
        <f>R79-#REF!</f>
        <v>#REF!</v>
      </c>
      <c r="S195" s="513" t="e">
        <f>S79-#REF!</f>
        <v>#REF!</v>
      </c>
      <c r="T195" s="513" t="e">
        <f>T79-#REF!</f>
        <v>#REF!</v>
      </c>
      <c r="U195" s="517"/>
      <c r="V195" s="517"/>
      <c r="W195" s="517"/>
    </row>
    <row r="196" spans="6:23" x14ac:dyDescent="0.2">
      <c r="F196" s="439"/>
      <c r="G196" s="513"/>
      <c r="H196" s="513" t="e">
        <f>H80-#REF!</f>
        <v>#REF!</v>
      </c>
      <c r="I196" s="513" t="e">
        <f>I80-#REF!</f>
        <v>#REF!</v>
      </c>
      <c r="J196" s="513" t="e">
        <f>J80-#REF!</f>
        <v>#REF!</v>
      </c>
      <c r="K196" s="513" t="e">
        <f>K80-#REF!</f>
        <v>#REF!</v>
      </c>
      <c r="L196" s="513" t="e">
        <f>L80-#REF!</f>
        <v>#REF!</v>
      </c>
      <c r="M196" s="513" t="e">
        <f>M80-#REF!</f>
        <v>#REF!</v>
      </c>
      <c r="N196" s="513" t="e">
        <f>N80-#REF!</f>
        <v>#REF!</v>
      </c>
      <c r="O196" s="513" t="e">
        <f>O80-#REF!</f>
        <v>#REF!</v>
      </c>
      <c r="P196" s="513" t="e">
        <f>P80-#REF!</f>
        <v>#REF!</v>
      </c>
      <c r="Q196" s="513" t="e">
        <f>Q80-#REF!</f>
        <v>#REF!</v>
      </c>
      <c r="R196" s="513" t="e">
        <f>R80-#REF!</f>
        <v>#REF!</v>
      </c>
      <c r="S196" s="513" t="e">
        <f>S80-#REF!</f>
        <v>#REF!</v>
      </c>
      <c r="T196" s="513" t="e">
        <f>T80-#REF!</f>
        <v>#REF!</v>
      </c>
      <c r="U196" s="517"/>
      <c r="V196" s="517"/>
      <c r="W196" s="517"/>
    </row>
    <row r="197" spans="6:23" x14ac:dyDescent="0.2">
      <c r="F197" s="439"/>
      <c r="G197" s="513"/>
      <c r="H197" s="513" t="e">
        <f>H81-#REF!</f>
        <v>#REF!</v>
      </c>
      <c r="I197" s="513" t="e">
        <f>I81-#REF!</f>
        <v>#REF!</v>
      </c>
      <c r="J197" s="513" t="e">
        <f>J81-#REF!</f>
        <v>#REF!</v>
      </c>
      <c r="K197" s="513" t="e">
        <f>K81-#REF!</f>
        <v>#REF!</v>
      </c>
      <c r="L197" s="513" t="e">
        <f>L81-#REF!</f>
        <v>#REF!</v>
      </c>
      <c r="M197" s="513" t="e">
        <f>M81-#REF!</f>
        <v>#REF!</v>
      </c>
      <c r="N197" s="513" t="e">
        <f>N81-#REF!</f>
        <v>#REF!</v>
      </c>
      <c r="O197" s="513" t="e">
        <f>O81-#REF!</f>
        <v>#REF!</v>
      </c>
      <c r="P197" s="513" t="e">
        <f>P81-#REF!</f>
        <v>#REF!</v>
      </c>
      <c r="Q197" s="513" t="e">
        <f>Q81-#REF!</f>
        <v>#REF!</v>
      </c>
      <c r="R197" s="513" t="e">
        <f>R81-#REF!</f>
        <v>#REF!</v>
      </c>
      <c r="S197" s="513" t="e">
        <f>S81-#REF!</f>
        <v>#REF!</v>
      </c>
      <c r="T197" s="513" t="e">
        <f>T81-#REF!</f>
        <v>#REF!</v>
      </c>
      <c r="U197" s="517"/>
      <c r="V197" s="517"/>
      <c r="W197" s="517"/>
    </row>
    <row r="198" spans="6:23" x14ac:dyDescent="0.2">
      <c r="F198" s="439"/>
      <c r="G198" s="513"/>
      <c r="H198" s="513" t="e">
        <f>H82-#REF!</f>
        <v>#REF!</v>
      </c>
      <c r="I198" s="513" t="e">
        <f>I82-#REF!</f>
        <v>#REF!</v>
      </c>
      <c r="J198" s="513" t="e">
        <f>J82-#REF!</f>
        <v>#REF!</v>
      </c>
      <c r="K198" s="513" t="e">
        <f>K82-#REF!</f>
        <v>#REF!</v>
      </c>
      <c r="L198" s="513" t="e">
        <f>L82-#REF!</f>
        <v>#REF!</v>
      </c>
      <c r="M198" s="513" t="e">
        <f>M82-#REF!</f>
        <v>#REF!</v>
      </c>
      <c r="N198" s="513" t="e">
        <f>N82-#REF!</f>
        <v>#REF!</v>
      </c>
      <c r="O198" s="513" t="e">
        <f>O82-#REF!</f>
        <v>#REF!</v>
      </c>
      <c r="P198" s="513" t="e">
        <f>P82-#REF!</f>
        <v>#REF!</v>
      </c>
      <c r="Q198" s="513" t="e">
        <f>Q82-#REF!</f>
        <v>#REF!</v>
      </c>
      <c r="R198" s="513" t="e">
        <f>R82-#REF!</f>
        <v>#REF!</v>
      </c>
      <c r="S198" s="513" t="e">
        <f>S82-#REF!</f>
        <v>#REF!</v>
      </c>
      <c r="T198" s="513" t="e">
        <f>T82-#REF!</f>
        <v>#REF!</v>
      </c>
      <c r="U198" s="517"/>
      <c r="V198" s="517"/>
      <c r="W198" s="517"/>
    </row>
    <row r="199" spans="6:23" x14ac:dyDescent="0.2">
      <c r="F199" s="439"/>
      <c r="G199" s="513"/>
      <c r="H199" s="513" t="e">
        <f>H83-#REF!</f>
        <v>#REF!</v>
      </c>
      <c r="I199" s="513" t="e">
        <f>I83-#REF!</f>
        <v>#REF!</v>
      </c>
      <c r="J199" s="513" t="e">
        <f>J83-#REF!</f>
        <v>#REF!</v>
      </c>
      <c r="K199" s="513" t="e">
        <f>K83-#REF!</f>
        <v>#REF!</v>
      </c>
      <c r="L199" s="513" t="e">
        <f>L83-#REF!</f>
        <v>#REF!</v>
      </c>
      <c r="M199" s="513" t="e">
        <f>M83-#REF!</f>
        <v>#REF!</v>
      </c>
      <c r="N199" s="513" t="e">
        <f>N83-#REF!</f>
        <v>#REF!</v>
      </c>
      <c r="O199" s="513" t="e">
        <f>O83-#REF!</f>
        <v>#REF!</v>
      </c>
      <c r="P199" s="513" t="e">
        <f>P83-#REF!</f>
        <v>#REF!</v>
      </c>
      <c r="Q199" s="513" t="e">
        <f>Q83-#REF!</f>
        <v>#REF!</v>
      </c>
      <c r="R199" s="513" t="e">
        <f>R83-#REF!</f>
        <v>#REF!</v>
      </c>
      <c r="S199" s="513" t="e">
        <f>S83-#REF!</f>
        <v>#REF!</v>
      </c>
      <c r="T199" s="513" t="e">
        <f>T83-#REF!</f>
        <v>#REF!</v>
      </c>
      <c r="U199" s="517"/>
      <c r="V199" s="517"/>
      <c r="W199" s="517"/>
    </row>
    <row r="200" spans="6:23" x14ac:dyDescent="0.2">
      <c r="F200" s="439"/>
      <c r="G200" s="513"/>
      <c r="H200" s="513" t="e">
        <f>H84-#REF!</f>
        <v>#REF!</v>
      </c>
      <c r="I200" s="513" t="e">
        <f>I84-#REF!</f>
        <v>#REF!</v>
      </c>
      <c r="J200" s="513" t="e">
        <f>J84-#REF!</f>
        <v>#REF!</v>
      </c>
      <c r="K200" s="513" t="e">
        <f>K84-#REF!</f>
        <v>#REF!</v>
      </c>
      <c r="L200" s="513" t="e">
        <f>L84-#REF!</f>
        <v>#REF!</v>
      </c>
      <c r="M200" s="513" t="e">
        <f>M84-#REF!</f>
        <v>#REF!</v>
      </c>
      <c r="N200" s="513" t="e">
        <f>N84-#REF!</f>
        <v>#REF!</v>
      </c>
      <c r="O200" s="513" t="e">
        <f>O84-#REF!</f>
        <v>#REF!</v>
      </c>
      <c r="P200" s="513" t="e">
        <f>P84-#REF!</f>
        <v>#REF!</v>
      </c>
      <c r="Q200" s="513" t="e">
        <f>Q84-#REF!</f>
        <v>#REF!</v>
      </c>
      <c r="R200" s="513" t="e">
        <f>R84-#REF!</f>
        <v>#REF!</v>
      </c>
      <c r="S200" s="513" t="e">
        <f>S84-#REF!</f>
        <v>#REF!</v>
      </c>
      <c r="T200" s="513" t="e">
        <f>T84-#REF!</f>
        <v>#REF!</v>
      </c>
      <c r="U200" s="517"/>
      <c r="V200" s="517"/>
      <c r="W200" s="517"/>
    </row>
    <row r="201" spans="6:23" x14ac:dyDescent="0.2">
      <c r="F201" s="439"/>
      <c r="G201" s="513"/>
      <c r="H201" s="513" t="e">
        <f>H85-#REF!</f>
        <v>#REF!</v>
      </c>
      <c r="I201" s="513" t="e">
        <f>I85-#REF!</f>
        <v>#REF!</v>
      </c>
      <c r="J201" s="513" t="e">
        <f>J85-#REF!</f>
        <v>#REF!</v>
      </c>
      <c r="K201" s="513" t="e">
        <f>K85-#REF!</f>
        <v>#REF!</v>
      </c>
      <c r="L201" s="513" t="e">
        <f>L85-#REF!</f>
        <v>#REF!</v>
      </c>
      <c r="M201" s="513" t="e">
        <f>M85-#REF!</f>
        <v>#REF!</v>
      </c>
      <c r="N201" s="513" t="e">
        <f>N85-#REF!</f>
        <v>#REF!</v>
      </c>
      <c r="O201" s="513" t="e">
        <f>O85-#REF!</f>
        <v>#REF!</v>
      </c>
      <c r="P201" s="513" t="e">
        <f>P85-#REF!</f>
        <v>#REF!</v>
      </c>
      <c r="Q201" s="513" t="e">
        <f>Q85-#REF!</f>
        <v>#REF!</v>
      </c>
      <c r="R201" s="513" t="e">
        <f>R85-#REF!</f>
        <v>#REF!</v>
      </c>
      <c r="S201" s="513" t="e">
        <f>S85-#REF!</f>
        <v>#REF!</v>
      </c>
      <c r="T201" s="513" t="e">
        <f>T85-#REF!</f>
        <v>#REF!</v>
      </c>
      <c r="U201" s="517"/>
      <c r="V201" s="517"/>
      <c r="W201" s="517"/>
    </row>
    <row r="202" spans="6:23" x14ac:dyDescent="0.2">
      <c r="F202" s="439"/>
      <c r="G202" s="513"/>
      <c r="H202" s="513" t="e">
        <f>H86-#REF!</f>
        <v>#REF!</v>
      </c>
      <c r="I202" s="513" t="e">
        <f>I86-#REF!</f>
        <v>#REF!</v>
      </c>
      <c r="J202" s="513" t="e">
        <f>J86-#REF!</f>
        <v>#REF!</v>
      </c>
      <c r="K202" s="513" t="e">
        <f>K86-#REF!</f>
        <v>#REF!</v>
      </c>
      <c r="L202" s="513" t="e">
        <f>L86-#REF!</f>
        <v>#REF!</v>
      </c>
      <c r="M202" s="513" t="e">
        <f>M86-#REF!</f>
        <v>#REF!</v>
      </c>
      <c r="N202" s="513" t="e">
        <f>N86-#REF!</f>
        <v>#REF!</v>
      </c>
      <c r="O202" s="513" t="e">
        <f>O86-#REF!</f>
        <v>#REF!</v>
      </c>
      <c r="P202" s="513" t="e">
        <f>P86-#REF!</f>
        <v>#REF!</v>
      </c>
      <c r="Q202" s="513" t="e">
        <f>Q86-#REF!</f>
        <v>#REF!</v>
      </c>
      <c r="R202" s="513" t="e">
        <f>R86-#REF!</f>
        <v>#REF!</v>
      </c>
      <c r="S202" s="513" t="e">
        <f>S86-#REF!</f>
        <v>#REF!</v>
      </c>
      <c r="T202" s="513" t="e">
        <f>T86-#REF!</f>
        <v>#REF!</v>
      </c>
      <c r="U202" s="517"/>
      <c r="V202" s="517"/>
      <c r="W202" s="517"/>
    </row>
    <row r="203" spans="6:23" x14ac:dyDescent="0.2">
      <c r="F203" s="439"/>
      <c r="G203" s="513"/>
      <c r="H203" s="513" t="e">
        <f>H87-#REF!</f>
        <v>#REF!</v>
      </c>
      <c r="I203" s="513" t="e">
        <f>I87-#REF!</f>
        <v>#REF!</v>
      </c>
      <c r="J203" s="513" t="e">
        <f>J87-#REF!</f>
        <v>#REF!</v>
      </c>
      <c r="K203" s="513" t="e">
        <f>K87-#REF!</f>
        <v>#REF!</v>
      </c>
      <c r="L203" s="513" t="e">
        <f>L87-#REF!</f>
        <v>#REF!</v>
      </c>
      <c r="M203" s="513" t="e">
        <f>M87-#REF!</f>
        <v>#REF!</v>
      </c>
      <c r="N203" s="513" t="e">
        <f>N87-#REF!</f>
        <v>#REF!</v>
      </c>
      <c r="O203" s="513" t="e">
        <f>O87-#REF!</f>
        <v>#REF!</v>
      </c>
      <c r="P203" s="513" t="e">
        <f>P87-#REF!</f>
        <v>#REF!</v>
      </c>
      <c r="Q203" s="513" t="e">
        <f>Q87-#REF!</f>
        <v>#REF!</v>
      </c>
      <c r="R203" s="513" t="e">
        <f>R87-#REF!</f>
        <v>#REF!</v>
      </c>
      <c r="S203" s="513" t="e">
        <f>S87-#REF!</f>
        <v>#REF!</v>
      </c>
      <c r="T203" s="513" t="e">
        <f>T87-#REF!</f>
        <v>#REF!</v>
      </c>
      <c r="U203" s="517"/>
      <c r="V203" s="517"/>
      <c r="W203" s="517"/>
    </row>
    <row r="204" spans="6:23" x14ac:dyDescent="0.2">
      <c r="F204" s="439"/>
      <c r="G204" s="513"/>
      <c r="H204" s="513" t="e">
        <f>H88-#REF!</f>
        <v>#REF!</v>
      </c>
      <c r="I204" s="513" t="e">
        <f>I88-#REF!</f>
        <v>#REF!</v>
      </c>
      <c r="J204" s="513" t="e">
        <f>J88-#REF!</f>
        <v>#REF!</v>
      </c>
      <c r="K204" s="513" t="e">
        <f>K88-#REF!</f>
        <v>#REF!</v>
      </c>
      <c r="L204" s="513" t="e">
        <f>L88-#REF!</f>
        <v>#REF!</v>
      </c>
      <c r="M204" s="513" t="e">
        <f>M88-#REF!</f>
        <v>#REF!</v>
      </c>
      <c r="N204" s="513" t="e">
        <f>N88-#REF!</f>
        <v>#REF!</v>
      </c>
      <c r="O204" s="513" t="e">
        <f>O88-#REF!</f>
        <v>#REF!</v>
      </c>
      <c r="P204" s="513" t="e">
        <f>P88-#REF!</f>
        <v>#REF!</v>
      </c>
      <c r="Q204" s="513" t="e">
        <f>Q88-#REF!</f>
        <v>#REF!</v>
      </c>
      <c r="R204" s="513" t="e">
        <f>R88-#REF!</f>
        <v>#REF!</v>
      </c>
      <c r="S204" s="513" t="e">
        <f>S88-#REF!</f>
        <v>#REF!</v>
      </c>
      <c r="T204" s="513" t="e">
        <f>T88-#REF!</f>
        <v>#REF!</v>
      </c>
      <c r="U204" s="517"/>
      <c r="V204" s="517"/>
      <c r="W204" s="517"/>
    </row>
    <row r="205" spans="6:23" x14ac:dyDescent="0.2">
      <c r="F205" s="439"/>
      <c r="G205" s="513"/>
      <c r="H205" s="513" t="e">
        <f>H89-#REF!</f>
        <v>#REF!</v>
      </c>
      <c r="I205" s="513" t="e">
        <f>I89-#REF!</f>
        <v>#REF!</v>
      </c>
      <c r="J205" s="513" t="e">
        <f>J89-#REF!</f>
        <v>#REF!</v>
      </c>
      <c r="K205" s="513" t="e">
        <f>K89-#REF!</f>
        <v>#REF!</v>
      </c>
      <c r="L205" s="513" t="e">
        <f>L89-#REF!</f>
        <v>#REF!</v>
      </c>
      <c r="M205" s="513" t="e">
        <f>M89-#REF!</f>
        <v>#REF!</v>
      </c>
      <c r="N205" s="513" t="e">
        <f>N89-#REF!</f>
        <v>#REF!</v>
      </c>
      <c r="O205" s="513" t="e">
        <f>O89-#REF!</f>
        <v>#REF!</v>
      </c>
      <c r="P205" s="513" t="e">
        <f>P89-#REF!</f>
        <v>#REF!</v>
      </c>
      <c r="Q205" s="513" t="e">
        <f>Q89-#REF!</f>
        <v>#REF!</v>
      </c>
      <c r="R205" s="513" t="e">
        <f>R89-#REF!</f>
        <v>#REF!</v>
      </c>
      <c r="S205" s="513" t="e">
        <f>S89-#REF!</f>
        <v>#REF!</v>
      </c>
      <c r="T205" s="513" t="e">
        <f>T89-#REF!</f>
        <v>#REF!</v>
      </c>
      <c r="U205" s="517"/>
      <c r="V205" s="517"/>
      <c r="W205" s="517"/>
    </row>
    <row r="206" spans="6:23" x14ac:dyDescent="0.2">
      <c r="F206" s="439"/>
      <c r="G206" s="513"/>
      <c r="H206" s="513" t="e">
        <f>H90-#REF!</f>
        <v>#REF!</v>
      </c>
      <c r="I206" s="513" t="e">
        <f>I90-#REF!</f>
        <v>#REF!</v>
      </c>
      <c r="J206" s="513" t="e">
        <f>J90-#REF!</f>
        <v>#REF!</v>
      </c>
      <c r="K206" s="513" t="e">
        <f>K90-#REF!</f>
        <v>#REF!</v>
      </c>
      <c r="L206" s="513" t="e">
        <f>L90-#REF!</f>
        <v>#REF!</v>
      </c>
      <c r="M206" s="513" t="e">
        <f>M90-#REF!</f>
        <v>#REF!</v>
      </c>
      <c r="N206" s="513" t="e">
        <f>N90-#REF!</f>
        <v>#REF!</v>
      </c>
      <c r="O206" s="513" t="e">
        <f>O90-#REF!</f>
        <v>#REF!</v>
      </c>
      <c r="P206" s="513" t="e">
        <f>P90-#REF!</f>
        <v>#REF!</v>
      </c>
      <c r="Q206" s="513" t="e">
        <f>Q90-#REF!</f>
        <v>#REF!</v>
      </c>
      <c r="R206" s="513" t="e">
        <f>R90-#REF!</f>
        <v>#REF!</v>
      </c>
      <c r="S206" s="513" t="e">
        <f>S90-#REF!</f>
        <v>#REF!</v>
      </c>
      <c r="T206" s="513" t="e">
        <f>T90-#REF!</f>
        <v>#REF!</v>
      </c>
      <c r="U206" s="517"/>
      <c r="V206" s="517"/>
      <c r="W206" s="517"/>
    </row>
    <row r="207" spans="6:23" x14ac:dyDescent="0.2">
      <c r="F207" s="439"/>
      <c r="G207" s="513"/>
      <c r="H207" s="513" t="e">
        <f>H91-#REF!</f>
        <v>#REF!</v>
      </c>
      <c r="I207" s="513" t="e">
        <f>I91-#REF!</f>
        <v>#REF!</v>
      </c>
      <c r="J207" s="513" t="e">
        <f>J91-#REF!</f>
        <v>#REF!</v>
      </c>
      <c r="K207" s="513" t="e">
        <f>K91-#REF!</f>
        <v>#REF!</v>
      </c>
      <c r="L207" s="513" t="e">
        <f>L91-#REF!</f>
        <v>#REF!</v>
      </c>
      <c r="M207" s="513" t="e">
        <f>M91-#REF!</f>
        <v>#REF!</v>
      </c>
      <c r="N207" s="513" t="e">
        <f>N91-#REF!</f>
        <v>#REF!</v>
      </c>
      <c r="O207" s="513" t="e">
        <f>O91-#REF!</f>
        <v>#REF!</v>
      </c>
      <c r="P207" s="513" t="e">
        <f>P91-#REF!</f>
        <v>#REF!</v>
      </c>
      <c r="Q207" s="513" t="e">
        <f>Q91-#REF!</f>
        <v>#REF!</v>
      </c>
      <c r="R207" s="513" t="e">
        <f>R91-#REF!</f>
        <v>#REF!</v>
      </c>
      <c r="S207" s="513" t="e">
        <f>S91-#REF!</f>
        <v>#REF!</v>
      </c>
      <c r="T207" s="513" t="e">
        <f>T91-#REF!</f>
        <v>#REF!</v>
      </c>
      <c r="U207" s="517"/>
      <c r="V207" s="517"/>
      <c r="W207" s="517"/>
    </row>
    <row r="208" spans="6:23" x14ac:dyDescent="0.2">
      <c r="F208" s="439"/>
      <c r="G208" s="513"/>
      <c r="H208" s="513" t="e">
        <f>H92-#REF!</f>
        <v>#REF!</v>
      </c>
      <c r="I208" s="513" t="e">
        <f>I92-#REF!</f>
        <v>#REF!</v>
      </c>
      <c r="J208" s="513" t="e">
        <f>J92-#REF!</f>
        <v>#REF!</v>
      </c>
      <c r="K208" s="513" t="e">
        <f>K92-#REF!</f>
        <v>#REF!</v>
      </c>
      <c r="L208" s="513" t="e">
        <f>L92-#REF!</f>
        <v>#REF!</v>
      </c>
      <c r="M208" s="513" t="e">
        <f>M92-#REF!</f>
        <v>#REF!</v>
      </c>
      <c r="N208" s="513" t="e">
        <f>N92-#REF!</f>
        <v>#REF!</v>
      </c>
      <c r="O208" s="513" t="e">
        <f>O92-#REF!</f>
        <v>#REF!</v>
      </c>
      <c r="P208" s="513" t="e">
        <f>P92-#REF!</f>
        <v>#REF!</v>
      </c>
      <c r="Q208" s="513" t="e">
        <f>Q92-#REF!</f>
        <v>#REF!</v>
      </c>
      <c r="R208" s="513" t="e">
        <f>R92-#REF!</f>
        <v>#REF!</v>
      </c>
      <c r="S208" s="513" t="e">
        <f>S92-#REF!</f>
        <v>#REF!</v>
      </c>
      <c r="T208" s="513" t="e">
        <f>T92-#REF!</f>
        <v>#REF!</v>
      </c>
      <c r="U208" s="517"/>
      <c r="V208" s="517"/>
      <c r="W208" s="517"/>
    </row>
    <row r="209" spans="6:23" x14ac:dyDescent="0.2">
      <c r="F209" s="439"/>
      <c r="G209" s="513"/>
      <c r="H209" s="513" t="e">
        <f>H93-#REF!</f>
        <v>#REF!</v>
      </c>
      <c r="I209" s="513" t="e">
        <f>I93-#REF!</f>
        <v>#REF!</v>
      </c>
      <c r="J209" s="513" t="e">
        <f>J93-#REF!</f>
        <v>#REF!</v>
      </c>
      <c r="K209" s="513" t="e">
        <f>K93-#REF!</f>
        <v>#REF!</v>
      </c>
      <c r="L209" s="513" t="e">
        <f>L93-#REF!</f>
        <v>#REF!</v>
      </c>
      <c r="M209" s="513" t="e">
        <f>M93-#REF!</f>
        <v>#REF!</v>
      </c>
      <c r="N209" s="513" t="e">
        <f>N93-#REF!</f>
        <v>#REF!</v>
      </c>
      <c r="O209" s="513" t="e">
        <f>O93-#REF!</f>
        <v>#REF!</v>
      </c>
      <c r="P209" s="513" t="e">
        <f>P93-#REF!</f>
        <v>#REF!</v>
      </c>
      <c r="Q209" s="513" t="e">
        <f>Q93-#REF!</f>
        <v>#REF!</v>
      </c>
      <c r="R209" s="513" t="e">
        <f>R93-#REF!</f>
        <v>#REF!</v>
      </c>
      <c r="S209" s="513" t="e">
        <f>S93-#REF!</f>
        <v>#REF!</v>
      </c>
      <c r="T209" s="513" t="e">
        <f>T93-#REF!</f>
        <v>#REF!</v>
      </c>
      <c r="U209" s="517"/>
      <c r="V209" s="517"/>
      <c r="W209" s="517"/>
    </row>
    <row r="210" spans="6:23" x14ac:dyDescent="0.2">
      <c r="F210" s="439"/>
      <c r="G210" s="513"/>
      <c r="H210" s="513" t="e">
        <f>H94-#REF!</f>
        <v>#REF!</v>
      </c>
      <c r="I210" s="513" t="e">
        <f>I94-#REF!</f>
        <v>#REF!</v>
      </c>
      <c r="J210" s="513" t="e">
        <f>J94-#REF!</f>
        <v>#REF!</v>
      </c>
      <c r="K210" s="513" t="e">
        <f>K94-#REF!</f>
        <v>#REF!</v>
      </c>
      <c r="L210" s="513" t="e">
        <f>L94-#REF!</f>
        <v>#REF!</v>
      </c>
      <c r="M210" s="513" t="e">
        <f>M94-#REF!</f>
        <v>#REF!</v>
      </c>
      <c r="N210" s="513" t="e">
        <f>N94-#REF!</f>
        <v>#REF!</v>
      </c>
      <c r="O210" s="513" t="e">
        <f>O94-#REF!</f>
        <v>#REF!</v>
      </c>
      <c r="P210" s="513" t="e">
        <f>P94-#REF!</f>
        <v>#REF!</v>
      </c>
      <c r="Q210" s="513" t="e">
        <f>Q94-#REF!</f>
        <v>#REF!</v>
      </c>
      <c r="R210" s="513" t="e">
        <f>R94-#REF!</f>
        <v>#REF!</v>
      </c>
      <c r="S210" s="513" t="e">
        <f>S94-#REF!</f>
        <v>#REF!</v>
      </c>
      <c r="T210" s="513" t="e">
        <f>T94-#REF!</f>
        <v>#REF!</v>
      </c>
      <c r="U210" s="517"/>
      <c r="V210" s="517"/>
      <c r="W210" s="517"/>
    </row>
    <row r="211" spans="6:23" x14ac:dyDescent="0.2">
      <c r="F211" s="439"/>
      <c r="G211" s="513"/>
      <c r="H211" s="513" t="e">
        <f>H95-#REF!</f>
        <v>#REF!</v>
      </c>
      <c r="I211" s="513" t="e">
        <f>I95-#REF!</f>
        <v>#REF!</v>
      </c>
      <c r="J211" s="513" t="e">
        <f>J95-#REF!</f>
        <v>#REF!</v>
      </c>
      <c r="K211" s="513" t="e">
        <f>K95-#REF!</f>
        <v>#REF!</v>
      </c>
      <c r="L211" s="513" t="e">
        <f>L95-#REF!</f>
        <v>#REF!</v>
      </c>
      <c r="M211" s="513" t="e">
        <f>M95-#REF!</f>
        <v>#REF!</v>
      </c>
      <c r="N211" s="513" t="e">
        <f>N95-#REF!</f>
        <v>#REF!</v>
      </c>
      <c r="O211" s="513" t="e">
        <f>O95-#REF!</f>
        <v>#REF!</v>
      </c>
      <c r="P211" s="513" t="e">
        <f>P95-#REF!</f>
        <v>#REF!</v>
      </c>
      <c r="Q211" s="513" t="e">
        <f>Q95-#REF!</f>
        <v>#REF!</v>
      </c>
      <c r="R211" s="513" t="e">
        <f>R95-#REF!</f>
        <v>#REF!</v>
      </c>
      <c r="S211" s="513" t="e">
        <f>S95-#REF!</f>
        <v>#REF!</v>
      </c>
      <c r="T211" s="513" t="e">
        <f>T95-#REF!</f>
        <v>#REF!</v>
      </c>
      <c r="U211" s="517"/>
      <c r="V211" s="517"/>
      <c r="W211" s="517"/>
    </row>
    <row r="212" spans="6:23" x14ac:dyDescent="0.2">
      <c r="F212" s="439"/>
      <c r="G212" s="513"/>
      <c r="H212" s="513" t="e">
        <f>H96-#REF!</f>
        <v>#REF!</v>
      </c>
      <c r="I212" s="513" t="e">
        <f>I96-#REF!</f>
        <v>#REF!</v>
      </c>
      <c r="J212" s="513" t="e">
        <f>J96-#REF!</f>
        <v>#REF!</v>
      </c>
      <c r="K212" s="513" t="e">
        <f>K96-#REF!</f>
        <v>#REF!</v>
      </c>
      <c r="L212" s="513" t="e">
        <f>L96-#REF!</f>
        <v>#REF!</v>
      </c>
      <c r="M212" s="513" t="e">
        <f>M96-#REF!</f>
        <v>#REF!</v>
      </c>
      <c r="N212" s="513" t="e">
        <f>N96-#REF!</f>
        <v>#REF!</v>
      </c>
      <c r="O212" s="513" t="e">
        <f>O96-#REF!</f>
        <v>#REF!</v>
      </c>
      <c r="P212" s="513" t="e">
        <f>P96-#REF!</f>
        <v>#REF!</v>
      </c>
      <c r="Q212" s="513" t="e">
        <f>Q96-#REF!</f>
        <v>#REF!</v>
      </c>
      <c r="R212" s="513" t="e">
        <f>R96-#REF!</f>
        <v>#REF!</v>
      </c>
      <c r="S212" s="513" t="e">
        <f>S96-#REF!</f>
        <v>#REF!</v>
      </c>
      <c r="T212" s="513" t="e">
        <f>T96-#REF!</f>
        <v>#REF!</v>
      </c>
      <c r="U212" s="517"/>
      <c r="V212" s="517"/>
      <c r="W212" s="517"/>
    </row>
    <row r="213" spans="6:23" x14ac:dyDescent="0.2">
      <c r="F213" s="439"/>
      <c r="G213" s="513"/>
      <c r="H213" s="513" t="e">
        <f>H97-#REF!</f>
        <v>#REF!</v>
      </c>
      <c r="I213" s="513" t="e">
        <f>I97-#REF!</f>
        <v>#REF!</v>
      </c>
      <c r="J213" s="513" t="e">
        <f>J97-#REF!</f>
        <v>#REF!</v>
      </c>
      <c r="K213" s="513" t="e">
        <f>K97-#REF!</f>
        <v>#REF!</v>
      </c>
      <c r="L213" s="513" t="e">
        <f>L97-#REF!</f>
        <v>#REF!</v>
      </c>
      <c r="M213" s="513" t="e">
        <f>M97-#REF!</f>
        <v>#REF!</v>
      </c>
      <c r="N213" s="513" t="e">
        <f>N97-#REF!</f>
        <v>#REF!</v>
      </c>
      <c r="O213" s="513" t="e">
        <f>O97-#REF!</f>
        <v>#REF!</v>
      </c>
      <c r="P213" s="513" t="e">
        <f>P97-#REF!</f>
        <v>#REF!</v>
      </c>
      <c r="Q213" s="513" t="e">
        <f>Q97-#REF!</f>
        <v>#REF!</v>
      </c>
      <c r="R213" s="513" t="e">
        <f>R97-#REF!</f>
        <v>#REF!</v>
      </c>
      <c r="S213" s="513" t="e">
        <f>S97-#REF!</f>
        <v>#REF!</v>
      </c>
      <c r="T213" s="513" t="e">
        <f>T97-#REF!</f>
        <v>#REF!</v>
      </c>
      <c r="U213" s="517"/>
      <c r="V213" s="517"/>
      <c r="W213" s="517"/>
    </row>
    <row r="214" spans="6:23" x14ac:dyDescent="0.2">
      <c r="F214" s="439"/>
      <c r="G214" s="513"/>
      <c r="H214" s="513" t="e">
        <f>H98-#REF!</f>
        <v>#REF!</v>
      </c>
      <c r="I214" s="513" t="e">
        <f>I98-#REF!</f>
        <v>#REF!</v>
      </c>
      <c r="J214" s="513" t="e">
        <f>J98-#REF!</f>
        <v>#REF!</v>
      </c>
      <c r="K214" s="513" t="e">
        <f>K98-#REF!</f>
        <v>#REF!</v>
      </c>
      <c r="L214" s="513" t="e">
        <f>L98-#REF!</f>
        <v>#REF!</v>
      </c>
      <c r="M214" s="513" t="e">
        <f>M98-#REF!</f>
        <v>#REF!</v>
      </c>
      <c r="N214" s="513" t="e">
        <f>N98-#REF!</f>
        <v>#REF!</v>
      </c>
      <c r="O214" s="513" t="e">
        <f>O98-#REF!</f>
        <v>#REF!</v>
      </c>
      <c r="P214" s="513" t="e">
        <f>P98-#REF!</f>
        <v>#REF!</v>
      </c>
      <c r="Q214" s="513" t="e">
        <f>Q98-#REF!</f>
        <v>#REF!</v>
      </c>
      <c r="R214" s="513" t="e">
        <f>R98-#REF!</f>
        <v>#REF!</v>
      </c>
      <c r="S214" s="513" t="e">
        <f>S98-#REF!</f>
        <v>#REF!</v>
      </c>
      <c r="T214" s="513" t="e">
        <f>T98-#REF!</f>
        <v>#REF!</v>
      </c>
      <c r="U214" s="517"/>
      <c r="V214" s="517"/>
      <c r="W214" s="517"/>
    </row>
    <row r="215" spans="6:23" x14ac:dyDescent="0.2">
      <c r="F215" s="439"/>
      <c r="G215" s="513"/>
      <c r="H215" s="513" t="e">
        <f>H99-#REF!</f>
        <v>#REF!</v>
      </c>
      <c r="I215" s="513" t="e">
        <f>I99-#REF!</f>
        <v>#REF!</v>
      </c>
      <c r="J215" s="513" t="e">
        <f>J99-#REF!</f>
        <v>#REF!</v>
      </c>
      <c r="K215" s="513" t="e">
        <f>K99-#REF!</f>
        <v>#REF!</v>
      </c>
      <c r="L215" s="513" t="e">
        <f>L99-#REF!</f>
        <v>#REF!</v>
      </c>
      <c r="M215" s="513" t="e">
        <f>M99-#REF!</f>
        <v>#REF!</v>
      </c>
      <c r="N215" s="513" t="e">
        <f>N99-#REF!</f>
        <v>#REF!</v>
      </c>
      <c r="O215" s="513" t="e">
        <f>O99-#REF!</f>
        <v>#REF!</v>
      </c>
      <c r="P215" s="513" t="e">
        <f>P99-#REF!</f>
        <v>#REF!</v>
      </c>
      <c r="Q215" s="513" t="e">
        <f>Q99-#REF!</f>
        <v>#REF!</v>
      </c>
      <c r="R215" s="513" t="e">
        <f>R99-#REF!</f>
        <v>#REF!</v>
      </c>
      <c r="S215" s="513" t="e">
        <f>S99-#REF!</f>
        <v>#REF!</v>
      </c>
      <c r="T215" s="513" t="e">
        <f>T99-#REF!</f>
        <v>#REF!</v>
      </c>
      <c r="U215" s="517"/>
      <c r="V215" s="517"/>
      <c r="W215" s="517"/>
    </row>
    <row r="216" spans="6:23" x14ac:dyDescent="0.2">
      <c r="F216" s="439"/>
      <c r="G216" s="513"/>
      <c r="H216" s="513" t="e">
        <f>H100-#REF!</f>
        <v>#REF!</v>
      </c>
      <c r="I216" s="513" t="e">
        <f>I100-#REF!</f>
        <v>#REF!</v>
      </c>
      <c r="J216" s="513" t="e">
        <f>J100-#REF!</f>
        <v>#REF!</v>
      </c>
      <c r="K216" s="513" t="e">
        <f>K100-#REF!</f>
        <v>#REF!</v>
      </c>
      <c r="L216" s="513" t="e">
        <f>L100-#REF!</f>
        <v>#REF!</v>
      </c>
      <c r="M216" s="513" t="e">
        <f>M100-#REF!</f>
        <v>#REF!</v>
      </c>
      <c r="N216" s="513" t="e">
        <f>N100-#REF!</f>
        <v>#REF!</v>
      </c>
      <c r="O216" s="513" t="e">
        <f>O100-#REF!</f>
        <v>#REF!</v>
      </c>
      <c r="P216" s="513" t="e">
        <f>P100-#REF!</f>
        <v>#REF!</v>
      </c>
      <c r="Q216" s="513" t="e">
        <f>Q100-#REF!</f>
        <v>#REF!</v>
      </c>
      <c r="R216" s="513" t="e">
        <f>R100-#REF!</f>
        <v>#REF!</v>
      </c>
      <c r="S216" s="513" t="e">
        <f>S100-#REF!</f>
        <v>#REF!</v>
      </c>
      <c r="T216" s="513" t="e">
        <f>T100-#REF!</f>
        <v>#REF!</v>
      </c>
      <c r="U216" s="517"/>
      <c r="V216" s="517"/>
      <c r="W216" s="517"/>
    </row>
    <row r="217" spans="6:23" x14ac:dyDescent="0.2">
      <c r="F217" s="439"/>
      <c r="G217" s="513"/>
      <c r="H217" s="513" t="e">
        <f>H101-#REF!</f>
        <v>#REF!</v>
      </c>
      <c r="I217" s="513" t="e">
        <f>I101-#REF!</f>
        <v>#REF!</v>
      </c>
      <c r="J217" s="513" t="e">
        <f>J101-#REF!</f>
        <v>#REF!</v>
      </c>
      <c r="K217" s="513" t="e">
        <f>K101-#REF!</f>
        <v>#REF!</v>
      </c>
      <c r="L217" s="513" t="e">
        <f>L101-#REF!</f>
        <v>#REF!</v>
      </c>
      <c r="M217" s="513" t="e">
        <f>M101-#REF!</f>
        <v>#REF!</v>
      </c>
      <c r="N217" s="513" t="e">
        <f>N101-#REF!</f>
        <v>#REF!</v>
      </c>
      <c r="O217" s="513" t="e">
        <f>O101-#REF!</f>
        <v>#REF!</v>
      </c>
      <c r="P217" s="513" t="e">
        <f>P101-#REF!</f>
        <v>#REF!</v>
      </c>
      <c r="Q217" s="513" t="e">
        <f>Q101-#REF!</f>
        <v>#REF!</v>
      </c>
      <c r="R217" s="513" t="e">
        <f>R101-#REF!</f>
        <v>#REF!</v>
      </c>
      <c r="S217" s="513" t="e">
        <f>S101-#REF!</f>
        <v>#REF!</v>
      </c>
      <c r="T217" s="513" t="e">
        <f>T101-#REF!</f>
        <v>#REF!</v>
      </c>
      <c r="U217" s="517"/>
      <c r="V217" s="517"/>
      <c r="W217" s="517"/>
    </row>
    <row r="218" spans="6:23" x14ac:dyDescent="0.2">
      <c r="F218" s="439"/>
      <c r="G218" s="513"/>
      <c r="H218" s="513" t="e">
        <f>H102-#REF!</f>
        <v>#REF!</v>
      </c>
      <c r="I218" s="513" t="e">
        <f>I102-#REF!</f>
        <v>#REF!</v>
      </c>
      <c r="J218" s="513" t="e">
        <f>J102-#REF!</f>
        <v>#REF!</v>
      </c>
      <c r="K218" s="513" t="e">
        <f>K102-#REF!</f>
        <v>#REF!</v>
      </c>
      <c r="L218" s="513" t="e">
        <f>L102-#REF!</f>
        <v>#REF!</v>
      </c>
      <c r="M218" s="513" t="e">
        <f>M102-#REF!</f>
        <v>#REF!</v>
      </c>
      <c r="N218" s="513" t="e">
        <f>N102-#REF!</f>
        <v>#REF!</v>
      </c>
      <c r="O218" s="513" t="e">
        <f>O102-#REF!</f>
        <v>#REF!</v>
      </c>
      <c r="P218" s="513" t="e">
        <f>P102-#REF!</f>
        <v>#REF!</v>
      </c>
      <c r="Q218" s="513" t="e">
        <f>Q102-#REF!</f>
        <v>#REF!</v>
      </c>
      <c r="R218" s="513" t="e">
        <f>R102-#REF!</f>
        <v>#REF!</v>
      </c>
      <c r="S218" s="513" t="e">
        <f>S102-#REF!</f>
        <v>#REF!</v>
      </c>
      <c r="T218" s="513" t="e">
        <f>T102-#REF!</f>
        <v>#REF!</v>
      </c>
      <c r="U218" s="517"/>
      <c r="V218" s="517"/>
      <c r="W218" s="517"/>
    </row>
    <row r="219" spans="6:23" x14ac:dyDescent="0.2">
      <c r="F219" s="439"/>
      <c r="G219" s="513"/>
      <c r="H219" s="513" t="e">
        <f>H103-#REF!</f>
        <v>#REF!</v>
      </c>
      <c r="I219" s="513" t="e">
        <f>I103-#REF!</f>
        <v>#REF!</v>
      </c>
      <c r="J219" s="513" t="e">
        <f>J103-#REF!</f>
        <v>#REF!</v>
      </c>
      <c r="K219" s="513" t="e">
        <f>K103-#REF!</f>
        <v>#REF!</v>
      </c>
      <c r="L219" s="513" t="e">
        <f>L103-#REF!</f>
        <v>#REF!</v>
      </c>
      <c r="M219" s="513" t="e">
        <f>M103-#REF!</f>
        <v>#REF!</v>
      </c>
      <c r="N219" s="513" t="e">
        <f>N103-#REF!</f>
        <v>#REF!</v>
      </c>
      <c r="O219" s="513" t="e">
        <f>O103-#REF!</f>
        <v>#REF!</v>
      </c>
      <c r="P219" s="513" t="e">
        <f>P103-#REF!</f>
        <v>#REF!</v>
      </c>
      <c r="Q219" s="513" t="e">
        <f>Q103-#REF!</f>
        <v>#REF!</v>
      </c>
      <c r="R219" s="513" t="e">
        <f>R103-#REF!</f>
        <v>#REF!</v>
      </c>
      <c r="S219" s="513" t="e">
        <f>S103-#REF!</f>
        <v>#REF!</v>
      </c>
      <c r="T219" s="513" t="e">
        <f>T103-#REF!</f>
        <v>#REF!</v>
      </c>
      <c r="U219" s="517"/>
      <c r="V219" s="517"/>
      <c r="W219" s="517"/>
    </row>
    <row r="220" spans="6:23" x14ac:dyDescent="0.2">
      <c r="F220" s="439"/>
      <c r="G220" s="513"/>
      <c r="H220" s="513" t="e">
        <f>H104-#REF!</f>
        <v>#REF!</v>
      </c>
      <c r="I220" s="513" t="e">
        <f>I104-#REF!</f>
        <v>#REF!</v>
      </c>
      <c r="J220" s="513" t="e">
        <f>J104-#REF!</f>
        <v>#REF!</v>
      </c>
      <c r="K220" s="513" t="e">
        <f>K104-#REF!</f>
        <v>#REF!</v>
      </c>
      <c r="L220" s="513" t="e">
        <f>L104-#REF!</f>
        <v>#REF!</v>
      </c>
      <c r="M220" s="513" t="e">
        <f>M104-#REF!</f>
        <v>#REF!</v>
      </c>
      <c r="N220" s="513" t="e">
        <f>N104-#REF!</f>
        <v>#REF!</v>
      </c>
      <c r="O220" s="513" t="e">
        <f>O104-#REF!</f>
        <v>#REF!</v>
      </c>
      <c r="P220" s="513" t="e">
        <f>P104-#REF!</f>
        <v>#REF!</v>
      </c>
      <c r="Q220" s="513" t="e">
        <f>Q104-#REF!</f>
        <v>#REF!</v>
      </c>
      <c r="R220" s="513" t="e">
        <f>R104-#REF!</f>
        <v>#REF!</v>
      </c>
      <c r="S220" s="513" t="e">
        <f>S104-#REF!</f>
        <v>#REF!</v>
      </c>
      <c r="T220" s="513" t="e">
        <f>T104-#REF!</f>
        <v>#REF!</v>
      </c>
      <c r="U220" s="517"/>
      <c r="V220" s="517"/>
      <c r="W220" s="517"/>
    </row>
    <row r="221" spans="6:23" x14ac:dyDescent="0.2">
      <c r="F221" s="439"/>
      <c r="G221" s="513"/>
      <c r="H221" s="513"/>
      <c r="I221" s="517"/>
      <c r="J221" s="517"/>
      <c r="K221" s="517"/>
      <c r="L221" s="517"/>
      <c r="M221" s="517"/>
      <c r="N221" s="517"/>
      <c r="O221" s="517"/>
      <c r="P221" s="517"/>
      <c r="Q221" s="517"/>
      <c r="R221" s="517"/>
      <c r="S221" s="517"/>
      <c r="T221" s="517"/>
      <c r="U221" s="517"/>
      <c r="V221" s="517"/>
      <c r="W221" s="517"/>
    </row>
    <row r="222" spans="6:23" x14ac:dyDescent="0.2">
      <c r="F222" s="439"/>
      <c r="G222" s="513"/>
      <c r="H222" s="517"/>
      <c r="I222" s="517"/>
      <c r="J222" s="517"/>
      <c r="K222" s="517"/>
      <c r="L222" s="517"/>
      <c r="M222" s="517"/>
      <c r="N222" s="517"/>
      <c r="O222" s="517"/>
      <c r="P222" s="517"/>
      <c r="Q222" s="517"/>
      <c r="R222" s="517"/>
      <c r="S222" s="517"/>
      <c r="T222" s="517"/>
      <c r="U222" s="517"/>
      <c r="V222" s="517"/>
      <c r="W222" s="517"/>
    </row>
    <row r="223" spans="6:23" x14ac:dyDescent="0.2">
      <c r="F223" s="439"/>
      <c r="G223" s="513"/>
      <c r="H223" s="517"/>
      <c r="I223" s="517"/>
      <c r="J223" s="517"/>
      <c r="K223" s="517"/>
      <c r="L223" s="517"/>
      <c r="M223" s="517"/>
      <c r="N223" s="517"/>
      <c r="O223" s="517"/>
      <c r="P223" s="517"/>
      <c r="Q223" s="517"/>
      <c r="R223" s="517"/>
      <c r="S223" s="517"/>
      <c r="T223" s="517"/>
      <c r="U223" s="517"/>
      <c r="V223" s="517"/>
      <c r="W223" s="517"/>
    </row>
    <row r="224" spans="6:23" x14ac:dyDescent="0.2">
      <c r="F224" s="439"/>
      <c r="G224" s="513"/>
      <c r="H224" s="517"/>
      <c r="I224" s="517"/>
      <c r="J224" s="517"/>
      <c r="K224" s="517"/>
      <c r="L224" s="517"/>
      <c r="M224" s="517"/>
      <c r="N224" s="517"/>
      <c r="O224" s="517"/>
      <c r="P224" s="517"/>
      <c r="Q224" s="517"/>
      <c r="R224" s="517"/>
      <c r="S224" s="517"/>
      <c r="T224" s="517"/>
      <c r="U224" s="517"/>
      <c r="V224" s="517"/>
      <c r="W224" s="517"/>
    </row>
    <row r="225" spans="6:23" x14ac:dyDescent="0.2">
      <c r="F225" s="439"/>
      <c r="G225" s="513"/>
      <c r="H225" s="517"/>
      <c r="I225" s="517"/>
      <c r="J225" s="517"/>
      <c r="K225" s="517"/>
      <c r="L225" s="517"/>
      <c r="M225" s="517"/>
      <c r="N225" s="517"/>
      <c r="O225" s="517"/>
      <c r="P225" s="517"/>
      <c r="Q225" s="517"/>
      <c r="R225" s="517"/>
      <c r="S225" s="517"/>
      <c r="T225" s="517"/>
      <c r="U225" s="517"/>
      <c r="V225" s="517"/>
      <c r="W225" s="517"/>
    </row>
    <row r="226" spans="6:23" x14ac:dyDescent="0.2">
      <c r="F226" s="439"/>
      <c r="G226" s="513"/>
      <c r="H226" s="517"/>
      <c r="I226" s="517"/>
      <c r="J226" s="517"/>
      <c r="K226" s="517"/>
      <c r="L226" s="517"/>
      <c r="M226" s="517"/>
      <c r="N226" s="517"/>
      <c r="O226" s="517"/>
      <c r="P226" s="517"/>
      <c r="Q226" s="517"/>
      <c r="R226" s="517"/>
      <c r="S226" s="517"/>
      <c r="T226" s="517"/>
      <c r="U226" s="517"/>
      <c r="V226" s="517"/>
      <c r="W226" s="517"/>
    </row>
    <row r="227" spans="6:23" x14ac:dyDescent="0.2">
      <c r="F227" s="439"/>
      <c r="G227" s="513"/>
      <c r="H227" s="517"/>
      <c r="I227" s="517"/>
      <c r="J227" s="517"/>
      <c r="K227" s="517"/>
      <c r="L227" s="517"/>
      <c r="M227" s="517"/>
      <c r="N227" s="517"/>
      <c r="O227" s="517"/>
      <c r="P227" s="517"/>
      <c r="Q227" s="517"/>
      <c r="R227" s="517"/>
      <c r="S227" s="517"/>
      <c r="T227" s="517"/>
      <c r="U227" s="517"/>
      <c r="V227" s="517"/>
      <c r="W227" s="517"/>
    </row>
    <row r="228" spans="6:23" x14ac:dyDescent="0.2">
      <c r="F228" s="439"/>
      <c r="G228" s="513"/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7"/>
      <c r="S228" s="517"/>
      <c r="T228" s="517"/>
      <c r="U228" s="517"/>
      <c r="V228" s="517"/>
      <c r="W228" s="517"/>
    </row>
    <row r="229" spans="6:23" x14ac:dyDescent="0.2">
      <c r="F229" s="439"/>
      <c r="G229" s="513"/>
      <c r="H229" s="517"/>
      <c r="I229" s="517"/>
      <c r="J229" s="517"/>
      <c r="K229" s="517"/>
      <c r="L229" s="517"/>
      <c r="M229" s="517"/>
      <c r="N229" s="517"/>
      <c r="O229" s="517"/>
      <c r="P229" s="517"/>
      <c r="Q229" s="517"/>
      <c r="R229" s="517"/>
      <c r="S229" s="517"/>
      <c r="T229" s="517"/>
      <c r="U229" s="517"/>
      <c r="V229" s="517"/>
      <c r="W229" s="517"/>
    </row>
    <row r="230" spans="6:23" x14ac:dyDescent="0.2">
      <c r="F230" s="439"/>
      <c r="G230" s="513"/>
      <c r="H230" s="517"/>
      <c r="I230" s="517"/>
      <c r="J230" s="517"/>
      <c r="K230" s="517"/>
      <c r="L230" s="517"/>
      <c r="M230" s="517"/>
      <c r="N230" s="517"/>
      <c r="O230" s="517"/>
      <c r="P230" s="517"/>
      <c r="Q230" s="517"/>
      <c r="R230" s="517"/>
      <c r="S230" s="517"/>
      <c r="T230" s="517"/>
      <c r="U230" s="517"/>
      <c r="V230" s="517"/>
      <c r="W230" s="517"/>
    </row>
    <row r="231" spans="6:23" x14ac:dyDescent="0.2">
      <c r="F231" s="439"/>
      <c r="G231" s="513"/>
      <c r="H231" s="517"/>
      <c r="I231" s="517"/>
      <c r="J231" s="517"/>
      <c r="K231" s="517"/>
      <c r="L231" s="517"/>
      <c r="M231" s="517"/>
      <c r="N231" s="517"/>
      <c r="O231" s="517"/>
      <c r="P231" s="517"/>
      <c r="Q231" s="517"/>
      <c r="R231" s="517"/>
      <c r="S231" s="517"/>
      <c r="T231" s="517"/>
      <c r="U231" s="517"/>
      <c r="V231" s="517"/>
      <c r="W231" s="517"/>
    </row>
    <row r="232" spans="6:23" x14ac:dyDescent="0.2">
      <c r="F232" s="439"/>
      <c r="G232" s="513"/>
      <c r="H232" s="517"/>
      <c r="I232" s="517"/>
      <c r="J232" s="517"/>
      <c r="K232" s="517"/>
      <c r="L232" s="517"/>
      <c r="M232" s="517"/>
      <c r="N232" s="517"/>
      <c r="O232" s="517"/>
      <c r="P232" s="517"/>
      <c r="Q232" s="517"/>
      <c r="R232" s="517"/>
      <c r="S232" s="517"/>
      <c r="T232" s="517"/>
      <c r="U232" s="517"/>
      <c r="V232" s="517"/>
      <c r="W232" s="517"/>
    </row>
    <row r="233" spans="6:23" x14ac:dyDescent="0.2">
      <c r="F233" s="439"/>
      <c r="G233" s="513"/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</row>
    <row r="234" spans="6:23" x14ac:dyDescent="0.2">
      <c r="F234" s="439"/>
      <c r="G234" s="513"/>
      <c r="H234" s="517"/>
      <c r="I234" s="517"/>
      <c r="J234" s="517"/>
      <c r="K234" s="517"/>
      <c r="L234" s="517"/>
      <c r="M234" s="517"/>
      <c r="N234" s="517"/>
      <c r="O234" s="517"/>
      <c r="P234" s="517"/>
      <c r="Q234" s="517"/>
      <c r="R234" s="517"/>
      <c r="S234" s="517"/>
      <c r="T234" s="517"/>
      <c r="U234" s="517"/>
      <c r="V234" s="517"/>
      <c r="W234" s="517"/>
    </row>
    <row r="235" spans="6:23" x14ac:dyDescent="0.2">
      <c r="F235" s="439"/>
      <c r="G235" s="513"/>
      <c r="H235" s="517"/>
      <c r="I235" s="517"/>
      <c r="J235" s="517"/>
      <c r="K235" s="517"/>
      <c r="L235" s="517"/>
      <c r="M235" s="517"/>
      <c r="N235" s="517"/>
      <c r="O235" s="517"/>
      <c r="P235" s="517"/>
      <c r="Q235" s="517"/>
      <c r="R235" s="517"/>
      <c r="S235" s="517"/>
      <c r="T235" s="517"/>
      <c r="U235" s="517"/>
      <c r="V235" s="517"/>
      <c r="W235" s="517"/>
    </row>
    <row r="236" spans="6:23" x14ac:dyDescent="0.2">
      <c r="F236" s="439"/>
      <c r="G236" s="513"/>
      <c r="H236" s="517"/>
      <c r="I236" s="517"/>
      <c r="J236" s="517"/>
      <c r="K236" s="517"/>
      <c r="L236" s="517"/>
      <c r="M236" s="517"/>
      <c r="N236" s="517"/>
      <c r="O236" s="517"/>
      <c r="P236" s="517"/>
      <c r="Q236" s="517"/>
      <c r="R236" s="517"/>
      <c r="S236" s="517"/>
      <c r="T236" s="517"/>
      <c r="U236" s="517"/>
      <c r="V236" s="517"/>
      <c r="W236" s="517"/>
    </row>
    <row r="237" spans="6:23" x14ac:dyDescent="0.2">
      <c r="F237" s="439"/>
      <c r="G237" s="513"/>
      <c r="H237" s="517"/>
      <c r="I237" s="517"/>
      <c r="J237" s="517"/>
      <c r="K237" s="517"/>
      <c r="L237" s="517"/>
      <c r="M237" s="517"/>
      <c r="N237" s="517"/>
      <c r="O237" s="517"/>
      <c r="P237" s="517"/>
      <c r="Q237" s="517"/>
      <c r="R237" s="517"/>
      <c r="S237" s="517"/>
      <c r="T237" s="517"/>
      <c r="U237" s="517"/>
      <c r="V237" s="517"/>
      <c r="W237" s="517"/>
    </row>
    <row r="238" spans="6:23" x14ac:dyDescent="0.2">
      <c r="F238" s="439"/>
      <c r="G238" s="513"/>
      <c r="H238" s="517"/>
      <c r="I238" s="517"/>
      <c r="J238" s="517"/>
      <c r="K238" s="517"/>
      <c r="L238" s="517"/>
      <c r="M238" s="517"/>
      <c r="N238" s="517"/>
      <c r="O238" s="517"/>
      <c r="P238" s="517"/>
      <c r="Q238" s="517"/>
      <c r="R238" s="517"/>
      <c r="S238" s="517"/>
      <c r="T238" s="517"/>
      <c r="U238" s="517"/>
      <c r="V238" s="517"/>
      <c r="W238" s="517"/>
    </row>
    <row r="239" spans="6:23" x14ac:dyDescent="0.2">
      <c r="F239" s="439"/>
      <c r="G239" s="513"/>
      <c r="H239" s="517"/>
      <c r="I239" s="517"/>
      <c r="J239" s="517"/>
      <c r="K239" s="517"/>
      <c r="L239" s="517"/>
      <c r="M239" s="517"/>
      <c r="N239" s="517"/>
      <c r="O239" s="517"/>
      <c r="P239" s="517"/>
      <c r="Q239" s="517"/>
      <c r="R239" s="517"/>
      <c r="S239" s="517"/>
      <c r="T239" s="517"/>
      <c r="U239" s="517"/>
      <c r="V239" s="517"/>
      <c r="W239" s="517"/>
    </row>
    <row r="240" spans="6:23" x14ac:dyDescent="0.2">
      <c r="F240" s="439"/>
      <c r="G240" s="517"/>
      <c r="H240" s="517"/>
      <c r="I240" s="517"/>
      <c r="J240" s="517"/>
      <c r="K240" s="517"/>
      <c r="L240" s="517"/>
      <c r="M240" s="517"/>
      <c r="N240" s="517"/>
      <c r="O240" s="517"/>
      <c r="P240" s="517"/>
      <c r="Q240" s="517"/>
      <c r="R240" s="517"/>
      <c r="S240" s="517"/>
      <c r="T240" s="517"/>
      <c r="U240" s="517"/>
      <c r="V240" s="517"/>
      <c r="W240" s="517"/>
    </row>
    <row r="241" spans="6:23" x14ac:dyDescent="0.2">
      <c r="F241" s="439"/>
      <c r="G241" s="517"/>
      <c r="H241" s="517"/>
      <c r="I241" s="517"/>
      <c r="J241" s="517"/>
      <c r="K241" s="517"/>
      <c r="L241" s="517"/>
      <c r="M241" s="517"/>
      <c r="N241" s="517"/>
      <c r="O241" s="517"/>
      <c r="P241" s="517"/>
      <c r="Q241" s="517"/>
      <c r="R241" s="517"/>
      <c r="S241" s="517"/>
      <c r="T241" s="517"/>
      <c r="U241" s="517"/>
      <c r="V241" s="517"/>
      <c r="W241" s="517"/>
    </row>
    <row r="242" spans="6:23" x14ac:dyDescent="0.2">
      <c r="F242" s="439"/>
      <c r="G242" s="517"/>
      <c r="H242" s="517"/>
      <c r="I242" s="517"/>
      <c r="J242" s="517"/>
      <c r="K242" s="517"/>
      <c r="L242" s="517"/>
      <c r="M242" s="517"/>
      <c r="N242" s="517"/>
      <c r="O242" s="517"/>
      <c r="P242" s="517"/>
      <c r="Q242" s="517"/>
      <c r="R242" s="517"/>
      <c r="S242" s="517"/>
      <c r="T242" s="517"/>
      <c r="U242" s="517"/>
      <c r="V242" s="517"/>
      <c r="W242" s="517"/>
    </row>
    <row r="243" spans="6:23" x14ac:dyDescent="0.2">
      <c r="F243" s="439"/>
      <c r="G243" s="517"/>
      <c r="H243" s="517"/>
      <c r="I243" s="517"/>
      <c r="J243" s="517"/>
      <c r="K243" s="517"/>
      <c r="L243" s="517"/>
      <c r="M243" s="517"/>
      <c r="N243" s="517"/>
      <c r="O243" s="517"/>
      <c r="P243" s="517"/>
      <c r="Q243" s="517"/>
      <c r="R243" s="517"/>
      <c r="S243" s="517"/>
      <c r="T243" s="517"/>
      <c r="U243" s="517"/>
      <c r="V243" s="517"/>
      <c r="W243" s="517"/>
    </row>
    <row r="244" spans="6:23" x14ac:dyDescent="0.2">
      <c r="F244" s="439"/>
      <c r="G244" s="517"/>
      <c r="H244" s="517"/>
      <c r="I244" s="517"/>
      <c r="J244" s="517"/>
      <c r="K244" s="517"/>
      <c r="L244" s="517"/>
      <c r="M244" s="517"/>
      <c r="N244" s="517"/>
      <c r="O244" s="517"/>
      <c r="P244" s="517"/>
      <c r="Q244" s="517"/>
      <c r="R244" s="517"/>
      <c r="S244" s="517"/>
      <c r="T244" s="517"/>
      <c r="U244" s="517"/>
      <c r="V244" s="517"/>
      <c r="W244" s="517"/>
    </row>
    <row r="245" spans="6:23" x14ac:dyDescent="0.2">
      <c r="F245" s="439"/>
      <c r="G245" s="517"/>
      <c r="H245" s="517"/>
      <c r="I245" s="517"/>
      <c r="J245" s="517"/>
      <c r="K245" s="517"/>
      <c r="L245" s="517"/>
      <c r="M245" s="517"/>
      <c r="N245" s="517"/>
      <c r="O245" s="517"/>
      <c r="P245" s="517"/>
      <c r="Q245" s="517"/>
      <c r="R245" s="517"/>
      <c r="S245" s="517"/>
      <c r="T245" s="517"/>
      <c r="U245" s="517"/>
      <c r="V245" s="517"/>
      <c r="W245" s="517"/>
    </row>
    <row r="246" spans="6:23" x14ac:dyDescent="0.2">
      <c r="F246" s="439"/>
      <c r="G246" s="517"/>
      <c r="H246" s="517"/>
      <c r="I246" s="517"/>
      <c r="J246" s="517"/>
      <c r="K246" s="517"/>
      <c r="L246" s="517"/>
      <c r="M246" s="517"/>
      <c r="N246" s="517"/>
      <c r="O246" s="517"/>
      <c r="P246" s="517"/>
      <c r="Q246" s="517"/>
      <c r="R246" s="517"/>
      <c r="S246" s="517"/>
      <c r="T246" s="517"/>
      <c r="U246" s="517"/>
      <c r="V246" s="517"/>
      <c r="W246" s="517"/>
    </row>
    <row r="247" spans="6:23" x14ac:dyDescent="0.2">
      <c r="F247" s="439"/>
      <c r="G247" s="517"/>
      <c r="H247" s="517"/>
      <c r="I247" s="517"/>
      <c r="J247" s="517"/>
      <c r="K247" s="517"/>
      <c r="L247" s="517"/>
      <c r="M247" s="517"/>
      <c r="N247" s="517"/>
      <c r="O247" s="517"/>
      <c r="P247" s="517"/>
      <c r="Q247" s="517"/>
      <c r="R247" s="517"/>
      <c r="S247" s="517"/>
      <c r="T247" s="517"/>
      <c r="U247" s="517"/>
      <c r="V247" s="517"/>
      <c r="W247" s="517"/>
    </row>
    <row r="248" spans="6:23" x14ac:dyDescent="0.2">
      <c r="F248" s="439"/>
      <c r="G248" s="517"/>
      <c r="H248" s="517"/>
      <c r="I248" s="517"/>
      <c r="J248" s="517"/>
      <c r="K248" s="517"/>
      <c r="L248" s="517"/>
      <c r="M248" s="517"/>
      <c r="N248" s="517"/>
      <c r="O248" s="517"/>
      <c r="P248" s="517"/>
      <c r="Q248" s="517"/>
      <c r="R248" s="517"/>
      <c r="S248" s="517"/>
      <c r="T248" s="517"/>
      <c r="U248" s="517"/>
      <c r="V248" s="517"/>
      <c r="W248" s="517"/>
    </row>
    <row r="249" spans="6:23" x14ac:dyDescent="0.2">
      <c r="F249" s="439"/>
      <c r="G249" s="517"/>
      <c r="H249" s="517"/>
      <c r="I249" s="517"/>
      <c r="J249" s="517"/>
      <c r="K249" s="517"/>
      <c r="L249" s="517"/>
      <c r="M249" s="517"/>
      <c r="N249" s="517"/>
      <c r="O249" s="517"/>
      <c r="P249" s="517"/>
      <c r="Q249" s="517"/>
      <c r="R249" s="517"/>
      <c r="S249" s="517"/>
      <c r="T249" s="517"/>
      <c r="U249" s="517"/>
      <c r="V249" s="517"/>
      <c r="W249" s="517"/>
    </row>
    <row r="250" spans="6:23" x14ac:dyDescent="0.2">
      <c r="F250" s="439"/>
      <c r="G250" s="517"/>
      <c r="H250" s="517"/>
      <c r="I250" s="517"/>
      <c r="J250" s="517"/>
      <c r="K250" s="517"/>
      <c r="L250" s="517"/>
      <c r="M250" s="517"/>
      <c r="N250" s="517"/>
      <c r="O250" s="517"/>
      <c r="P250" s="517"/>
      <c r="Q250" s="517"/>
      <c r="R250" s="517"/>
      <c r="S250" s="517"/>
      <c r="T250" s="517"/>
      <c r="U250" s="517"/>
      <c r="V250" s="517"/>
      <c r="W250" s="517"/>
    </row>
    <row r="251" spans="6:23" x14ac:dyDescent="0.2">
      <c r="F251" s="439"/>
      <c r="G251" s="517"/>
      <c r="H251" s="517"/>
      <c r="I251" s="517"/>
      <c r="J251" s="517"/>
      <c r="K251" s="517"/>
      <c r="L251" s="517"/>
      <c r="M251" s="517"/>
      <c r="N251" s="517"/>
      <c r="O251" s="517"/>
      <c r="P251" s="517"/>
      <c r="Q251" s="517"/>
      <c r="R251" s="517"/>
      <c r="S251" s="517"/>
      <c r="T251" s="517"/>
      <c r="U251" s="517"/>
      <c r="V251" s="517"/>
      <c r="W251" s="517"/>
    </row>
    <row r="252" spans="6:23" x14ac:dyDescent="0.2">
      <c r="F252" s="439"/>
      <c r="G252" s="517"/>
      <c r="H252" s="517"/>
      <c r="I252" s="517"/>
      <c r="J252" s="517"/>
      <c r="K252" s="517"/>
      <c r="L252" s="517"/>
      <c r="M252" s="517"/>
      <c r="N252" s="517"/>
      <c r="O252" s="517"/>
      <c r="P252" s="517"/>
      <c r="Q252" s="517"/>
      <c r="R252" s="517"/>
      <c r="S252" s="517"/>
      <c r="T252" s="517"/>
      <c r="U252" s="517"/>
      <c r="V252" s="517"/>
      <c r="W252" s="517"/>
    </row>
    <row r="253" spans="6:23" x14ac:dyDescent="0.2">
      <c r="F253" s="439"/>
      <c r="G253" s="513"/>
      <c r="H253" s="517"/>
      <c r="I253" s="517"/>
      <c r="J253" s="517"/>
      <c r="K253" s="517"/>
      <c r="L253" s="517"/>
      <c r="M253" s="517"/>
      <c r="N253" s="517"/>
      <c r="O253" s="517"/>
      <c r="P253" s="517"/>
      <c r="Q253" s="517"/>
      <c r="R253" s="517"/>
      <c r="S253" s="517"/>
      <c r="T253" s="517"/>
      <c r="U253" s="517"/>
      <c r="V253" s="517"/>
      <c r="W253" s="517"/>
    </row>
    <row r="254" spans="6:23" x14ac:dyDescent="0.2">
      <c r="F254" s="439"/>
      <c r="G254" s="513"/>
      <c r="H254" s="517"/>
      <c r="I254" s="517"/>
      <c r="J254" s="517"/>
      <c r="K254" s="517"/>
      <c r="L254" s="517"/>
      <c r="M254" s="517"/>
      <c r="N254" s="517"/>
      <c r="O254" s="517"/>
      <c r="P254" s="517"/>
      <c r="Q254" s="517"/>
      <c r="R254" s="517"/>
      <c r="S254" s="517"/>
      <c r="T254" s="517"/>
      <c r="U254" s="517"/>
      <c r="V254" s="517"/>
      <c r="W254" s="517"/>
    </row>
    <row r="255" spans="6:23" x14ac:dyDescent="0.2">
      <c r="F255" s="439"/>
      <c r="G255" s="513"/>
      <c r="H255" s="517"/>
      <c r="I255" s="517"/>
      <c r="J255" s="517"/>
      <c r="K255" s="517"/>
      <c r="L255" s="517"/>
      <c r="M255" s="517"/>
      <c r="N255" s="517"/>
      <c r="O255" s="517"/>
      <c r="P255" s="517"/>
      <c r="Q255" s="517"/>
      <c r="R255" s="517"/>
      <c r="S255" s="517"/>
      <c r="T255" s="517"/>
      <c r="U255" s="517"/>
      <c r="V255" s="517"/>
      <c r="W255" s="517"/>
    </row>
    <row r="256" spans="6:23" x14ac:dyDescent="0.2">
      <c r="F256" s="439"/>
      <c r="G256" s="513"/>
      <c r="H256" s="517"/>
      <c r="I256" s="517"/>
      <c r="J256" s="517"/>
      <c r="K256" s="517"/>
      <c r="L256" s="517"/>
      <c r="M256" s="517"/>
      <c r="N256" s="517"/>
      <c r="O256" s="517"/>
      <c r="P256" s="517"/>
      <c r="Q256" s="517"/>
      <c r="R256" s="517"/>
      <c r="S256" s="517"/>
      <c r="T256" s="517"/>
      <c r="U256" s="517"/>
      <c r="V256" s="517"/>
      <c r="W256" s="517"/>
    </row>
    <row r="257" spans="6:23" x14ac:dyDescent="0.2">
      <c r="F257" s="439"/>
      <c r="G257" s="513"/>
      <c r="H257" s="517"/>
      <c r="I257" s="517"/>
      <c r="J257" s="517"/>
      <c r="K257" s="517"/>
      <c r="L257" s="517"/>
      <c r="M257" s="517"/>
      <c r="N257" s="517"/>
      <c r="O257" s="517"/>
      <c r="P257" s="517"/>
      <c r="Q257" s="517"/>
      <c r="R257" s="517"/>
      <c r="S257" s="517"/>
      <c r="T257" s="517"/>
      <c r="U257" s="517"/>
      <c r="V257" s="517"/>
      <c r="W257" s="517"/>
    </row>
    <row r="258" spans="6:23" x14ac:dyDescent="0.2">
      <c r="F258" s="439"/>
      <c r="G258" s="513"/>
      <c r="H258" s="517"/>
      <c r="I258" s="517"/>
      <c r="J258" s="517"/>
      <c r="K258" s="517"/>
      <c r="L258" s="517"/>
      <c r="M258" s="517"/>
      <c r="N258" s="517"/>
      <c r="O258" s="517"/>
      <c r="P258" s="517"/>
      <c r="Q258" s="517"/>
      <c r="R258" s="517"/>
      <c r="S258" s="517"/>
      <c r="T258" s="517"/>
      <c r="U258" s="517"/>
      <c r="V258" s="517"/>
      <c r="W258" s="517"/>
    </row>
    <row r="259" spans="6:23" x14ac:dyDescent="0.2">
      <c r="F259" s="439"/>
      <c r="G259" s="513"/>
      <c r="H259" s="517"/>
      <c r="I259" s="517"/>
      <c r="J259" s="517"/>
      <c r="K259" s="517"/>
      <c r="L259" s="517"/>
      <c r="M259" s="517"/>
      <c r="N259" s="517"/>
      <c r="O259" s="517"/>
      <c r="P259" s="517"/>
      <c r="Q259" s="517"/>
      <c r="R259" s="517"/>
      <c r="S259" s="517"/>
      <c r="T259" s="517"/>
      <c r="U259" s="517"/>
      <c r="V259" s="517"/>
      <c r="W259" s="517"/>
    </row>
    <row r="260" spans="6:23" x14ac:dyDescent="0.2">
      <c r="F260" s="439"/>
      <c r="G260" s="517"/>
      <c r="H260" s="517"/>
      <c r="I260" s="517"/>
      <c r="J260" s="517"/>
      <c r="K260" s="517"/>
      <c r="L260" s="517"/>
      <c r="M260" s="517"/>
      <c r="N260" s="517"/>
      <c r="O260" s="517"/>
      <c r="P260" s="517"/>
      <c r="Q260" s="517"/>
      <c r="R260" s="517"/>
      <c r="S260" s="517"/>
      <c r="T260" s="517"/>
      <c r="U260" s="517"/>
      <c r="V260" s="517"/>
      <c r="W260" s="517"/>
    </row>
    <row r="261" spans="6:23" x14ac:dyDescent="0.2">
      <c r="F261" s="439"/>
      <c r="G261" s="517"/>
      <c r="H261" s="517"/>
      <c r="I261" s="517"/>
      <c r="J261" s="517"/>
      <c r="K261" s="517"/>
      <c r="L261" s="517"/>
      <c r="M261" s="517"/>
      <c r="N261" s="517"/>
      <c r="O261" s="517"/>
      <c r="P261" s="517"/>
      <c r="Q261" s="517"/>
      <c r="R261" s="517"/>
      <c r="S261" s="517"/>
      <c r="T261" s="517"/>
      <c r="U261" s="517"/>
      <c r="V261" s="517"/>
      <c r="W261" s="517"/>
    </row>
    <row r="262" spans="6:23" x14ac:dyDescent="0.2">
      <c r="F262" s="439"/>
      <c r="G262" s="517"/>
      <c r="H262" s="517"/>
      <c r="I262" s="517"/>
      <c r="J262" s="517"/>
      <c r="K262" s="517"/>
      <c r="L262" s="517"/>
      <c r="M262" s="517"/>
      <c r="N262" s="517"/>
      <c r="O262" s="517"/>
      <c r="P262" s="517"/>
      <c r="Q262" s="517"/>
      <c r="R262" s="517"/>
      <c r="S262" s="517"/>
      <c r="T262" s="517"/>
      <c r="U262" s="517"/>
      <c r="V262" s="517"/>
      <c r="W262" s="517"/>
    </row>
    <row r="263" spans="6:23" x14ac:dyDescent="0.2">
      <c r="F263" s="439"/>
      <c r="G263" s="517"/>
      <c r="H263" s="517"/>
      <c r="I263" s="517"/>
      <c r="J263" s="517"/>
      <c r="K263" s="517"/>
      <c r="L263" s="517"/>
      <c r="M263" s="517"/>
      <c r="N263" s="517"/>
      <c r="O263" s="517"/>
      <c r="P263" s="517"/>
      <c r="Q263" s="517"/>
      <c r="R263" s="517"/>
      <c r="S263" s="517"/>
      <c r="T263" s="517"/>
      <c r="U263" s="517"/>
      <c r="V263" s="517"/>
      <c r="W263" s="517"/>
    </row>
    <row r="264" spans="6:23" x14ac:dyDescent="0.2">
      <c r="F264" s="439"/>
      <c r="G264" s="517"/>
      <c r="H264" s="517"/>
      <c r="I264" s="517"/>
      <c r="J264" s="517"/>
      <c r="K264" s="517"/>
      <c r="L264" s="517"/>
      <c r="M264" s="517"/>
      <c r="N264" s="517"/>
      <c r="O264" s="517"/>
      <c r="P264" s="517"/>
      <c r="Q264" s="517"/>
      <c r="R264" s="517"/>
      <c r="S264" s="517"/>
      <c r="T264" s="517"/>
      <c r="U264" s="517"/>
      <c r="V264" s="517"/>
      <c r="W264" s="517"/>
    </row>
    <row r="265" spans="6:23" x14ac:dyDescent="0.2">
      <c r="F265" s="439"/>
      <c r="G265" s="517"/>
      <c r="H265" s="517"/>
      <c r="I265" s="517"/>
      <c r="J265" s="517"/>
      <c r="K265" s="517"/>
      <c r="L265" s="517"/>
      <c r="M265" s="517"/>
      <c r="N265" s="517"/>
      <c r="O265" s="517"/>
      <c r="P265" s="517"/>
      <c r="Q265" s="517"/>
      <c r="R265" s="517"/>
      <c r="S265" s="517"/>
      <c r="T265" s="517"/>
      <c r="U265" s="517"/>
      <c r="V265" s="517"/>
      <c r="W265" s="517"/>
    </row>
    <row r="266" spans="6:23" x14ac:dyDescent="0.2">
      <c r="F266" s="439"/>
      <c r="G266" s="517"/>
      <c r="H266" s="517"/>
      <c r="I266" s="517"/>
      <c r="J266" s="517"/>
      <c r="K266" s="517"/>
      <c r="L266" s="517"/>
      <c r="M266" s="517"/>
      <c r="N266" s="517"/>
      <c r="O266" s="517"/>
      <c r="P266" s="517"/>
      <c r="Q266" s="517"/>
      <c r="R266" s="517"/>
      <c r="S266" s="517"/>
      <c r="T266" s="517"/>
      <c r="U266" s="517"/>
      <c r="V266" s="517"/>
      <c r="W266" s="517"/>
    </row>
    <row r="267" spans="6:23" x14ac:dyDescent="0.2">
      <c r="F267" s="439"/>
      <c r="G267" s="517"/>
      <c r="H267" s="517"/>
      <c r="I267" s="517"/>
      <c r="J267" s="517"/>
      <c r="K267" s="517"/>
      <c r="L267" s="517"/>
      <c r="M267" s="517"/>
      <c r="N267" s="517"/>
      <c r="O267" s="517"/>
      <c r="P267" s="517"/>
      <c r="Q267" s="517"/>
      <c r="R267" s="517"/>
      <c r="S267" s="517"/>
      <c r="T267" s="517"/>
      <c r="U267" s="517"/>
      <c r="V267" s="517"/>
      <c r="W267" s="517"/>
    </row>
    <row r="268" spans="6:23" x14ac:dyDescent="0.2">
      <c r="F268" s="439"/>
      <c r="G268" s="517"/>
      <c r="H268" s="517"/>
      <c r="I268" s="517"/>
      <c r="J268" s="517"/>
      <c r="K268" s="517"/>
      <c r="L268" s="517"/>
      <c r="M268" s="517"/>
      <c r="N268" s="517"/>
      <c r="O268" s="517"/>
      <c r="P268" s="517"/>
      <c r="Q268" s="517"/>
      <c r="R268" s="517"/>
      <c r="S268" s="517"/>
      <c r="T268" s="517"/>
      <c r="U268" s="517"/>
      <c r="V268" s="517"/>
      <c r="W268" s="517"/>
    </row>
    <row r="269" spans="6:23" x14ac:dyDescent="0.2">
      <c r="F269" s="439"/>
      <c r="G269" s="517"/>
      <c r="H269" s="517"/>
      <c r="I269" s="517"/>
      <c r="J269" s="517"/>
      <c r="K269" s="517"/>
      <c r="L269" s="517"/>
      <c r="M269" s="517"/>
      <c r="N269" s="517"/>
      <c r="O269" s="517"/>
      <c r="P269" s="517"/>
      <c r="Q269" s="517"/>
      <c r="R269" s="517"/>
      <c r="S269" s="517"/>
      <c r="T269" s="517"/>
      <c r="U269" s="517"/>
      <c r="V269" s="517"/>
      <c r="W269" s="517"/>
    </row>
    <row r="270" spans="6:23" x14ac:dyDescent="0.2">
      <c r="F270" s="439"/>
      <c r="G270" s="517"/>
      <c r="H270" s="517"/>
      <c r="I270" s="517"/>
      <c r="J270" s="517"/>
      <c r="K270" s="517"/>
      <c r="L270" s="517"/>
      <c r="M270" s="517"/>
      <c r="N270" s="517"/>
      <c r="O270" s="517"/>
      <c r="P270" s="517"/>
      <c r="Q270" s="517"/>
      <c r="R270" s="517"/>
      <c r="S270" s="517"/>
      <c r="T270" s="517"/>
      <c r="U270" s="517"/>
      <c r="V270" s="517"/>
      <c r="W270" s="517"/>
    </row>
    <row r="271" spans="6:23" x14ac:dyDescent="0.2">
      <c r="F271" s="439"/>
      <c r="G271" s="517"/>
      <c r="H271" s="517"/>
      <c r="I271" s="517"/>
      <c r="J271" s="517"/>
      <c r="K271" s="517"/>
      <c r="L271" s="517"/>
      <c r="M271" s="517"/>
      <c r="N271" s="517"/>
      <c r="O271" s="517"/>
      <c r="P271" s="517"/>
      <c r="Q271" s="517"/>
      <c r="R271" s="517"/>
      <c r="S271" s="517"/>
      <c r="T271" s="517"/>
      <c r="U271" s="517"/>
      <c r="V271" s="517"/>
      <c r="W271" s="517"/>
    </row>
    <row r="272" spans="6:23" x14ac:dyDescent="0.2">
      <c r="F272" s="439"/>
      <c r="G272" s="517"/>
      <c r="H272" s="517"/>
      <c r="I272" s="517"/>
      <c r="J272" s="517"/>
      <c r="K272" s="517"/>
      <c r="L272" s="517"/>
      <c r="M272" s="517"/>
      <c r="N272" s="517"/>
      <c r="O272" s="517"/>
      <c r="P272" s="517"/>
      <c r="Q272" s="517"/>
      <c r="R272" s="517"/>
      <c r="S272" s="517"/>
      <c r="T272" s="517"/>
      <c r="U272" s="517"/>
      <c r="V272" s="517"/>
      <c r="W272" s="517"/>
    </row>
    <row r="273" spans="6:23" x14ac:dyDescent="0.2">
      <c r="F273" s="439"/>
      <c r="G273" s="517"/>
      <c r="H273" s="517"/>
      <c r="I273" s="517"/>
      <c r="J273" s="517"/>
      <c r="K273" s="517"/>
      <c r="L273" s="517"/>
      <c r="M273" s="517"/>
      <c r="N273" s="517"/>
      <c r="O273" s="517"/>
      <c r="P273" s="517"/>
      <c r="Q273" s="517"/>
      <c r="R273" s="517"/>
      <c r="S273" s="517"/>
      <c r="T273" s="517"/>
      <c r="U273" s="517"/>
      <c r="V273" s="517"/>
      <c r="W273" s="517"/>
    </row>
    <row r="274" spans="6:23" x14ac:dyDescent="0.2">
      <c r="F274" s="439"/>
      <c r="G274" s="517"/>
      <c r="H274" s="517"/>
      <c r="I274" s="517"/>
      <c r="J274" s="517"/>
      <c r="K274" s="517"/>
      <c r="L274" s="517"/>
      <c r="M274" s="517"/>
      <c r="N274" s="517"/>
      <c r="O274" s="517"/>
      <c r="P274" s="517"/>
      <c r="Q274" s="517"/>
      <c r="R274" s="517"/>
      <c r="S274" s="517"/>
      <c r="T274" s="517"/>
      <c r="U274" s="517"/>
      <c r="V274" s="517"/>
      <c r="W274" s="517"/>
    </row>
    <row r="275" spans="6:23" x14ac:dyDescent="0.2">
      <c r="F275" s="439"/>
      <c r="G275" s="517"/>
      <c r="H275" s="517"/>
      <c r="I275" s="517"/>
      <c r="J275" s="517"/>
      <c r="K275" s="517"/>
      <c r="L275" s="517"/>
      <c r="M275" s="517"/>
      <c r="N275" s="517"/>
      <c r="O275" s="517"/>
      <c r="P275" s="517"/>
      <c r="Q275" s="517"/>
      <c r="R275" s="517"/>
      <c r="S275" s="517"/>
      <c r="T275" s="517"/>
      <c r="U275" s="517"/>
      <c r="V275" s="517"/>
      <c r="W275" s="517"/>
    </row>
    <row r="276" spans="6:23" x14ac:dyDescent="0.2">
      <c r="F276" s="439"/>
      <c r="G276" s="517"/>
      <c r="H276" s="517"/>
      <c r="I276" s="517"/>
      <c r="J276" s="517"/>
      <c r="K276" s="517"/>
      <c r="L276" s="517"/>
      <c r="M276" s="517"/>
      <c r="N276" s="517"/>
      <c r="O276" s="517"/>
      <c r="P276" s="517"/>
      <c r="Q276" s="517"/>
      <c r="R276" s="517"/>
      <c r="S276" s="517"/>
      <c r="T276" s="517"/>
      <c r="U276" s="517"/>
      <c r="V276" s="517"/>
      <c r="W276" s="517"/>
    </row>
    <row r="277" spans="6:23" x14ac:dyDescent="0.2">
      <c r="F277" s="439"/>
      <c r="G277" s="517"/>
      <c r="H277" s="517"/>
      <c r="I277" s="517"/>
      <c r="J277" s="517"/>
      <c r="K277" s="517"/>
      <c r="L277" s="517"/>
      <c r="M277" s="517"/>
      <c r="N277" s="517"/>
      <c r="O277" s="517"/>
      <c r="P277" s="517"/>
      <c r="Q277" s="517"/>
      <c r="R277" s="517"/>
      <c r="S277" s="517"/>
      <c r="T277" s="517"/>
      <c r="U277" s="517"/>
      <c r="V277" s="517"/>
      <c r="W277" s="517"/>
    </row>
    <row r="278" spans="6:23" x14ac:dyDescent="0.2">
      <c r="F278" s="439"/>
      <c r="G278" s="517"/>
      <c r="H278" s="517"/>
      <c r="I278" s="517"/>
      <c r="J278" s="517"/>
      <c r="K278" s="517"/>
      <c r="L278" s="517"/>
      <c r="M278" s="517"/>
      <c r="N278" s="517"/>
      <c r="O278" s="517"/>
      <c r="P278" s="517"/>
      <c r="Q278" s="517"/>
      <c r="R278" s="517"/>
      <c r="S278" s="517"/>
      <c r="T278" s="517"/>
      <c r="U278" s="517"/>
      <c r="V278" s="517"/>
      <c r="W278" s="517"/>
    </row>
    <row r="279" spans="6:23" x14ac:dyDescent="0.2">
      <c r="F279" s="439"/>
      <c r="G279" s="517"/>
      <c r="H279" s="517"/>
      <c r="I279" s="517"/>
      <c r="J279" s="517"/>
      <c r="K279" s="517"/>
      <c r="L279" s="517"/>
      <c r="M279" s="517"/>
      <c r="N279" s="517"/>
      <c r="O279" s="517"/>
      <c r="P279" s="517"/>
      <c r="Q279" s="517"/>
      <c r="R279" s="517"/>
      <c r="S279" s="517"/>
      <c r="T279" s="517"/>
      <c r="U279" s="517"/>
      <c r="V279" s="517"/>
      <c r="W279" s="517"/>
    </row>
    <row r="280" spans="6:23" x14ac:dyDescent="0.2">
      <c r="F280" s="439"/>
      <c r="G280" s="517"/>
      <c r="H280" s="517"/>
      <c r="I280" s="517"/>
      <c r="J280" s="517"/>
      <c r="K280" s="517"/>
      <c r="L280" s="517"/>
      <c r="M280" s="517"/>
      <c r="N280" s="517"/>
      <c r="O280" s="517"/>
      <c r="P280" s="517"/>
      <c r="Q280" s="517"/>
      <c r="R280" s="517"/>
      <c r="S280" s="517"/>
      <c r="T280" s="517"/>
      <c r="U280" s="517"/>
      <c r="V280" s="517"/>
      <c r="W280" s="517"/>
    </row>
    <row r="281" spans="6:23" x14ac:dyDescent="0.2">
      <c r="F281" s="439"/>
      <c r="G281" s="517"/>
      <c r="H281" s="517"/>
      <c r="I281" s="517"/>
      <c r="J281" s="517"/>
      <c r="K281" s="517"/>
      <c r="L281" s="517"/>
      <c r="M281" s="517"/>
      <c r="N281" s="517"/>
      <c r="O281" s="517"/>
      <c r="P281" s="517"/>
      <c r="Q281" s="517"/>
      <c r="R281" s="517"/>
      <c r="S281" s="517"/>
      <c r="T281" s="517"/>
      <c r="U281" s="517"/>
      <c r="V281" s="517"/>
      <c r="W281" s="517"/>
    </row>
    <row r="282" spans="6:23" x14ac:dyDescent="0.2">
      <c r="F282" s="439"/>
      <c r="G282" s="517"/>
      <c r="H282" s="517"/>
      <c r="I282" s="517"/>
      <c r="J282" s="517"/>
      <c r="K282" s="517"/>
      <c r="L282" s="517"/>
      <c r="M282" s="517"/>
      <c r="N282" s="517"/>
      <c r="O282" s="517"/>
      <c r="P282" s="517"/>
      <c r="Q282" s="517"/>
      <c r="R282" s="517"/>
      <c r="S282" s="517"/>
      <c r="T282" s="517"/>
      <c r="U282" s="517"/>
      <c r="V282" s="517"/>
      <c r="W282" s="517"/>
    </row>
    <row r="283" spans="6:23" x14ac:dyDescent="0.2">
      <c r="F283" s="439"/>
      <c r="G283" s="517"/>
      <c r="H283" s="517"/>
      <c r="I283" s="517"/>
      <c r="J283" s="517"/>
      <c r="K283" s="517"/>
      <c r="L283" s="517"/>
      <c r="M283" s="517"/>
      <c r="N283" s="517"/>
      <c r="O283" s="517"/>
      <c r="P283" s="517"/>
      <c r="Q283" s="517"/>
      <c r="R283" s="517"/>
      <c r="S283" s="517"/>
      <c r="T283" s="517"/>
      <c r="U283" s="517"/>
      <c r="V283" s="517"/>
      <c r="W283" s="517"/>
    </row>
    <row r="284" spans="6:23" x14ac:dyDescent="0.2">
      <c r="F284" s="439"/>
      <c r="G284" s="517"/>
      <c r="H284" s="517"/>
      <c r="I284" s="517"/>
      <c r="J284" s="517"/>
      <c r="K284" s="517"/>
      <c r="L284" s="517"/>
      <c r="M284" s="517"/>
      <c r="N284" s="517"/>
      <c r="O284" s="517"/>
      <c r="P284" s="517"/>
      <c r="Q284" s="517"/>
      <c r="R284" s="517"/>
      <c r="S284" s="517"/>
      <c r="T284" s="517"/>
      <c r="U284" s="517"/>
      <c r="V284" s="517"/>
      <c r="W284" s="517"/>
    </row>
    <row r="285" spans="6:23" x14ac:dyDescent="0.2">
      <c r="F285" s="439"/>
      <c r="G285" s="517"/>
      <c r="H285" s="517"/>
      <c r="I285" s="517"/>
      <c r="J285" s="517"/>
      <c r="K285" s="517"/>
      <c r="L285" s="517"/>
      <c r="M285" s="517"/>
      <c r="N285" s="517"/>
      <c r="O285" s="517"/>
      <c r="P285" s="517"/>
      <c r="Q285" s="517"/>
      <c r="R285" s="517"/>
      <c r="S285" s="517"/>
      <c r="T285" s="517"/>
      <c r="U285" s="517"/>
      <c r="V285" s="517"/>
      <c r="W285" s="517"/>
    </row>
    <row r="286" spans="6:23" x14ac:dyDescent="0.2">
      <c r="F286" s="439"/>
      <c r="G286" s="517"/>
      <c r="H286" s="517"/>
      <c r="I286" s="517"/>
      <c r="J286" s="517"/>
      <c r="K286" s="517"/>
      <c r="L286" s="517"/>
      <c r="M286" s="517"/>
      <c r="N286" s="517"/>
      <c r="O286" s="517"/>
      <c r="P286" s="517"/>
      <c r="Q286" s="517"/>
      <c r="R286" s="517"/>
      <c r="S286" s="517"/>
      <c r="T286" s="517"/>
      <c r="U286" s="517"/>
      <c r="V286" s="517"/>
      <c r="W286" s="517"/>
    </row>
    <row r="287" spans="6:23" x14ac:dyDescent="0.2">
      <c r="F287" s="439"/>
      <c r="G287" s="517"/>
      <c r="H287" s="517"/>
      <c r="I287" s="517"/>
      <c r="J287" s="517"/>
      <c r="K287" s="517"/>
      <c r="L287" s="517"/>
      <c r="M287" s="517"/>
      <c r="N287" s="517"/>
      <c r="O287" s="517"/>
      <c r="P287" s="517"/>
      <c r="Q287" s="517"/>
      <c r="R287" s="517"/>
      <c r="S287" s="517"/>
      <c r="T287" s="517"/>
      <c r="U287" s="517"/>
      <c r="V287" s="517"/>
      <c r="W287" s="517"/>
    </row>
    <row r="288" spans="6:23" x14ac:dyDescent="0.2">
      <c r="F288" s="439"/>
      <c r="G288" s="517"/>
      <c r="H288" s="517"/>
      <c r="I288" s="517"/>
      <c r="J288" s="517"/>
      <c r="K288" s="517"/>
      <c r="L288" s="517"/>
      <c r="M288" s="517"/>
      <c r="N288" s="517"/>
      <c r="O288" s="517"/>
      <c r="P288" s="517"/>
      <c r="Q288" s="517"/>
      <c r="R288" s="517"/>
      <c r="S288" s="517"/>
      <c r="T288" s="517"/>
      <c r="U288" s="517"/>
      <c r="V288" s="517"/>
      <c r="W288" s="517"/>
    </row>
    <row r="289" spans="6:23" x14ac:dyDescent="0.2">
      <c r="F289" s="439"/>
      <c r="G289" s="517"/>
      <c r="H289" s="517"/>
      <c r="I289" s="517"/>
      <c r="J289" s="517"/>
      <c r="K289" s="517"/>
      <c r="L289" s="517"/>
      <c r="M289" s="517"/>
      <c r="N289" s="517"/>
      <c r="O289" s="517"/>
      <c r="P289" s="517"/>
      <c r="Q289" s="517"/>
      <c r="R289" s="517"/>
      <c r="S289" s="517"/>
      <c r="T289" s="517"/>
      <c r="U289" s="517"/>
      <c r="V289" s="517"/>
      <c r="W289" s="517"/>
    </row>
    <row r="290" spans="6:23" x14ac:dyDescent="0.2">
      <c r="F290" s="439"/>
      <c r="G290" s="517"/>
      <c r="H290" s="517"/>
      <c r="I290" s="517"/>
      <c r="J290" s="517"/>
      <c r="K290" s="517"/>
      <c r="L290" s="517"/>
      <c r="M290" s="517"/>
      <c r="N290" s="517"/>
      <c r="O290" s="517"/>
      <c r="P290" s="517"/>
      <c r="Q290" s="517"/>
      <c r="R290" s="517"/>
      <c r="S290" s="517"/>
      <c r="T290" s="517"/>
      <c r="U290" s="517"/>
      <c r="V290" s="517"/>
      <c r="W290" s="517"/>
    </row>
    <row r="291" spans="6:23" x14ac:dyDescent="0.2">
      <c r="F291" s="439"/>
      <c r="G291" s="517"/>
      <c r="H291" s="517"/>
      <c r="I291" s="517"/>
      <c r="J291" s="517"/>
      <c r="K291" s="517"/>
      <c r="L291" s="517"/>
      <c r="M291" s="517"/>
      <c r="N291" s="517"/>
      <c r="O291" s="517"/>
      <c r="P291" s="517"/>
      <c r="Q291" s="517"/>
      <c r="R291" s="517"/>
      <c r="S291" s="517"/>
      <c r="T291" s="517"/>
      <c r="U291" s="517"/>
      <c r="V291" s="517"/>
      <c r="W291" s="517"/>
    </row>
    <row r="292" spans="6:23" x14ac:dyDescent="0.2">
      <c r="F292" s="439"/>
      <c r="G292" s="517"/>
      <c r="H292" s="517"/>
      <c r="I292" s="517"/>
      <c r="J292" s="517"/>
      <c r="K292" s="517"/>
      <c r="L292" s="517"/>
      <c r="M292" s="517"/>
      <c r="N292" s="517"/>
      <c r="O292" s="517"/>
      <c r="P292" s="517"/>
      <c r="Q292" s="517"/>
      <c r="R292" s="517"/>
      <c r="S292" s="517"/>
      <c r="T292" s="517"/>
      <c r="U292" s="517"/>
      <c r="V292" s="517"/>
      <c r="W292" s="517"/>
    </row>
    <row r="293" spans="6:23" x14ac:dyDescent="0.2">
      <c r="F293" s="439"/>
      <c r="G293" s="517"/>
      <c r="H293" s="517"/>
      <c r="I293" s="517"/>
      <c r="J293" s="517"/>
      <c r="K293" s="517"/>
      <c r="L293" s="517"/>
      <c r="M293" s="517"/>
      <c r="N293" s="517"/>
      <c r="O293" s="517"/>
      <c r="P293" s="517"/>
      <c r="Q293" s="517"/>
      <c r="R293" s="517"/>
      <c r="S293" s="517"/>
      <c r="T293" s="517"/>
      <c r="U293" s="517"/>
      <c r="V293" s="517"/>
      <c r="W293" s="517"/>
    </row>
    <row r="294" spans="6:23" x14ac:dyDescent="0.2">
      <c r="F294" s="439"/>
      <c r="G294" s="517"/>
      <c r="H294" s="517"/>
      <c r="I294" s="517"/>
      <c r="J294" s="517"/>
      <c r="K294" s="517"/>
      <c r="L294" s="517"/>
      <c r="M294" s="517"/>
      <c r="N294" s="517"/>
      <c r="O294" s="517"/>
      <c r="P294" s="517"/>
      <c r="Q294" s="517"/>
      <c r="R294" s="517"/>
      <c r="S294" s="517"/>
      <c r="T294" s="517"/>
      <c r="U294" s="517"/>
      <c r="V294" s="517"/>
      <c r="W294" s="517"/>
    </row>
    <row r="295" spans="6:23" x14ac:dyDescent="0.2">
      <c r="F295" s="439"/>
      <c r="G295" s="517"/>
      <c r="H295" s="517"/>
      <c r="I295" s="517"/>
      <c r="J295" s="517"/>
      <c r="K295" s="517"/>
      <c r="L295" s="517"/>
      <c r="M295" s="517"/>
      <c r="N295" s="517"/>
      <c r="O295" s="517"/>
      <c r="P295" s="517"/>
      <c r="Q295" s="517"/>
      <c r="R295" s="517"/>
      <c r="S295" s="517"/>
      <c r="T295" s="517"/>
      <c r="U295" s="517"/>
      <c r="V295" s="517"/>
      <c r="W295" s="517"/>
    </row>
    <row r="296" spans="6:23" x14ac:dyDescent="0.2">
      <c r="F296" s="439"/>
      <c r="G296" s="517"/>
      <c r="H296" s="517"/>
      <c r="I296" s="517"/>
      <c r="J296" s="517"/>
      <c r="K296" s="517"/>
      <c r="L296" s="517"/>
      <c r="M296" s="517"/>
      <c r="N296" s="517"/>
      <c r="O296" s="517"/>
      <c r="P296" s="517"/>
      <c r="Q296" s="517"/>
      <c r="R296" s="517"/>
      <c r="S296" s="517"/>
      <c r="T296" s="517"/>
      <c r="U296" s="517"/>
      <c r="V296" s="517"/>
      <c r="W296" s="517"/>
    </row>
    <row r="297" spans="6:23" x14ac:dyDescent="0.2">
      <c r="F297" s="439"/>
      <c r="G297" s="517"/>
      <c r="H297" s="517"/>
      <c r="I297" s="517"/>
      <c r="J297" s="517"/>
      <c r="K297" s="517"/>
      <c r="L297" s="517"/>
      <c r="M297" s="517"/>
      <c r="N297" s="517"/>
      <c r="O297" s="517"/>
      <c r="P297" s="517"/>
      <c r="Q297" s="517"/>
      <c r="R297" s="517"/>
      <c r="S297" s="517"/>
      <c r="T297" s="517"/>
      <c r="U297" s="517"/>
      <c r="V297" s="517"/>
      <c r="W297" s="517"/>
    </row>
    <row r="298" spans="6:23" x14ac:dyDescent="0.2">
      <c r="F298" s="439"/>
      <c r="G298" s="517"/>
      <c r="H298" s="517"/>
      <c r="I298" s="517"/>
      <c r="J298" s="517"/>
      <c r="K298" s="517"/>
      <c r="L298" s="517"/>
      <c r="M298" s="517"/>
      <c r="N298" s="517"/>
      <c r="O298" s="517"/>
      <c r="P298" s="517"/>
      <c r="Q298" s="517"/>
      <c r="R298" s="517"/>
      <c r="S298" s="517"/>
      <c r="T298" s="517"/>
      <c r="U298" s="517"/>
      <c r="V298" s="517"/>
      <c r="W298" s="517"/>
    </row>
    <row r="299" spans="6:23" x14ac:dyDescent="0.2">
      <c r="F299" s="439"/>
      <c r="G299" s="517"/>
      <c r="H299" s="517"/>
      <c r="I299" s="517"/>
      <c r="J299" s="517"/>
      <c r="K299" s="517"/>
      <c r="L299" s="517"/>
      <c r="M299" s="517"/>
      <c r="N299" s="517"/>
      <c r="O299" s="517"/>
      <c r="P299" s="517"/>
      <c r="Q299" s="517"/>
      <c r="R299" s="517"/>
      <c r="S299" s="517"/>
      <c r="T299" s="517"/>
      <c r="U299" s="517"/>
      <c r="V299" s="517"/>
      <c r="W299" s="517"/>
    </row>
    <row r="300" spans="6:23" x14ac:dyDescent="0.2">
      <c r="F300" s="439"/>
      <c r="G300" s="517"/>
      <c r="H300" s="517"/>
      <c r="I300" s="517"/>
      <c r="J300" s="517"/>
      <c r="K300" s="517"/>
      <c r="L300" s="517"/>
      <c r="M300" s="517"/>
      <c r="N300" s="517"/>
      <c r="O300" s="517"/>
      <c r="P300" s="517"/>
      <c r="Q300" s="517"/>
      <c r="R300" s="517"/>
      <c r="S300" s="517"/>
      <c r="T300" s="517"/>
      <c r="U300" s="517"/>
      <c r="V300" s="517"/>
      <c r="W300" s="517"/>
    </row>
    <row r="301" spans="6:23" x14ac:dyDescent="0.2">
      <c r="F301" s="439"/>
      <c r="G301" s="517"/>
      <c r="H301" s="517"/>
      <c r="I301" s="517"/>
      <c r="J301" s="517"/>
      <c r="K301" s="517"/>
      <c r="L301" s="517"/>
      <c r="M301" s="517"/>
      <c r="N301" s="517"/>
      <c r="O301" s="517"/>
      <c r="P301" s="517"/>
      <c r="Q301" s="517"/>
      <c r="R301" s="517"/>
      <c r="S301" s="517"/>
      <c r="T301" s="517"/>
      <c r="U301" s="517"/>
      <c r="V301" s="517"/>
      <c r="W301" s="517"/>
    </row>
    <row r="302" spans="6:23" x14ac:dyDescent="0.2">
      <c r="F302" s="439"/>
      <c r="G302" s="517"/>
      <c r="H302" s="517"/>
      <c r="I302" s="517"/>
      <c r="J302" s="517"/>
      <c r="K302" s="517"/>
      <c r="L302" s="517"/>
      <c r="M302" s="517"/>
      <c r="N302" s="517"/>
      <c r="O302" s="517"/>
      <c r="P302" s="517"/>
      <c r="Q302" s="517"/>
      <c r="R302" s="517"/>
      <c r="S302" s="517"/>
      <c r="T302" s="517"/>
      <c r="U302" s="517"/>
      <c r="V302" s="517"/>
      <c r="W302" s="517"/>
    </row>
    <row r="303" spans="6:23" x14ac:dyDescent="0.2">
      <c r="F303" s="439"/>
      <c r="G303" s="517"/>
      <c r="H303" s="517"/>
      <c r="I303" s="517"/>
      <c r="J303" s="517"/>
      <c r="K303" s="517"/>
      <c r="L303" s="517"/>
      <c r="M303" s="517"/>
      <c r="N303" s="517"/>
      <c r="O303" s="517"/>
      <c r="P303" s="517"/>
      <c r="Q303" s="517"/>
      <c r="R303" s="517"/>
      <c r="S303" s="517"/>
      <c r="T303" s="517"/>
      <c r="U303" s="517"/>
      <c r="V303" s="517"/>
      <c r="W303" s="517"/>
    </row>
    <row r="304" spans="6:23" x14ac:dyDescent="0.2">
      <c r="F304" s="439"/>
      <c r="G304" s="517"/>
      <c r="H304" s="517"/>
      <c r="I304" s="517"/>
      <c r="J304" s="517"/>
      <c r="K304" s="517"/>
      <c r="L304" s="517"/>
      <c r="M304" s="517"/>
      <c r="N304" s="517"/>
      <c r="O304" s="517"/>
      <c r="P304" s="517"/>
      <c r="Q304" s="517"/>
      <c r="R304" s="517"/>
      <c r="S304" s="517"/>
      <c r="T304" s="517"/>
      <c r="U304" s="517"/>
      <c r="V304" s="517"/>
      <c r="W304" s="517"/>
    </row>
    <row r="305" spans="6:23" x14ac:dyDescent="0.2">
      <c r="F305" s="439"/>
      <c r="G305" s="517"/>
      <c r="H305" s="517"/>
      <c r="I305" s="517"/>
      <c r="J305" s="517"/>
      <c r="K305" s="517"/>
      <c r="L305" s="517"/>
      <c r="M305" s="517"/>
      <c r="N305" s="517"/>
      <c r="O305" s="517"/>
      <c r="P305" s="517"/>
      <c r="Q305" s="517"/>
      <c r="R305" s="517"/>
      <c r="S305" s="517"/>
      <c r="T305" s="517"/>
      <c r="U305" s="517"/>
      <c r="V305" s="517"/>
      <c r="W305" s="517"/>
    </row>
    <row r="306" spans="6:23" x14ac:dyDescent="0.2">
      <c r="F306" s="439"/>
      <c r="G306" s="517"/>
      <c r="H306" s="517"/>
      <c r="I306" s="517"/>
      <c r="J306" s="517"/>
      <c r="K306" s="517"/>
      <c r="L306" s="517"/>
      <c r="M306" s="517"/>
      <c r="N306" s="517"/>
      <c r="O306" s="517"/>
      <c r="P306" s="517"/>
      <c r="Q306" s="517"/>
      <c r="R306" s="517"/>
      <c r="S306" s="517"/>
      <c r="T306" s="517"/>
      <c r="U306" s="517"/>
      <c r="V306" s="517"/>
      <c r="W306" s="517"/>
    </row>
    <row r="307" spans="6:23" x14ac:dyDescent="0.2">
      <c r="F307" s="439"/>
      <c r="G307" s="517"/>
      <c r="H307" s="517"/>
      <c r="I307" s="517"/>
      <c r="J307" s="517"/>
      <c r="K307" s="517"/>
      <c r="L307" s="517"/>
      <c r="M307" s="517"/>
      <c r="N307" s="517"/>
      <c r="O307" s="517"/>
      <c r="P307" s="517"/>
      <c r="Q307" s="517"/>
      <c r="R307" s="517"/>
      <c r="S307" s="517"/>
      <c r="T307" s="517"/>
      <c r="U307" s="517"/>
      <c r="V307" s="517"/>
      <c r="W307" s="517"/>
    </row>
    <row r="308" spans="6:23" x14ac:dyDescent="0.2">
      <c r="F308" s="439"/>
      <c r="G308" s="517"/>
      <c r="H308" s="517"/>
      <c r="I308" s="517"/>
      <c r="J308" s="517"/>
      <c r="K308" s="517"/>
      <c r="L308" s="517"/>
      <c r="M308" s="517"/>
      <c r="N308" s="517"/>
      <c r="O308" s="517"/>
      <c r="P308" s="517"/>
      <c r="Q308" s="517"/>
      <c r="R308" s="517"/>
      <c r="S308" s="517"/>
      <c r="T308" s="517"/>
      <c r="U308" s="517"/>
      <c r="V308" s="517"/>
      <c r="W308" s="517"/>
    </row>
    <row r="309" spans="6:23" x14ac:dyDescent="0.2">
      <c r="F309" s="439"/>
      <c r="G309" s="517"/>
      <c r="H309" s="517"/>
      <c r="I309" s="517"/>
      <c r="J309" s="517"/>
      <c r="K309" s="517"/>
      <c r="L309" s="517"/>
      <c r="M309" s="517"/>
      <c r="N309" s="517"/>
      <c r="O309" s="517"/>
      <c r="P309" s="517"/>
      <c r="Q309" s="517"/>
      <c r="R309" s="517"/>
      <c r="S309" s="517"/>
      <c r="T309" s="517"/>
      <c r="U309" s="517"/>
      <c r="V309" s="517"/>
      <c r="W309" s="517"/>
    </row>
    <row r="310" spans="6:23" x14ac:dyDescent="0.2">
      <c r="F310" s="439"/>
      <c r="G310" s="517"/>
      <c r="H310" s="517"/>
      <c r="I310" s="517"/>
      <c r="J310" s="517"/>
      <c r="K310" s="517"/>
      <c r="L310" s="517"/>
      <c r="M310" s="517"/>
      <c r="N310" s="517"/>
      <c r="O310" s="517"/>
      <c r="P310" s="517"/>
      <c r="Q310" s="517"/>
      <c r="R310" s="517"/>
      <c r="S310" s="517"/>
      <c r="T310" s="517"/>
      <c r="U310" s="517"/>
      <c r="V310" s="517"/>
      <c r="W310" s="517"/>
    </row>
    <row r="311" spans="6:23" x14ac:dyDescent="0.2">
      <c r="F311" s="439"/>
      <c r="G311" s="517"/>
      <c r="H311" s="517"/>
      <c r="I311" s="517"/>
      <c r="J311" s="517"/>
      <c r="K311" s="517"/>
      <c r="L311" s="517"/>
      <c r="M311" s="517"/>
      <c r="N311" s="517"/>
      <c r="O311" s="517"/>
      <c r="P311" s="517"/>
      <c r="Q311" s="517"/>
      <c r="R311" s="517"/>
      <c r="S311" s="517"/>
      <c r="T311" s="517"/>
      <c r="U311" s="517"/>
      <c r="V311" s="517"/>
      <c r="W311" s="517"/>
    </row>
    <row r="312" spans="6:23" x14ac:dyDescent="0.2">
      <c r="F312" s="439"/>
      <c r="G312" s="517"/>
      <c r="H312" s="517"/>
      <c r="I312" s="517"/>
      <c r="J312" s="517"/>
      <c r="K312" s="517"/>
      <c r="L312" s="517"/>
      <c r="M312" s="517"/>
      <c r="N312" s="517"/>
      <c r="O312" s="517"/>
      <c r="P312" s="517"/>
      <c r="Q312" s="517"/>
      <c r="R312" s="517"/>
      <c r="S312" s="517"/>
      <c r="T312" s="517"/>
      <c r="U312" s="517"/>
      <c r="V312" s="517"/>
      <c r="W312" s="517"/>
    </row>
    <row r="313" spans="6:23" x14ac:dyDescent="0.2">
      <c r="F313" s="439"/>
      <c r="G313" s="517"/>
      <c r="H313" s="517"/>
      <c r="I313" s="517"/>
      <c r="J313" s="517"/>
      <c r="K313" s="517"/>
      <c r="L313" s="517"/>
      <c r="M313" s="517"/>
      <c r="N313" s="517"/>
      <c r="O313" s="517"/>
      <c r="P313" s="517"/>
      <c r="Q313" s="517"/>
      <c r="R313" s="517"/>
      <c r="S313" s="517"/>
      <c r="T313" s="517"/>
      <c r="U313" s="517"/>
      <c r="V313" s="517"/>
      <c r="W313" s="517"/>
    </row>
    <row r="314" spans="6:23" x14ac:dyDescent="0.2">
      <c r="F314" s="439"/>
      <c r="G314" s="517"/>
      <c r="H314" s="517"/>
      <c r="I314" s="517"/>
      <c r="J314" s="517"/>
      <c r="K314" s="517"/>
      <c r="L314" s="517"/>
      <c r="M314" s="517"/>
      <c r="N314" s="517"/>
      <c r="O314" s="517"/>
      <c r="P314" s="517"/>
      <c r="Q314" s="517"/>
      <c r="R314" s="517"/>
      <c r="S314" s="517"/>
      <c r="T314" s="517"/>
      <c r="U314" s="517"/>
      <c r="V314" s="517"/>
      <c r="W314" s="517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7"/>
  <sheetViews>
    <sheetView tabSelected="1" view="pageBreakPreview" zoomScale="110" zoomScaleNormal="100" zoomScaleSheetLayoutView="110" workbookViewId="0">
      <selection activeCell="F49" sqref="F49"/>
    </sheetView>
  </sheetViews>
  <sheetFormatPr defaultColWidth="8.85546875" defaultRowHeight="12.75" x14ac:dyDescent="0.2"/>
  <cols>
    <col min="1" max="2" width="0.85546875" style="529" customWidth="1"/>
    <col min="3" max="3" width="2.7109375" style="529" customWidth="1"/>
    <col min="4" max="4" width="35.140625" style="529" customWidth="1"/>
    <col min="5" max="5" width="3" style="551" customWidth="1"/>
    <col min="6" max="19" width="17.85546875" style="551" customWidth="1"/>
    <col min="20" max="20" width="2" style="529" customWidth="1"/>
    <col min="21" max="21" width="1.7109375" style="529" customWidth="1"/>
    <col min="22" max="22" width="19.85546875" style="529" bestFit="1" customWidth="1"/>
    <col min="23" max="23" width="11" style="529" hidden="1" customWidth="1"/>
    <col min="24" max="24" width="12.5703125" style="529" customWidth="1"/>
    <col min="25" max="242" width="8.85546875" style="529"/>
    <col min="243" max="244" width="0.85546875" style="529" customWidth="1"/>
    <col min="245" max="245" width="2.7109375" style="529" customWidth="1"/>
    <col min="246" max="246" width="35.140625" style="529" customWidth="1"/>
    <col min="247" max="247" width="3" style="529" customWidth="1"/>
    <col min="248" max="248" width="15.7109375" style="529" customWidth="1"/>
    <col min="249" max="259" width="0" style="529" hidden="1" customWidth="1"/>
    <col min="260" max="260" width="14.42578125" style="529" customWidth="1"/>
    <col min="261" max="262" width="15.7109375" style="529" customWidth="1"/>
    <col min="263" max="273" width="0" style="529" hidden="1" customWidth="1"/>
    <col min="274" max="275" width="15.7109375" style="529" customWidth="1"/>
    <col min="276" max="276" width="2" style="529" customWidth="1"/>
    <col min="277" max="277" width="1.7109375" style="529" customWidth="1"/>
    <col min="278" max="278" width="19.85546875" style="529" bestFit="1" customWidth="1"/>
    <col min="279" max="279" width="0" style="529" hidden="1" customWidth="1"/>
    <col min="280" max="280" width="12.5703125" style="529" customWidth="1"/>
    <col min="281" max="498" width="8.85546875" style="529"/>
    <col min="499" max="500" width="0.85546875" style="529" customWidth="1"/>
    <col min="501" max="501" width="2.7109375" style="529" customWidth="1"/>
    <col min="502" max="502" width="35.140625" style="529" customWidth="1"/>
    <col min="503" max="503" width="3" style="529" customWidth="1"/>
    <col min="504" max="504" width="15.7109375" style="529" customWidth="1"/>
    <col min="505" max="515" width="0" style="529" hidden="1" customWidth="1"/>
    <col min="516" max="516" width="14.42578125" style="529" customWidth="1"/>
    <col min="517" max="518" width="15.7109375" style="529" customWidth="1"/>
    <col min="519" max="529" width="0" style="529" hidden="1" customWidth="1"/>
    <col min="530" max="531" width="15.7109375" style="529" customWidth="1"/>
    <col min="532" max="532" width="2" style="529" customWidth="1"/>
    <col min="533" max="533" width="1.7109375" style="529" customWidth="1"/>
    <col min="534" max="534" width="19.85546875" style="529" bestFit="1" customWidth="1"/>
    <col min="535" max="535" width="0" style="529" hidden="1" customWidth="1"/>
    <col min="536" max="536" width="12.5703125" style="529" customWidth="1"/>
    <col min="537" max="754" width="8.85546875" style="529"/>
    <col min="755" max="756" width="0.85546875" style="529" customWidth="1"/>
    <col min="757" max="757" width="2.7109375" style="529" customWidth="1"/>
    <col min="758" max="758" width="35.140625" style="529" customWidth="1"/>
    <col min="759" max="759" width="3" style="529" customWidth="1"/>
    <col min="760" max="760" width="15.7109375" style="529" customWidth="1"/>
    <col min="761" max="771" width="0" style="529" hidden="1" customWidth="1"/>
    <col min="772" max="772" width="14.42578125" style="529" customWidth="1"/>
    <col min="773" max="774" width="15.7109375" style="529" customWidth="1"/>
    <col min="775" max="785" width="0" style="529" hidden="1" customWidth="1"/>
    <col min="786" max="787" width="15.7109375" style="529" customWidth="1"/>
    <col min="788" max="788" width="2" style="529" customWidth="1"/>
    <col min="789" max="789" width="1.7109375" style="529" customWidth="1"/>
    <col min="790" max="790" width="19.85546875" style="529" bestFit="1" customWidth="1"/>
    <col min="791" max="791" width="0" style="529" hidden="1" customWidth="1"/>
    <col min="792" max="792" width="12.5703125" style="529" customWidth="1"/>
    <col min="793" max="1010" width="8.85546875" style="529"/>
    <col min="1011" max="1012" width="0.85546875" style="529" customWidth="1"/>
    <col min="1013" max="1013" width="2.7109375" style="529" customWidth="1"/>
    <col min="1014" max="1014" width="35.140625" style="529" customWidth="1"/>
    <col min="1015" max="1015" width="3" style="529" customWidth="1"/>
    <col min="1016" max="1016" width="15.7109375" style="529" customWidth="1"/>
    <col min="1017" max="1027" width="0" style="529" hidden="1" customWidth="1"/>
    <col min="1028" max="1028" width="14.42578125" style="529" customWidth="1"/>
    <col min="1029" max="1030" width="15.7109375" style="529" customWidth="1"/>
    <col min="1031" max="1041" width="0" style="529" hidden="1" customWidth="1"/>
    <col min="1042" max="1043" width="15.7109375" style="529" customWidth="1"/>
    <col min="1044" max="1044" width="2" style="529" customWidth="1"/>
    <col min="1045" max="1045" width="1.7109375" style="529" customWidth="1"/>
    <col min="1046" max="1046" width="19.85546875" style="529" bestFit="1" customWidth="1"/>
    <col min="1047" max="1047" width="0" style="529" hidden="1" customWidth="1"/>
    <col min="1048" max="1048" width="12.5703125" style="529" customWidth="1"/>
    <col min="1049" max="1266" width="8.85546875" style="529"/>
    <col min="1267" max="1268" width="0.85546875" style="529" customWidth="1"/>
    <col min="1269" max="1269" width="2.7109375" style="529" customWidth="1"/>
    <col min="1270" max="1270" width="35.140625" style="529" customWidth="1"/>
    <col min="1271" max="1271" width="3" style="529" customWidth="1"/>
    <col min="1272" max="1272" width="15.7109375" style="529" customWidth="1"/>
    <col min="1273" max="1283" width="0" style="529" hidden="1" customWidth="1"/>
    <col min="1284" max="1284" width="14.42578125" style="529" customWidth="1"/>
    <col min="1285" max="1286" width="15.7109375" style="529" customWidth="1"/>
    <col min="1287" max="1297" width="0" style="529" hidden="1" customWidth="1"/>
    <col min="1298" max="1299" width="15.7109375" style="529" customWidth="1"/>
    <col min="1300" max="1300" width="2" style="529" customWidth="1"/>
    <col min="1301" max="1301" width="1.7109375" style="529" customWidth="1"/>
    <col min="1302" max="1302" width="19.85546875" style="529" bestFit="1" customWidth="1"/>
    <col min="1303" max="1303" width="0" style="529" hidden="1" customWidth="1"/>
    <col min="1304" max="1304" width="12.5703125" style="529" customWidth="1"/>
    <col min="1305" max="1522" width="8.85546875" style="529"/>
    <col min="1523" max="1524" width="0.85546875" style="529" customWidth="1"/>
    <col min="1525" max="1525" width="2.7109375" style="529" customWidth="1"/>
    <col min="1526" max="1526" width="35.140625" style="529" customWidth="1"/>
    <col min="1527" max="1527" width="3" style="529" customWidth="1"/>
    <col min="1528" max="1528" width="15.7109375" style="529" customWidth="1"/>
    <col min="1529" max="1539" width="0" style="529" hidden="1" customWidth="1"/>
    <col min="1540" max="1540" width="14.42578125" style="529" customWidth="1"/>
    <col min="1541" max="1542" width="15.7109375" style="529" customWidth="1"/>
    <col min="1543" max="1553" width="0" style="529" hidden="1" customWidth="1"/>
    <col min="1554" max="1555" width="15.7109375" style="529" customWidth="1"/>
    <col min="1556" max="1556" width="2" style="529" customWidth="1"/>
    <col min="1557" max="1557" width="1.7109375" style="529" customWidth="1"/>
    <col min="1558" max="1558" width="19.85546875" style="529" bestFit="1" customWidth="1"/>
    <col min="1559" max="1559" width="0" style="529" hidden="1" customWidth="1"/>
    <col min="1560" max="1560" width="12.5703125" style="529" customWidth="1"/>
    <col min="1561" max="1778" width="8.85546875" style="529"/>
    <col min="1779" max="1780" width="0.85546875" style="529" customWidth="1"/>
    <col min="1781" max="1781" width="2.7109375" style="529" customWidth="1"/>
    <col min="1782" max="1782" width="35.140625" style="529" customWidth="1"/>
    <col min="1783" max="1783" width="3" style="529" customWidth="1"/>
    <col min="1784" max="1784" width="15.7109375" style="529" customWidth="1"/>
    <col min="1785" max="1795" width="0" style="529" hidden="1" customWidth="1"/>
    <col min="1796" max="1796" width="14.42578125" style="529" customWidth="1"/>
    <col min="1797" max="1798" width="15.7109375" style="529" customWidth="1"/>
    <col min="1799" max="1809" width="0" style="529" hidden="1" customWidth="1"/>
    <col min="1810" max="1811" width="15.7109375" style="529" customWidth="1"/>
    <col min="1812" max="1812" width="2" style="529" customWidth="1"/>
    <col min="1813" max="1813" width="1.7109375" style="529" customWidth="1"/>
    <col min="1814" max="1814" width="19.85546875" style="529" bestFit="1" customWidth="1"/>
    <col min="1815" max="1815" width="0" style="529" hidden="1" customWidth="1"/>
    <col min="1816" max="1816" width="12.5703125" style="529" customWidth="1"/>
    <col min="1817" max="2034" width="8.85546875" style="529"/>
    <col min="2035" max="2036" width="0.85546875" style="529" customWidth="1"/>
    <col min="2037" max="2037" width="2.7109375" style="529" customWidth="1"/>
    <col min="2038" max="2038" width="35.140625" style="529" customWidth="1"/>
    <col min="2039" max="2039" width="3" style="529" customWidth="1"/>
    <col min="2040" max="2040" width="15.7109375" style="529" customWidth="1"/>
    <col min="2041" max="2051" width="0" style="529" hidden="1" customWidth="1"/>
    <col min="2052" max="2052" width="14.42578125" style="529" customWidth="1"/>
    <col min="2053" max="2054" width="15.7109375" style="529" customWidth="1"/>
    <col min="2055" max="2065" width="0" style="529" hidden="1" customWidth="1"/>
    <col min="2066" max="2067" width="15.7109375" style="529" customWidth="1"/>
    <col min="2068" max="2068" width="2" style="529" customWidth="1"/>
    <col min="2069" max="2069" width="1.7109375" style="529" customWidth="1"/>
    <col min="2070" max="2070" width="19.85546875" style="529" bestFit="1" customWidth="1"/>
    <col min="2071" max="2071" width="0" style="529" hidden="1" customWidth="1"/>
    <col min="2072" max="2072" width="12.5703125" style="529" customWidth="1"/>
    <col min="2073" max="2290" width="8.85546875" style="529"/>
    <col min="2291" max="2292" width="0.85546875" style="529" customWidth="1"/>
    <col min="2293" max="2293" width="2.7109375" style="529" customWidth="1"/>
    <col min="2294" max="2294" width="35.140625" style="529" customWidth="1"/>
    <col min="2295" max="2295" width="3" style="529" customWidth="1"/>
    <col min="2296" max="2296" width="15.7109375" style="529" customWidth="1"/>
    <col min="2297" max="2307" width="0" style="529" hidden="1" customWidth="1"/>
    <col min="2308" max="2308" width="14.42578125" style="529" customWidth="1"/>
    <col min="2309" max="2310" width="15.7109375" style="529" customWidth="1"/>
    <col min="2311" max="2321" width="0" style="529" hidden="1" customWidth="1"/>
    <col min="2322" max="2323" width="15.7109375" style="529" customWidth="1"/>
    <col min="2324" max="2324" width="2" style="529" customWidth="1"/>
    <col min="2325" max="2325" width="1.7109375" style="529" customWidth="1"/>
    <col min="2326" max="2326" width="19.85546875" style="529" bestFit="1" customWidth="1"/>
    <col min="2327" max="2327" width="0" style="529" hidden="1" customWidth="1"/>
    <col min="2328" max="2328" width="12.5703125" style="529" customWidth="1"/>
    <col min="2329" max="2546" width="8.85546875" style="529"/>
    <col min="2547" max="2548" width="0.85546875" style="529" customWidth="1"/>
    <col min="2549" max="2549" width="2.7109375" style="529" customWidth="1"/>
    <col min="2550" max="2550" width="35.140625" style="529" customWidth="1"/>
    <col min="2551" max="2551" width="3" style="529" customWidth="1"/>
    <col min="2552" max="2552" width="15.7109375" style="529" customWidth="1"/>
    <col min="2553" max="2563" width="0" style="529" hidden="1" customWidth="1"/>
    <col min="2564" max="2564" width="14.42578125" style="529" customWidth="1"/>
    <col min="2565" max="2566" width="15.7109375" style="529" customWidth="1"/>
    <col min="2567" max="2577" width="0" style="529" hidden="1" customWidth="1"/>
    <col min="2578" max="2579" width="15.7109375" style="529" customWidth="1"/>
    <col min="2580" max="2580" width="2" style="529" customWidth="1"/>
    <col min="2581" max="2581" width="1.7109375" style="529" customWidth="1"/>
    <col min="2582" max="2582" width="19.85546875" style="529" bestFit="1" customWidth="1"/>
    <col min="2583" max="2583" width="0" style="529" hidden="1" customWidth="1"/>
    <col min="2584" max="2584" width="12.5703125" style="529" customWidth="1"/>
    <col min="2585" max="2802" width="8.85546875" style="529"/>
    <col min="2803" max="2804" width="0.85546875" style="529" customWidth="1"/>
    <col min="2805" max="2805" width="2.7109375" style="529" customWidth="1"/>
    <col min="2806" max="2806" width="35.140625" style="529" customWidth="1"/>
    <col min="2807" max="2807" width="3" style="529" customWidth="1"/>
    <col min="2808" max="2808" width="15.7109375" style="529" customWidth="1"/>
    <col min="2809" max="2819" width="0" style="529" hidden="1" customWidth="1"/>
    <col min="2820" max="2820" width="14.42578125" style="529" customWidth="1"/>
    <col min="2821" max="2822" width="15.7109375" style="529" customWidth="1"/>
    <col min="2823" max="2833" width="0" style="529" hidden="1" customWidth="1"/>
    <col min="2834" max="2835" width="15.7109375" style="529" customWidth="1"/>
    <col min="2836" max="2836" width="2" style="529" customWidth="1"/>
    <col min="2837" max="2837" width="1.7109375" style="529" customWidth="1"/>
    <col min="2838" max="2838" width="19.85546875" style="529" bestFit="1" customWidth="1"/>
    <col min="2839" max="2839" width="0" style="529" hidden="1" customWidth="1"/>
    <col min="2840" max="2840" width="12.5703125" style="529" customWidth="1"/>
    <col min="2841" max="3058" width="8.85546875" style="529"/>
    <col min="3059" max="3060" width="0.85546875" style="529" customWidth="1"/>
    <col min="3061" max="3061" width="2.7109375" style="529" customWidth="1"/>
    <col min="3062" max="3062" width="35.140625" style="529" customWidth="1"/>
    <col min="3063" max="3063" width="3" style="529" customWidth="1"/>
    <col min="3064" max="3064" width="15.7109375" style="529" customWidth="1"/>
    <col min="3065" max="3075" width="0" style="529" hidden="1" customWidth="1"/>
    <col min="3076" max="3076" width="14.42578125" style="529" customWidth="1"/>
    <col min="3077" max="3078" width="15.7109375" style="529" customWidth="1"/>
    <col min="3079" max="3089" width="0" style="529" hidden="1" customWidth="1"/>
    <col min="3090" max="3091" width="15.7109375" style="529" customWidth="1"/>
    <col min="3092" max="3092" width="2" style="529" customWidth="1"/>
    <col min="3093" max="3093" width="1.7109375" style="529" customWidth="1"/>
    <col min="3094" max="3094" width="19.85546875" style="529" bestFit="1" customWidth="1"/>
    <col min="3095" max="3095" width="0" style="529" hidden="1" customWidth="1"/>
    <col min="3096" max="3096" width="12.5703125" style="529" customWidth="1"/>
    <col min="3097" max="3314" width="8.85546875" style="529"/>
    <col min="3315" max="3316" width="0.85546875" style="529" customWidth="1"/>
    <col min="3317" max="3317" width="2.7109375" style="529" customWidth="1"/>
    <col min="3318" max="3318" width="35.140625" style="529" customWidth="1"/>
    <col min="3319" max="3319" width="3" style="529" customWidth="1"/>
    <col min="3320" max="3320" width="15.7109375" style="529" customWidth="1"/>
    <col min="3321" max="3331" width="0" style="529" hidden="1" customWidth="1"/>
    <col min="3332" max="3332" width="14.42578125" style="529" customWidth="1"/>
    <col min="3333" max="3334" width="15.7109375" style="529" customWidth="1"/>
    <col min="3335" max="3345" width="0" style="529" hidden="1" customWidth="1"/>
    <col min="3346" max="3347" width="15.7109375" style="529" customWidth="1"/>
    <col min="3348" max="3348" width="2" style="529" customWidth="1"/>
    <col min="3349" max="3349" width="1.7109375" style="529" customWidth="1"/>
    <col min="3350" max="3350" width="19.85546875" style="529" bestFit="1" customWidth="1"/>
    <col min="3351" max="3351" width="0" style="529" hidden="1" customWidth="1"/>
    <col min="3352" max="3352" width="12.5703125" style="529" customWidth="1"/>
    <col min="3353" max="3570" width="8.85546875" style="529"/>
    <col min="3571" max="3572" width="0.85546875" style="529" customWidth="1"/>
    <col min="3573" max="3573" width="2.7109375" style="529" customWidth="1"/>
    <col min="3574" max="3574" width="35.140625" style="529" customWidth="1"/>
    <col min="3575" max="3575" width="3" style="529" customWidth="1"/>
    <col min="3576" max="3576" width="15.7109375" style="529" customWidth="1"/>
    <col min="3577" max="3587" width="0" style="529" hidden="1" customWidth="1"/>
    <col min="3588" max="3588" width="14.42578125" style="529" customWidth="1"/>
    <col min="3589" max="3590" width="15.7109375" style="529" customWidth="1"/>
    <col min="3591" max="3601" width="0" style="529" hidden="1" customWidth="1"/>
    <col min="3602" max="3603" width="15.7109375" style="529" customWidth="1"/>
    <col min="3604" max="3604" width="2" style="529" customWidth="1"/>
    <col min="3605" max="3605" width="1.7109375" style="529" customWidth="1"/>
    <col min="3606" max="3606" width="19.85546875" style="529" bestFit="1" customWidth="1"/>
    <col min="3607" max="3607" width="0" style="529" hidden="1" customWidth="1"/>
    <col min="3608" max="3608" width="12.5703125" style="529" customWidth="1"/>
    <col min="3609" max="3826" width="8.85546875" style="529"/>
    <col min="3827" max="3828" width="0.85546875" style="529" customWidth="1"/>
    <col min="3829" max="3829" width="2.7109375" style="529" customWidth="1"/>
    <col min="3830" max="3830" width="35.140625" style="529" customWidth="1"/>
    <col min="3831" max="3831" width="3" style="529" customWidth="1"/>
    <col min="3832" max="3832" width="15.7109375" style="529" customWidth="1"/>
    <col min="3833" max="3843" width="0" style="529" hidden="1" customWidth="1"/>
    <col min="3844" max="3844" width="14.42578125" style="529" customWidth="1"/>
    <col min="3845" max="3846" width="15.7109375" style="529" customWidth="1"/>
    <col min="3847" max="3857" width="0" style="529" hidden="1" customWidth="1"/>
    <col min="3858" max="3859" width="15.7109375" style="529" customWidth="1"/>
    <col min="3860" max="3860" width="2" style="529" customWidth="1"/>
    <col min="3861" max="3861" width="1.7109375" style="529" customWidth="1"/>
    <col min="3862" max="3862" width="19.85546875" style="529" bestFit="1" customWidth="1"/>
    <col min="3863" max="3863" width="0" style="529" hidden="1" customWidth="1"/>
    <col min="3864" max="3864" width="12.5703125" style="529" customWidth="1"/>
    <col min="3865" max="4082" width="8.85546875" style="529"/>
    <col min="4083" max="4084" width="0.85546875" style="529" customWidth="1"/>
    <col min="4085" max="4085" width="2.7109375" style="529" customWidth="1"/>
    <col min="4086" max="4086" width="35.140625" style="529" customWidth="1"/>
    <col min="4087" max="4087" width="3" style="529" customWidth="1"/>
    <col min="4088" max="4088" width="15.7109375" style="529" customWidth="1"/>
    <col min="4089" max="4099" width="0" style="529" hidden="1" customWidth="1"/>
    <col min="4100" max="4100" width="14.42578125" style="529" customWidth="1"/>
    <col min="4101" max="4102" width="15.7109375" style="529" customWidth="1"/>
    <col min="4103" max="4113" width="0" style="529" hidden="1" customWidth="1"/>
    <col min="4114" max="4115" width="15.7109375" style="529" customWidth="1"/>
    <col min="4116" max="4116" width="2" style="529" customWidth="1"/>
    <col min="4117" max="4117" width="1.7109375" style="529" customWidth="1"/>
    <col min="4118" max="4118" width="19.85546875" style="529" bestFit="1" customWidth="1"/>
    <col min="4119" max="4119" width="0" style="529" hidden="1" customWidth="1"/>
    <col min="4120" max="4120" width="12.5703125" style="529" customWidth="1"/>
    <col min="4121" max="4338" width="8.85546875" style="529"/>
    <col min="4339" max="4340" width="0.85546875" style="529" customWidth="1"/>
    <col min="4341" max="4341" width="2.7109375" style="529" customWidth="1"/>
    <col min="4342" max="4342" width="35.140625" style="529" customWidth="1"/>
    <col min="4343" max="4343" width="3" style="529" customWidth="1"/>
    <col min="4344" max="4344" width="15.7109375" style="529" customWidth="1"/>
    <col min="4345" max="4355" width="0" style="529" hidden="1" customWidth="1"/>
    <col min="4356" max="4356" width="14.42578125" style="529" customWidth="1"/>
    <col min="4357" max="4358" width="15.7109375" style="529" customWidth="1"/>
    <col min="4359" max="4369" width="0" style="529" hidden="1" customWidth="1"/>
    <col min="4370" max="4371" width="15.7109375" style="529" customWidth="1"/>
    <col min="4372" max="4372" width="2" style="529" customWidth="1"/>
    <col min="4373" max="4373" width="1.7109375" style="529" customWidth="1"/>
    <col min="4374" max="4374" width="19.85546875" style="529" bestFit="1" customWidth="1"/>
    <col min="4375" max="4375" width="0" style="529" hidden="1" customWidth="1"/>
    <col min="4376" max="4376" width="12.5703125" style="529" customWidth="1"/>
    <col min="4377" max="4594" width="8.85546875" style="529"/>
    <col min="4595" max="4596" width="0.85546875" style="529" customWidth="1"/>
    <col min="4597" max="4597" width="2.7109375" style="529" customWidth="1"/>
    <col min="4598" max="4598" width="35.140625" style="529" customWidth="1"/>
    <col min="4599" max="4599" width="3" style="529" customWidth="1"/>
    <col min="4600" max="4600" width="15.7109375" style="529" customWidth="1"/>
    <col min="4601" max="4611" width="0" style="529" hidden="1" customWidth="1"/>
    <col min="4612" max="4612" width="14.42578125" style="529" customWidth="1"/>
    <col min="4613" max="4614" width="15.7109375" style="529" customWidth="1"/>
    <col min="4615" max="4625" width="0" style="529" hidden="1" customWidth="1"/>
    <col min="4626" max="4627" width="15.7109375" style="529" customWidth="1"/>
    <col min="4628" max="4628" width="2" style="529" customWidth="1"/>
    <col min="4629" max="4629" width="1.7109375" style="529" customWidth="1"/>
    <col min="4630" max="4630" width="19.85546875" style="529" bestFit="1" customWidth="1"/>
    <col min="4631" max="4631" width="0" style="529" hidden="1" customWidth="1"/>
    <col min="4632" max="4632" width="12.5703125" style="529" customWidth="1"/>
    <col min="4633" max="4850" width="8.85546875" style="529"/>
    <col min="4851" max="4852" width="0.85546875" style="529" customWidth="1"/>
    <col min="4853" max="4853" width="2.7109375" style="529" customWidth="1"/>
    <col min="4854" max="4854" width="35.140625" style="529" customWidth="1"/>
    <col min="4855" max="4855" width="3" style="529" customWidth="1"/>
    <col min="4856" max="4856" width="15.7109375" style="529" customWidth="1"/>
    <col min="4857" max="4867" width="0" style="529" hidden="1" customWidth="1"/>
    <col min="4868" max="4868" width="14.42578125" style="529" customWidth="1"/>
    <col min="4869" max="4870" width="15.7109375" style="529" customWidth="1"/>
    <col min="4871" max="4881" width="0" style="529" hidden="1" customWidth="1"/>
    <col min="4882" max="4883" width="15.7109375" style="529" customWidth="1"/>
    <col min="4884" max="4884" width="2" style="529" customWidth="1"/>
    <col min="4885" max="4885" width="1.7109375" style="529" customWidth="1"/>
    <col min="4886" max="4886" width="19.85546875" style="529" bestFit="1" customWidth="1"/>
    <col min="4887" max="4887" width="0" style="529" hidden="1" customWidth="1"/>
    <col min="4888" max="4888" width="12.5703125" style="529" customWidth="1"/>
    <col min="4889" max="5106" width="8.85546875" style="529"/>
    <col min="5107" max="5108" width="0.85546875" style="529" customWidth="1"/>
    <col min="5109" max="5109" width="2.7109375" style="529" customWidth="1"/>
    <col min="5110" max="5110" width="35.140625" style="529" customWidth="1"/>
    <col min="5111" max="5111" width="3" style="529" customWidth="1"/>
    <col min="5112" max="5112" width="15.7109375" style="529" customWidth="1"/>
    <col min="5113" max="5123" width="0" style="529" hidden="1" customWidth="1"/>
    <col min="5124" max="5124" width="14.42578125" style="529" customWidth="1"/>
    <col min="5125" max="5126" width="15.7109375" style="529" customWidth="1"/>
    <col min="5127" max="5137" width="0" style="529" hidden="1" customWidth="1"/>
    <col min="5138" max="5139" width="15.7109375" style="529" customWidth="1"/>
    <col min="5140" max="5140" width="2" style="529" customWidth="1"/>
    <col min="5141" max="5141" width="1.7109375" style="529" customWidth="1"/>
    <col min="5142" max="5142" width="19.85546875" style="529" bestFit="1" customWidth="1"/>
    <col min="5143" max="5143" width="0" style="529" hidden="1" customWidth="1"/>
    <col min="5144" max="5144" width="12.5703125" style="529" customWidth="1"/>
    <col min="5145" max="5362" width="8.85546875" style="529"/>
    <col min="5363" max="5364" width="0.85546875" style="529" customWidth="1"/>
    <col min="5365" max="5365" width="2.7109375" style="529" customWidth="1"/>
    <col min="5366" max="5366" width="35.140625" style="529" customWidth="1"/>
    <col min="5367" max="5367" width="3" style="529" customWidth="1"/>
    <col min="5368" max="5368" width="15.7109375" style="529" customWidth="1"/>
    <col min="5369" max="5379" width="0" style="529" hidden="1" customWidth="1"/>
    <col min="5380" max="5380" width="14.42578125" style="529" customWidth="1"/>
    <col min="5381" max="5382" width="15.7109375" style="529" customWidth="1"/>
    <col min="5383" max="5393" width="0" style="529" hidden="1" customWidth="1"/>
    <col min="5394" max="5395" width="15.7109375" style="529" customWidth="1"/>
    <col min="5396" max="5396" width="2" style="529" customWidth="1"/>
    <col min="5397" max="5397" width="1.7109375" style="529" customWidth="1"/>
    <col min="5398" max="5398" width="19.85546875" style="529" bestFit="1" customWidth="1"/>
    <col min="5399" max="5399" width="0" style="529" hidden="1" customWidth="1"/>
    <col min="5400" max="5400" width="12.5703125" style="529" customWidth="1"/>
    <col min="5401" max="5618" width="8.85546875" style="529"/>
    <col min="5619" max="5620" width="0.85546875" style="529" customWidth="1"/>
    <col min="5621" max="5621" width="2.7109375" style="529" customWidth="1"/>
    <col min="5622" max="5622" width="35.140625" style="529" customWidth="1"/>
    <col min="5623" max="5623" width="3" style="529" customWidth="1"/>
    <col min="5624" max="5624" width="15.7109375" style="529" customWidth="1"/>
    <col min="5625" max="5635" width="0" style="529" hidden="1" customWidth="1"/>
    <col min="5636" max="5636" width="14.42578125" style="529" customWidth="1"/>
    <col min="5637" max="5638" width="15.7109375" style="529" customWidth="1"/>
    <col min="5639" max="5649" width="0" style="529" hidden="1" customWidth="1"/>
    <col min="5650" max="5651" width="15.7109375" style="529" customWidth="1"/>
    <col min="5652" max="5652" width="2" style="529" customWidth="1"/>
    <col min="5653" max="5653" width="1.7109375" style="529" customWidth="1"/>
    <col min="5654" max="5654" width="19.85546875" style="529" bestFit="1" customWidth="1"/>
    <col min="5655" max="5655" width="0" style="529" hidden="1" customWidth="1"/>
    <col min="5656" max="5656" width="12.5703125" style="529" customWidth="1"/>
    <col min="5657" max="5874" width="8.85546875" style="529"/>
    <col min="5875" max="5876" width="0.85546875" style="529" customWidth="1"/>
    <col min="5877" max="5877" width="2.7109375" style="529" customWidth="1"/>
    <col min="5878" max="5878" width="35.140625" style="529" customWidth="1"/>
    <col min="5879" max="5879" width="3" style="529" customWidth="1"/>
    <col min="5880" max="5880" width="15.7109375" style="529" customWidth="1"/>
    <col min="5881" max="5891" width="0" style="529" hidden="1" customWidth="1"/>
    <col min="5892" max="5892" width="14.42578125" style="529" customWidth="1"/>
    <col min="5893" max="5894" width="15.7109375" style="529" customWidth="1"/>
    <col min="5895" max="5905" width="0" style="529" hidden="1" customWidth="1"/>
    <col min="5906" max="5907" width="15.7109375" style="529" customWidth="1"/>
    <col min="5908" max="5908" width="2" style="529" customWidth="1"/>
    <col min="5909" max="5909" width="1.7109375" style="529" customWidth="1"/>
    <col min="5910" max="5910" width="19.85546875" style="529" bestFit="1" customWidth="1"/>
    <col min="5911" max="5911" width="0" style="529" hidden="1" customWidth="1"/>
    <col min="5912" max="5912" width="12.5703125" style="529" customWidth="1"/>
    <col min="5913" max="6130" width="8.85546875" style="529"/>
    <col min="6131" max="6132" width="0.85546875" style="529" customWidth="1"/>
    <col min="6133" max="6133" width="2.7109375" style="529" customWidth="1"/>
    <col min="6134" max="6134" width="35.140625" style="529" customWidth="1"/>
    <col min="6135" max="6135" width="3" style="529" customWidth="1"/>
    <col min="6136" max="6136" width="15.7109375" style="529" customWidth="1"/>
    <col min="6137" max="6147" width="0" style="529" hidden="1" customWidth="1"/>
    <col min="6148" max="6148" width="14.42578125" style="529" customWidth="1"/>
    <col min="6149" max="6150" width="15.7109375" style="529" customWidth="1"/>
    <col min="6151" max="6161" width="0" style="529" hidden="1" customWidth="1"/>
    <col min="6162" max="6163" width="15.7109375" style="529" customWidth="1"/>
    <col min="6164" max="6164" width="2" style="529" customWidth="1"/>
    <col min="6165" max="6165" width="1.7109375" style="529" customWidth="1"/>
    <col min="6166" max="6166" width="19.85546875" style="529" bestFit="1" customWidth="1"/>
    <col min="6167" max="6167" width="0" style="529" hidden="1" customWidth="1"/>
    <col min="6168" max="6168" width="12.5703125" style="529" customWidth="1"/>
    <col min="6169" max="6386" width="8.85546875" style="529"/>
    <col min="6387" max="6388" width="0.85546875" style="529" customWidth="1"/>
    <col min="6389" max="6389" width="2.7109375" style="529" customWidth="1"/>
    <col min="6390" max="6390" width="35.140625" style="529" customWidth="1"/>
    <col min="6391" max="6391" width="3" style="529" customWidth="1"/>
    <col min="6392" max="6392" width="15.7109375" style="529" customWidth="1"/>
    <col min="6393" max="6403" width="0" style="529" hidden="1" customWidth="1"/>
    <col min="6404" max="6404" width="14.42578125" style="529" customWidth="1"/>
    <col min="6405" max="6406" width="15.7109375" style="529" customWidth="1"/>
    <col min="6407" max="6417" width="0" style="529" hidden="1" customWidth="1"/>
    <col min="6418" max="6419" width="15.7109375" style="529" customWidth="1"/>
    <col min="6420" max="6420" width="2" style="529" customWidth="1"/>
    <col min="6421" max="6421" width="1.7109375" style="529" customWidth="1"/>
    <col min="6422" max="6422" width="19.85546875" style="529" bestFit="1" customWidth="1"/>
    <col min="6423" max="6423" width="0" style="529" hidden="1" customWidth="1"/>
    <col min="6424" max="6424" width="12.5703125" style="529" customWidth="1"/>
    <col min="6425" max="6642" width="8.85546875" style="529"/>
    <col min="6643" max="6644" width="0.85546875" style="529" customWidth="1"/>
    <col min="6645" max="6645" width="2.7109375" style="529" customWidth="1"/>
    <col min="6646" max="6646" width="35.140625" style="529" customWidth="1"/>
    <col min="6647" max="6647" width="3" style="529" customWidth="1"/>
    <col min="6648" max="6648" width="15.7109375" style="529" customWidth="1"/>
    <col min="6649" max="6659" width="0" style="529" hidden="1" customWidth="1"/>
    <col min="6660" max="6660" width="14.42578125" style="529" customWidth="1"/>
    <col min="6661" max="6662" width="15.7109375" style="529" customWidth="1"/>
    <col min="6663" max="6673" width="0" style="529" hidden="1" customWidth="1"/>
    <col min="6674" max="6675" width="15.7109375" style="529" customWidth="1"/>
    <col min="6676" max="6676" width="2" style="529" customWidth="1"/>
    <col min="6677" max="6677" width="1.7109375" style="529" customWidth="1"/>
    <col min="6678" max="6678" width="19.85546875" style="529" bestFit="1" customWidth="1"/>
    <col min="6679" max="6679" width="0" style="529" hidden="1" customWidth="1"/>
    <col min="6680" max="6680" width="12.5703125" style="529" customWidth="1"/>
    <col min="6681" max="6898" width="8.85546875" style="529"/>
    <col min="6899" max="6900" width="0.85546875" style="529" customWidth="1"/>
    <col min="6901" max="6901" width="2.7109375" style="529" customWidth="1"/>
    <col min="6902" max="6902" width="35.140625" style="529" customWidth="1"/>
    <col min="6903" max="6903" width="3" style="529" customWidth="1"/>
    <col min="6904" max="6904" width="15.7109375" style="529" customWidth="1"/>
    <col min="6905" max="6915" width="0" style="529" hidden="1" customWidth="1"/>
    <col min="6916" max="6916" width="14.42578125" style="529" customWidth="1"/>
    <col min="6917" max="6918" width="15.7109375" style="529" customWidth="1"/>
    <col min="6919" max="6929" width="0" style="529" hidden="1" customWidth="1"/>
    <col min="6930" max="6931" width="15.7109375" style="529" customWidth="1"/>
    <col min="6932" max="6932" width="2" style="529" customWidth="1"/>
    <col min="6933" max="6933" width="1.7109375" style="529" customWidth="1"/>
    <col min="6934" max="6934" width="19.85546875" style="529" bestFit="1" customWidth="1"/>
    <col min="6935" max="6935" width="0" style="529" hidden="1" customWidth="1"/>
    <col min="6936" max="6936" width="12.5703125" style="529" customWidth="1"/>
    <col min="6937" max="7154" width="8.85546875" style="529"/>
    <col min="7155" max="7156" width="0.85546875" style="529" customWidth="1"/>
    <col min="7157" max="7157" width="2.7109375" style="529" customWidth="1"/>
    <col min="7158" max="7158" width="35.140625" style="529" customWidth="1"/>
    <col min="7159" max="7159" width="3" style="529" customWidth="1"/>
    <col min="7160" max="7160" width="15.7109375" style="529" customWidth="1"/>
    <col min="7161" max="7171" width="0" style="529" hidden="1" customWidth="1"/>
    <col min="7172" max="7172" width="14.42578125" style="529" customWidth="1"/>
    <col min="7173" max="7174" width="15.7109375" style="529" customWidth="1"/>
    <col min="7175" max="7185" width="0" style="529" hidden="1" customWidth="1"/>
    <col min="7186" max="7187" width="15.7109375" style="529" customWidth="1"/>
    <col min="7188" max="7188" width="2" style="529" customWidth="1"/>
    <col min="7189" max="7189" width="1.7109375" style="529" customWidth="1"/>
    <col min="7190" max="7190" width="19.85546875" style="529" bestFit="1" customWidth="1"/>
    <col min="7191" max="7191" width="0" style="529" hidden="1" customWidth="1"/>
    <col min="7192" max="7192" width="12.5703125" style="529" customWidth="1"/>
    <col min="7193" max="7410" width="8.85546875" style="529"/>
    <col min="7411" max="7412" width="0.85546875" style="529" customWidth="1"/>
    <col min="7413" max="7413" width="2.7109375" style="529" customWidth="1"/>
    <col min="7414" max="7414" width="35.140625" style="529" customWidth="1"/>
    <col min="7415" max="7415" width="3" style="529" customWidth="1"/>
    <col min="7416" max="7416" width="15.7109375" style="529" customWidth="1"/>
    <col min="7417" max="7427" width="0" style="529" hidden="1" customWidth="1"/>
    <col min="7428" max="7428" width="14.42578125" style="529" customWidth="1"/>
    <col min="7429" max="7430" width="15.7109375" style="529" customWidth="1"/>
    <col min="7431" max="7441" width="0" style="529" hidden="1" customWidth="1"/>
    <col min="7442" max="7443" width="15.7109375" style="529" customWidth="1"/>
    <col min="7444" max="7444" width="2" style="529" customWidth="1"/>
    <col min="7445" max="7445" width="1.7109375" style="529" customWidth="1"/>
    <col min="7446" max="7446" width="19.85546875" style="529" bestFit="1" customWidth="1"/>
    <col min="7447" max="7447" width="0" style="529" hidden="1" customWidth="1"/>
    <col min="7448" max="7448" width="12.5703125" style="529" customWidth="1"/>
    <col min="7449" max="7666" width="8.85546875" style="529"/>
    <col min="7667" max="7668" width="0.85546875" style="529" customWidth="1"/>
    <col min="7669" max="7669" width="2.7109375" style="529" customWidth="1"/>
    <col min="7670" max="7670" width="35.140625" style="529" customWidth="1"/>
    <col min="7671" max="7671" width="3" style="529" customWidth="1"/>
    <col min="7672" max="7672" width="15.7109375" style="529" customWidth="1"/>
    <col min="7673" max="7683" width="0" style="529" hidden="1" customWidth="1"/>
    <col min="7684" max="7684" width="14.42578125" style="529" customWidth="1"/>
    <col min="7685" max="7686" width="15.7109375" style="529" customWidth="1"/>
    <col min="7687" max="7697" width="0" style="529" hidden="1" customWidth="1"/>
    <col min="7698" max="7699" width="15.7109375" style="529" customWidth="1"/>
    <col min="7700" max="7700" width="2" style="529" customWidth="1"/>
    <col min="7701" max="7701" width="1.7109375" style="529" customWidth="1"/>
    <col min="7702" max="7702" width="19.85546875" style="529" bestFit="1" customWidth="1"/>
    <col min="7703" max="7703" width="0" style="529" hidden="1" customWidth="1"/>
    <col min="7704" max="7704" width="12.5703125" style="529" customWidth="1"/>
    <col min="7705" max="7922" width="8.85546875" style="529"/>
    <col min="7923" max="7924" width="0.85546875" style="529" customWidth="1"/>
    <col min="7925" max="7925" width="2.7109375" style="529" customWidth="1"/>
    <col min="7926" max="7926" width="35.140625" style="529" customWidth="1"/>
    <col min="7927" max="7927" width="3" style="529" customWidth="1"/>
    <col min="7928" max="7928" width="15.7109375" style="529" customWidth="1"/>
    <col min="7929" max="7939" width="0" style="529" hidden="1" customWidth="1"/>
    <col min="7940" max="7940" width="14.42578125" style="529" customWidth="1"/>
    <col min="7941" max="7942" width="15.7109375" style="529" customWidth="1"/>
    <col min="7943" max="7953" width="0" style="529" hidden="1" customWidth="1"/>
    <col min="7954" max="7955" width="15.7109375" style="529" customWidth="1"/>
    <col min="7956" max="7956" width="2" style="529" customWidth="1"/>
    <col min="7957" max="7957" width="1.7109375" style="529" customWidth="1"/>
    <col min="7958" max="7958" width="19.85546875" style="529" bestFit="1" customWidth="1"/>
    <col min="7959" max="7959" width="0" style="529" hidden="1" customWidth="1"/>
    <col min="7960" max="7960" width="12.5703125" style="529" customWidth="1"/>
    <col min="7961" max="8178" width="8.85546875" style="529"/>
    <col min="8179" max="8180" width="0.85546875" style="529" customWidth="1"/>
    <col min="8181" max="8181" width="2.7109375" style="529" customWidth="1"/>
    <col min="8182" max="8182" width="35.140625" style="529" customWidth="1"/>
    <col min="8183" max="8183" width="3" style="529" customWidth="1"/>
    <col min="8184" max="8184" width="15.7109375" style="529" customWidth="1"/>
    <col min="8185" max="8195" width="0" style="529" hidden="1" customWidth="1"/>
    <col min="8196" max="8196" width="14.42578125" style="529" customWidth="1"/>
    <col min="8197" max="8198" width="15.7109375" style="529" customWidth="1"/>
    <col min="8199" max="8209" width="0" style="529" hidden="1" customWidth="1"/>
    <col min="8210" max="8211" width="15.7109375" style="529" customWidth="1"/>
    <col min="8212" max="8212" width="2" style="529" customWidth="1"/>
    <col min="8213" max="8213" width="1.7109375" style="529" customWidth="1"/>
    <col min="8214" max="8214" width="19.85546875" style="529" bestFit="1" customWidth="1"/>
    <col min="8215" max="8215" width="0" style="529" hidden="1" customWidth="1"/>
    <col min="8216" max="8216" width="12.5703125" style="529" customWidth="1"/>
    <col min="8217" max="8434" width="8.85546875" style="529"/>
    <col min="8435" max="8436" width="0.85546875" style="529" customWidth="1"/>
    <col min="8437" max="8437" width="2.7109375" style="529" customWidth="1"/>
    <col min="8438" max="8438" width="35.140625" style="529" customWidth="1"/>
    <col min="8439" max="8439" width="3" style="529" customWidth="1"/>
    <col min="8440" max="8440" width="15.7109375" style="529" customWidth="1"/>
    <col min="8441" max="8451" width="0" style="529" hidden="1" customWidth="1"/>
    <col min="8452" max="8452" width="14.42578125" style="529" customWidth="1"/>
    <col min="8453" max="8454" width="15.7109375" style="529" customWidth="1"/>
    <col min="8455" max="8465" width="0" style="529" hidden="1" customWidth="1"/>
    <col min="8466" max="8467" width="15.7109375" style="529" customWidth="1"/>
    <col min="8468" max="8468" width="2" style="529" customWidth="1"/>
    <col min="8469" max="8469" width="1.7109375" style="529" customWidth="1"/>
    <col min="8470" max="8470" width="19.85546875" style="529" bestFit="1" customWidth="1"/>
    <col min="8471" max="8471" width="0" style="529" hidden="1" customWidth="1"/>
    <col min="8472" max="8472" width="12.5703125" style="529" customWidth="1"/>
    <col min="8473" max="8690" width="8.85546875" style="529"/>
    <col min="8691" max="8692" width="0.85546875" style="529" customWidth="1"/>
    <col min="8693" max="8693" width="2.7109375" style="529" customWidth="1"/>
    <col min="8694" max="8694" width="35.140625" style="529" customWidth="1"/>
    <col min="8695" max="8695" width="3" style="529" customWidth="1"/>
    <col min="8696" max="8696" width="15.7109375" style="529" customWidth="1"/>
    <col min="8697" max="8707" width="0" style="529" hidden="1" customWidth="1"/>
    <col min="8708" max="8708" width="14.42578125" style="529" customWidth="1"/>
    <col min="8709" max="8710" width="15.7109375" style="529" customWidth="1"/>
    <col min="8711" max="8721" width="0" style="529" hidden="1" customWidth="1"/>
    <col min="8722" max="8723" width="15.7109375" style="529" customWidth="1"/>
    <col min="8724" max="8724" width="2" style="529" customWidth="1"/>
    <col min="8725" max="8725" width="1.7109375" style="529" customWidth="1"/>
    <col min="8726" max="8726" width="19.85546875" style="529" bestFit="1" customWidth="1"/>
    <col min="8727" max="8727" width="0" style="529" hidden="1" customWidth="1"/>
    <col min="8728" max="8728" width="12.5703125" style="529" customWidth="1"/>
    <col min="8729" max="8946" width="8.85546875" style="529"/>
    <col min="8947" max="8948" width="0.85546875" style="529" customWidth="1"/>
    <col min="8949" max="8949" width="2.7109375" style="529" customWidth="1"/>
    <col min="8950" max="8950" width="35.140625" style="529" customWidth="1"/>
    <col min="8951" max="8951" width="3" style="529" customWidth="1"/>
    <col min="8952" max="8952" width="15.7109375" style="529" customWidth="1"/>
    <col min="8953" max="8963" width="0" style="529" hidden="1" customWidth="1"/>
    <col min="8964" max="8964" width="14.42578125" style="529" customWidth="1"/>
    <col min="8965" max="8966" width="15.7109375" style="529" customWidth="1"/>
    <col min="8967" max="8977" width="0" style="529" hidden="1" customWidth="1"/>
    <col min="8978" max="8979" width="15.7109375" style="529" customWidth="1"/>
    <col min="8980" max="8980" width="2" style="529" customWidth="1"/>
    <col min="8981" max="8981" width="1.7109375" style="529" customWidth="1"/>
    <col min="8982" max="8982" width="19.85546875" style="529" bestFit="1" customWidth="1"/>
    <col min="8983" max="8983" width="0" style="529" hidden="1" customWidth="1"/>
    <col min="8984" max="8984" width="12.5703125" style="529" customWidth="1"/>
    <col min="8985" max="9202" width="8.85546875" style="529"/>
    <col min="9203" max="9204" width="0.85546875" style="529" customWidth="1"/>
    <col min="9205" max="9205" width="2.7109375" style="529" customWidth="1"/>
    <col min="9206" max="9206" width="35.140625" style="529" customWidth="1"/>
    <col min="9207" max="9207" width="3" style="529" customWidth="1"/>
    <col min="9208" max="9208" width="15.7109375" style="529" customWidth="1"/>
    <col min="9209" max="9219" width="0" style="529" hidden="1" customWidth="1"/>
    <col min="9220" max="9220" width="14.42578125" style="529" customWidth="1"/>
    <col min="9221" max="9222" width="15.7109375" style="529" customWidth="1"/>
    <col min="9223" max="9233" width="0" style="529" hidden="1" customWidth="1"/>
    <col min="9234" max="9235" width="15.7109375" style="529" customWidth="1"/>
    <col min="9236" max="9236" width="2" style="529" customWidth="1"/>
    <col min="9237" max="9237" width="1.7109375" style="529" customWidth="1"/>
    <col min="9238" max="9238" width="19.85546875" style="529" bestFit="1" customWidth="1"/>
    <col min="9239" max="9239" width="0" style="529" hidden="1" customWidth="1"/>
    <col min="9240" max="9240" width="12.5703125" style="529" customWidth="1"/>
    <col min="9241" max="9458" width="8.85546875" style="529"/>
    <col min="9459" max="9460" width="0.85546875" style="529" customWidth="1"/>
    <col min="9461" max="9461" width="2.7109375" style="529" customWidth="1"/>
    <col min="9462" max="9462" width="35.140625" style="529" customWidth="1"/>
    <col min="9463" max="9463" width="3" style="529" customWidth="1"/>
    <col min="9464" max="9464" width="15.7109375" style="529" customWidth="1"/>
    <col min="9465" max="9475" width="0" style="529" hidden="1" customWidth="1"/>
    <col min="9476" max="9476" width="14.42578125" style="529" customWidth="1"/>
    <col min="9477" max="9478" width="15.7109375" style="529" customWidth="1"/>
    <col min="9479" max="9489" width="0" style="529" hidden="1" customWidth="1"/>
    <col min="9490" max="9491" width="15.7109375" style="529" customWidth="1"/>
    <col min="9492" max="9492" width="2" style="529" customWidth="1"/>
    <col min="9493" max="9493" width="1.7109375" style="529" customWidth="1"/>
    <col min="9494" max="9494" width="19.85546875" style="529" bestFit="1" customWidth="1"/>
    <col min="9495" max="9495" width="0" style="529" hidden="1" customWidth="1"/>
    <col min="9496" max="9496" width="12.5703125" style="529" customWidth="1"/>
    <col min="9497" max="9714" width="8.85546875" style="529"/>
    <col min="9715" max="9716" width="0.85546875" style="529" customWidth="1"/>
    <col min="9717" max="9717" width="2.7109375" style="529" customWidth="1"/>
    <col min="9718" max="9718" width="35.140625" style="529" customWidth="1"/>
    <col min="9719" max="9719" width="3" style="529" customWidth="1"/>
    <col min="9720" max="9720" width="15.7109375" style="529" customWidth="1"/>
    <col min="9721" max="9731" width="0" style="529" hidden="1" customWidth="1"/>
    <col min="9732" max="9732" width="14.42578125" style="529" customWidth="1"/>
    <col min="9733" max="9734" width="15.7109375" style="529" customWidth="1"/>
    <col min="9735" max="9745" width="0" style="529" hidden="1" customWidth="1"/>
    <col min="9746" max="9747" width="15.7109375" style="529" customWidth="1"/>
    <col min="9748" max="9748" width="2" style="529" customWidth="1"/>
    <col min="9749" max="9749" width="1.7109375" style="529" customWidth="1"/>
    <col min="9750" max="9750" width="19.85546875" style="529" bestFit="1" customWidth="1"/>
    <col min="9751" max="9751" width="0" style="529" hidden="1" customWidth="1"/>
    <col min="9752" max="9752" width="12.5703125" style="529" customWidth="1"/>
    <col min="9753" max="9970" width="8.85546875" style="529"/>
    <col min="9971" max="9972" width="0.85546875" style="529" customWidth="1"/>
    <col min="9973" max="9973" width="2.7109375" style="529" customWidth="1"/>
    <col min="9974" max="9974" width="35.140625" style="529" customWidth="1"/>
    <col min="9975" max="9975" width="3" style="529" customWidth="1"/>
    <col min="9976" max="9976" width="15.7109375" style="529" customWidth="1"/>
    <col min="9977" max="9987" width="0" style="529" hidden="1" customWidth="1"/>
    <col min="9988" max="9988" width="14.42578125" style="529" customWidth="1"/>
    <col min="9989" max="9990" width="15.7109375" style="529" customWidth="1"/>
    <col min="9991" max="10001" width="0" style="529" hidden="1" customWidth="1"/>
    <col min="10002" max="10003" width="15.7109375" style="529" customWidth="1"/>
    <col min="10004" max="10004" width="2" style="529" customWidth="1"/>
    <col min="10005" max="10005" width="1.7109375" style="529" customWidth="1"/>
    <col min="10006" max="10006" width="19.85546875" style="529" bestFit="1" customWidth="1"/>
    <col min="10007" max="10007" width="0" style="529" hidden="1" customWidth="1"/>
    <col min="10008" max="10008" width="12.5703125" style="529" customWidth="1"/>
    <col min="10009" max="10226" width="8.85546875" style="529"/>
    <col min="10227" max="10228" width="0.85546875" style="529" customWidth="1"/>
    <col min="10229" max="10229" width="2.7109375" style="529" customWidth="1"/>
    <col min="10230" max="10230" width="35.140625" style="529" customWidth="1"/>
    <col min="10231" max="10231" width="3" style="529" customWidth="1"/>
    <col min="10232" max="10232" width="15.7109375" style="529" customWidth="1"/>
    <col min="10233" max="10243" width="0" style="529" hidden="1" customWidth="1"/>
    <col min="10244" max="10244" width="14.42578125" style="529" customWidth="1"/>
    <col min="10245" max="10246" width="15.7109375" style="529" customWidth="1"/>
    <col min="10247" max="10257" width="0" style="529" hidden="1" customWidth="1"/>
    <col min="10258" max="10259" width="15.7109375" style="529" customWidth="1"/>
    <col min="10260" max="10260" width="2" style="529" customWidth="1"/>
    <col min="10261" max="10261" width="1.7109375" style="529" customWidth="1"/>
    <col min="10262" max="10262" width="19.85546875" style="529" bestFit="1" customWidth="1"/>
    <col min="10263" max="10263" width="0" style="529" hidden="1" customWidth="1"/>
    <col min="10264" max="10264" width="12.5703125" style="529" customWidth="1"/>
    <col min="10265" max="10482" width="8.85546875" style="529"/>
    <col min="10483" max="10484" width="0.85546875" style="529" customWidth="1"/>
    <col min="10485" max="10485" width="2.7109375" style="529" customWidth="1"/>
    <col min="10486" max="10486" width="35.140625" style="529" customWidth="1"/>
    <col min="10487" max="10487" width="3" style="529" customWidth="1"/>
    <col min="10488" max="10488" width="15.7109375" style="529" customWidth="1"/>
    <col min="10489" max="10499" width="0" style="529" hidden="1" customWidth="1"/>
    <col min="10500" max="10500" width="14.42578125" style="529" customWidth="1"/>
    <col min="10501" max="10502" width="15.7109375" style="529" customWidth="1"/>
    <col min="10503" max="10513" width="0" style="529" hidden="1" customWidth="1"/>
    <col min="10514" max="10515" width="15.7109375" style="529" customWidth="1"/>
    <col min="10516" max="10516" width="2" style="529" customWidth="1"/>
    <col min="10517" max="10517" width="1.7109375" style="529" customWidth="1"/>
    <col min="10518" max="10518" width="19.85546875" style="529" bestFit="1" customWidth="1"/>
    <col min="10519" max="10519" width="0" style="529" hidden="1" customWidth="1"/>
    <col min="10520" max="10520" width="12.5703125" style="529" customWidth="1"/>
    <col min="10521" max="10738" width="8.85546875" style="529"/>
    <col min="10739" max="10740" width="0.85546875" style="529" customWidth="1"/>
    <col min="10741" max="10741" width="2.7109375" style="529" customWidth="1"/>
    <col min="10742" max="10742" width="35.140625" style="529" customWidth="1"/>
    <col min="10743" max="10743" width="3" style="529" customWidth="1"/>
    <col min="10744" max="10744" width="15.7109375" style="529" customWidth="1"/>
    <col min="10745" max="10755" width="0" style="529" hidden="1" customWidth="1"/>
    <col min="10756" max="10756" width="14.42578125" style="529" customWidth="1"/>
    <col min="10757" max="10758" width="15.7109375" style="529" customWidth="1"/>
    <col min="10759" max="10769" width="0" style="529" hidden="1" customWidth="1"/>
    <col min="10770" max="10771" width="15.7109375" style="529" customWidth="1"/>
    <col min="10772" max="10772" width="2" style="529" customWidth="1"/>
    <col min="10773" max="10773" width="1.7109375" style="529" customWidth="1"/>
    <col min="10774" max="10774" width="19.85546875" style="529" bestFit="1" customWidth="1"/>
    <col min="10775" max="10775" width="0" style="529" hidden="1" customWidth="1"/>
    <col min="10776" max="10776" width="12.5703125" style="529" customWidth="1"/>
    <col min="10777" max="10994" width="8.85546875" style="529"/>
    <col min="10995" max="10996" width="0.85546875" style="529" customWidth="1"/>
    <col min="10997" max="10997" width="2.7109375" style="529" customWidth="1"/>
    <col min="10998" max="10998" width="35.140625" style="529" customWidth="1"/>
    <col min="10999" max="10999" width="3" style="529" customWidth="1"/>
    <col min="11000" max="11000" width="15.7109375" style="529" customWidth="1"/>
    <col min="11001" max="11011" width="0" style="529" hidden="1" customWidth="1"/>
    <col min="11012" max="11012" width="14.42578125" style="529" customWidth="1"/>
    <col min="11013" max="11014" width="15.7109375" style="529" customWidth="1"/>
    <col min="11015" max="11025" width="0" style="529" hidden="1" customWidth="1"/>
    <col min="11026" max="11027" width="15.7109375" style="529" customWidth="1"/>
    <col min="11028" max="11028" width="2" style="529" customWidth="1"/>
    <col min="11029" max="11029" width="1.7109375" style="529" customWidth="1"/>
    <col min="11030" max="11030" width="19.85546875" style="529" bestFit="1" customWidth="1"/>
    <col min="11031" max="11031" width="0" style="529" hidden="1" customWidth="1"/>
    <col min="11032" max="11032" width="12.5703125" style="529" customWidth="1"/>
    <col min="11033" max="11250" width="8.85546875" style="529"/>
    <col min="11251" max="11252" width="0.85546875" style="529" customWidth="1"/>
    <col min="11253" max="11253" width="2.7109375" style="529" customWidth="1"/>
    <col min="11254" max="11254" width="35.140625" style="529" customWidth="1"/>
    <col min="11255" max="11255" width="3" style="529" customWidth="1"/>
    <col min="11256" max="11256" width="15.7109375" style="529" customWidth="1"/>
    <col min="11257" max="11267" width="0" style="529" hidden="1" customWidth="1"/>
    <col min="11268" max="11268" width="14.42578125" style="529" customWidth="1"/>
    <col min="11269" max="11270" width="15.7109375" style="529" customWidth="1"/>
    <col min="11271" max="11281" width="0" style="529" hidden="1" customWidth="1"/>
    <col min="11282" max="11283" width="15.7109375" style="529" customWidth="1"/>
    <col min="11284" max="11284" width="2" style="529" customWidth="1"/>
    <col min="11285" max="11285" width="1.7109375" style="529" customWidth="1"/>
    <col min="11286" max="11286" width="19.85546875" style="529" bestFit="1" customWidth="1"/>
    <col min="11287" max="11287" width="0" style="529" hidden="1" customWidth="1"/>
    <col min="11288" max="11288" width="12.5703125" style="529" customWidth="1"/>
    <col min="11289" max="11506" width="8.85546875" style="529"/>
    <col min="11507" max="11508" width="0.85546875" style="529" customWidth="1"/>
    <col min="11509" max="11509" width="2.7109375" style="529" customWidth="1"/>
    <col min="11510" max="11510" width="35.140625" style="529" customWidth="1"/>
    <col min="11511" max="11511" width="3" style="529" customWidth="1"/>
    <col min="11512" max="11512" width="15.7109375" style="529" customWidth="1"/>
    <col min="11513" max="11523" width="0" style="529" hidden="1" customWidth="1"/>
    <col min="11524" max="11524" width="14.42578125" style="529" customWidth="1"/>
    <col min="11525" max="11526" width="15.7109375" style="529" customWidth="1"/>
    <col min="11527" max="11537" width="0" style="529" hidden="1" customWidth="1"/>
    <col min="11538" max="11539" width="15.7109375" style="529" customWidth="1"/>
    <col min="11540" max="11540" width="2" style="529" customWidth="1"/>
    <col min="11541" max="11541" width="1.7109375" style="529" customWidth="1"/>
    <col min="11542" max="11542" width="19.85546875" style="529" bestFit="1" customWidth="1"/>
    <col min="11543" max="11543" width="0" style="529" hidden="1" customWidth="1"/>
    <col min="11544" max="11544" width="12.5703125" style="529" customWidth="1"/>
    <col min="11545" max="11762" width="8.85546875" style="529"/>
    <col min="11763" max="11764" width="0.85546875" style="529" customWidth="1"/>
    <col min="11765" max="11765" width="2.7109375" style="529" customWidth="1"/>
    <col min="11766" max="11766" width="35.140625" style="529" customWidth="1"/>
    <col min="11767" max="11767" width="3" style="529" customWidth="1"/>
    <col min="11768" max="11768" width="15.7109375" style="529" customWidth="1"/>
    <col min="11769" max="11779" width="0" style="529" hidden="1" customWidth="1"/>
    <col min="11780" max="11780" width="14.42578125" style="529" customWidth="1"/>
    <col min="11781" max="11782" width="15.7109375" style="529" customWidth="1"/>
    <col min="11783" max="11793" width="0" style="529" hidden="1" customWidth="1"/>
    <col min="11794" max="11795" width="15.7109375" style="529" customWidth="1"/>
    <col min="11796" max="11796" width="2" style="529" customWidth="1"/>
    <col min="11797" max="11797" width="1.7109375" style="529" customWidth="1"/>
    <col min="11798" max="11798" width="19.85546875" style="529" bestFit="1" customWidth="1"/>
    <col min="11799" max="11799" width="0" style="529" hidden="1" customWidth="1"/>
    <col min="11800" max="11800" width="12.5703125" style="529" customWidth="1"/>
    <col min="11801" max="12018" width="8.85546875" style="529"/>
    <col min="12019" max="12020" width="0.85546875" style="529" customWidth="1"/>
    <col min="12021" max="12021" width="2.7109375" style="529" customWidth="1"/>
    <col min="12022" max="12022" width="35.140625" style="529" customWidth="1"/>
    <col min="12023" max="12023" width="3" style="529" customWidth="1"/>
    <col min="12024" max="12024" width="15.7109375" style="529" customWidth="1"/>
    <col min="12025" max="12035" width="0" style="529" hidden="1" customWidth="1"/>
    <col min="12036" max="12036" width="14.42578125" style="529" customWidth="1"/>
    <col min="12037" max="12038" width="15.7109375" style="529" customWidth="1"/>
    <col min="12039" max="12049" width="0" style="529" hidden="1" customWidth="1"/>
    <col min="12050" max="12051" width="15.7109375" style="529" customWidth="1"/>
    <col min="12052" max="12052" width="2" style="529" customWidth="1"/>
    <col min="12053" max="12053" width="1.7109375" style="529" customWidth="1"/>
    <col min="12054" max="12054" width="19.85546875" style="529" bestFit="1" customWidth="1"/>
    <col min="12055" max="12055" width="0" style="529" hidden="1" customWidth="1"/>
    <col min="12056" max="12056" width="12.5703125" style="529" customWidth="1"/>
    <col min="12057" max="12274" width="8.85546875" style="529"/>
    <col min="12275" max="12276" width="0.85546875" style="529" customWidth="1"/>
    <col min="12277" max="12277" width="2.7109375" style="529" customWidth="1"/>
    <col min="12278" max="12278" width="35.140625" style="529" customWidth="1"/>
    <col min="12279" max="12279" width="3" style="529" customWidth="1"/>
    <col min="12280" max="12280" width="15.7109375" style="529" customWidth="1"/>
    <col min="12281" max="12291" width="0" style="529" hidden="1" customWidth="1"/>
    <col min="12292" max="12292" width="14.42578125" style="529" customWidth="1"/>
    <col min="12293" max="12294" width="15.7109375" style="529" customWidth="1"/>
    <col min="12295" max="12305" width="0" style="529" hidden="1" customWidth="1"/>
    <col min="12306" max="12307" width="15.7109375" style="529" customWidth="1"/>
    <col min="12308" max="12308" width="2" style="529" customWidth="1"/>
    <col min="12309" max="12309" width="1.7109375" style="529" customWidth="1"/>
    <col min="12310" max="12310" width="19.85546875" style="529" bestFit="1" customWidth="1"/>
    <col min="12311" max="12311" width="0" style="529" hidden="1" customWidth="1"/>
    <col min="12312" max="12312" width="12.5703125" style="529" customWidth="1"/>
    <col min="12313" max="12530" width="8.85546875" style="529"/>
    <col min="12531" max="12532" width="0.85546875" style="529" customWidth="1"/>
    <col min="12533" max="12533" width="2.7109375" style="529" customWidth="1"/>
    <col min="12534" max="12534" width="35.140625" style="529" customWidth="1"/>
    <col min="12535" max="12535" width="3" style="529" customWidth="1"/>
    <col min="12536" max="12536" width="15.7109375" style="529" customWidth="1"/>
    <col min="12537" max="12547" width="0" style="529" hidden="1" customWidth="1"/>
    <col min="12548" max="12548" width="14.42578125" style="529" customWidth="1"/>
    <col min="12549" max="12550" width="15.7109375" style="529" customWidth="1"/>
    <col min="12551" max="12561" width="0" style="529" hidden="1" customWidth="1"/>
    <col min="12562" max="12563" width="15.7109375" style="529" customWidth="1"/>
    <col min="12564" max="12564" width="2" style="529" customWidth="1"/>
    <col min="12565" max="12565" width="1.7109375" style="529" customWidth="1"/>
    <col min="12566" max="12566" width="19.85546875" style="529" bestFit="1" customWidth="1"/>
    <col min="12567" max="12567" width="0" style="529" hidden="1" customWidth="1"/>
    <col min="12568" max="12568" width="12.5703125" style="529" customWidth="1"/>
    <col min="12569" max="12786" width="8.85546875" style="529"/>
    <col min="12787" max="12788" width="0.85546875" style="529" customWidth="1"/>
    <col min="12789" max="12789" width="2.7109375" style="529" customWidth="1"/>
    <col min="12790" max="12790" width="35.140625" style="529" customWidth="1"/>
    <col min="12791" max="12791" width="3" style="529" customWidth="1"/>
    <col min="12792" max="12792" width="15.7109375" style="529" customWidth="1"/>
    <col min="12793" max="12803" width="0" style="529" hidden="1" customWidth="1"/>
    <col min="12804" max="12804" width="14.42578125" style="529" customWidth="1"/>
    <col min="12805" max="12806" width="15.7109375" style="529" customWidth="1"/>
    <col min="12807" max="12817" width="0" style="529" hidden="1" customWidth="1"/>
    <col min="12818" max="12819" width="15.7109375" style="529" customWidth="1"/>
    <col min="12820" max="12820" width="2" style="529" customWidth="1"/>
    <col min="12821" max="12821" width="1.7109375" style="529" customWidth="1"/>
    <col min="12822" max="12822" width="19.85546875" style="529" bestFit="1" customWidth="1"/>
    <col min="12823" max="12823" width="0" style="529" hidden="1" customWidth="1"/>
    <col min="12824" max="12824" width="12.5703125" style="529" customWidth="1"/>
    <col min="12825" max="13042" width="8.85546875" style="529"/>
    <col min="13043" max="13044" width="0.85546875" style="529" customWidth="1"/>
    <col min="13045" max="13045" width="2.7109375" style="529" customWidth="1"/>
    <col min="13046" max="13046" width="35.140625" style="529" customWidth="1"/>
    <col min="13047" max="13047" width="3" style="529" customWidth="1"/>
    <col min="13048" max="13048" width="15.7109375" style="529" customWidth="1"/>
    <col min="13049" max="13059" width="0" style="529" hidden="1" customWidth="1"/>
    <col min="13060" max="13060" width="14.42578125" style="529" customWidth="1"/>
    <col min="13061" max="13062" width="15.7109375" style="529" customWidth="1"/>
    <col min="13063" max="13073" width="0" style="529" hidden="1" customWidth="1"/>
    <col min="13074" max="13075" width="15.7109375" style="529" customWidth="1"/>
    <col min="13076" max="13076" width="2" style="529" customWidth="1"/>
    <col min="13077" max="13077" width="1.7109375" style="529" customWidth="1"/>
    <col min="13078" max="13078" width="19.85546875" style="529" bestFit="1" customWidth="1"/>
    <col min="13079" max="13079" width="0" style="529" hidden="1" customWidth="1"/>
    <col min="13080" max="13080" width="12.5703125" style="529" customWidth="1"/>
    <col min="13081" max="13298" width="8.85546875" style="529"/>
    <col min="13299" max="13300" width="0.85546875" style="529" customWidth="1"/>
    <col min="13301" max="13301" width="2.7109375" style="529" customWidth="1"/>
    <col min="13302" max="13302" width="35.140625" style="529" customWidth="1"/>
    <col min="13303" max="13303" width="3" style="529" customWidth="1"/>
    <col min="13304" max="13304" width="15.7109375" style="529" customWidth="1"/>
    <col min="13305" max="13315" width="0" style="529" hidden="1" customWidth="1"/>
    <col min="13316" max="13316" width="14.42578125" style="529" customWidth="1"/>
    <col min="13317" max="13318" width="15.7109375" style="529" customWidth="1"/>
    <col min="13319" max="13329" width="0" style="529" hidden="1" customWidth="1"/>
    <col min="13330" max="13331" width="15.7109375" style="529" customWidth="1"/>
    <col min="13332" max="13332" width="2" style="529" customWidth="1"/>
    <col min="13333" max="13333" width="1.7109375" style="529" customWidth="1"/>
    <col min="13334" max="13334" width="19.85546875" style="529" bestFit="1" customWidth="1"/>
    <col min="13335" max="13335" width="0" style="529" hidden="1" customWidth="1"/>
    <col min="13336" max="13336" width="12.5703125" style="529" customWidth="1"/>
    <col min="13337" max="13554" width="8.85546875" style="529"/>
    <col min="13555" max="13556" width="0.85546875" style="529" customWidth="1"/>
    <col min="13557" max="13557" width="2.7109375" style="529" customWidth="1"/>
    <col min="13558" max="13558" width="35.140625" style="529" customWidth="1"/>
    <col min="13559" max="13559" width="3" style="529" customWidth="1"/>
    <col min="13560" max="13560" width="15.7109375" style="529" customWidth="1"/>
    <col min="13561" max="13571" width="0" style="529" hidden="1" customWidth="1"/>
    <col min="13572" max="13572" width="14.42578125" style="529" customWidth="1"/>
    <col min="13573" max="13574" width="15.7109375" style="529" customWidth="1"/>
    <col min="13575" max="13585" width="0" style="529" hidden="1" customWidth="1"/>
    <col min="13586" max="13587" width="15.7109375" style="529" customWidth="1"/>
    <col min="13588" max="13588" width="2" style="529" customWidth="1"/>
    <col min="13589" max="13589" width="1.7109375" style="529" customWidth="1"/>
    <col min="13590" max="13590" width="19.85546875" style="529" bestFit="1" customWidth="1"/>
    <col min="13591" max="13591" width="0" style="529" hidden="1" customWidth="1"/>
    <col min="13592" max="13592" width="12.5703125" style="529" customWidth="1"/>
    <col min="13593" max="13810" width="8.85546875" style="529"/>
    <col min="13811" max="13812" width="0.85546875" style="529" customWidth="1"/>
    <col min="13813" max="13813" width="2.7109375" style="529" customWidth="1"/>
    <col min="13814" max="13814" width="35.140625" style="529" customWidth="1"/>
    <col min="13815" max="13815" width="3" style="529" customWidth="1"/>
    <col min="13816" max="13816" width="15.7109375" style="529" customWidth="1"/>
    <col min="13817" max="13827" width="0" style="529" hidden="1" customWidth="1"/>
    <col min="13828" max="13828" width="14.42578125" style="529" customWidth="1"/>
    <col min="13829" max="13830" width="15.7109375" style="529" customWidth="1"/>
    <col min="13831" max="13841" width="0" style="529" hidden="1" customWidth="1"/>
    <col min="13842" max="13843" width="15.7109375" style="529" customWidth="1"/>
    <col min="13844" max="13844" width="2" style="529" customWidth="1"/>
    <col min="13845" max="13845" width="1.7109375" style="529" customWidth="1"/>
    <col min="13846" max="13846" width="19.85546875" style="529" bestFit="1" customWidth="1"/>
    <col min="13847" max="13847" width="0" style="529" hidden="1" customWidth="1"/>
    <col min="13848" max="13848" width="12.5703125" style="529" customWidth="1"/>
    <col min="13849" max="14066" width="8.85546875" style="529"/>
    <col min="14067" max="14068" width="0.85546875" style="529" customWidth="1"/>
    <col min="14069" max="14069" width="2.7109375" style="529" customWidth="1"/>
    <col min="14070" max="14070" width="35.140625" style="529" customWidth="1"/>
    <col min="14071" max="14071" width="3" style="529" customWidth="1"/>
    <col min="14072" max="14072" width="15.7109375" style="529" customWidth="1"/>
    <col min="14073" max="14083" width="0" style="529" hidden="1" customWidth="1"/>
    <col min="14084" max="14084" width="14.42578125" style="529" customWidth="1"/>
    <col min="14085" max="14086" width="15.7109375" style="529" customWidth="1"/>
    <col min="14087" max="14097" width="0" style="529" hidden="1" customWidth="1"/>
    <col min="14098" max="14099" width="15.7109375" style="529" customWidth="1"/>
    <col min="14100" max="14100" width="2" style="529" customWidth="1"/>
    <col min="14101" max="14101" width="1.7109375" style="529" customWidth="1"/>
    <col min="14102" max="14102" width="19.85546875" style="529" bestFit="1" customWidth="1"/>
    <col min="14103" max="14103" width="0" style="529" hidden="1" customWidth="1"/>
    <col min="14104" max="14104" width="12.5703125" style="529" customWidth="1"/>
    <col min="14105" max="14322" width="8.85546875" style="529"/>
    <col min="14323" max="14324" width="0.85546875" style="529" customWidth="1"/>
    <col min="14325" max="14325" width="2.7109375" style="529" customWidth="1"/>
    <col min="14326" max="14326" width="35.140625" style="529" customWidth="1"/>
    <col min="14327" max="14327" width="3" style="529" customWidth="1"/>
    <col min="14328" max="14328" width="15.7109375" style="529" customWidth="1"/>
    <col min="14329" max="14339" width="0" style="529" hidden="1" customWidth="1"/>
    <col min="14340" max="14340" width="14.42578125" style="529" customWidth="1"/>
    <col min="14341" max="14342" width="15.7109375" style="529" customWidth="1"/>
    <col min="14343" max="14353" width="0" style="529" hidden="1" customWidth="1"/>
    <col min="14354" max="14355" width="15.7109375" style="529" customWidth="1"/>
    <col min="14356" max="14356" width="2" style="529" customWidth="1"/>
    <col min="14357" max="14357" width="1.7109375" style="529" customWidth="1"/>
    <col min="14358" max="14358" width="19.85546875" style="529" bestFit="1" customWidth="1"/>
    <col min="14359" max="14359" width="0" style="529" hidden="1" customWidth="1"/>
    <col min="14360" max="14360" width="12.5703125" style="529" customWidth="1"/>
    <col min="14361" max="14578" width="8.85546875" style="529"/>
    <col min="14579" max="14580" width="0.85546875" style="529" customWidth="1"/>
    <col min="14581" max="14581" width="2.7109375" style="529" customWidth="1"/>
    <col min="14582" max="14582" width="35.140625" style="529" customWidth="1"/>
    <col min="14583" max="14583" width="3" style="529" customWidth="1"/>
    <col min="14584" max="14584" width="15.7109375" style="529" customWidth="1"/>
    <col min="14585" max="14595" width="0" style="529" hidden="1" customWidth="1"/>
    <col min="14596" max="14596" width="14.42578125" style="529" customWidth="1"/>
    <col min="14597" max="14598" width="15.7109375" style="529" customWidth="1"/>
    <col min="14599" max="14609" width="0" style="529" hidden="1" customWidth="1"/>
    <col min="14610" max="14611" width="15.7109375" style="529" customWidth="1"/>
    <col min="14612" max="14612" width="2" style="529" customWidth="1"/>
    <col min="14613" max="14613" width="1.7109375" style="529" customWidth="1"/>
    <col min="14614" max="14614" width="19.85546875" style="529" bestFit="1" customWidth="1"/>
    <col min="14615" max="14615" width="0" style="529" hidden="1" customWidth="1"/>
    <col min="14616" max="14616" width="12.5703125" style="529" customWidth="1"/>
    <col min="14617" max="14834" width="8.85546875" style="529"/>
    <col min="14835" max="14836" width="0.85546875" style="529" customWidth="1"/>
    <col min="14837" max="14837" width="2.7109375" style="529" customWidth="1"/>
    <col min="14838" max="14838" width="35.140625" style="529" customWidth="1"/>
    <col min="14839" max="14839" width="3" style="529" customWidth="1"/>
    <col min="14840" max="14840" width="15.7109375" style="529" customWidth="1"/>
    <col min="14841" max="14851" width="0" style="529" hidden="1" customWidth="1"/>
    <col min="14852" max="14852" width="14.42578125" style="529" customWidth="1"/>
    <col min="14853" max="14854" width="15.7109375" style="529" customWidth="1"/>
    <col min="14855" max="14865" width="0" style="529" hidden="1" customWidth="1"/>
    <col min="14866" max="14867" width="15.7109375" style="529" customWidth="1"/>
    <col min="14868" max="14868" width="2" style="529" customWidth="1"/>
    <col min="14869" max="14869" width="1.7109375" style="529" customWidth="1"/>
    <col min="14870" max="14870" width="19.85546875" style="529" bestFit="1" customWidth="1"/>
    <col min="14871" max="14871" width="0" style="529" hidden="1" customWidth="1"/>
    <col min="14872" max="14872" width="12.5703125" style="529" customWidth="1"/>
    <col min="14873" max="15090" width="8.85546875" style="529"/>
    <col min="15091" max="15092" width="0.85546875" style="529" customWidth="1"/>
    <col min="15093" max="15093" width="2.7109375" style="529" customWidth="1"/>
    <col min="15094" max="15094" width="35.140625" style="529" customWidth="1"/>
    <col min="15095" max="15095" width="3" style="529" customWidth="1"/>
    <col min="15096" max="15096" width="15.7109375" style="529" customWidth="1"/>
    <col min="15097" max="15107" width="0" style="529" hidden="1" customWidth="1"/>
    <col min="15108" max="15108" width="14.42578125" style="529" customWidth="1"/>
    <col min="15109" max="15110" width="15.7109375" style="529" customWidth="1"/>
    <col min="15111" max="15121" width="0" style="529" hidden="1" customWidth="1"/>
    <col min="15122" max="15123" width="15.7109375" style="529" customWidth="1"/>
    <col min="15124" max="15124" width="2" style="529" customWidth="1"/>
    <col min="15125" max="15125" width="1.7109375" style="529" customWidth="1"/>
    <col min="15126" max="15126" width="19.85546875" style="529" bestFit="1" customWidth="1"/>
    <col min="15127" max="15127" width="0" style="529" hidden="1" customWidth="1"/>
    <col min="15128" max="15128" width="12.5703125" style="529" customWidth="1"/>
    <col min="15129" max="15346" width="8.85546875" style="529"/>
    <col min="15347" max="15348" width="0.85546875" style="529" customWidth="1"/>
    <col min="15349" max="15349" width="2.7109375" style="529" customWidth="1"/>
    <col min="15350" max="15350" width="35.140625" style="529" customWidth="1"/>
    <col min="15351" max="15351" width="3" style="529" customWidth="1"/>
    <col min="15352" max="15352" width="15.7109375" style="529" customWidth="1"/>
    <col min="15353" max="15363" width="0" style="529" hidden="1" customWidth="1"/>
    <col min="15364" max="15364" width="14.42578125" style="529" customWidth="1"/>
    <col min="15365" max="15366" width="15.7109375" style="529" customWidth="1"/>
    <col min="15367" max="15377" width="0" style="529" hidden="1" customWidth="1"/>
    <col min="15378" max="15379" width="15.7109375" style="529" customWidth="1"/>
    <col min="15380" max="15380" width="2" style="529" customWidth="1"/>
    <col min="15381" max="15381" width="1.7109375" style="529" customWidth="1"/>
    <col min="15382" max="15382" width="19.85546875" style="529" bestFit="1" customWidth="1"/>
    <col min="15383" max="15383" width="0" style="529" hidden="1" customWidth="1"/>
    <col min="15384" max="15384" width="12.5703125" style="529" customWidth="1"/>
    <col min="15385" max="15602" width="8.85546875" style="529"/>
    <col min="15603" max="15604" width="0.85546875" style="529" customWidth="1"/>
    <col min="15605" max="15605" width="2.7109375" style="529" customWidth="1"/>
    <col min="15606" max="15606" width="35.140625" style="529" customWidth="1"/>
    <col min="15607" max="15607" width="3" style="529" customWidth="1"/>
    <col min="15608" max="15608" width="15.7109375" style="529" customWidth="1"/>
    <col min="15609" max="15619" width="0" style="529" hidden="1" customWidth="1"/>
    <col min="15620" max="15620" width="14.42578125" style="529" customWidth="1"/>
    <col min="15621" max="15622" width="15.7109375" style="529" customWidth="1"/>
    <col min="15623" max="15633" width="0" style="529" hidden="1" customWidth="1"/>
    <col min="15634" max="15635" width="15.7109375" style="529" customWidth="1"/>
    <col min="15636" max="15636" width="2" style="529" customWidth="1"/>
    <col min="15637" max="15637" width="1.7109375" style="529" customWidth="1"/>
    <col min="15638" max="15638" width="19.85546875" style="529" bestFit="1" customWidth="1"/>
    <col min="15639" max="15639" width="0" style="529" hidden="1" customWidth="1"/>
    <col min="15640" max="15640" width="12.5703125" style="529" customWidth="1"/>
    <col min="15641" max="15858" width="8.85546875" style="529"/>
    <col min="15859" max="15860" width="0.85546875" style="529" customWidth="1"/>
    <col min="15861" max="15861" width="2.7109375" style="529" customWidth="1"/>
    <col min="15862" max="15862" width="35.140625" style="529" customWidth="1"/>
    <col min="15863" max="15863" width="3" style="529" customWidth="1"/>
    <col min="15864" max="15864" width="15.7109375" style="529" customWidth="1"/>
    <col min="15865" max="15875" width="0" style="529" hidden="1" customWidth="1"/>
    <col min="15876" max="15876" width="14.42578125" style="529" customWidth="1"/>
    <col min="15877" max="15878" width="15.7109375" style="529" customWidth="1"/>
    <col min="15879" max="15889" width="0" style="529" hidden="1" customWidth="1"/>
    <col min="15890" max="15891" width="15.7109375" style="529" customWidth="1"/>
    <col min="15892" max="15892" width="2" style="529" customWidth="1"/>
    <col min="15893" max="15893" width="1.7109375" style="529" customWidth="1"/>
    <col min="15894" max="15894" width="19.85546875" style="529" bestFit="1" customWidth="1"/>
    <col min="15895" max="15895" width="0" style="529" hidden="1" customWidth="1"/>
    <col min="15896" max="15896" width="12.5703125" style="529" customWidth="1"/>
    <col min="15897" max="16114" width="8.85546875" style="529"/>
    <col min="16115" max="16116" width="0.85546875" style="529" customWidth="1"/>
    <col min="16117" max="16117" width="2.7109375" style="529" customWidth="1"/>
    <col min="16118" max="16118" width="35.140625" style="529" customWidth="1"/>
    <col min="16119" max="16119" width="3" style="529" customWidth="1"/>
    <col min="16120" max="16120" width="15.7109375" style="529" customWidth="1"/>
    <col min="16121" max="16131" width="0" style="529" hidden="1" customWidth="1"/>
    <col min="16132" max="16132" width="14.42578125" style="529" customWidth="1"/>
    <col min="16133" max="16134" width="15.7109375" style="529" customWidth="1"/>
    <col min="16135" max="16145" width="0" style="529" hidden="1" customWidth="1"/>
    <col min="16146" max="16147" width="15.7109375" style="529" customWidth="1"/>
    <col min="16148" max="16148" width="2" style="529" customWidth="1"/>
    <col min="16149" max="16149" width="1.7109375" style="529" customWidth="1"/>
    <col min="16150" max="16150" width="19.85546875" style="529" bestFit="1" customWidth="1"/>
    <col min="16151" max="16151" width="0" style="529" hidden="1" customWidth="1"/>
    <col min="16152" max="16152" width="12.5703125" style="529" customWidth="1"/>
    <col min="16153" max="16384" width="8.85546875" style="529"/>
  </cols>
  <sheetData>
    <row r="1" spans="1:23" ht="15.75" x14ac:dyDescent="0.25">
      <c r="A1" s="524"/>
      <c r="B1" s="524"/>
      <c r="C1" s="525" t="s">
        <v>527</v>
      </c>
      <c r="D1" s="526"/>
      <c r="E1" s="527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4"/>
      <c r="U1" s="524"/>
    </row>
    <row r="2" spans="1:23" x14ac:dyDescent="0.2">
      <c r="A2" s="524"/>
      <c r="B2" s="524"/>
      <c r="C2" s="530"/>
      <c r="D2" s="531"/>
      <c r="E2" s="532"/>
      <c r="F2" s="701" t="s">
        <v>164</v>
      </c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700"/>
      <c r="T2" s="533"/>
      <c r="U2" s="524"/>
    </row>
    <row r="3" spans="1:23" x14ac:dyDescent="0.2">
      <c r="A3" s="524"/>
      <c r="B3" s="524"/>
      <c r="C3" s="534"/>
      <c r="D3" s="535"/>
      <c r="E3" s="145"/>
      <c r="F3" s="536" t="s">
        <v>1</v>
      </c>
      <c r="G3" s="146" t="s">
        <v>2</v>
      </c>
      <c r="H3" s="157" t="s">
        <v>3</v>
      </c>
      <c r="I3" s="146" t="s">
        <v>167</v>
      </c>
      <c r="J3" s="157" t="s">
        <v>5</v>
      </c>
      <c r="K3" s="146" t="s">
        <v>6</v>
      </c>
      <c r="L3" s="157" t="s">
        <v>7</v>
      </c>
      <c r="M3" s="146" t="s">
        <v>8</v>
      </c>
      <c r="N3" s="157" t="s">
        <v>9</v>
      </c>
      <c r="O3" s="146" t="s">
        <v>10</v>
      </c>
      <c r="P3" s="157" t="s">
        <v>11</v>
      </c>
      <c r="Q3" s="146" t="s">
        <v>12</v>
      </c>
      <c r="R3" s="157" t="s">
        <v>13</v>
      </c>
      <c r="S3" s="157" t="s">
        <v>14</v>
      </c>
      <c r="T3" s="533"/>
      <c r="U3" s="524"/>
    </row>
    <row r="4" spans="1:23" x14ac:dyDescent="0.2">
      <c r="A4" s="524"/>
      <c r="B4" s="524"/>
      <c r="C4" s="537" t="s">
        <v>15</v>
      </c>
      <c r="D4" s="538"/>
      <c r="E4" s="153"/>
      <c r="F4" s="460" t="s">
        <v>16</v>
      </c>
      <c r="G4" s="154"/>
      <c r="H4" s="77"/>
      <c r="I4" s="154"/>
      <c r="J4" s="77"/>
      <c r="K4" s="154"/>
      <c r="L4" s="77"/>
      <c r="M4" s="154"/>
      <c r="N4" s="77"/>
      <c r="O4" s="154"/>
      <c r="P4" s="77"/>
      <c r="Q4" s="154"/>
      <c r="R4" s="77"/>
      <c r="S4" s="77"/>
      <c r="T4" s="533"/>
      <c r="U4" s="524"/>
    </row>
    <row r="5" spans="1:23" x14ac:dyDescent="0.2">
      <c r="A5" s="524"/>
      <c r="B5" s="524"/>
      <c r="C5" s="534"/>
      <c r="D5" s="539"/>
      <c r="E5" s="145"/>
      <c r="F5" s="158"/>
      <c r="G5" s="158"/>
      <c r="H5" s="142"/>
      <c r="I5" s="158"/>
      <c r="J5" s="145"/>
      <c r="K5" s="158"/>
      <c r="L5" s="145"/>
      <c r="M5" s="158"/>
      <c r="N5" s="145"/>
      <c r="O5" s="158"/>
      <c r="P5" s="145"/>
      <c r="Q5" s="158"/>
      <c r="R5" s="145"/>
      <c r="S5" s="47"/>
      <c r="T5" s="533"/>
      <c r="U5" s="524"/>
    </row>
    <row r="6" spans="1:23" x14ac:dyDescent="0.2">
      <c r="A6" s="524"/>
      <c r="B6" s="524"/>
      <c r="C6" s="540" t="s">
        <v>528</v>
      </c>
      <c r="D6" s="535"/>
      <c r="E6" s="541"/>
      <c r="F6" s="47">
        <f>SUM(F7:F38)</f>
        <v>10020079</v>
      </c>
      <c r="G6" s="47">
        <f>SUM(G7:G38)</f>
        <v>1191518</v>
      </c>
      <c r="H6" s="47">
        <f t="shared" ref="H6:R6" si="0">SUM(H7:H38)</f>
        <v>5522378</v>
      </c>
      <c r="I6" s="47">
        <f>SUM(I7:I38)</f>
        <v>193328</v>
      </c>
      <c r="J6" s="47">
        <f>SUM(J7:J38)</f>
        <v>236828</v>
      </c>
      <c r="K6" s="47">
        <f t="shared" si="0"/>
        <v>536881</v>
      </c>
      <c r="L6" s="47">
        <f>SUM(L7:L38)</f>
        <v>309645</v>
      </c>
      <c r="M6" s="47">
        <f t="shared" si="0"/>
        <v>149579</v>
      </c>
      <c r="N6" s="47">
        <f t="shared" si="0"/>
        <v>389977</v>
      </c>
      <c r="O6" s="47">
        <f>SUM(O7:O38)</f>
        <v>143285</v>
      </c>
      <c r="P6" s="47">
        <f>SUM(P7:P38)</f>
        <v>307553</v>
      </c>
      <c r="Q6" s="47">
        <f t="shared" si="0"/>
        <v>558415</v>
      </c>
      <c r="R6" s="47">
        <f t="shared" si="0"/>
        <v>3261946</v>
      </c>
      <c r="S6" s="47">
        <f>SUM(S7:S38)</f>
        <v>12801333</v>
      </c>
      <c r="T6" s="542"/>
      <c r="U6" s="524"/>
      <c r="V6" s="543"/>
      <c r="W6" s="543"/>
    </row>
    <row r="7" spans="1:23" ht="12" hidden="1" customHeight="1" x14ac:dyDescent="0.2">
      <c r="A7" s="524"/>
      <c r="B7" s="524"/>
      <c r="C7" s="540"/>
      <c r="D7" s="440" t="s">
        <v>529</v>
      </c>
      <c r="E7" s="544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4">
        <f>SUM(G7:R7)</f>
        <v>0</v>
      </c>
      <c r="T7" s="545"/>
      <c r="U7" s="524"/>
      <c r="V7" s="543"/>
      <c r="W7" s="543"/>
    </row>
    <row r="8" spans="1:23" ht="12.75" hidden="1" customHeight="1" x14ac:dyDescent="0.2">
      <c r="A8" s="524"/>
      <c r="B8" s="524"/>
      <c r="C8" s="540"/>
      <c r="D8" s="546" t="s">
        <v>530</v>
      </c>
      <c r="E8" s="544"/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4">
        <f t="shared" ref="S8:S34" si="1">SUM(G8:R8)</f>
        <v>0</v>
      </c>
      <c r="T8" s="545"/>
      <c r="U8" s="524"/>
      <c r="V8" s="543"/>
      <c r="W8" s="543"/>
    </row>
    <row r="9" spans="1:23" ht="12.75" hidden="1" customHeight="1" x14ac:dyDescent="0.2">
      <c r="A9" s="524"/>
      <c r="B9" s="524"/>
      <c r="C9" s="540"/>
      <c r="D9" s="546" t="s">
        <v>531</v>
      </c>
      <c r="E9" s="544"/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4">
        <f t="shared" si="1"/>
        <v>0</v>
      </c>
      <c r="T9" s="545"/>
      <c r="U9" s="524"/>
      <c r="V9" s="543"/>
      <c r="W9" s="543"/>
    </row>
    <row r="10" spans="1:23" ht="12.75" hidden="1" customHeight="1" x14ac:dyDescent="0.2">
      <c r="A10" s="524"/>
      <c r="B10" s="524"/>
      <c r="C10" s="540"/>
      <c r="D10" s="440" t="s">
        <v>532</v>
      </c>
      <c r="E10" s="547"/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4">
        <f>SUM(G10:R10)</f>
        <v>0</v>
      </c>
      <c r="T10" s="545"/>
      <c r="U10" s="524"/>
      <c r="V10" s="543"/>
      <c r="W10" s="543"/>
    </row>
    <row r="11" spans="1:23" hidden="1" x14ac:dyDescent="0.2">
      <c r="A11" s="524"/>
      <c r="B11" s="524"/>
      <c r="C11" s="540"/>
      <c r="D11" s="546" t="s">
        <v>533</v>
      </c>
      <c r="E11" s="544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4">
        <f>SUM(G11:R11)</f>
        <v>0</v>
      </c>
      <c r="T11" s="545"/>
      <c r="U11" s="524"/>
      <c r="V11" s="543"/>
      <c r="W11" s="543"/>
    </row>
    <row r="12" spans="1:23" ht="12.75" hidden="1" customHeight="1" x14ac:dyDescent="0.2">
      <c r="A12" s="524"/>
      <c r="B12" s="524"/>
      <c r="C12" s="540"/>
      <c r="D12" s="546" t="s">
        <v>534</v>
      </c>
      <c r="E12" s="544"/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4">
        <f t="shared" si="1"/>
        <v>0</v>
      </c>
      <c r="T12" s="545"/>
      <c r="U12" s="524"/>
      <c r="V12" s="543"/>
      <c r="W12" s="543"/>
    </row>
    <row r="13" spans="1:23" ht="12.75" hidden="1" customHeight="1" x14ac:dyDescent="0.2">
      <c r="A13" s="524"/>
      <c r="B13" s="524"/>
      <c r="C13" s="540"/>
      <c r="D13" s="440" t="s">
        <v>535</v>
      </c>
      <c r="E13" s="544"/>
      <c r="F13" s="35">
        <v>0</v>
      </c>
      <c r="G13" s="354">
        <v>0</v>
      </c>
      <c r="H13" s="354">
        <v>0</v>
      </c>
      <c r="I13" s="354">
        <v>0</v>
      </c>
      <c r="J13" s="354">
        <v>0</v>
      </c>
      <c r="K13" s="354">
        <v>0</v>
      </c>
      <c r="L13" s="354">
        <v>0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  <c r="R13" s="354">
        <v>0</v>
      </c>
      <c r="S13" s="354">
        <f t="shared" si="1"/>
        <v>0</v>
      </c>
      <c r="T13" s="545"/>
      <c r="U13" s="524"/>
      <c r="V13" s="543"/>
      <c r="W13" s="543"/>
    </row>
    <row r="14" spans="1:23" ht="12.75" hidden="1" customHeight="1" x14ac:dyDescent="0.2">
      <c r="A14" s="524"/>
      <c r="B14" s="524"/>
      <c r="C14" s="540"/>
      <c r="D14" s="546" t="s">
        <v>536</v>
      </c>
      <c r="E14" s="544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4">
        <f t="shared" si="1"/>
        <v>0</v>
      </c>
      <c r="T14" s="545"/>
      <c r="U14" s="524"/>
      <c r="V14" s="543"/>
      <c r="W14" s="543"/>
    </row>
    <row r="15" spans="1:23" ht="12.75" hidden="1" customHeight="1" x14ac:dyDescent="0.2">
      <c r="A15" s="524"/>
      <c r="B15" s="524"/>
      <c r="C15" s="540"/>
      <c r="D15" s="546" t="s">
        <v>537</v>
      </c>
      <c r="E15" s="544"/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4">
        <f t="shared" si="1"/>
        <v>0</v>
      </c>
      <c r="T15" s="545"/>
      <c r="U15" s="524"/>
      <c r="V15" s="543"/>
      <c r="W15" s="543"/>
    </row>
    <row r="16" spans="1:23" ht="12.75" hidden="1" customHeight="1" x14ac:dyDescent="0.2">
      <c r="A16" s="524"/>
      <c r="B16" s="524"/>
      <c r="C16" s="540"/>
      <c r="D16" s="546" t="s">
        <v>538</v>
      </c>
      <c r="E16" s="544"/>
      <c r="F16" s="35">
        <v>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  <c r="Q16" s="354">
        <v>0</v>
      </c>
      <c r="R16" s="354">
        <v>0</v>
      </c>
      <c r="S16" s="354">
        <f t="shared" si="1"/>
        <v>0</v>
      </c>
      <c r="T16" s="545"/>
      <c r="U16" s="524"/>
      <c r="V16" s="543"/>
      <c r="W16" s="543"/>
    </row>
    <row r="17" spans="1:23" ht="12.75" hidden="1" customHeight="1" x14ac:dyDescent="0.2">
      <c r="A17" s="524"/>
      <c r="B17" s="524"/>
      <c r="C17" s="540"/>
      <c r="D17" s="440" t="s">
        <v>539</v>
      </c>
      <c r="E17" s="544"/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4">
        <f t="shared" si="1"/>
        <v>0</v>
      </c>
      <c r="T17" s="545"/>
      <c r="U17" s="524"/>
      <c r="V17" s="543"/>
      <c r="W17" s="543"/>
    </row>
    <row r="18" spans="1:23" x14ac:dyDescent="0.2">
      <c r="A18" s="524"/>
      <c r="B18" s="524"/>
      <c r="C18" s="540"/>
      <c r="D18" s="440" t="s">
        <v>540</v>
      </c>
      <c r="E18" s="544"/>
      <c r="F18" s="548">
        <v>1692</v>
      </c>
      <c r="G18" s="548">
        <v>228</v>
      </c>
      <c r="H18" s="548">
        <v>407</v>
      </c>
      <c r="I18" s="548">
        <v>198</v>
      </c>
      <c r="J18" s="548">
        <v>167</v>
      </c>
      <c r="K18" s="548">
        <v>84</v>
      </c>
      <c r="L18" s="548">
        <v>204</v>
      </c>
      <c r="M18" s="548">
        <v>142</v>
      </c>
      <c r="N18" s="548">
        <v>262</v>
      </c>
      <c r="O18" s="548">
        <v>130</v>
      </c>
      <c r="P18" s="548">
        <v>173</v>
      </c>
      <c r="Q18" s="548">
        <v>168</v>
      </c>
      <c r="R18" s="548">
        <v>182</v>
      </c>
      <c r="S18" s="354">
        <f>SUM(G18:R18)</f>
        <v>2345</v>
      </c>
      <c r="T18" s="545"/>
      <c r="U18" s="524"/>
      <c r="V18" s="543"/>
      <c r="W18" s="543"/>
    </row>
    <row r="19" spans="1:23" ht="12.75" hidden="1" customHeight="1" x14ac:dyDescent="0.2">
      <c r="A19" s="524"/>
      <c r="B19" s="524"/>
      <c r="C19" s="540"/>
      <c r="D19" s="440" t="s">
        <v>541</v>
      </c>
      <c r="E19" s="544"/>
      <c r="F19" s="548">
        <v>0</v>
      </c>
      <c r="G19" s="548">
        <v>0</v>
      </c>
      <c r="H19" s="548">
        <v>0</v>
      </c>
      <c r="I19" s="548">
        <v>0</v>
      </c>
      <c r="J19" s="548">
        <v>0</v>
      </c>
      <c r="K19" s="548">
        <v>0</v>
      </c>
      <c r="L19" s="548">
        <v>0</v>
      </c>
      <c r="M19" s="548">
        <v>0</v>
      </c>
      <c r="N19" s="548">
        <v>0</v>
      </c>
      <c r="O19" s="548">
        <v>0</v>
      </c>
      <c r="P19" s="548">
        <v>0</v>
      </c>
      <c r="Q19" s="548">
        <v>0</v>
      </c>
      <c r="R19" s="548">
        <v>0</v>
      </c>
      <c r="S19" s="354">
        <f t="shared" si="1"/>
        <v>0</v>
      </c>
      <c r="T19" s="545"/>
      <c r="U19" s="524"/>
      <c r="V19" s="543"/>
      <c r="W19" s="543"/>
    </row>
    <row r="20" spans="1:23" ht="12.75" hidden="1" customHeight="1" x14ac:dyDescent="0.2">
      <c r="A20" s="524"/>
      <c r="B20" s="524"/>
      <c r="C20" s="540"/>
      <c r="D20" s="440" t="s">
        <v>542</v>
      </c>
      <c r="E20" s="544"/>
      <c r="F20" s="548">
        <v>0</v>
      </c>
      <c r="G20" s="548">
        <v>0</v>
      </c>
      <c r="H20" s="548">
        <v>0</v>
      </c>
      <c r="I20" s="548">
        <v>0</v>
      </c>
      <c r="J20" s="548">
        <v>0</v>
      </c>
      <c r="K20" s="548">
        <v>0</v>
      </c>
      <c r="L20" s="548">
        <v>0</v>
      </c>
      <c r="M20" s="548">
        <v>0</v>
      </c>
      <c r="N20" s="548">
        <v>0</v>
      </c>
      <c r="O20" s="548">
        <v>0</v>
      </c>
      <c r="P20" s="548">
        <v>0</v>
      </c>
      <c r="Q20" s="548">
        <v>0</v>
      </c>
      <c r="R20" s="548">
        <v>0</v>
      </c>
      <c r="S20" s="354">
        <f t="shared" si="1"/>
        <v>0</v>
      </c>
      <c r="T20" s="545"/>
      <c r="U20" s="524"/>
      <c r="V20" s="543"/>
      <c r="W20" s="543"/>
    </row>
    <row r="21" spans="1:23" ht="12.75" customHeight="1" x14ac:dyDescent="0.2">
      <c r="A21" s="524"/>
      <c r="B21" s="524"/>
      <c r="C21" s="540"/>
      <c r="D21" s="546" t="s">
        <v>543</v>
      </c>
      <c r="E21" s="468"/>
      <c r="F21" s="548">
        <v>378078</v>
      </c>
      <c r="G21" s="548">
        <v>0</v>
      </c>
      <c r="H21" s="548">
        <v>378078</v>
      </c>
      <c r="I21" s="548">
        <v>0</v>
      </c>
      <c r="J21" s="548">
        <v>0</v>
      </c>
      <c r="K21" s="548">
        <v>0</v>
      </c>
      <c r="L21" s="548">
        <v>0</v>
      </c>
      <c r="M21" s="548">
        <v>0</v>
      </c>
      <c r="N21" s="548">
        <v>0</v>
      </c>
      <c r="O21" s="548">
        <v>0</v>
      </c>
      <c r="P21" s="548">
        <v>0</v>
      </c>
      <c r="Q21" s="548">
        <v>0</v>
      </c>
      <c r="R21" s="548">
        <v>0</v>
      </c>
      <c r="S21" s="354">
        <f>SUM(G21:R21)</f>
        <v>378078</v>
      </c>
      <c r="T21" s="545"/>
      <c r="U21" s="524"/>
      <c r="V21" s="543"/>
      <c r="W21" s="543"/>
    </row>
    <row r="22" spans="1:23" x14ac:dyDescent="0.2">
      <c r="A22" s="524"/>
      <c r="B22" s="524"/>
      <c r="C22" s="540"/>
      <c r="D22" s="546" t="s">
        <v>544</v>
      </c>
      <c r="E22" s="541"/>
      <c r="F22" s="548">
        <v>2483353</v>
      </c>
      <c r="G22" s="548">
        <v>236014</v>
      </c>
      <c r="H22" s="548">
        <v>324359</v>
      </c>
      <c r="I22" s="548">
        <v>183897</v>
      </c>
      <c r="J22" s="548">
        <v>236661</v>
      </c>
      <c r="K22" s="548">
        <v>513409</v>
      </c>
      <c r="L22" s="548">
        <v>241446</v>
      </c>
      <c r="M22" s="548">
        <v>54544</v>
      </c>
      <c r="N22" s="548">
        <v>368953</v>
      </c>
      <c r="O22" s="548">
        <v>133269</v>
      </c>
      <c r="P22" s="548">
        <v>279324</v>
      </c>
      <c r="Q22" s="548">
        <v>508862</v>
      </c>
      <c r="R22" s="548">
        <v>381916</v>
      </c>
      <c r="S22" s="354">
        <f>SUM(G22:R22)</f>
        <v>3462654</v>
      </c>
      <c r="T22" s="545"/>
      <c r="U22" s="524"/>
      <c r="V22" s="549"/>
      <c r="W22" s="543"/>
    </row>
    <row r="23" spans="1:23" ht="12.75" hidden="1" customHeight="1" x14ac:dyDescent="0.2">
      <c r="A23" s="524"/>
      <c r="B23" s="524"/>
      <c r="C23" s="540"/>
      <c r="D23" s="440" t="s">
        <v>545</v>
      </c>
      <c r="E23" s="544"/>
      <c r="F23" s="548">
        <v>0</v>
      </c>
      <c r="G23" s="548">
        <v>0</v>
      </c>
      <c r="H23" s="548">
        <v>0</v>
      </c>
      <c r="I23" s="548">
        <v>0</v>
      </c>
      <c r="J23" s="548">
        <v>0</v>
      </c>
      <c r="K23" s="548">
        <v>0</v>
      </c>
      <c r="L23" s="548">
        <v>0</v>
      </c>
      <c r="M23" s="548">
        <v>0</v>
      </c>
      <c r="N23" s="548">
        <v>0</v>
      </c>
      <c r="O23" s="548">
        <v>0</v>
      </c>
      <c r="P23" s="548">
        <v>0</v>
      </c>
      <c r="Q23" s="548">
        <v>0</v>
      </c>
      <c r="R23" s="548">
        <v>0</v>
      </c>
      <c r="S23" s="354">
        <f>SUM(G23:R23)</f>
        <v>0</v>
      </c>
      <c r="T23" s="545"/>
      <c r="U23" s="524"/>
      <c r="V23" s="543"/>
      <c r="W23" s="543"/>
    </row>
    <row r="24" spans="1:23" ht="12.75" hidden="1" customHeight="1" x14ac:dyDescent="0.2">
      <c r="A24" s="524"/>
      <c r="B24" s="524"/>
      <c r="C24" s="540"/>
      <c r="D24" s="546" t="s">
        <v>546</v>
      </c>
      <c r="E24" s="544"/>
      <c r="F24" s="548">
        <v>0</v>
      </c>
      <c r="G24" s="548">
        <v>0</v>
      </c>
      <c r="H24" s="548">
        <v>0</v>
      </c>
      <c r="I24" s="548">
        <v>0</v>
      </c>
      <c r="J24" s="548">
        <v>0</v>
      </c>
      <c r="K24" s="548">
        <v>0</v>
      </c>
      <c r="L24" s="548">
        <v>0</v>
      </c>
      <c r="M24" s="548">
        <v>0</v>
      </c>
      <c r="N24" s="548">
        <v>0</v>
      </c>
      <c r="O24" s="548">
        <v>0</v>
      </c>
      <c r="P24" s="548">
        <v>0</v>
      </c>
      <c r="Q24" s="548">
        <v>0</v>
      </c>
      <c r="R24" s="548">
        <v>0</v>
      </c>
      <c r="S24" s="354">
        <f t="shared" si="1"/>
        <v>0</v>
      </c>
      <c r="T24" s="545"/>
      <c r="U24" s="524"/>
      <c r="V24" s="543"/>
      <c r="W24" s="543"/>
    </row>
    <row r="25" spans="1:23" ht="12.75" hidden="1" customHeight="1" x14ac:dyDescent="0.2">
      <c r="A25" s="524"/>
      <c r="B25" s="524"/>
      <c r="C25" s="540"/>
      <c r="D25" s="546" t="s">
        <v>547</v>
      </c>
      <c r="E25" s="544"/>
      <c r="F25" s="548">
        <v>0</v>
      </c>
      <c r="G25" s="548">
        <v>0</v>
      </c>
      <c r="H25" s="548">
        <v>0</v>
      </c>
      <c r="I25" s="548">
        <v>0</v>
      </c>
      <c r="J25" s="548">
        <v>0</v>
      </c>
      <c r="K25" s="548">
        <v>0</v>
      </c>
      <c r="L25" s="548">
        <v>0</v>
      </c>
      <c r="M25" s="548">
        <v>0</v>
      </c>
      <c r="N25" s="548">
        <v>0</v>
      </c>
      <c r="O25" s="548">
        <v>0</v>
      </c>
      <c r="P25" s="548">
        <v>0</v>
      </c>
      <c r="Q25" s="548">
        <v>0</v>
      </c>
      <c r="R25" s="548">
        <v>0</v>
      </c>
      <c r="S25" s="354">
        <f t="shared" si="1"/>
        <v>0</v>
      </c>
      <c r="T25" s="545"/>
      <c r="U25" s="524"/>
      <c r="V25" s="543"/>
      <c r="W25" s="543"/>
    </row>
    <row r="26" spans="1:23" x14ac:dyDescent="0.2">
      <c r="A26" s="524"/>
      <c r="B26" s="524"/>
      <c r="C26" s="540"/>
      <c r="D26" s="546" t="s">
        <v>548</v>
      </c>
      <c r="E26" s="544"/>
      <c r="F26" s="548">
        <v>7156956</v>
      </c>
      <c r="G26" s="548">
        <v>955276</v>
      </c>
      <c r="H26" s="548">
        <v>4819534</v>
      </c>
      <c r="I26" s="548">
        <v>9233</v>
      </c>
      <c r="J26" s="548">
        <v>0</v>
      </c>
      <c r="K26" s="548">
        <v>23388</v>
      </c>
      <c r="L26" s="548">
        <v>67995</v>
      </c>
      <c r="M26" s="548">
        <v>94893</v>
      </c>
      <c r="N26" s="548">
        <v>20762</v>
      </c>
      <c r="O26" s="548">
        <v>9886</v>
      </c>
      <c r="P26" s="548">
        <v>28056</v>
      </c>
      <c r="Q26" s="548">
        <v>49385</v>
      </c>
      <c r="R26" s="548">
        <v>2879848</v>
      </c>
      <c r="S26" s="354">
        <f>SUM(G26:R26)</f>
        <v>8958256</v>
      </c>
      <c r="T26" s="545"/>
      <c r="U26" s="524"/>
      <c r="V26" s="549"/>
      <c r="W26" s="543"/>
    </row>
    <row r="27" spans="1:23" ht="12.75" hidden="1" customHeight="1" x14ac:dyDescent="0.2">
      <c r="A27" s="524"/>
      <c r="B27" s="524"/>
      <c r="C27" s="540"/>
      <c r="D27" s="546" t="s">
        <v>549</v>
      </c>
      <c r="E27" s="544"/>
      <c r="F27" s="548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4">
        <f t="shared" si="1"/>
        <v>0</v>
      </c>
      <c r="T27" s="545"/>
      <c r="U27" s="524"/>
      <c r="V27" s="543"/>
      <c r="W27" s="543"/>
    </row>
    <row r="28" spans="1:23" ht="12.75" hidden="1" customHeight="1" x14ac:dyDescent="0.2">
      <c r="A28" s="524"/>
      <c r="B28" s="524"/>
      <c r="C28" s="540"/>
      <c r="D28" s="440" t="s">
        <v>550</v>
      </c>
      <c r="E28" s="547" t="s">
        <v>55</v>
      </c>
      <c r="F28" s="548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4">
        <f t="shared" si="1"/>
        <v>0</v>
      </c>
      <c r="T28" s="545"/>
      <c r="U28" s="524"/>
      <c r="V28" s="543"/>
      <c r="W28" s="543"/>
    </row>
    <row r="29" spans="1:23" s="551" customFormat="1" ht="12.75" hidden="1" customHeight="1" x14ac:dyDescent="0.2">
      <c r="A29" s="527"/>
      <c r="B29" s="527"/>
      <c r="C29" s="505"/>
      <c r="D29" s="546" t="s">
        <v>551</v>
      </c>
      <c r="E29" s="544"/>
      <c r="F29" s="548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4">
        <f>SUM(G29:R29)</f>
        <v>0</v>
      </c>
      <c r="T29" s="550"/>
      <c r="U29" s="527"/>
      <c r="V29" s="543"/>
      <c r="W29" s="543"/>
    </row>
    <row r="30" spans="1:23" s="551" customFormat="1" ht="12.75" hidden="1" customHeight="1" x14ac:dyDescent="0.2">
      <c r="A30" s="527"/>
      <c r="B30" s="527"/>
      <c r="C30" s="505"/>
      <c r="D30" s="440" t="s">
        <v>552</v>
      </c>
      <c r="E30" s="544"/>
      <c r="F30" s="548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4">
        <f t="shared" si="1"/>
        <v>0</v>
      </c>
      <c r="T30" s="550"/>
      <c r="U30" s="527"/>
      <c r="V30" s="543"/>
      <c r="W30" s="543"/>
    </row>
    <row r="31" spans="1:23" s="551" customFormat="1" ht="12.75" hidden="1" customHeight="1" x14ac:dyDescent="0.2">
      <c r="A31" s="527"/>
      <c r="B31" s="527"/>
      <c r="C31" s="505"/>
      <c r="D31" s="440" t="s">
        <v>553</v>
      </c>
      <c r="E31" s="544"/>
      <c r="F31" s="548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4">
        <f t="shared" si="1"/>
        <v>0</v>
      </c>
      <c r="T31" s="550"/>
      <c r="U31" s="527"/>
      <c r="V31" s="543"/>
      <c r="W31" s="543"/>
    </row>
    <row r="32" spans="1:23" ht="12.75" hidden="1" customHeight="1" x14ac:dyDescent="0.2">
      <c r="A32" s="524"/>
      <c r="B32" s="524"/>
      <c r="C32" s="540"/>
      <c r="D32" s="440" t="s">
        <v>554</v>
      </c>
      <c r="E32" s="544"/>
      <c r="F32" s="548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4">
        <f t="shared" si="1"/>
        <v>0</v>
      </c>
      <c r="T32" s="545"/>
      <c r="U32" s="524"/>
      <c r="V32" s="543"/>
      <c r="W32" s="543"/>
    </row>
    <row r="33" spans="1:23" ht="12.75" hidden="1" customHeight="1" x14ac:dyDescent="0.2">
      <c r="A33" s="524"/>
      <c r="B33" s="524"/>
      <c r="C33" s="540"/>
      <c r="D33" s="440" t="s">
        <v>554</v>
      </c>
      <c r="E33" s="544"/>
      <c r="F33" s="548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4">
        <f t="shared" si="1"/>
        <v>0</v>
      </c>
      <c r="T33" s="545"/>
      <c r="U33" s="524"/>
      <c r="V33" s="543"/>
      <c r="W33" s="543"/>
    </row>
    <row r="34" spans="1:23" ht="15" hidden="1" customHeight="1" x14ac:dyDescent="0.2">
      <c r="A34" s="524"/>
      <c r="B34" s="524"/>
      <c r="C34" s="540"/>
      <c r="D34" s="546" t="s">
        <v>555</v>
      </c>
      <c r="E34" s="544"/>
      <c r="F34" s="548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4">
        <f t="shared" si="1"/>
        <v>0</v>
      </c>
      <c r="T34" s="545"/>
      <c r="U34" s="524"/>
      <c r="V34" s="543"/>
      <c r="W34" s="543"/>
    </row>
    <row r="35" spans="1:23" ht="12.75" hidden="1" customHeight="1" x14ac:dyDescent="0.2">
      <c r="A35" s="524"/>
      <c r="B35" s="524"/>
      <c r="C35" s="540"/>
      <c r="D35" s="440" t="s">
        <v>556</v>
      </c>
      <c r="E35" s="544"/>
      <c r="F35" s="548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4">
        <f>SUM(G35:R35)</f>
        <v>0</v>
      </c>
      <c r="T35" s="545"/>
      <c r="U35" s="524"/>
      <c r="V35" s="543"/>
      <c r="W35" s="543"/>
    </row>
    <row r="36" spans="1:23" hidden="1" x14ac:dyDescent="0.2">
      <c r="A36" s="524"/>
      <c r="B36" s="524"/>
      <c r="C36" s="540"/>
      <c r="D36" s="440" t="s">
        <v>557</v>
      </c>
      <c r="E36" s="544"/>
      <c r="F36" s="548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4">
        <f>SUM(G36:R36)</f>
        <v>0</v>
      </c>
      <c r="T36" s="545"/>
      <c r="U36" s="524"/>
      <c r="V36" s="543"/>
      <c r="W36" s="543">
        <v>1316271</v>
      </c>
    </row>
    <row r="37" spans="1:23" hidden="1" x14ac:dyDescent="0.2">
      <c r="A37" s="524"/>
      <c r="B37" s="524"/>
      <c r="C37" s="540"/>
      <c r="D37" s="440" t="s">
        <v>558</v>
      </c>
      <c r="E37" s="544"/>
      <c r="F37" s="548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4">
        <f>SUM(G37:R37)</f>
        <v>0</v>
      </c>
      <c r="T37" s="545"/>
      <c r="U37" s="524"/>
      <c r="V37" s="543"/>
      <c r="W37" s="543"/>
    </row>
    <row r="38" spans="1:23" x14ac:dyDescent="0.2">
      <c r="A38" s="524"/>
      <c r="B38" s="524"/>
      <c r="C38" s="540"/>
      <c r="D38" s="546" t="s">
        <v>559</v>
      </c>
      <c r="E38" s="544"/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4">
        <f>SUM(G38:R38)</f>
        <v>0</v>
      </c>
      <c r="T38" s="545"/>
      <c r="U38" s="524"/>
      <c r="V38" s="543"/>
      <c r="W38" s="543"/>
    </row>
    <row r="39" spans="1:23" ht="12.75" customHeight="1" x14ac:dyDescent="0.2">
      <c r="A39" s="524"/>
      <c r="B39" s="524"/>
      <c r="C39" s="540"/>
      <c r="D39" s="546"/>
      <c r="E39" s="468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4"/>
      <c r="T39" s="545"/>
      <c r="U39" s="524"/>
      <c r="V39" s="543"/>
      <c r="W39" s="543"/>
    </row>
    <row r="40" spans="1:23" x14ac:dyDescent="0.2">
      <c r="A40" s="524"/>
      <c r="B40" s="524"/>
      <c r="C40" s="540" t="s">
        <v>560</v>
      </c>
      <c r="D40" s="535"/>
      <c r="E40" s="552"/>
      <c r="F40" s="47">
        <f t="shared" ref="F40:R40" si="2">SUM(F41:F49)</f>
        <v>-468131</v>
      </c>
      <c r="G40" s="47">
        <f>SUM(G41:G49)</f>
        <v>-131872</v>
      </c>
      <c r="H40" s="47">
        <f t="shared" si="2"/>
        <v>-83878</v>
      </c>
      <c r="I40" s="47">
        <f t="shared" si="2"/>
        <v>-23306</v>
      </c>
      <c r="J40" s="47">
        <f t="shared" si="2"/>
        <v>-119906</v>
      </c>
      <c r="K40" s="47">
        <f t="shared" si="2"/>
        <v>-230</v>
      </c>
      <c r="L40" s="47">
        <f t="shared" si="2"/>
        <v>-21</v>
      </c>
      <c r="M40" s="47">
        <f t="shared" si="2"/>
        <v>-30</v>
      </c>
      <c r="N40" s="47">
        <f t="shared" si="2"/>
        <v>-1363</v>
      </c>
      <c r="O40" s="47">
        <f t="shared" si="2"/>
        <v>-107525</v>
      </c>
      <c r="P40" s="47">
        <f>SUM(P41:P49)</f>
        <v>-298</v>
      </c>
      <c r="Q40" s="47">
        <f t="shared" si="2"/>
        <v>0</v>
      </c>
      <c r="R40" s="47">
        <f t="shared" si="2"/>
        <v>-39</v>
      </c>
      <c r="S40" s="47">
        <f>SUM(S41:S49)</f>
        <v>-468468</v>
      </c>
      <c r="T40" s="545"/>
      <c r="U40" s="524"/>
      <c r="V40" s="543"/>
      <c r="W40" s="543"/>
    </row>
    <row r="41" spans="1:23" hidden="1" x14ac:dyDescent="0.2">
      <c r="A41" s="524"/>
      <c r="B41" s="524"/>
      <c r="C41" s="553"/>
      <c r="D41" s="546" t="s">
        <v>561</v>
      </c>
      <c r="E41" s="544"/>
      <c r="F41" s="35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4">
        <v>0</v>
      </c>
      <c r="P41" s="354">
        <v>0</v>
      </c>
      <c r="Q41" s="354">
        <v>0</v>
      </c>
      <c r="R41" s="354">
        <v>0</v>
      </c>
      <c r="S41" s="354">
        <f t="shared" ref="S41:S47" si="3">SUM(G41:R41)</f>
        <v>0</v>
      </c>
      <c r="T41" s="542"/>
      <c r="U41" s="524"/>
      <c r="V41" s="543"/>
      <c r="W41" s="543"/>
    </row>
    <row r="42" spans="1:23" hidden="1" x14ac:dyDescent="0.2">
      <c r="A42" s="524"/>
      <c r="B42" s="524"/>
      <c r="C42" s="553"/>
      <c r="D42" s="546" t="s">
        <v>562</v>
      </c>
      <c r="E42" s="544"/>
      <c r="F42" s="548">
        <v>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4">
        <v>0</v>
      </c>
      <c r="P42" s="354">
        <v>0</v>
      </c>
      <c r="Q42" s="354">
        <v>0</v>
      </c>
      <c r="R42" s="354">
        <v>0</v>
      </c>
      <c r="S42" s="354">
        <f t="shared" si="3"/>
        <v>0</v>
      </c>
      <c r="T42" s="542"/>
      <c r="U42" s="524"/>
      <c r="V42" s="543"/>
      <c r="W42" s="543"/>
    </row>
    <row r="43" spans="1:23" x14ac:dyDescent="0.2">
      <c r="A43" s="524"/>
      <c r="B43" s="524"/>
      <c r="C43" s="553"/>
      <c r="D43" s="440" t="s">
        <v>563</v>
      </c>
      <c r="E43" s="552" t="s">
        <v>57</v>
      </c>
      <c r="F43" s="548">
        <v>-131729</v>
      </c>
      <c r="G43" s="354">
        <v>-131729</v>
      </c>
      <c r="H43" s="354">
        <v>0</v>
      </c>
      <c r="I43" s="354">
        <v>0</v>
      </c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354">
        <v>0</v>
      </c>
      <c r="P43" s="354">
        <v>0</v>
      </c>
      <c r="Q43" s="354">
        <v>0</v>
      </c>
      <c r="R43" s="354">
        <v>0</v>
      </c>
      <c r="S43" s="354">
        <f>SUM(G43:R43)</f>
        <v>-131729</v>
      </c>
      <c r="T43" s="542"/>
      <c r="U43" s="524"/>
      <c r="V43" s="543"/>
      <c r="W43" s="543"/>
    </row>
    <row r="44" spans="1:23" ht="12.75" customHeight="1" x14ac:dyDescent="0.2">
      <c r="A44" s="524"/>
      <c r="B44" s="524"/>
      <c r="C44" s="553"/>
      <c r="D44" s="546" t="s">
        <v>564</v>
      </c>
      <c r="E44" s="544"/>
      <c r="F44" s="548">
        <v>-252343</v>
      </c>
      <c r="G44" s="354">
        <v>0</v>
      </c>
      <c r="H44" s="354">
        <v>0</v>
      </c>
      <c r="I44" s="354">
        <v>-23306</v>
      </c>
      <c r="J44" s="354">
        <v>-119905</v>
      </c>
      <c r="K44" s="354">
        <v>-217</v>
      </c>
      <c r="L44" s="354">
        <v>0</v>
      </c>
      <c r="M44" s="354">
        <v>-30</v>
      </c>
      <c r="N44" s="354">
        <v>-1360</v>
      </c>
      <c r="O44" s="354">
        <v>-107525</v>
      </c>
      <c r="P44" s="354">
        <v>-298</v>
      </c>
      <c r="Q44" s="354">
        <v>0</v>
      </c>
      <c r="R44" s="354">
        <v>-11</v>
      </c>
      <c r="S44" s="354">
        <f>SUM(G44:R44)</f>
        <v>-252652</v>
      </c>
      <c r="T44" s="542"/>
      <c r="U44" s="524"/>
      <c r="V44" s="543"/>
      <c r="W44" s="543"/>
    </row>
    <row r="45" spans="1:23" x14ac:dyDescent="0.2">
      <c r="A45" s="524"/>
      <c r="B45" s="524"/>
      <c r="C45" s="553"/>
      <c r="D45" s="546" t="s">
        <v>565</v>
      </c>
      <c r="E45" s="544"/>
      <c r="F45" s="548">
        <v>-83878</v>
      </c>
      <c r="G45" s="354">
        <v>0</v>
      </c>
      <c r="H45" s="354">
        <v>-83878</v>
      </c>
      <c r="I45" s="354">
        <v>0</v>
      </c>
      <c r="J45" s="354">
        <v>0</v>
      </c>
      <c r="K45" s="354">
        <v>0</v>
      </c>
      <c r="L45" s="354">
        <v>0</v>
      </c>
      <c r="M45" s="354">
        <v>0</v>
      </c>
      <c r="N45" s="354">
        <v>0</v>
      </c>
      <c r="O45" s="354">
        <v>0</v>
      </c>
      <c r="P45" s="354">
        <v>0</v>
      </c>
      <c r="Q45" s="354">
        <v>0</v>
      </c>
      <c r="R45" s="354">
        <v>0</v>
      </c>
      <c r="S45" s="354">
        <f>SUM(G45:R45)</f>
        <v>-83878</v>
      </c>
      <c r="T45" s="542"/>
      <c r="U45" s="524"/>
      <c r="V45" s="543"/>
      <c r="W45" s="543"/>
    </row>
    <row r="46" spans="1:23" hidden="1" x14ac:dyDescent="0.2">
      <c r="A46" s="524"/>
      <c r="B46" s="524"/>
      <c r="C46" s="553"/>
      <c r="D46" s="546" t="s">
        <v>566</v>
      </c>
      <c r="E46" s="544"/>
      <c r="F46" s="35">
        <v>0</v>
      </c>
      <c r="G46" s="354">
        <v>0</v>
      </c>
      <c r="H46" s="354">
        <v>0</v>
      </c>
      <c r="I46" s="354">
        <v>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4">
        <v>0</v>
      </c>
      <c r="P46" s="354">
        <v>0</v>
      </c>
      <c r="Q46" s="354">
        <v>0</v>
      </c>
      <c r="R46" s="354">
        <v>0</v>
      </c>
      <c r="S46" s="354">
        <f t="shared" si="3"/>
        <v>0</v>
      </c>
      <c r="T46" s="542"/>
      <c r="U46" s="524"/>
      <c r="V46" s="543"/>
      <c r="W46" s="543"/>
    </row>
    <row r="47" spans="1:23" ht="12.75" hidden="1" customHeight="1" x14ac:dyDescent="0.2">
      <c r="A47" s="524"/>
      <c r="B47" s="524"/>
      <c r="C47" s="553"/>
      <c r="D47" s="440" t="s">
        <v>567</v>
      </c>
      <c r="E47" s="468"/>
      <c r="F47" s="35">
        <v>0</v>
      </c>
      <c r="G47" s="354">
        <v>0</v>
      </c>
      <c r="H47" s="354">
        <v>0</v>
      </c>
      <c r="I47" s="354">
        <v>0</v>
      </c>
      <c r="J47" s="354">
        <v>0</v>
      </c>
      <c r="K47" s="354">
        <v>0</v>
      </c>
      <c r="L47" s="354">
        <v>0</v>
      </c>
      <c r="M47" s="354">
        <v>0</v>
      </c>
      <c r="N47" s="354">
        <v>0</v>
      </c>
      <c r="O47" s="354">
        <v>0</v>
      </c>
      <c r="P47" s="354">
        <v>0</v>
      </c>
      <c r="Q47" s="354">
        <v>0</v>
      </c>
      <c r="R47" s="354">
        <v>0</v>
      </c>
      <c r="S47" s="354">
        <f t="shared" si="3"/>
        <v>0</v>
      </c>
      <c r="T47" s="542"/>
      <c r="U47" s="524"/>
      <c r="V47" s="543"/>
      <c r="W47" s="543"/>
    </row>
    <row r="48" spans="1:23" ht="12.75" hidden="1" customHeight="1" x14ac:dyDescent="0.2">
      <c r="A48" s="524"/>
      <c r="B48" s="524"/>
      <c r="C48" s="553"/>
      <c r="D48" s="440" t="s">
        <v>568</v>
      </c>
      <c r="E48" s="468"/>
      <c r="F48" s="35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4">
        <v>0</v>
      </c>
      <c r="M48" s="354">
        <v>0</v>
      </c>
      <c r="N48" s="354">
        <v>0</v>
      </c>
      <c r="O48" s="354">
        <v>0</v>
      </c>
      <c r="P48" s="354">
        <v>0</v>
      </c>
      <c r="Q48" s="354">
        <v>0</v>
      </c>
      <c r="R48" s="354">
        <v>0</v>
      </c>
      <c r="S48" s="354">
        <f>SUM(G48:R48)</f>
        <v>0</v>
      </c>
      <c r="T48" s="542"/>
      <c r="U48" s="524"/>
      <c r="V48" s="543"/>
      <c r="W48" s="543"/>
    </row>
    <row r="49" spans="1:23" ht="12.75" customHeight="1" x14ac:dyDescent="0.2">
      <c r="A49" s="524"/>
      <c r="B49" s="524"/>
      <c r="C49" s="553"/>
      <c r="D49" s="440" t="s">
        <v>569</v>
      </c>
      <c r="E49" s="468"/>
      <c r="F49" s="35">
        <v>-181</v>
      </c>
      <c r="G49" s="354">
        <v>-143</v>
      </c>
      <c r="H49" s="354">
        <v>0</v>
      </c>
      <c r="I49" s="354">
        <v>0</v>
      </c>
      <c r="J49" s="354">
        <v>-1</v>
      </c>
      <c r="K49" s="354">
        <v>-13</v>
      </c>
      <c r="L49" s="354">
        <v>-21</v>
      </c>
      <c r="M49" s="354">
        <v>0</v>
      </c>
      <c r="N49" s="354">
        <v>-3</v>
      </c>
      <c r="O49" s="354">
        <v>0</v>
      </c>
      <c r="P49" s="354">
        <v>0</v>
      </c>
      <c r="Q49" s="354">
        <v>0</v>
      </c>
      <c r="R49" s="354">
        <v>-28</v>
      </c>
      <c r="S49" s="354">
        <f>SUM(G49:R49)</f>
        <v>-209</v>
      </c>
      <c r="T49" s="542"/>
      <c r="U49" s="524"/>
      <c r="V49" s="543"/>
      <c r="W49" s="543"/>
    </row>
    <row r="50" spans="1:23" ht="12.75" hidden="1" customHeight="1" x14ac:dyDescent="0.2">
      <c r="A50" s="524"/>
      <c r="B50" s="524"/>
      <c r="C50" s="553"/>
      <c r="D50" s="440"/>
      <c r="E50" s="468"/>
      <c r="F50" s="35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542"/>
      <c r="U50" s="524"/>
      <c r="V50" s="543"/>
      <c r="W50" s="543"/>
    </row>
    <row r="51" spans="1:23" ht="12.75" hidden="1" customHeight="1" x14ac:dyDescent="0.2">
      <c r="A51" s="524"/>
      <c r="B51" s="524"/>
      <c r="C51" s="553"/>
      <c r="D51" s="440"/>
      <c r="E51" s="468"/>
      <c r="F51" s="35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542"/>
      <c r="U51" s="524"/>
      <c r="V51" s="543"/>
      <c r="W51" s="543"/>
    </row>
    <row r="52" spans="1:23" ht="12.75" hidden="1" customHeight="1" x14ac:dyDescent="0.2">
      <c r="A52" s="524"/>
      <c r="B52" s="524"/>
      <c r="C52" s="553"/>
      <c r="D52" s="440"/>
      <c r="E52" s="468"/>
      <c r="F52" s="35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542"/>
      <c r="U52" s="524"/>
      <c r="V52" s="543"/>
      <c r="W52" s="543"/>
    </row>
    <row r="53" spans="1:23" ht="12.75" hidden="1" customHeight="1" x14ac:dyDescent="0.2">
      <c r="A53" s="524"/>
      <c r="B53" s="524"/>
      <c r="C53" s="553"/>
      <c r="D53" s="440"/>
      <c r="E53" s="468"/>
      <c r="F53" s="35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542"/>
      <c r="U53" s="524"/>
      <c r="V53" s="543"/>
      <c r="W53" s="543"/>
    </row>
    <row r="54" spans="1:23" ht="12.75" hidden="1" customHeight="1" x14ac:dyDescent="0.2">
      <c r="A54" s="524"/>
      <c r="B54" s="524"/>
      <c r="C54" s="553"/>
      <c r="D54" s="440"/>
      <c r="E54" s="468"/>
      <c r="F54" s="35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542"/>
      <c r="U54" s="524"/>
      <c r="V54" s="543"/>
      <c r="W54" s="543"/>
    </row>
    <row r="55" spans="1:23" ht="12.75" hidden="1" customHeight="1" x14ac:dyDescent="0.2">
      <c r="A55" s="524"/>
      <c r="B55" s="524"/>
      <c r="C55" s="553"/>
      <c r="D55" s="440"/>
      <c r="E55" s="468"/>
      <c r="F55" s="35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542"/>
      <c r="U55" s="524"/>
      <c r="V55" s="543"/>
      <c r="W55" s="543"/>
    </row>
    <row r="56" spans="1:23" ht="12.75" hidden="1" customHeight="1" x14ac:dyDescent="0.2">
      <c r="A56" s="524"/>
      <c r="B56" s="524"/>
      <c r="C56" s="553"/>
      <c r="D56" s="440"/>
      <c r="E56" s="468"/>
      <c r="F56" s="35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542"/>
      <c r="U56" s="524"/>
      <c r="V56" s="543"/>
      <c r="W56" s="543"/>
    </row>
    <row r="57" spans="1:23" ht="12.75" hidden="1" customHeight="1" x14ac:dyDescent="0.2">
      <c r="A57" s="524"/>
      <c r="B57" s="524"/>
      <c r="C57" s="553"/>
      <c r="D57" s="440"/>
      <c r="E57" s="468"/>
      <c r="F57" s="35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542"/>
      <c r="U57" s="524"/>
      <c r="V57" s="543"/>
      <c r="W57" s="543"/>
    </row>
    <row r="58" spans="1:23" ht="12.75" hidden="1" customHeight="1" x14ac:dyDescent="0.2">
      <c r="A58" s="524"/>
      <c r="B58" s="524"/>
      <c r="C58" s="553"/>
      <c r="D58" s="440"/>
      <c r="E58" s="468"/>
      <c r="F58" s="35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542"/>
      <c r="U58" s="524"/>
      <c r="V58" s="543"/>
      <c r="W58" s="543"/>
    </row>
    <row r="59" spans="1:23" ht="12.75" hidden="1" customHeight="1" x14ac:dyDescent="0.2">
      <c r="A59" s="524"/>
      <c r="B59" s="524"/>
      <c r="C59" s="553"/>
      <c r="D59" s="440"/>
      <c r="E59" s="468"/>
      <c r="F59" s="35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542"/>
      <c r="U59" s="524"/>
      <c r="V59" s="543"/>
      <c r="W59" s="543"/>
    </row>
    <row r="60" spans="1:23" ht="12.75" hidden="1" customHeight="1" x14ac:dyDescent="0.2">
      <c r="A60" s="524"/>
      <c r="B60" s="524"/>
      <c r="C60" s="553"/>
      <c r="D60" s="440"/>
      <c r="E60" s="468"/>
      <c r="F60" s="35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542"/>
      <c r="U60" s="524"/>
      <c r="V60" s="543"/>
      <c r="W60" s="543"/>
    </row>
    <row r="61" spans="1:23" ht="12.75" hidden="1" customHeight="1" x14ac:dyDescent="0.2">
      <c r="A61" s="524"/>
      <c r="B61" s="524"/>
      <c r="C61" s="553"/>
      <c r="D61" s="440"/>
      <c r="E61" s="468"/>
      <c r="F61" s="35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542"/>
      <c r="U61" s="524"/>
      <c r="V61" s="543"/>
      <c r="W61" s="543"/>
    </row>
    <row r="62" spans="1:23" ht="12.75" hidden="1" customHeight="1" x14ac:dyDescent="0.2">
      <c r="A62" s="524"/>
      <c r="B62" s="524"/>
      <c r="C62" s="553"/>
      <c r="D62" s="440"/>
      <c r="E62" s="468"/>
      <c r="F62" s="35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542"/>
      <c r="U62" s="524"/>
      <c r="V62" s="543"/>
      <c r="W62" s="543"/>
    </row>
    <row r="63" spans="1:23" hidden="1" x14ac:dyDescent="0.2">
      <c r="A63" s="524"/>
      <c r="B63" s="524"/>
      <c r="C63" s="553"/>
      <c r="D63" s="440"/>
      <c r="E63" s="468"/>
      <c r="F63" s="35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542"/>
      <c r="U63" s="524"/>
      <c r="V63" s="543"/>
      <c r="W63" s="543"/>
    </row>
    <row r="64" spans="1:23" ht="12.75" customHeight="1" x14ac:dyDescent="0.2">
      <c r="A64" s="524"/>
      <c r="B64" s="524"/>
      <c r="C64" s="554"/>
      <c r="D64" s="555"/>
      <c r="E64" s="556"/>
      <c r="F64" s="557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42"/>
      <c r="U64" s="524"/>
      <c r="V64" s="543"/>
      <c r="W64" s="543"/>
    </row>
    <row r="65" spans="1:24" ht="12.75" hidden="1" customHeight="1" x14ac:dyDescent="0.2">
      <c r="A65" s="524"/>
      <c r="B65" s="524"/>
      <c r="C65" s="559" t="s">
        <v>570</v>
      </c>
      <c r="D65" s="560"/>
      <c r="E65" s="561"/>
      <c r="F65" s="562">
        <v>0</v>
      </c>
      <c r="G65" s="558">
        <v>0</v>
      </c>
      <c r="H65" s="558">
        <v>0</v>
      </c>
      <c r="I65" s="558">
        <v>0</v>
      </c>
      <c r="J65" s="558">
        <v>0</v>
      </c>
      <c r="K65" s="558">
        <v>0</v>
      </c>
      <c r="L65" s="558">
        <v>0</v>
      </c>
      <c r="M65" s="558">
        <v>0</v>
      </c>
      <c r="N65" s="558">
        <v>0</v>
      </c>
      <c r="O65" s="558">
        <v>0</v>
      </c>
      <c r="P65" s="558">
        <v>0</v>
      </c>
      <c r="Q65" s="558">
        <v>0</v>
      </c>
      <c r="R65" s="558">
        <v>0</v>
      </c>
      <c r="S65" s="558">
        <f>SUM(G65:R65)</f>
        <v>0</v>
      </c>
      <c r="T65" s="542"/>
      <c r="U65" s="524"/>
      <c r="V65" s="543"/>
      <c r="W65" s="543"/>
    </row>
    <row r="66" spans="1:24" s="567" customFormat="1" ht="15" customHeight="1" x14ac:dyDescent="0.2">
      <c r="A66" s="524"/>
      <c r="B66" s="524"/>
      <c r="C66" s="563" t="s">
        <v>571</v>
      </c>
      <c r="D66" s="564"/>
      <c r="E66" s="145"/>
      <c r="F66" s="17"/>
      <c r="G66" s="17"/>
      <c r="H66" s="17"/>
      <c r="I66" s="17"/>
      <c r="J66" s="17"/>
      <c r="K66" s="17"/>
      <c r="L66" s="17"/>
      <c r="M66" s="340"/>
      <c r="N66" s="340"/>
      <c r="O66" s="340"/>
      <c r="P66" s="340"/>
      <c r="Q66" s="340"/>
      <c r="R66" s="340"/>
      <c r="S66" s="340"/>
      <c r="T66" s="565"/>
      <c r="U66" s="566"/>
    </row>
    <row r="67" spans="1:24" x14ac:dyDescent="0.2">
      <c r="A67" s="524"/>
      <c r="B67" s="524"/>
      <c r="C67" s="563" t="s">
        <v>572</v>
      </c>
      <c r="D67" s="564"/>
      <c r="E67" s="517"/>
      <c r="F67" s="439"/>
      <c r="G67" s="439"/>
      <c r="H67" s="243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243"/>
      <c r="T67" s="565"/>
      <c r="U67" s="524"/>
      <c r="V67" s="568"/>
      <c r="X67" s="543"/>
    </row>
    <row r="68" spans="1:24" x14ac:dyDescent="0.2">
      <c r="A68" s="524"/>
      <c r="B68" s="524"/>
      <c r="C68" s="563"/>
      <c r="D68" s="546"/>
      <c r="E68" s="468"/>
      <c r="F68" s="440"/>
      <c r="G68" s="440"/>
      <c r="H68" s="244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565"/>
      <c r="U68" s="524"/>
      <c r="V68" s="568"/>
      <c r="X68" s="543"/>
    </row>
    <row r="69" spans="1:24" x14ac:dyDescent="0.2">
      <c r="A69" s="524"/>
      <c r="B69" s="524"/>
      <c r="C69" s="546"/>
      <c r="E69" s="440"/>
      <c r="F69" s="440"/>
      <c r="G69" s="440"/>
      <c r="H69" s="244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524"/>
      <c r="X69" s="569"/>
    </row>
    <row r="70" spans="1:24" ht="12.75" hidden="1" customHeight="1" x14ac:dyDescent="0.2">
      <c r="C70" s="529" t="s">
        <v>573</v>
      </c>
      <c r="H70" s="568"/>
    </row>
    <row r="71" spans="1:24" ht="12.75" hidden="1" customHeight="1" x14ac:dyDescent="0.2">
      <c r="C71" s="529" t="s">
        <v>574</v>
      </c>
      <c r="H71" s="568"/>
    </row>
    <row r="72" spans="1:24" ht="12.75" hidden="1" customHeight="1" x14ac:dyDescent="0.2">
      <c r="C72" s="529" t="s">
        <v>575</v>
      </c>
      <c r="H72" s="568"/>
    </row>
    <row r="73" spans="1:24" ht="12.75" hidden="1" customHeight="1" x14ac:dyDescent="0.2">
      <c r="C73" s="529" t="s">
        <v>576</v>
      </c>
      <c r="H73" s="568"/>
    </row>
    <row r="74" spans="1:24" ht="12.75" hidden="1" customHeight="1" x14ac:dyDescent="0.2">
      <c r="C74" s="529" t="s">
        <v>577</v>
      </c>
    </row>
    <row r="75" spans="1:24" ht="12.75" hidden="1" customHeight="1" x14ac:dyDescent="0.2">
      <c r="C75" s="529" t="s">
        <v>578</v>
      </c>
    </row>
    <row r="76" spans="1:24" ht="12.75" hidden="1" customHeight="1" x14ac:dyDescent="0.2">
      <c r="C76" s="529" t="s">
        <v>579</v>
      </c>
    </row>
    <row r="77" spans="1:24" hidden="1" x14ac:dyDescent="0.2">
      <c r="A77" s="524"/>
      <c r="B77" s="524"/>
      <c r="D77" s="570"/>
      <c r="M77" s="568"/>
      <c r="T77" s="565"/>
      <c r="U77" s="524"/>
    </row>
    <row r="78" spans="1:24" hidden="1" x14ac:dyDescent="0.2">
      <c r="A78" s="524"/>
      <c r="B78" s="524"/>
      <c r="T78" s="565"/>
      <c r="U78" s="524"/>
    </row>
    <row r="79" spans="1:24" hidden="1" x14ac:dyDescent="0.2">
      <c r="C79" s="571"/>
      <c r="D79" s="571"/>
      <c r="E79" s="572"/>
      <c r="F79" s="572"/>
    </row>
    <row r="80" spans="1:24" hidden="1" x14ac:dyDescent="0.2">
      <c r="F80" s="568"/>
    </row>
    <row r="81" spans="4:19" hidden="1" x14ac:dyDescent="0.2"/>
    <row r="82" spans="4:19" hidden="1" x14ac:dyDescent="0.2"/>
    <row r="83" spans="4:19" hidden="1" x14ac:dyDescent="0.2"/>
    <row r="84" spans="4:19" hidden="1" x14ac:dyDescent="0.2"/>
    <row r="85" spans="4:19" hidden="1" x14ac:dyDescent="0.2"/>
    <row r="86" spans="4:19" hidden="1" x14ac:dyDescent="0.2"/>
    <row r="87" spans="4:19" s="574" customFormat="1" x14ac:dyDescent="0.2">
      <c r="E87" s="573"/>
      <c r="F87" s="573"/>
      <c r="G87" s="575"/>
      <c r="H87" s="575"/>
      <c r="I87" s="575"/>
      <c r="J87" s="575"/>
      <c r="K87" s="575"/>
      <c r="L87" s="575"/>
      <c r="M87" s="576"/>
      <c r="N87" s="575"/>
      <c r="O87" s="575"/>
      <c r="P87" s="575"/>
      <c r="Q87" s="575"/>
      <c r="R87" s="575"/>
      <c r="S87" s="577"/>
    </row>
    <row r="88" spans="4:19" s="574" customFormat="1" x14ac:dyDescent="0.2">
      <c r="E88" s="573"/>
      <c r="F88" s="573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7"/>
    </row>
    <row r="89" spans="4:19" s="574" customFormat="1" x14ac:dyDescent="0.2"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  <c r="R89" s="573"/>
      <c r="S89" s="577"/>
    </row>
    <row r="90" spans="4:19" s="574" customFormat="1" x14ac:dyDescent="0.2">
      <c r="E90" s="573"/>
      <c r="F90" s="551"/>
      <c r="G90" s="576"/>
      <c r="H90" s="576"/>
      <c r="I90" s="576"/>
      <c r="J90" s="576"/>
      <c r="K90" s="576"/>
      <c r="L90" s="576"/>
      <c r="M90" s="576"/>
      <c r="N90" s="576"/>
      <c r="O90" s="576"/>
      <c r="P90" s="573"/>
      <c r="Q90" s="573"/>
      <c r="R90" s="573"/>
      <c r="S90" s="577"/>
    </row>
    <row r="91" spans="4:19" x14ac:dyDescent="0.2">
      <c r="G91" s="575"/>
      <c r="H91" s="575"/>
      <c r="I91" s="575"/>
      <c r="J91" s="575"/>
      <c r="K91" s="575"/>
      <c r="L91" s="575"/>
      <c r="M91" s="575"/>
      <c r="N91" s="575"/>
      <c r="O91" s="575"/>
      <c r="S91" s="577"/>
    </row>
    <row r="92" spans="4:19" x14ac:dyDescent="0.2">
      <c r="S92" s="577"/>
    </row>
    <row r="93" spans="4:19" x14ac:dyDescent="0.2">
      <c r="G93" s="568"/>
      <c r="H93" s="568"/>
      <c r="I93" s="568"/>
      <c r="J93" s="568"/>
      <c r="K93" s="568"/>
      <c r="L93" s="568"/>
      <c r="M93" s="568"/>
      <c r="N93" s="568"/>
      <c r="O93" s="568"/>
      <c r="S93" s="577"/>
    </row>
    <row r="94" spans="4:19" x14ac:dyDescent="0.2">
      <c r="D94" s="524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77"/>
    </row>
    <row r="95" spans="4:19" x14ac:dyDescent="0.2">
      <c r="D95" s="524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</row>
    <row r="96" spans="4:19" x14ac:dyDescent="0.2"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</row>
    <row r="97" spans="7:19" x14ac:dyDescent="0.2"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</row>
    <row r="98" spans="7:19" x14ac:dyDescent="0.2"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</row>
    <row r="99" spans="7:19" x14ac:dyDescent="0.2">
      <c r="G99" s="568"/>
      <c r="H99" s="568"/>
      <c r="I99" s="568"/>
      <c r="J99" s="568"/>
      <c r="K99" s="568"/>
      <c r="L99" s="568"/>
      <c r="M99" s="568"/>
      <c r="N99" s="568"/>
      <c r="O99" s="568"/>
      <c r="P99" s="568"/>
      <c r="Q99" s="568"/>
      <c r="R99" s="568"/>
      <c r="S99" s="568"/>
    </row>
    <row r="100" spans="7:19" x14ac:dyDescent="0.2">
      <c r="G100" s="568"/>
      <c r="H100" s="568"/>
      <c r="I100" s="568"/>
      <c r="J100" s="568"/>
      <c r="K100" s="568"/>
      <c r="L100" s="568"/>
      <c r="M100" s="568"/>
      <c r="N100" s="568"/>
      <c r="O100" s="568"/>
      <c r="P100" s="568"/>
      <c r="Q100" s="568"/>
      <c r="R100" s="568"/>
      <c r="S100" s="568"/>
    </row>
    <row r="101" spans="7:19" x14ac:dyDescent="0.2"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</row>
    <row r="102" spans="7:19" x14ac:dyDescent="0.2"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  <c r="Q102" s="568"/>
      <c r="R102" s="568"/>
      <c r="S102" s="568"/>
    </row>
    <row r="103" spans="7:19" x14ac:dyDescent="0.2">
      <c r="G103" s="568"/>
      <c r="H103" s="568"/>
      <c r="I103" s="568"/>
      <c r="J103" s="568"/>
      <c r="K103" s="568"/>
      <c r="L103" s="568"/>
      <c r="M103" s="568"/>
      <c r="N103" s="568"/>
      <c r="O103" s="568"/>
      <c r="P103" s="568"/>
      <c r="Q103" s="568"/>
      <c r="R103" s="568"/>
      <c r="S103" s="568"/>
    </row>
    <row r="104" spans="7:19" x14ac:dyDescent="0.2">
      <c r="G104" s="568"/>
      <c r="H104" s="568"/>
      <c r="I104" s="568"/>
      <c r="J104" s="568"/>
      <c r="K104" s="568"/>
      <c r="L104" s="568"/>
      <c r="M104" s="568"/>
      <c r="N104" s="568"/>
      <c r="O104" s="568"/>
      <c r="P104" s="568"/>
      <c r="Q104" s="568"/>
      <c r="R104" s="568"/>
      <c r="S104" s="568"/>
    </row>
    <row r="105" spans="7:19" x14ac:dyDescent="0.2"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8"/>
    </row>
    <row r="106" spans="7:19" x14ac:dyDescent="0.2"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8"/>
      <c r="R106" s="568"/>
      <c r="S106" s="568"/>
    </row>
    <row r="107" spans="7:19" x14ac:dyDescent="0.2">
      <c r="G107" s="568"/>
      <c r="H107" s="568"/>
      <c r="I107" s="568"/>
      <c r="J107" s="568"/>
      <c r="K107" s="568"/>
      <c r="L107" s="568"/>
      <c r="M107" s="568"/>
      <c r="N107" s="568"/>
      <c r="O107" s="568"/>
      <c r="P107" s="568"/>
      <c r="Q107" s="568"/>
      <c r="R107" s="568"/>
      <c r="S107" s="568"/>
    </row>
    <row r="108" spans="7:19" x14ac:dyDescent="0.2">
      <c r="G108" s="568"/>
      <c r="H108" s="568"/>
      <c r="I108" s="568"/>
      <c r="J108" s="568"/>
      <c r="K108" s="568"/>
      <c r="L108" s="568"/>
      <c r="M108" s="568"/>
      <c r="N108" s="568"/>
      <c r="O108" s="568"/>
      <c r="P108" s="568"/>
      <c r="Q108" s="568"/>
      <c r="R108" s="568"/>
      <c r="S108" s="568"/>
    </row>
    <row r="109" spans="7:19" x14ac:dyDescent="0.2"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</row>
    <row r="110" spans="7:19" x14ac:dyDescent="0.2">
      <c r="G110" s="568"/>
      <c r="H110" s="568"/>
      <c r="I110" s="568"/>
      <c r="J110" s="568"/>
      <c r="K110" s="568"/>
      <c r="L110" s="568"/>
      <c r="M110" s="568"/>
      <c r="N110" s="568"/>
      <c r="O110" s="568"/>
      <c r="P110" s="568"/>
      <c r="Q110" s="568"/>
      <c r="R110" s="568"/>
      <c r="S110" s="568"/>
    </row>
    <row r="111" spans="7:19" x14ac:dyDescent="0.2">
      <c r="G111" s="568"/>
      <c r="H111" s="568"/>
      <c r="I111" s="568"/>
      <c r="J111" s="568"/>
      <c r="K111" s="568"/>
      <c r="L111" s="568"/>
      <c r="M111" s="568"/>
      <c r="N111" s="568"/>
      <c r="O111" s="568"/>
      <c r="P111" s="568"/>
      <c r="Q111" s="568"/>
      <c r="R111" s="568"/>
      <c r="S111" s="568"/>
    </row>
    <row r="112" spans="7:19" x14ac:dyDescent="0.2"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  <c r="Q112" s="568"/>
      <c r="R112" s="568"/>
      <c r="S112" s="568"/>
    </row>
    <row r="113" spans="7:19" x14ac:dyDescent="0.2">
      <c r="G113" s="568"/>
      <c r="H113" s="568"/>
      <c r="I113" s="568"/>
      <c r="J113" s="568"/>
      <c r="K113" s="568"/>
      <c r="L113" s="568"/>
      <c r="M113" s="568"/>
      <c r="N113" s="568"/>
      <c r="O113" s="568"/>
      <c r="P113" s="568"/>
      <c r="Q113" s="568"/>
      <c r="R113" s="568"/>
      <c r="S113" s="568"/>
    </row>
    <row r="114" spans="7:19" x14ac:dyDescent="0.2"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  <c r="Q114" s="568"/>
      <c r="R114" s="568"/>
      <c r="S114" s="568"/>
    </row>
    <row r="115" spans="7:19" x14ac:dyDescent="0.2">
      <c r="G115" s="568"/>
      <c r="H115" s="568"/>
      <c r="I115" s="568"/>
      <c r="J115" s="568"/>
      <c r="K115" s="568"/>
      <c r="L115" s="568"/>
      <c r="M115" s="568"/>
      <c r="N115" s="568"/>
      <c r="O115" s="568"/>
      <c r="P115" s="568"/>
      <c r="Q115" s="568"/>
      <c r="R115" s="568"/>
      <c r="S115" s="568"/>
    </row>
    <row r="116" spans="7:19" x14ac:dyDescent="0.2">
      <c r="G116" s="568"/>
      <c r="H116" s="568"/>
      <c r="I116" s="568"/>
      <c r="J116" s="568"/>
      <c r="K116" s="568"/>
      <c r="L116" s="568"/>
      <c r="M116" s="568"/>
      <c r="N116" s="568"/>
      <c r="O116" s="568"/>
      <c r="P116" s="568"/>
      <c r="Q116" s="568"/>
      <c r="R116" s="568"/>
      <c r="S116" s="568"/>
    </row>
    <row r="117" spans="7:19" x14ac:dyDescent="0.2">
      <c r="G117" s="568"/>
      <c r="H117" s="568"/>
      <c r="I117" s="568"/>
      <c r="J117" s="568"/>
      <c r="K117" s="568"/>
      <c r="L117" s="568"/>
      <c r="M117" s="568"/>
      <c r="N117" s="568"/>
      <c r="O117" s="568"/>
      <c r="P117" s="568"/>
      <c r="Q117" s="568"/>
      <c r="R117" s="568"/>
      <c r="S117" s="568"/>
    </row>
    <row r="118" spans="7:19" x14ac:dyDescent="0.2">
      <c r="G118" s="568"/>
      <c r="H118" s="568"/>
      <c r="I118" s="568"/>
      <c r="J118" s="568"/>
      <c r="K118" s="568"/>
      <c r="L118" s="568"/>
      <c r="M118" s="568"/>
      <c r="N118" s="568"/>
      <c r="O118" s="568"/>
      <c r="P118" s="568"/>
      <c r="Q118" s="568"/>
      <c r="R118" s="568"/>
      <c r="S118" s="568"/>
    </row>
    <row r="119" spans="7:19" x14ac:dyDescent="0.2">
      <c r="G119" s="568"/>
      <c r="H119" s="568"/>
      <c r="I119" s="568"/>
      <c r="J119" s="568"/>
      <c r="K119" s="568"/>
      <c r="L119" s="568"/>
      <c r="M119" s="568"/>
      <c r="N119" s="568"/>
      <c r="O119" s="568"/>
      <c r="P119" s="568"/>
      <c r="Q119" s="568"/>
      <c r="R119" s="568"/>
      <c r="S119" s="568"/>
    </row>
    <row r="120" spans="7:19" x14ac:dyDescent="0.2">
      <c r="G120" s="568"/>
      <c r="H120" s="568"/>
      <c r="I120" s="568"/>
      <c r="J120" s="568"/>
      <c r="K120" s="568"/>
      <c r="L120" s="568"/>
      <c r="M120" s="568"/>
      <c r="N120" s="568"/>
      <c r="O120" s="568"/>
      <c r="P120" s="568"/>
      <c r="Q120" s="568"/>
      <c r="R120" s="568"/>
      <c r="S120" s="568"/>
    </row>
    <row r="121" spans="7:19" x14ac:dyDescent="0.2"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</row>
    <row r="122" spans="7:19" x14ac:dyDescent="0.2">
      <c r="G122" s="568"/>
      <c r="H122" s="568"/>
      <c r="I122" s="568"/>
      <c r="J122" s="568"/>
      <c r="K122" s="568"/>
      <c r="L122" s="568"/>
      <c r="M122" s="568"/>
      <c r="N122" s="568"/>
      <c r="O122" s="568"/>
      <c r="P122" s="568"/>
      <c r="Q122" s="568"/>
      <c r="R122" s="568"/>
      <c r="S122" s="568"/>
    </row>
    <row r="123" spans="7:19" x14ac:dyDescent="0.2">
      <c r="G123" s="568"/>
      <c r="H123" s="568"/>
      <c r="I123" s="568"/>
      <c r="J123" s="568"/>
      <c r="K123" s="568"/>
      <c r="L123" s="568"/>
      <c r="M123" s="568"/>
      <c r="N123" s="568"/>
      <c r="O123" s="568"/>
      <c r="P123" s="568"/>
      <c r="Q123" s="568"/>
      <c r="R123" s="568"/>
      <c r="S123" s="568"/>
    </row>
    <row r="124" spans="7:19" x14ac:dyDescent="0.2">
      <c r="G124" s="568"/>
      <c r="H124" s="568"/>
      <c r="I124" s="568"/>
      <c r="J124" s="568"/>
      <c r="K124" s="568"/>
      <c r="L124" s="568"/>
      <c r="M124" s="568"/>
      <c r="N124" s="568"/>
      <c r="O124" s="568"/>
      <c r="P124" s="568"/>
      <c r="Q124" s="568"/>
      <c r="R124" s="568"/>
      <c r="S124" s="568"/>
    </row>
    <row r="125" spans="7:19" x14ac:dyDescent="0.2">
      <c r="G125" s="568"/>
      <c r="H125" s="568"/>
      <c r="I125" s="568"/>
      <c r="J125" s="568"/>
      <c r="K125" s="568"/>
      <c r="L125" s="568"/>
      <c r="M125" s="568"/>
      <c r="N125" s="568"/>
      <c r="O125" s="568"/>
      <c r="P125" s="568"/>
      <c r="Q125" s="568"/>
      <c r="R125" s="568"/>
      <c r="S125" s="568"/>
    </row>
    <row r="126" spans="7:19" x14ac:dyDescent="0.2">
      <c r="G126" s="568"/>
      <c r="H126" s="568"/>
      <c r="I126" s="568"/>
      <c r="J126" s="568"/>
      <c r="K126" s="568"/>
      <c r="L126" s="568"/>
      <c r="M126" s="568"/>
      <c r="N126" s="568"/>
      <c r="O126" s="568"/>
      <c r="P126" s="568"/>
      <c r="Q126" s="568"/>
      <c r="R126" s="568"/>
      <c r="S126" s="568"/>
    </row>
    <row r="127" spans="7:19" x14ac:dyDescent="0.2">
      <c r="G127" s="568"/>
      <c r="H127" s="568"/>
      <c r="I127" s="568"/>
      <c r="J127" s="568"/>
      <c r="K127" s="568"/>
      <c r="L127" s="568"/>
      <c r="M127" s="568"/>
      <c r="N127" s="568"/>
      <c r="O127" s="568"/>
      <c r="P127" s="568"/>
      <c r="Q127" s="568"/>
      <c r="R127" s="568"/>
      <c r="S127" s="568"/>
    </row>
    <row r="128" spans="7:19" x14ac:dyDescent="0.2">
      <c r="G128" s="568"/>
      <c r="H128" s="568"/>
      <c r="I128" s="568"/>
      <c r="J128" s="568"/>
      <c r="K128" s="568"/>
      <c r="L128" s="568"/>
      <c r="M128" s="568"/>
      <c r="N128" s="568"/>
      <c r="O128" s="568"/>
      <c r="P128" s="568"/>
      <c r="Q128" s="568"/>
      <c r="R128" s="568"/>
      <c r="S128" s="568"/>
    </row>
    <row r="129" spans="7:19" x14ac:dyDescent="0.2"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  <c r="Q129" s="568"/>
      <c r="R129" s="568"/>
      <c r="S129" s="568"/>
    </row>
    <row r="130" spans="7:19" x14ac:dyDescent="0.2">
      <c r="G130" s="568"/>
      <c r="H130" s="568"/>
      <c r="I130" s="568"/>
      <c r="J130" s="568"/>
      <c r="K130" s="568"/>
      <c r="L130" s="568"/>
      <c r="M130" s="568"/>
      <c r="N130" s="568"/>
      <c r="O130" s="568"/>
      <c r="P130" s="568"/>
      <c r="Q130" s="568"/>
      <c r="R130" s="568"/>
      <c r="S130" s="568"/>
    </row>
    <row r="131" spans="7:19" x14ac:dyDescent="0.2"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  <c r="Q131" s="568"/>
      <c r="R131" s="568"/>
      <c r="S131" s="568"/>
    </row>
    <row r="132" spans="7:19" x14ac:dyDescent="0.2">
      <c r="G132" s="568"/>
      <c r="H132" s="568"/>
      <c r="I132" s="568"/>
      <c r="J132" s="568"/>
      <c r="K132" s="568"/>
      <c r="L132" s="568"/>
      <c r="M132" s="568"/>
      <c r="N132" s="568"/>
      <c r="O132" s="568"/>
      <c r="P132" s="568"/>
      <c r="Q132" s="568"/>
      <c r="R132" s="568"/>
      <c r="S132" s="568"/>
    </row>
    <row r="133" spans="7:19" x14ac:dyDescent="0.2">
      <c r="G133" s="568"/>
      <c r="H133" s="568"/>
      <c r="I133" s="568"/>
      <c r="J133" s="568"/>
      <c r="K133" s="568"/>
      <c r="L133" s="568"/>
      <c r="M133" s="568"/>
      <c r="N133" s="568"/>
      <c r="O133" s="568"/>
      <c r="P133" s="568"/>
      <c r="Q133" s="568"/>
      <c r="R133" s="568"/>
      <c r="S133" s="568"/>
    </row>
    <row r="134" spans="7:19" x14ac:dyDescent="0.2"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</row>
    <row r="135" spans="7:19" x14ac:dyDescent="0.2"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</row>
    <row r="136" spans="7:19" x14ac:dyDescent="0.2"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8"/>
    </row>
    <row r="137" spans="7:19" x14ac:dyDescent="0.2">
      <c r="G137" s="568"/>
      <c r="H137" s="568"/>
      <c r="I137" s="568"/>
      <c r="J137" s="568"/>
      <c r="K137" s="568"/>
      <c r="L137" s="568"/>
      <c r="M137" s="568"/>
      <c r="N137" s="568"/>
      <c r="O137" s="568"/>
      <c r="P137" s="568"/>
      <c r="Q137" s="568"/>
      <c r="R137" s="568"/>
      <c r="S137" s="568"/>
    </row>
    <row r="138" spans="7:19" x14ac:dyDescent="0.2">
      <c r="G138" s="568"/>
      <c r="H138" s="568"/>
      <c r="I138" s="568"/>
      <c r="J138" s="568"/>
      <c r="K138" s="568"/>
      <c r="L138" s="568"/>
      <c r="M138" s="568"/>
      <c r="N138" s="568"/>
      <c r="O138" s="568"/>
      <c r="P138" s="568"/>
      <c r="Q138" s="568"/>
      <c r="R138" s="568"/>
      <c r="S138" s="568"/>
    </row>
    <row r="139" spans="7:19" x14ac:dyDescent="0.2">
      <c r="G139" s="568"/>
      <c r="H139" s="568"/>
      <c r="I139" s="568"/>
      <c r="J139" s="568"/>
      <c r="K139" s="568"/>
      <c r="L139" s="568"/>
      <c r="M139" s="568"/>
      <c r="N139" s="568"/>
      <c r="O139" s="568"/>
      <c r="P139" s="568"/>
      <c r="Q139" s="568"/>
      <c r="R139" s="568"/>
      <c r="S139" s="568"/>
    </row>
    <row r="140" spans="7:19" x14ac:dyDescent="0.2">
      <c r="G140" s="568"/>
      <c r="H140" s="568"/>
      <c r="I140" s="568"/>
      <c r="J140" s="568"/>
      <c r="K140" s="568"/>
      <c r="L140" s="568"/>
      <c r="M140" s="568"/>
      <c r="N140" s="568"/>
      <c r="O140" s="568"/>
      <c r="P140" s="568"/>
      <c r="Q140" s="568"/>
      <c r="R140" s="568"/>
      <c r="S140" s="568"/>
    </row>
    <row r="141" spans="7:19" x14ac:dyDescent="0.2">
      <c r="S141" s="568"/>
    </row>
    <row r="142" spans="7:19" x14ac:dyDescent="0.2">
      <c r="S142" s="568"/>
    </row>
    <row r="143" spans="7:19" x14ac:dyDescent="0.2">
      <c r="S143" s="568"/>
    </row>
    <row r="144" spans="7:19" x14ac:dyDescent="0.2">
      <c r="S144" s="568"/>
    </row>
    <row r="145" spans="19:19" x14ac:dyDescent="0.2">
      <c r="S145" s="568"/>
    </row>
    <row r="146" spans="19:19" x14ac:dyDescent="0.2">
      <c r="S146" s="568"/>
    </row>
    <row r="147" spans="19:19" x14ac:dyDescent="0.2">
      <c r="S147" s="568"/>
    </row>
    <row r="148" spans="19:19" x14ac:dyDescent="0.2">
      <c r="S148" s="568"/>
    </row>
    <row r="149" spans="19:19" x14ac:dyDescent="0.2">
      <c r="S149" s="568"/>
    </row>
    <row r="150" spans="19:19" x14ac:dyDescent="0.2">
      <c r="S150" s="568"/>
    </row>
    <row r="151" spans="19:19" x14ac:dyDescent="0.2">
      <c r="S151" s="568"/>
    </row>
    <row r="152" spans="19:19" x14ac:dyDescent="0.2">
      <c r="S152" s="568"/>
    </row>
    <row r="153" spans="19:19" x14ac:dyDescent="0.2">
      <c r="S153" s="568"/>
    </row>
    <row r="154" spans="19:19" x14ac:dyDescent="0.2">
      <c r="S154" s="568"/>
    </row>
    <row r="155" spans="19:19" x14ac:dyDescent="0.2">
      <c r="S155" s="568"/>
    </row>
    <row r="156" spans="19:19" x14ac:dyDescent="0.2">
      <c r="S156" s="568"/>
    </row>
    <row r="157" spans="19:19" x14ac:dyDescent="0.2">
      <c r="S157" s="568"/>
    </row>
    <row r="158" spans="19:19" x14ac:dyDescent="0.2">
      <c r="S158" s="568"/>
    </row>
    <row r="159" spans="19:19" x14ac:dyDescent="0.2">
      <c r="S159" s="568"/>
    </row>
    <row r="160" spans="19:19" x14ac:dyDescent="0.2">
      <c r="S160" s="568"/>
    </row>
    <row r="161" spans="19:19" x14ac:dyDescent="0.2">
      <c r="S161" s="568"/>
    </row>
    <row r="162" spans="19:19" x14ac:dyDescent="0.2">
      <c r="S162" s="568"/>
    </row>
    <row r="163" spans="19:19" x14ac:dyDescent="0.2">
      <c r="S163" s="568"/>
    </row>
    <row r="164" spans="19:19" x14ac:dyDescent="0.2">
      <c r="S164" s="568"/>
    </row>
    <row r="165" spans="19:19" x14ac:dyDescent="0.2">
      <c r="S165" s="568"/>
    </row>
    <row r="166" spans="19:19" x14ac:dyDescent="0.2">
      <c r="S166" s="568"/>
    </row>
    <row r="167" spans="19:19" x14ac:dyDescent="0.2">
      <c r="S167" s="568"/>
    </row>
    <row r="168" spans="19:19" x14ac:dyDescent="0.2">
      <c r="S168" s="568"/>
    </row>
    <row r="169" spans="19:19" x14ac:dyDescent="0.2">
      <c r="S169" s="568"/>
    </row>
    <row r="170" spans="19:19" x14ac:dyDescent="0.2">
      <c r="S170" s="568"/>
    </row>
    <row r="171" spans="19:19" x14ac:dyDescent="0.2">
      <c r="S171" s="568"/>
    </row>
    <row r="172" spans="19:19" x14ac:dyDescent="0.2">
      <c r="S172" s="568"/>
    </row>
    <row r="173" spans="19:19" x14ac:dyDescent="0.2">
      <c r="S173" s="568"/>
    </row>
    <row r="174" spans="19:19" x14ac:dyDescent="0.2">
      <c r="S174" s="568"/>
    </row>
    <row r="175" spans="19:19" x14ac:dyDescent="0.2">
      <c r="S175" s="568"/>
    </row>
    <row r="176" spans="19:19" x14ac:dyDescent="0.2">
      <c r="S176" s="568"/>
    </row>
    <row r="177" spans="19:19" x14ac:dyDescent="0.2">
      <c r="S177" s="568"/>
    </row>
    <row r="178" spans="19:19" x14ac:dyDescent="0.2">
      <c r="S178" s="568"/>
    </row>
    <row r="179" spans="19:19" x14ac:dyDescent="0.2">
      <c r="S179" s="568"/>
    </row>
    <row r="180" spans="19:19" x14ac:dyDescent="0.2">
      <c r="S180" s="568"/>
    </row>
    <row r="181" spans="19:19" x14ac:dyDescent="0.2">
      <c r="S181" s="568"/>
    </row>
    <row r="182" spans="19:19" x14ac:dyDescent="0.2">
      <c r="S182" s="568"/>
    </row>
    <row r="183" spans="19:19" x14ac:dyDescent="0.2">
      <c r="S183" s="568"/>
    </row>
    <row r="184" spans="19:19" x14ac:dyDescent="0.2">
      <c r="S184" s="568"/>
    </row>
    <row r="185" spans="19:19" x14ac:dyDescent="0.2">
      <c r="S185" s="568"/>
    </row>
    <row r="186" spans="19:19" x14ac:dyDescent="0.2">
      <c r="S186" s="568"/>
    </row>
    <row r="187" spans="19:19" x14ac:dyDescent="0.2">
      <c r="S187" s="568"/>
    </row>
    <row r="188" spans="19:19" x14ac:dyDescent="0.2">
      <c r="S188" s="568"/>
    </row>
    <row r="189" spans="19:19" x14ac:dyDescent="0.2">
      <c r="S189" s="568"/>
    </row>
    <row r="190" spans="19:19" x14ac:dyDescent="0.2">
      <c r="S190" s="568"/>
    </row>
    <row r="191" spans="19:19" x14ac:dyDescent="0.2">
      <c r="S191" s="568"/>
    </row>
    <row r="192" spans="19:19" x14ac:dyDescent="0.2">
      <c r="S192" s="568"/>
    </row>
    <row r="193" spans="19:19" x14ac:dyDescent="0.2">
      <c r="S193" s="568"/>
    </row>
    <row r="194" spans="19:19" x14ac:dyDescent="0.2">
      <c r="S194" s="568"/>
    </row>
    <row r="195" spans="19:19" x14ac:dyDescent="0.2">
      <c r="S195" s="568"/>
    </row>
    <row r="196" spans="19:19" x14ac:dyDescent="0.2">
      <c r="S196" s="568"/>
    </row>
    <row r="197" spans="19:19" x14ac:dyDescent="0.2">
      <c r="S197" s="568"/>
    </row>
    <row r="198" spans="19:19" x14ac:dyDescent="0.2">
      <c r="S198" s="568"/>
    </row>
    <row r="199" spans="19:19" x14ac:dyDescent="0.2">
      <c r="S199" s="568"/>
    </row>
    <row r="200" spans="19:19" x14ac:dyDescent="0.2">
      <c r="S200" s="568"/>
    </row>
    <row r="201" spans="19:19" x14ac:dyDescent="0.2">
      <c r="S201" s="568"/>
    </row>
    <row r="202" spans="19:19" x14ac:dyDescent="0.2">
      <c r="S202" s="568"/>
    </row>
    <row r="203" spans="19:19" x14ac:dyDescent="0.2">
      <c r="S203" s="568"/>
    </row>
    <row r="204" spans="19:19" x14ac:dyDescent="0.2">
      <c r="S204" s="568"/>
    </row>
    <row r="205" spans="19:19" x14ac:dyDescent="0.2">
      <c r="S205" s="568"/>
    </row>
    <row r="206" spans="19:19" x14ac:dyDescent="0.2">
      <c r="S206" s="568"/>
    </row>
    <row r="207" spans="19:19" x14ac:dyDescent="0.2">
      <c r="S207" s="568"/>
    </row>
    <row r="208" spans="19:19" x14ac:dyDescent="0.2">
      <c r="S208" s="568"/>
    </row>
    <row r="209" spans="19:19" x14ac:dyDescent="0.2">
      <c r="S209" s="568"/>
    </row>
    <row r="210" spans="19:19" x14ac:dyDescent="0.2">
      <c r="S210" s="568"/>
    </row>
    <row r="211" spans="19:19" x14ac:dyDescent="0.2">
      <c r="S211" s="568"/>
    </row>
    <row r="212" spans="19:19" x14ac:dyDescent="0.2">
      <c r="S212" s="568"/>
    </row>
    <row r="213" spans="19:19" x14ac:dyDescent="0.2">
      <c r="S213" s="568"/>
    </row>
    <row r="214" spans="19:19" x14ac:dyDescent="0.2">
      <c r="S214" s="568"/>
    </row>
    <row r="215" spans="19:19" x14ac:dyDescent="0.2">
      <c r="S215" s="568"/>
    </row>
    <row r="216" spans="19:19" x14ac:dyDescent="0.2">
      <c r="S216" s="568"/>
    </row>
    <row r="217" spans="19:19" x14ac:dyDescent="0.2">
      <c r="S217" s="568"/>
    </row>
  </sheetData>
  <mergeCells count="1">
    <mergeCell ref="F2:S2"/>
  </mergeCells>
  <pageMargins left="0.7" right="0.7" top="0.75" bottom="0.75" header="0.3" footer="0.3"/>
  <pageSetup scale="4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4"/>
  <sheetViews>
    <sheetView view="pageBreakPreview" topLeftCell="F1" zoomScaleNormal="100" zoomScaleSheetLayoutView="100" workbookViewId="0">
      <selection activeCell="R136" sqref="R136"/>
    </sheetView>
  </sheetViews>
  <sheetFormatPr defaultColWidth="9.140625" defaultRowHeight="12.75" x14ac:dyDescent="0.2"/>
  <cols>
    <col min="1" max="4" width="0.85546875" style="1" customWidth="1"/>
    <col min="5" max="5" width="50.7109375" style="1" customWidth="1"/>
    <col min="6" max="6" width="3.42578125" style="1" customWidth="1"/>
    <col min="7" max="7" width="3.5703125" style="1" customWidth="1"/>
    <col min="8" max="21" width="13.7109375" style="1" customWidth="1"/>
    <col min="22" max="16384" width="9.140625" style="1"/>
  </cols>
  <sheetData>
    <row r="1" spans="1:21" ht="12.75" customHeight="1" x14ac:dyDescent="0.2"/>
    <row r="2" spans="1:21" ht="12.75" customHeight="1" x14ac:dyDescent="0.2">
      <c r="A2" s="3" t="s">
        <v>0</v>
      </c>
      <c r="B2" s="3"/>
      <c r="C2" s="3"/>
      <c r="D2" s="4"/>
      <c r="E2" s="3"/>
      <c r="F2" s="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 x14ac:dyDescent="0.2">
      <c r="A3" s="5"/>
      <c r="B3" s="6"/>
      <c r="C3" s="6"/>
      <c r="D3" s="6"/>
      <c r="E3" s="6"/>
      <c r="F3" s="6"/>
      <c r="G3" s="7"/>
      <c r="H3" s="663" t="str">
        <f>[35]!myFinYear</f>
        <v>2019/20</v>
      </c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5"/>
    </row>
    <row r="4" spans="1:21" ht="12.75" customHeight="1" x14ac:dyDescent="0.2">
      <c r="A4" s="8"/>
      <c r="B4" s="2"/>
      <c r="C4" s="9"/>
      <c r="D4" s="2"/>
      <c r="E4" s="9"/>
      <c r="F4" s="9"/>
      <c r="G4" s="10"/>
      <c r="H4" s="11" t="s">
        <v>1</v>
      </c>
      <c r="I4" s="12" t="s">
        <v>2</v>
      </c>
      <c r="J4" s="12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5" t="s">
        <v>14</v>
      </c>
    </row>
    <row r="5" spans="1:21" ht="12.75" customHeight="1" x14ac:dyDescent="0.2">
      <c r="A5" s="18" t="s">
        <v>15</v>
      </c>
      <c r="B5" s="19"/>
      <c r="C5" s="19"/>
      <c r="D5" s="19"/>
      <c r="E5" s="19"/>
      <c r="F5" s="19"/>
      <c r="G5" s="20"/>
      <c r="H5" s="21" t="s">
        <v>16</v>
      </c>
      <c r="I5" s="22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641"/>
    </row>
    <row r="6" spans="1:21" s="33" customFormat="1" ht="12.75" customHeight="1" x14ac:dyDescent="0.2">
      <c r="A6" s="26"/>
      <c r="B6" s="9" t="s">
        <v>17</v>
      </c>
      <c r="C6" s="27"/>
      <c r="D6" s="28"/>
      <c r="E6" s="27"/>
      <c r="F6" s="29"/>
      <c r="G6" s="30"/>
      <c r="H6" s="12">
        <f>+H7+H14+H15+H16+H17+H19+H20</f>
        <v>778280105.14100003</v>
      </c>
      <c r="I6" s="12">
        <f t="shared" ref="I6:K6" si="0">+I7+I14+I15+I16+I17+I19+I20</f>
        <v>47553752.77249001</v>
      </c>
      <c r="J6" s="31">
        <f t="shared" si="0"/>
        <v>47282401.413939998</v>
      </c>
      <c r="K6" s="14">
        <f t="shared" si="0"/>
        <v>96420082.301810011</v>
      </c>
      <c r="L6" s="14">
        <f>+L7+L14+L15+L16+L17+L19+L20</f>
        <v>38395560.228289992</v>
      </c>
      <c r="M6" s="14">
        <f>+M7+M14+M15+M16+M17+M19+M20</f>
        <v>70448927.873320013</v>
      </c>
      <c r="N6" s="14">
        <f t="shared" ref="N6:T6" si="1">+N7+N14+N15+N16+N17+N19+N20</f>
        <v>65436322.300100014</v>
      </c>
      <c r="O6" s="14">
        <f>+O7+O14+O15+O16+O17+O19+O20+1</f>
        <v>46743452.980879992</v>
      </c>
      <c r="P6" s="14">
        <f t="shared" si="1"/>
        <v>44884045.116439998</v>
      </c>
      <c r="Q6" s="14">
        <f>+Q7+Q14+Q15+Q16+Q17+Q19+Q20</f>
        <v>103738985.99437</v>
      </c>
      <c r="R6" s="14">
        <f t="shared" ref="R6:S6" si="2">+R7+R14+R15+R16+R17+R19+R20</f>
        <v>48109044.612840027</v>
      </c>
      <c r="S6" s="14">
        <f t="shared" si="2"/>
        <v>92425907.679609984</v>
      </c>
      <c r="T6" s="14">
        <f t="shared" si="1"/>
        <v>71242093.735759988</v>
      </c>
      <c r="U6" s="15">
        <f>+U7+U14+U15+U16+U17+U19+U20</f>
        <v>772680576.00985014</v>
      </c>
    </row>
    <row r="7" spans="1:21" ht="12.75" customHeight="1" x14ac:dyDescent="0.2">
      <c r="A7" s="8"/>
      <c r="B7" s="2"/>
      <c r="C7" s="1" t="s">
        <v>18</v>
      </c>
      <c r="D7" s="2"/>
      <c r="E7" s="2"/>
      <c r="F7" s="9"/>
      <c r="G7" s="10"/>
      <c r="H7" s="34">
        <f t="shared" ref="H7:T7" si="3">(+H8+H9+H10+H11+H12)</f>
        <v>527584215.87500006</v>
      </c>
      <c r="I7" s="34">
        <f t="shared" si="3"/>
        <v>43776459.651640005</v>
      </c>
      <c r="J7" s="34">
        <f>(+J8+J9+J10+J11+J12)</f>
        <v>41154239.428300001</v>
      </c>
      <c r="K7" s="35">
        <f>(+K8+K9+K10+K11+K12)</f>
        <v>40754501.706720002</v>
      </c>
      <c r="L7" s="35">
        <f t="shared" si="3"/>
        <v>35484723.235689998</v>
      </c>
      <c r="M7" s="35">
        <f t="shared" si="3"/>
        <v>46609599.916050002</v>
      </c>
      <c r="N7" s="35">
        <f t="shared" si="3"/>
        <v>40730037.182510003</v>
      </c>
      <c r="O7" s="35">
        <f t="shared" si="3"/>
        <v>40946946.799479991</v>
      </c>
      <c r="P7" s="35">
        <f t="shared" si="3"/>
        <v>40153656.112360008</v>
      </c>
      <c r="Q7" s="35">
        <f>(+Q8+Q9+Q10+Q11+Q12)</f>
        <v>44888641.336540006</v>
      </c>
      <c r="R7" s="35">
        <f t="shared" ref="R7" si="4">(+R8+R9+R10+R11+R12)</f>
        <v>44810442.238950029</v>
      </c>
      <c r="S7" s="35">
        <f>(+S8+S9+S10+S11+S12)</f>
        <v>60385934.534630008</v>
      </c>
      <c r="T7" s="35">
        <f t="shared" si="3"/>
        <v>47927832.982779995</v>
      </c>
      <c r="U7" s="37">
        <f>+U8+U9+U10+U11+U12</f>
        <v>527623015.12565017</v>
      </c>
    </row>
    <row r="8" spans="1:21" ht="12.75" customHeight="1" x14ac:dyDescent="0.2">
      <c r="A8" s="8"/>
      <c r="B8" s="9"/>
      <c r="C8" s="2"/>
      <c r="D8" s="2"/>
      <c r="E8" s="661" t="s">
        <v>19</v>
      </c>
      <c r="F8" s="661"/>
      <c r="G8" s="662"/>
      <c r="H8" s="35">
        <v>43376073.491999999</v>
      </c>
      <c r="I8" s="34">
        <v>1045401.32557</v>
      </c>
      <c r="J8" s="39">
        <f>1137548.45739-1045401+1047053</f>
        <v>1139200.4573900001</v>
      </c>
      <c r="K8" s="36">
        <f>874787.9188-2184601+2187354</f>
        <v>877540.9188000001</v>
      </c>
      <c r="L8" s="36">
        <f>777885.04315-3062143+3066086</f>
        <v>781828.04315000027</v>
      </c>
      <c r="M8" s="36">
        <f>10743657.94912-3843971+3848401</f>
        <v>10748087.94912</v>
      </c>
      <c r="N8" s="36">
        <f>2224163.80386-14592059+14617120</f>
        <v>2249224.8038599994</v>
      </c>
      <c r="O8" s="36">
        <f>1402260.17375-16841283+16847028-2</f>
        <v>1408003.1737500001</v>
      </c>
      <c r="P8" s="36">
        <f>1553124.62623-289456508+289463308</f>
        <v>1559924.6262300014</v>
      </c>
      <c r="Q8" s="36">
        <f>1391700.5638-19809211+19813860</f>
        <v>1396349.5637999997</v>
      </c>
      <c r="R8" s="36">
        <f>1809076.33346-21205561+21210499</f>
        <v>1814014.3334599994</v>
      </c>
      <c r="S8" s="36">
        <f>20207521.13668-23019575+23029478-1</f>
        <v>20217423.13668</v>
      </c>
      <c r="T8" s="36">
        <v>2261855.7338399999</v>
      </c>
      <c r="U8" s="37">
        <f>SUM(I8:T8)</f>
        <v>45498854.065650001</v>
      </c>
    </row>
    <row r="9" spans="1:21" ht="12.75" customHeight="1" x14ac:dyDescent="0.2">
      <c r="A9" s="8"/>
      <c r="B9" s="9"/>
      <c r="C9" s="2"/>
      <c r="D9" s="2"/>
      <c r="E9" s="2" t="s">
        <v>20</v>
      </c>
      <c r="F9" s="9"/>
      <c r="G9" s="34"/>
      <c r="H9" s="35">
        <v>520325998.56</v>
      </c>
      <c r="I9" s="34">
        <v>44296731.578749999</v>
      </c>
      <c r="J9" s="39">
        <f>40997229.68907-44296732+44296732</f>
        <v>40997229.689070001</v>
      </c>
      <c r="K9" s="36">
        <f>41027937.84181-85293961+85293961</f>
        <v>41027937.841810003</v>
      </c>
      <c r="L9" s="36">
        <f>41101466.76307-126321899+126321899</f>
        <v>41101466.763070002</v>
      </c>
      <c r="M9" s="36">
        <f>41635415.68559-167423366+167423365</f>
        <v>41635414.685589999</v>
      </c>
      <c r="N9" s="36">
        <f>42402182.92276-209058781+209058782</f>
        <v>42402183.92276001</v>
      </c>
      <c r="O9" s="36">
        <f>43698245.36275-251460964+251460966-2</f>
        <v>43698245.362749994</v>
      </c>
      <c r="P9" s="36">
        <f>42086554.0146-295159210+295159211+1</f>
        <v>42086556.014600009</v>
      </c>
      <c r="Q9" s="36">
        <f>46004117.27296-337245766+337245766</f>
        <v>46004117.272960007</v>
      </c>
      <c r="R9" s="36">
        <f>45298877.20745-383249883+383249882</f>
        <v>45298876.207450032</v>
      </c>
      <c r="S9" s="36">
        <f>42198090.29802-428548759+428548759-1</f>
        <v>42198089.298020005</v>
      </c>
      <c r="T9" s="36">
        <v>47495467.329269998</v>
      </c>
      <c r="U9" s="37">
        <f>SUM(I9:T9)</f>
        <v>518242315.96610004</v>
      </c>
    </row>
    <row r="10" spans="1:21" ht="12.75" customHeight="1" x14ac:dyDescent="0.25">
      <c r="A10" s="8"/>
      <c r="B10" s="9"/>
      <c r="C10" s="2"/>
      <c r="D10" s="2"/>
      <c r="E10" s="666" t="s">
        <v>21</v>
      </c>
      <c r="F10" s="667"/>
      <c r="G10" s="668"/>
      <c r="H10" s="35">
        <v>-4179941.8280000002</v>
      </c>
      <c r="I10" s="34">
        <v>-422029.25579999998</v>
      </c>
      <c r="J10" s="39">
        <f>-83296.61501-422029+422029</f>
        <v>-83296.615010000009</v>
      </c>
      <c r="K10" s="36">
        <f>-356825.11998-505326+505326</f>
        <v>-356825.11997999996</v>
      </c>
      <c r="L10" s="36">
        <f>-429038.7422-862151+862151</f>
        <v>-429038.74219999998</v>
      </c>
      <c r="M10" s="36">
        <f>-339904.13563-1291190+1291190</f>
        <v>-339904.13562999992</v>
      </c>
      <c r="N10" s="36">
        <f>-380196.25669-1631094+1631094</f>
        <v>-380196.25668999995</v>
      </c>
      <c r="O10" s="36">
        <v>-343097.10807000002</v>
      </c>
      <c r="P10" s="36">
        <v>-336545.33994999999</v>
      </c>
      <c r="Q10" s="36">
        <v>-359236.86654000002</v>
      </c>
      <c r="R10" s="36">
        <v>-362400.42050999997</v>
      </c>
      <c r="S10" s="36">
        <v>-357899.94475999998</v>
      </c>
      <c r="T10" s="36">
        <v>-379878.70799000002</v>
      </c>
      <c r="U10" s="37">
        <f>SUM(I10:T10)</f>
        <v>-4150348.5131299994</v>
      </c>
    </row>
    <row r="11" spans="1:21" ht="12.75" customHeight="1" x14ac:dyDescent="0.2">
      <c r="A11" s="8"/>
      <c r="B11" s="9"/>
      <c r="C11" s="2"/>
      <c r="D11" s="2"/>
      <c r="E11" s="2" t="s">
        <v>22</v>
      </c>
      <c r="F11" s="9"/>
      <c r="G11" s="34"/>
      <c r="H11" s="35">
        <v>-564472.01399999997</v>
      </c>
      <c r="I11" s="34">
        <v>-283731.10194999998</v>
      </c>
      <c r="J11" s="39">
        <f>-22971.71472-283731+283731</f>
        <v>-22971.714719999989</v>
      </c>
      <c r="K11" s="36">
        <f>-16854.091-306703+306703</f>
        <v>-16854.091000000015</v>
      </c>
      <c r="L11" s="36">
        <f>-30074.48565-323557+323557</f>
        <v>-30074.485649999988</v>
      </c>
      <c r="M11" s="36">
        <f>-25479.95229-353631+353631</f>
        <v>-25479.952289999987</v>
      </c>
      <c r="N11" s="36">
        <f>-42236.93293-379111+379111</f>
        <v>-42236.93293000001</v>
      </c>
      <c r="O11" s="36">
        <f>-31139.0697-421348+421348</f>
        <v>-31139.069699999993</v>
      </c>
      <c r="P11" s="36">
        <v>-17600.217149999997</v>
      </c>
      <c r="Q11" s="36">
        <v>-25607.755020000001</v>
      </c>
      <c r="R11" s="36">
        <v>-17295.282360000001</v>
      </c>
      <c r="S11" s="36">
        <v>-51730.900750000001</v>
      </c>
      <c r="T11" s="36">
        <v>-39157.36419</v>
      </c>
      <c r="U11" s="37">
        <f>SUM(I11:T11)</f>
        <v>-603878.8677099999</v>
      </c>
    </row>
    <row r="12" spans="1:21" ht="12.75" customHeight="1" x14ac:dyDescent="0.2">
      <c r="A12" s="8"/>
      <c r="B12" s="9"/>
      <c r="C12" s="2"/>
      <c r="D12" s="2"/>
      <c r="E12" s="2" t="s">
        <v>23</v>
      </c>
      <c r="F12" s="9"/>
      <c r="G12" s="34"/>
      <c r="H12" s="35">
        <v>-31373442.335000001</v>
      </c>
      <c r="I12" s="34">
        <v>-859912.89492999995</v>
      </c>
      <c r="J12" s="39">
        <f>-875922.38843-859913+859913</f>
        <v>-875922.38843000005</v>
      </c>
      <c r="K12" s="36">
        <f>-777297.84291-1735835+1735835</f>
        <v>-777297.84291000012</v>
      </c>
      <c r="L12" s="36">
        <f>-5939458.34268-2513133+2513133</f>
        <v>-5939458.3426799998</v>
      </c>
      <c r="M12" s="36">
        <f>-5408518.63074-8452591+8452591</f>
        <v>-5408518.6307399999</v>
      </c>
      <c r="N12" s="36">
        <f>-3498938.35449-13861110+13861110</f>
        <v>-3498938.3544900008</v>
      </c>
      <c r="O12" s="36">
        <f>-3785065.55925-17360048+17360048</f>
        <v>-3785065.5592500009</v>
      </c>
      <c r="P12" s="36">
        <v>-3138678.9713699999</v>
      </c>
      <c r="Q12" s="36">
        <v>-2126980.8786599999</v>
      </c>
      <c r="R12" s="36">
        <v>-1922752.5990899999</v>
      </c>
      <c r="S12" s="36">
        <v>-1619947.0545599998</v>
      </c>
      <c r="T12" s="36">
        <v>-1410454.0081500001</v>
      </c>
      <c r="U12" s="37">
        <f>SUM(I12:T12)</f>
        <v>-31363927.525260001</v>
      </c>
    </row>
    <row r="13" spans="1:21" ht="12.75" customHeight="1" x14ac:dyDescent="0.2">
      <c r="A13" s="8"/>
      <c r="B13" s="2"/>
      <c r="C13" s="661" t="s">
        <v>24</v>
      </c>
      <c r="D13" s="661"/>
      <c r="E13" s="661"/>
      <c r="F13" s="661"/>
      <c r="G13" s="662"/>
      <c r="H13" s="35"/>
      <c r="I13" s="34"/>
      <c r="J13" s="3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ht="12.75" customHeight="1" x14ac:dyDescent="0.2">
      <c r="A14" s="8"/>
      <c r="B14" s="2"/>
      <c r="C14" s="2"/>
      <c r="D14" s="2"/>
      <c r="E14" s="2" t="s">
        <v>25</v>
      </c>
      <c r="F14" s="2"/>
      <c r="G14" s="34"/>
      <c r="H14" s="35">
        <v>216718096.53300002</v>
      </c>
      <c r="I14" s="34">
        <v>1151770.1174699999</v>
      </c>
      <c r="J14" s="39">
        <f>1242986.25581-1151770+1159116</f>
        <v>1250332.25581</v>
      </c>
      <c r="K14" s="36">
        <f>53804452.5886-2402102+2407792</f>
        <v>53810142.588600002</v>
      </c>
      <c r="L14" s="36">
        <f>772540.9806-56212245+56235607</f>
        <v>795902.98059999943</v>
      </c>
      <c r="M14" s="36">
        <f>21429184.58605-57008148+57021979</f>
        <v>21443015.586050004</v>
      </c>
      <c r="N14" s="36">
        <f>22865269.4949-78451164+78458396</f>
        <v>22872501.494900003</v>
      </c>
      <c r="O14" s="36">
        <f>1235090.86865-101323665+101426457</f>
        <v>1337882.8686500043</v>
      </c>
      <c r="P14" s="36">
        <f>2071070.62865-102661548+102687261</f>
        <v>2096783.6286499947</v>
      </c>
      <c r="Q14" s="36">
        <f>57072343.36717-104758332+104770608</f>
        <v>57084619.367169999</v>
      </c>
      <c r="R14" s="36">
        <f>979655.8143-161842951+161853757</f>
        <v>990461.81430000067</v>
      </c>
      <c r="S14" s="36">
        <f>29223756.40822-162833413+162916282-2</f>
        <v>29306623.408219993</v>
      </c>
      <c r="T14" s="36">
        <v>19345498.907779999</v>
      </c>
      <c r="U14" s="37">
        <f>SUM(I14:T14)</f>
        <v>211485535.01819998</v>
      </c>
    </row>
    <row r="15" spans="1:21" ht="12.75" customHeight="1" x14ac:dyDescent="0.2">
      <c r="A15" s="8"/>
      <c r="B15" s="2"/>
      <c r="C15" s="2"/>
      <c r="D15" s="2"/>
      <c r="E15" s="669" t="s">
        <v>26</v>
      </c>
      <c r="F15" s="669"/>
      <c r="G15" s="670"/>
      <c r="H15" s="35">
        <v>14048.221</v>
      </c>
      <c r="I15" s="34">
        <v>4086.3198600000001</v>
      </c>
      <c r="J15" s="39">
        <v>1391.03548</v>
      </c>
      <c r="K15" s="36">
        <v>1839.0604599999999</v>
      </c>
      <c r="L15" s="36">
        <v>2009.00775</v>
      </c>
      <c r="M15" s="36">
        <v>-506.63587000000001</v>
      </c>
      <c r="N15" s="36">
        <v>2410.3167599999997</v>
      </c>
      <c r="O15" s="36">
        <v>-2272.4185699999998</v>
      </c>
      <c r="P15" s="36">
        <v>995.00096999999994</v>
      </c>
      <c r="Q15" s="36">
        <v>962.30282</v>
      </c>
      <c r="R15" s="36">
        <v>455.23854</v>
      </c>
      <c r="S15" s="36">
        <v>1236.0751599999999</v>
      </c>
      <c r="T15" s="36">
        <v>3355.7734599999999</v>
      </c>
      <c r="U15" s="37">
        <f>SUM(I15:T15)</f>
        <v>15961.07682</v>
      </c>
    </row>
    <row r="16" spans="1:21" ht="12.75" customHeight="1" x14ac:dyDescent="0.2">
      <c r="A16" s="8"/>
      <c r="B16" s="2"/>
      <c r="C16" s="2"/>
      <c r="D16" s="2"/>
      <c r="E16" s="669" t="s">
        <v>27</v>
      </c>
      <c r="F16" s="669"/>
      <c r="G16" s="670"/>
      <c r="H16" s="35">
        <v>29130361.151999999</v>
      </c>
      <c r="I16" s="34">
        <v>2235723.95352</v>
      </c>
      <c r="J16" s="39">
        <v>4519590.4822399998</v>
      </c>
      <c r="K16" s="36">
        <v>1612104.69774</v>
      </c>
      <c r="L16" s="36">
        <f>1859617.30539</f>
        <v>1859617.3053900001</v>
      </c>
      <c r="M16" s="36">
        <v>2149459.6524899998</v>
      </c>
      <c r="N16" s="36">
        <v>1449432.13283</v>
      </c>
      <c r="O16" s="36">
        <v>4138770.48563</v>
      </c>
      <c r="P16" s="36">
        <v>2186872.68707</v>
      </c>
      <c r="Q16" s="36">
        <v>1435581.0780199999</v>
      </c>
      <c r="R16" s="36">
        <v>1988054.2304700001</v>
      </c>
      <c r="S16" s="36">
        <v>2192578.1497199996</v>
      </c>
      <c r="T16" s="36">
        <v>2146142.2250600001</v>
      </c>
      <c r="U16" s="37">
        <f>SUM(I16:T16)</f>
        <v>27913927.080180001</v>
      </c>
    </row>
    <row r="17" spans="1:21" ht="12.75" customHeight="1" x14ac:dyDescent="0.2">
      <c r="A17" s="8"/>
      <c r="B17" s="2"/>
      <c r="C17" s="2"/>
      <c r="D17" s="2"/>
      <c r="E17" s="669" t="s">
        <v>28</v>
      </c>
      <c r="F17" s="669"/>
      <c r="G17" s="670"/>
      <c r="H17" s="35">
        <v>597334.299</v>
      </c>
      <c r="I17" s="34">
        <v>79112.289799999999</v>
      </c>
      <c r="J17" s="39">
        <v>46548.474719999998</v>
      </c>
      <c r="K17" s="36">
        <v>24033.462829999997</v>
      </c>
      <c r="L17" s="36">
        <v>46036.769560000001</v>
      </c>
      <c r="M17" s="36">
        <v>46016.670460000001</v>
      </c>
      <c r="N17" s="36">
        <v>31131.278460000001</v>
      </c>
      <c r="O17" s="36">
        <v>97489.750290000011</v>
      </c>
      <c r="P17" s="36">
        <v>35097.179700000001</v>
      </c>
      <c r="Q17" s="36">
        <v>42773.009170000005</v>
      </c>
      <c r="R17" s="36">
        <v>50320.79163</v>
      </c>
      <c r="S17" s="36">
        <v>46528.848770000004</v>
      </c>
      <c r="T17" s="36">
        <v>51409.53772</v>
      </c>
      <c r="U17" s="37">
        <f>SUM(I17:T17)</f>
        <v>596498.06310999999</v>
      </c>
    </row>
    <row r="18" spans="1:21" x14ac:dyDescent="0.2">
      <c r="A18" s="8"/>
      <c r="B18" s="2"/>
      <c r="C18" s="2" t="s">
        <v>29</v>
      </c>
      <c r="D18" s="2"/>
      <c r="E18" s="2"/>
      <c r="F18" s="2"/>
      <c r="G18" s="34"/>
      <c r="H18" s="35"/>
      <c r="I18" s="34"/>
      <c r="J18" s="3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12.75" customHeight="1" x14ac:dyDescent="0.2">
      <c r="A19" s="8"/>
      <c r="B19" s="2"/>
      <c r="C19" s="2"/>
      <c r="D19" s="2"/>
      <c r="E19" s="661" t="s">
        <v>30</v>
      </c>
      <c r="F19" s="661"/>
      <c r="G19" s="662"/>
      <c r="H19" s="35">
        <v>4235899.9369999999</v>
      </c>
      <c r="I19" s="34">
        <v>306533.35495000001</v>
      </c>
      <c r="J19" s="39">
        <f>319293.59839-306533+297535</f>
        <v>310295.59839</v>
      </c>
      <c r="K19" s="36">
        <f>225899.78546-616829+608386</f>
        <v>217456.78546000004</v>
      </c>
      <c r="L19" s="36">
        <f>234556.5963-834286+806981</f>
        <v>207251.59629999998</v>
      </c>
      <c r="M19" s="36">
        <f>219603.94414-1041537+1023277</f>
        <v>201343.94414000004</v>
      </c>
      <c r="N19" s="36">
        <f>383103.00164-1242881+1210587</f>
        <v>350809.00163999991</v>
      </c>
      <c r="O19" s="36">
        <f>333168.168-1593690+1485154</f>
        <v>224632.16800000006</v>
      </c>
      <c r="P19" s="36">
        <f>443153.50769-1818324+1785811</f>
        <v>410640.50768999988</v>
      </c>
      <c r="Q19" s="36">
        <f>303333.90065-2228965+2212040</f>
        <v>286408.90064999997</v>
      </c>
      <c r="R19" s="36">
        <f>285068.99895-2515374+2499630</f>
        <v>269324.99894999992</v>
      </c>
      <c r="S19" s="36">
        <f>585774.66311-2784697+2691929</f>
        <v>493006.66311000008</v>
      </c>
      <c r="T19" s="36">
        <v>1767915.3942100001</v>
      </c>
      <c r="U19" s="37">
        <f>SUM(I19:T19)</f>
        <v>5045618.9134899992</v>
      </c>
    </row>
    <row r="20" spans="1:21" ht="12.75" customHeight="1" x14ac:dyDescent="0.2">
      <c r="A20" s="8"/>
      <c r="B20" s="2"/>
      <c r="C20" s="2"/>
      <c r="D20" s="2"/>
      <c r="E20" s="669" t="s">
        <v>31</v>
      </c>
      <c r="F20" s="669"/>
      <c r="G20" s="670"/>
      <c r="H20" s="35">
        <v>149.124</v>
      </c>
      <c r="I20" s="34">
        <v>67.085250000000002</v>
      </c>
      <c r="J20" s="39">
        <v>4.1390000000000002</v>
      </c>
      <c r="K20" s="36">
        <v>4</v>
      </c>
      <c r="L20" s="36">
        <v>19.332999999999998</v>
      </c>
      <c r="M20" s="36">
        <v>-1.26</v>
      </c>
      <c r="N20" s="36">
        <v>0.89300000000000002</v>
      </c>
      <c r="O20" s="36">
        <v>2.3273999999999999</v>
      </c>
      <c r="P20" s="36">
        <v>0</v>
      </c>
      <c r="Q20" s="36">
        <v>0</v>
      </c>
      <c r="R20" s="36">
        <v>-14.7</v>
      </c>
      <c r="S20" s="36">
        <v>0</v>
      </c>
      <c r="T20" s="36">
        <v>-61.085250000000002</v>
      </c>
      <c r="U20" s="37">
        <f>SUM(I20:T20)</f>
        <v>20.732399999999984</v>
      </c>
    </row>
    <row r="21" spans="1:21" s="33" customFormat="1" ht="12.75" customHeight="1" x14ac:dyDescent="0.2">
      <c r="A21" s="40"/>
      <c r="B21" s="9" t="s">
        <v>32</v>
      </c>
      <c r="C21" s="27"/>
      <c r="D21" s="28"/>
      <c r="E21" s="41"/>
      <c r="F21" s="41"/>
      <c r="G21" s="42"/>
      <c r="H21" s="43">
        <f>H22</f>
        <v>18576304.84</v>
      </c>
      <c r="I21" s="43">
        <f t="shared" ref="I21:U21" si="5">I22</f>
        <v>1486557.3596700002</v>
      </c>
      <c r="J21" s="44">
        <f t="shared" si="5"/>
        <v>1412889.2435599999</v>
      </c>
      <c r="K21" s="45">
        <f t="shared" si="5"/>
        <v>1388120.6329900001</v>
      </c>
      <c r="L21" s="45">
        <f t="shared" si="5"/>
        <v>1443837.3841199998</v>
      </c>
      <c r="M21" s="45">
        <f t="shared" si="5"/>
        <v>1524560.1272400001</v>
      </c>
      <c r="N21" s="45">
        <f t="shared" si="5"/>
        <v>1497959.2152200001</v>
      </c>
      <c r="O21" s="45">
        <f>O22</f>
        <v>1535608.7352400001</v>
      </c>
      <c r="P21" s="45">
        <f t="shared" si="5"/>
        <v>1485949.6038800001</v>
      </c>
      <c r="Q21" s="45">
        <f t="shared" si="5"/>
        <v>1683694.1335400001</v>
      </c>
      <c r="R21" s="45">
        <f t="shared" si="5"/>
        <v>1704155.1792899999</v>
      </c>
      <c r="S21" s="45">
        <f t="shared" si="5"/>
        <v>1575779.40793</v>
      </c>
      <c r="T21" s="45">
        <f t="shared" si="5"/>
        <v>1747169.31568</v>
      </c>
      <c r="U21" s="48">
        <f t="shared" si="5"/>
        <v>18486280.33836</v>
      </c>
    </row>
    <row r="22" spans="1:21" ht="12.75" customHeight="1" x14ac:dyDescent="0.2">
      <c r="A22" s="8"/>
      <c r="B22" s="2"/>
      <c r="C22" s="49" t="s">
        <v>33</v>
      </c>
      <c r="D22" s="2"/>
      <c r="E22" s="2"/>
      <c r="F22" s="50"/>
      <c r="G22" s="42"/>
      <c r="H22" s="35">
        <v>18576304.84</v>
      </c>
      <c r="I22" s="34">
        <v>1486557.3596700002</v>
      </c>
      <c r="J22" s="39">
        <v>1412889.2435599999</v>
      </c>
      <c r="K22" s="36">
        <v>1388120.6329900001</v>
      </c>
      <c r="L22" s="36">
        <v>1443837.3841199998</v>
      </c>
      <c r="M22" s="36">
        <v>1524560.1272400001</v>
      </c>
      <c r="N22" s="36">
        <v>1497959.2152200001</v>
      </c>
      <c r="O22" s="36">
        <v>1535608.7352400001</v>
      </c>
      <c r="P22" s="36">
        <v>1485949.6038800001</v>
      </c>
      <c r="Q22" s="36">
        <v>1683694.1335400001</v>
      </c>
      <c r="R22" s="36">
        <v>1704155.1792899999</v>
      </c>
      <c r="S22" s="36">
        <v>1575779.40793</v>
      </c>
      <c r="T22" s="36">
        <v>1747169.31568</v>
      </c>
      <c r="U22" s="37">
        <f>SUM(I22:T22)</f>
        <v>18486280.33836</v>
      </c>
    </row>
    <row r="23" spans="1:21" s="33" customFormat="1" ht="12.75" customHeight="1" x14ac:dyDescent="0.2">
      <c r="A23" s="40"/>
      <c r="B23" s="9" t="s">
        <v>34</v>
      </c>
      <c r="C23" s="27"/>
      <c r="D23" s="28"/>
      <c r="E23" s="41"/>
      <c r="F23" s="41"/>
      <c r="G23" s="42"/>
      <c r="H23" s="43">
        <f>SUM(H24:H29)</f>
        <v>16037771.376000002</v>
      </c>
      <c r="I23" s="43">
        <f t="shared" ref="I23:U23" si="6">SUM(I24:I29)</f>
        <v>1273463.2842899999</v>
      </c>
      <c r="J23" s="44">
        <f t="shared" si="6"/>
        <v>1218002.7180599999</v>
      </c>
      <c r="K23" s="45">
        <f t="shared" si="6"/>
        <v>1197194.08048</v>
      </c>
      <c r="L23" s="45">
        <f t="shared" si="6"/>
        <v>1255267.6250199997</v>
      </c>
      <c r="M23" s="45">
        <f t="shared" si="6"/>
        <v>1311750.4920399999</v>
      </c>
      <c r="N23" s="45">
        <f t="shared" si="6"/>
        <v>1150972.34228</v>
      </c>
      <c r="O23" s="45">
        <f>SUM(O24:O29)</f>
        <v>1419716.86209</v>
      </c>
      <c r="P23" s="45">
        <f t="shared" si="6"/>
        <v>2619856.30528</v>
      </c>
      <c r="Q23" s="45">
        <f>SUM(Q24:Q29)</f>
        <v>951461.71384999994</v>
      </c>
      <c r="R23" s="45">
        <f t="shared" ref="R23:S23" si="7">SUM(R24:R29)</f>
        <v>1107402.01119</v>
      </c>
      <c r="S23" s="45">
        <f t="shared" si="7"/>
        <v>1203624.8027900001</v>
      </c>
      <c r="T23" s="45">
        <f t="shared" si="6"/>
        <v>1271227.96853</v>
      </c>
      <c r="U23" s="48">
        <f t="shared" si="6"/>
        <v>15979940.205900002</v>
      </c>
    </row>
    <row r="24" spans="1:21" s="33" customFormat="1" ht="12.75" customHeight="1" x14ac:dyDescent="0.2">
      <c r="A24" s="40"/>
      <c r="B24" s="9"/>
      <c r="C24" s="661" t="s">
        <v>35</v>
      </c>
      <c r="D24" s="661"/>
      <c r="E24" s="661"/>
      <c r="F24" s="661"/>
      <c r="G24" s="662"/>
      <c r="H24" s="35"/>
      <c r="I24" s="34"/>
      <c r="J24" s="39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ht="12.75" customHeight="1" x14ac:dyDescent="0.2">
      <c r="A25" s="8"/>
      <c r="B25" s="2"/>
      <c r="C25" s="2"/>
      <c r="D25" s="2"/>
      <c r="E25" s="49" t="s">
        <v>36</v>
      </c>
      <c r="F25" s="49"/>
      <c r="G25" s="42"/>
      <c r="H25" s="35">
        <v>563283.35199999996</v>
      </c>
      <c r="I25" s="34">
        <v>44296.821329999999</v>
      </c>
      <c r="J25" s="39">
        <v>35163.065840000003</v>
      </c>
      <c r="K25" s="36">
        <v>25841.288860000001</v>
      </c>
      <c r="L25" s="36">
        <v>41455.151149999998</v>
      </c>
      <c r="M25" s="36">
        <v>26383.988730000001</v>
      </c>
      <c r="N25" s="36">
        <v>49254.720159999997</v>
      </c>
      <c r="O25" s="36">
        <v>100003.02798999999</v>
      </c>
      <c r="P25" s="36">
        <v>26963.738420000001</v>
      </c>
      <c r="Q25" s="36">
        <v>21675.22249</v>
      </c>
      <c r="R25" s="36">
        <v>34255.995880000002</v>
      </c>
      <c r="S25" s="36">
        <v>54902.155279999999</v>
      </c>
      <c r="T25" s="36">
        <v>112065.33743000001</v>
      </c>
      <c r="U25" s="37">
        <f>SUM(I25:T25)</f>
        <v>572260.51356000011</v>
      </c>
    </row>
    <row r="26" spans="1:21" ht="12.75" customHeight="1" x14ac:dyDescent="0.2">
      <c r="A26" s="8"/>
      <c r="B26" s="2"/>
      <c r="C26" s="2"/>
      <c r="D26" s="2"/>
      <c r="E26" s="49" t="s">
        <v>37</v>
      </c>
      <c r="F26" s="49"/>
      <c r="G26" s="42"/>
      <c r="H26" s="35">
        <v>2071076.257</v>
      </c>
      <c r="I26" s="34">
        <v>146391.82277</v>
      </c>
      <c r="J26" s="39">
        <v>143514.96836999999</v>
      </c>
      <c r="K26" s="36">
        <v>156403.32399</v>
      </c>
      <c r="L26" s="36">
        <v>197905.40074000001</v>
      </c>
      <c r="M26" s="36">
        <v>169148.53209999998</v>
      </c>
      <c r="N26" s="36">
        <v>138645.72691</v>
      </c>
      <c r="O26" s="36">
        <v>174047.93703</v>
      </c>
      <c r="P26" s="36">
        <v>178701.3413</v>
      </c>
      <c r="Q26" s="36">
        <v>168839.29102999999</v>
      </c>
      <c r="R26" s="36">
        <v>173464.23949000001</v>
      </c>
      <c r="S26" s="36">
        <v>183943.45116</v>
      </c>
      <c r="T26" s="36">
        <v>216836.88744999998</v>
      </c>
      <c r="U26" s="37">
        <f>SUM(I26:T26)</f>
        <v>2047842.9223399998</v>
      </c>
    </row>
    <row r="27" spans="1:21" x14ac:dyDescent="0.2">
      <c r="A27" s="8"/>
      <c r="B27" s="2"/>
      <c r="C27" s="661" t="s">
        <v>38</v>
      </c>
      <c r="D27" s="661"/>
      <c r="E27" s="661"/>
      <c r="F27" s="661"/>
      <c r="G27" s="662"/>
      <c r="H27" s="35"/>
      <c r="I27" s="34"/>
      <c r="J27" s="39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ht="12.75" customHeight="1" x14ac:dyDescent="0.2">
      <c r="A28" s="8"/>
      <c r="B28" s="2"/>
      <c r="C28" s="2"/>
      <c r="D28" s="2"/>
      <c r="E28" s="49" t="s">
        <v>39</v>
      </c>
      <c r="F28" s="49"/>
      <c r="G28" s="42"/>
      <c r="H28" s="35">
        <v>6162990.3969999999</v>
      </c>
      <c r="I28" s="34">
        <v>458925.01891000004</v>
      </c>
      <c r="J28" s="39">
        <v>346662.08555999998</v>
      </c>
      <c r="K28" s="36">
        <v>480309.75639999995</v>
      </c>
      <c r="L28" s="36">
        <v>353650.14681999997</v>
      </c>
      <c r="M28" s="36">
        <v>504941.19263000001</v>
      </c>
      <c r="N28" s="36">
        <v>389420.60843000002</v>
      </c>
      <c r="O28" s="36">
        <v>433222.00581</v>
      </c>
      <c r="P28" s="36">
        <v>1723424.1935999999</v>
      </c>
      <c r="Q28" s="36">
        <v>427934.50442000001</v>
      </c>
      <c r="R28" s="36">
        <v>387633.97282999998</v>
      </c>
      <c r="S28" s="36">
        <v>354439.98926999996</v>
      </c>
      <c r="T28" s="36">
        <v>379645.83173999999</v>
      </c>
      <c r="U28" s="37">
        <f>SUM(I28:T28)</f>
        <v>6240209.3064200003</v>
      </c>
    </row>
    <row r="29" spans="1:21" ht="12.75" customHeight="1" x14ac:dyDescent="0.2">
      <c r="A29" s="8"/>
      <c r="B29" s="2"/>
      <c r="C29" s="2"/>
      <c r="D29" s="2"/>
      <c r="E29" s="49" t="s">
        <v>40</v>
      </c>
      <c r="F29" s="49"/>
      <c r="G29" s="42"/>
      <c r="H29" s="35">
        <v>7240421.3700000001</v>
      </c>
      <c r="I29" s="34">
        <v>623849.62127999996</v>
      </c>
      <c r="J29" s="39">
        <v>692662.59828999999</v>
      </c>
      <c r="K29" s="36">
        <v>534639.71123000002</v>
      </c>
      <c r="L29" s="36">
        <v>662256.92630999989</v>
      </c>
      <c r="M29" s="36">
        <v>611276.77858000004</v>
      </c>
      <c r="N29" s="36">
        <v>573651.28677999997</v>
      </c>
      <c r="O29" s="36">
        <v>712443.89125999995</v>
      </c>
      <c r="P29" s="36">
        <v>690767.03196000005</v>
      </c>
      <c r="Q29" s="36">
        <v>333012.69591000001</v>
      </c>
      <c r="R29" s="36">
        <v>512047.80299</v>
      </c>
      <c r="S29" s="36">
        <v>610339.20708000008</v>
      </c>
      <c r="T29" s="36">
        <v>562679.91191000002</v>
      </c>
      <c r="U29" s="37">
        <f>SUM(I29:T29)</f>
        <v>7119627.4635800002</v>
      </c>
    </row>
    <row r="30" spans="1:21" ht="12.75" customHeight="1" x14ac:dyDescent="0.2">
      <c r="A30" s="8"/>
      <c r="B30" s="9" t="s">
        <v>41</v>
      </c>
      <c r="C30" s="27"/>
      <c r="D30" s="2"/>
      <c r="E30" s="49"/>
      <c r="F30" s="49"/>
      <c r="G30" s="42"/>
      <c r="H30" s="43">
        <f>H31+H35+H37+H46+H47+H48+H54+H55+H56+H57+H58+H59+H60+H62</f>
        <v>488710646.185</v>
      </c>
      <c r="I30" s="48">
        <f t="shared" ref="I30:K30" si="8">I31+I35+I37+I46+I47+I48+I54+I55+I56+I57+I58+I59+I60+I62</f>
        <v>32377446.9802</v>
      </c>
      <c r="J30" s="43">
        <f t="shared" si="8"/>
        <v>36952393.600270025</v>
      </c>
      <c r="K30" s="43">
        <f t="shared" si="8"/>
        <v>38221349.329040006</v>
      </c>
      <c r="L30" s="43">
        <f>L31+L35+L37+L46+L47+L48+L54+L55+L56+L57+L58+L59+L60+L62</f>
        <v>39714315.318700001</v>
      </c>
      <c r="M30" s="43">
        <f>M31+M35+M37+M46+M47+M48+M54+M55+M56+M57+M58+M59+M60+M62</f>
        <v>38378682.190399982</v>
      </c>
      <c r="N30" s="43">
        <f t="shared" ref="N30:T30" si="9">N31+N35+N37+N46+N47+N48+N54+N55+N56+N57+N58+N59+N60+N62</f>
        <v>42869845.250019997</v>
      </c>
      <c r="O30" s="43">
        <f>O31+O35+O37+O46+O47+O48+O54+O55+O56+O57+O58+O59+O60+O62</f>
        <v>40284335.230359994</v>
      </c>
      <c r="P30" s="43">
        <f t="shared" si="9"/>
        <v>40722661.34173999</v>
      </c>
      <c r="Q30" s="43">
        <f t="shared" si="9"/>
        <v>42252814.115399994</v>
      </c>
      <c r="R30" s="43">
        <f t="shared" si="9"/>
        <v>48002585.085210003</v>
      </c>
      <c r="S30" s="43">
        <f t="shared" si="9"/>
        <v>42758806.629029997</v>
      </c>
      <c r="T30" s="43">
        <f t="shared" si="9"/>
        <v>49734479.539840005</v>
      </c>
      <c r="U30" s="642">
        <f>U31+U35+U37+U46+U47+U48+U54+U55+U56+U57+U58+U59+U60+U62</f>
        <v>492269714.61021</v>
      </c>
    </row>
    <row r="31" spans="1:21" s="33" customFormat="1" ht="12.75" customHeight="1" x14ac:dyDescent="0.2">
      <c r="A31" s="40"/>
      <c r="B31" s="2"/>
      <c r="C31" s="49" t="s">
        <v>42</v>
      </c>
      <c r="D31" s="2"/>
      <c r="E31" s="2"/>
      <c r="F31" s="52"/>
      <c r="G31" s="53"/>
      <c r="H31" s="35">
        <f t="shared" ref="H31" si="10">+H32+H33+H34</f>
        <v>344201915.10999995</v>
      </c>
      <c r="I31" s="34">
        <f>+I32+I33+I34</f>
        <v>19087796.203689996</v>
      </c>
      <c r="J31" s="39">
        <f t="shared" ref="J31:O31" si="11">+J32+J33+J34</f>
        <v>26452644.209570009</v>
      </c>
      <c r="K31" s="36">
        <f t="shared" si="11"/>
        <v>27469523.342359997</v>
      </c>
      <c r="L31" s="36">
        <f t="shared" si="11"/>
        <v>27931003.059100002</v>
      </c>
      <c r="M31" s="36">
        <f t="shared" si="11"/>
        <v>28309249.809279997</v>
      </c>
      <c r="N31" s="36">
        <f t="shared" si="11"/>
        <v>31178326.168849997</v>
      </c>
      <c r="O31" s="36">
        <f t="shared" si="11"/>
        <v>27125465.40343</v>
      </c>
      <c r="P31" s="36">
        <f>+P32+P33+P34</f>
        <v>28526341.00395</v>
      </c>
      <c r="Q31" s="36">
        <f>+Q32+Q33+Q34</f>
        <v>30619163.936020002</v>
      </c>
      <c r="R31" s="36">
        <f>+R32+R33+R34</f>
        <v>33441736.308420002</v>
      </c>
      <c r="S31" s="36">
        <f>+S32+S33+S34</f>
        <v>30419416.516730003</v>
      </c>
      <c r="T31" s="36">
        <f t="shared" ref="T31" si="12">+T32+T33+T34</f>
        <v>36187028.286680013</v>
      </c>
      <c r="U31" s="37">
        <f>+U32+U33+U34</f>
        <v>346747694.24808002</v>
      </c>
    </row>
    <row r="32" spans="1:21" s="33" customFormat="1" ht="12.75" customHeight="1" x14ac:dyDescent="0.2">
      <c r="A32" s="40"/>
      <c r="B32" s="28"/>
      <c r="C32" s="54"/>
      <c r="D32" s="2"/>
      <c r="E32" s="55" t="s">
        <v>43</v>
      </c>
      <c r="F32" s="52"/>
      <c r="G32" s="42"/>
      <c r="H32" s="35">
        <v>399432699.58899993</v>
      </c>
      <c r="I32" s="34">
        <v>32106002.039889999</v>
      </c>
      <c r="J32" s="39">
        <v>32788533.340090003</v>
      </c>
      <c r="K32" s="36">
        <v>31097090.10334</v>
      </c>
      <c r="L32" s="36">
        <v>33218205.330849998</v>
      </c>
      <c r="M32" s="36">
        <v>32067614.14443</v>
      </c>
      <c r="N32" s="36">
        <v>33883265.714919999</v>
      </c>
      <c r="O32" s="36">
        <v>32588168.592829999</v>
      </c>
      <c r="P32" s="36">
        <v>34203684.948849998</v>
      </c>
      <c r="Q32" s="36">
        <v>34614001.725600004</v>
      </c>
      <c r="R32" s="36">
        <v>37954856.541610003</v>
      </c>
      <c r="S32" s="36">
        <v>32000073.457700003</v>
      </c>
      <c r="T32" s="36">
        <v>32759804.053910002</v>
      </c>
      <c r="U32" s="37">
        <f>SUM(I32:T32)</f>
        <v>399281299.9940201</v>
      </c>
    </row>
    <row r="33" spans="1:21" s="33" customFormat="1" ht="12.75" customHeight="1" x14ac:dyDescent="0.2">
      <c r="A33" s="40"/>
      <c r="B33" s="28"/>
      <c r="C33" s="54"/>
      <c r="D33" s="2"/>
      <c r="E33" s="55" t="s">
        <v>44</v>
      </c>
      <c r="F33" s="52"/>
      <c r="G33" s="42"/>
      <c r="H33" s="35">
        <v>182666047.11399999</v>
      </c>
      <c r="I33" s="34">
        <v>4712214.7641599998</v>
      </c>
      <c r="J33" s="39">
        <v>15016547.501580002</v>
      </c>
      <c r="K33" s="36">
        <v>14694802.62631</v>
      </c>
      <c r="L33" s="36">
        <v>15210416.082280001</v>
      </c>
      <c r="M33" s="36">
        <v>16752271.243469998</v>
      </c>
      <c r="N33" s="36">
        <v>16851360.23731</v>
      </c>
      <c r="O33" s="36">
        <v>16548049.56246</v>
      </c>
      <c r="P33" s="36">
        <v>16186736.69562</v>
      </c>
      <c r="Q33" s="36">
        <v>14799895.336339999</v>
      </c>
      <c r="R33" s="36">
        <v>11976843.05473</v>
      </c>
      <c r="S33" s="36">
        <v>14437887.10369</v>
      </c>
      <c r="T33" s="36">
        <v>22800332.368750002</v>
      </c>
      <c r="U33" s="37">
        <f>SUM(I33:T33)</f>
        <v>179987356.5767</v>
      </c>
    </row>
    <row r="34" spans="1:21" s="33" customFormat="1" ht="12.75" customHeight="1" x14ac:dyDescent="0.2">
      <c r="A34" s="40"/>
      <c r="B34" s="28"/>
      <c r="C34" s="54"/>
      <c r="D34" s="2"/>
      <c r="E34" s="55" t="s">
        <v>45</v>
      </c>
      <c r="F34" s="52"/>
      <c r="G34" s="53"/>
      <c r="H34" s="35">
        <v>-237896831.59299999</v>
      </c>
      <c r="I34" s="34">
        <v>-17730420.600360002</v>
      </c>
      <c r="J34" s="39">
        <v>-21352436.632099997</v>
      </c>
      <c r="K34" s="36">
        <v>-18322369.387290001</v>
      </c>
      <c r="L34" s="36">
        <v>-20497618.354029998</v>
      </c>
      <c r="M34" s="36">
        <v>-20510635.578619998</v>
      </c>
      <c r="N34" s="36">
        <v>-19556299.783380002</v>
      </c>
      <c r="O34" s="36">
        <v>-22010752.75186</v>
      </c>
      <c r="P34" s="36">
        <v>-21864080.640519999</v>
      </c>
      <c r="Q34" s="36">
        <v>-18794733.125919998</v>
      </c>
      <c r="R34" s="36">
        <v>-16489963.28792</v>
      </c>
      <c r="S34" s="36">
        <v>-16018544.04466</v>
      </c>
      <c r="T34" s="36">
        <v>-19373108.135979999</v>
      </c>
      <c r="U34" s="37">
        <f>SUM(I34:T34)</f>
        <v>-232520962.32264003</v>
      </c>
    </row>
    <row r="35" spans="1:21" s="33" customFormat="1" ht="12.75" customHeight="1" x14ac:dyDescent="0.2">
      <c r="A35" s="40"/>
      <c r="B35" s="2"/>
      <c r="C35" s="49" t="s">
        <v>46</v>
      </c>
      <c r="D35" s="49"/>
      <c r="E35" s="49"/>
      <c r="F35" s="49"/>
      <c r="G35" s="42"/>
      <c r="H35" s="35">
        <v>19266.501</v>
      </c>
      <c r="I35" s="34">
        <v>864.69512999999995</v>
      </c>
      <c r="J35" s="39">
        <v>157.87732</v>
      </c>
      <c r="K35" s="36">
        <v>76.537289999999999</v>
      </c>
      <c r="L35" s="36">
        <v>114.95444999999999</v>
      </c>
      <c r="M35" s="36">
        <v>12441.686609999999</v>
      </c>
      <c r="N35" s="36">
        <v>1408.2118500000001</v>
      </c>
      <c r="O35" s="36">
        <v>128.68188000000001</v>
      </c>
      <c r="P35" s="36">
        <v>88.296940000000006</v>
      </c>
      <c r="Q35" s="36">
        <v>105.89149</v>
      </c>
      <c r="R35" s="36">
        <v>479.04048</v>
      </c>
      <c r="S35" s="36">
        <v>-7850.3513899999998</v>
      </c>
      <c r="T35" s="36">
        <v>434.35836999999998</v>
      </c>
      <c r="U35" s="37">
        <f>SUM(I35:T35)</f>
        <v>8449.8804199999977</v>
      </c>
    </row>
    <row r="36" spans="1:21" s="33" customFormat="1" ht="12.75" customHeight="1" x14ac:dyDescent="0.2">
      <c r="A36" s="40"/>
      <c r="B36" s="2"/>
      <c r="C36" s="49"/>
      <c r="D36" s="49"/>
      <c r="E36" s="49"/>
      <c r="F36" s="49"/>
      <c r="G36" s="42"/>
      <c r="H36" s="35"/>
      <c r="I36" s="34"/>
      <c r="J36" s="39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x14ac:dyDescent="0.2">
      <c r="A37" s="8"/>
      <c r="B37" s="2"/>
      <c r="C37" s="2" t="s">
        <v>47</v>
      </c>
      <c r="D37" s="2"/>
      <c r="E37" s="49"/>
      <c r="F37" s="49"/>
      <c r="G37" s="42"/>
      <c r="H37" s="56">
        <f t="shared" ref="H37:U37" si="13">SUM(H38:H45)</f>
        <v>46764566.031000003</v>
      </c>
      <c r="I37" s="57">
        <f t="shared" si="13"/>
        <v>4389537.5104</v>
      </c>
      <c r="J37" s="58">
        <f t="shared" si="13"/>
        <v>2779836.8507400001</v>
      </c>
      <c r="K37" s="59">
        <f t="shared" si="13"/>
        <v>3429317.8402999998</v>
      </c>
      <c r="L37" s="59">
        <f t="shared" si="13"/>
        <v>3160961.4994200002</v>
      </c>
      <c r="M37" s="59">
        <f>SUM(M38:M45)</f>
        <v>2848097.9539799998</v>
      </c>
      <c r="N37" s="59">
        <f t="shared" si="13"/>
        <v>3608974.0604700008</v>
      </c>
      <c r="O37" s="59">
        <f t="shared" si="13"/>
        <v>3735827.8779500001</v>
      </c>
      <c r="P37" s="59">
        <f t="shared" si="13"/>
        <v>3607624.5937799998</v>
      </c>
      <c r="Q37" s="59">
        <f t="shared" si="13"/>
        <v>4210492.1567399995</v>
      </c>
      <c r="R37" s="59">
        <f t="shared" si="13"/>
        <v>5801217.0462600002</v>
      </c>
      <c r="S37" s="59">
        <f t="shared" si="13"/>
        <v>4205237.7721299995</v>
      </c>
      <c r="T37" s="59">
        <f t="shared" si="13"/>
        <v>5049448.8562400006</v>
      </c>
      <c r="U37" s="643">
        <f t="shared" si="13"/>
        <v>46826574.018409997</v>
      </c>
    </row>
    <row r="38" spans="1:21" ht="12.75" customHeight="1" x14ac:dyDescent="0.2">
      <c r="A38" s="8"/>
      <c r="B38" s="2"/>
      <c r="C38" s="2"/>
      <c r="D38" s="2"/>
      <c r="E38" s="49" t="s">
        <v>48</v>
      </c>
      <c r="F38" s="49"/>
      <c r="G38" s="42"/>
      <c r="H38" s="35">
        <v>15420221.618000001</v>
      </c>
      <c r="I38" s="34">
        <v>645432.03515999997</v>
      </c>
      <c r="J38" s="39">
        <v>1336460.6933599999</v>
      </c>
      <c r="K38" s="36">
        <v>1217578.0185699998</v>
      </c>
      <c r="L38" s="36">
        <v>1144692.0212100002</v>
      </c>
      <c r="M38" s="36">
        <v>1239157.7511500001</v>
      </c>
      <c r="N38" s="36">
        <v>1311143.52498</v>
      </c>
      <c r="O38" s="36">
        <v>1227824.49712</v>
      </c>
      <c r="P38" s="36">
        <v>1346975.6470000001</v>
      </c>
      <c r="Q38" s="36">
        <v>1324690.7493599998</v>
      </c>
      <c r="R38" s="36">
        <v>1474308.4417999999</v>
      </c>
      <c r="S38" s="36">
        <v>1403663.5605200001</v>
      </c>
      <c r="T38" s="36">
        <v>1852831.7122599999</v>
      </c>
      <c r="U38" s="37">
        <f t="shared" ref="U38:U48" si="14">SUM(I38:T38)</f>
        <v>15524758.652489999</v>
      </c>
    </row>
    <row r="39" spans="1:21" ht="12.75" customHeight="1" x14ac:dyDescent="0.2">
      <c r="A39" s="8"/>
      <c r="B39" s="2"/>
      <c r="C39" s="2"/>
      <c r="D39" s="2"/>
      <c r="E39" s="49" t="s">
        <v>49</v>
      </c>
      <c r="F39" s="49"/>
      <c r="G39" s="42"/>
      <c r="H39" s="35">
        <v>4224.2889999999998</v>
      </c>
      <c r="I39" s="34">
        <v>411.44488000000001</v>
      </c>
      <c r="J39" s="39">
        <v>582.59392000000003</v>
      </c>
      <c r="K39" s="36">
        <v>379.05412999999999</v>
      </c>
      <c r="L39" s="36">
        <v>353.22517999999997</v>
      </c>
      <c r="M39" s="36">
        <v>366.86054999999999</v>
      </c>
      <c r="N39" s="36">
        <v>126.39821999999999</v>
      </c>
      <c r="O39" s="36">
        <v>550.99706000000003</v>
      </c>
      <c r="P39" s="36">
        <v>159.62575000000001</v>
      </c>
      <c r="Q39" s="36">
        <v>314.59178000000003</v>
      </c>
      <c r="R39" s="36">
        <v>291.13127000000003</v>
      </c>
      <c r="S39" s="36">
        <v>312.68134000000003</v>
      </c>
      <c r="T39" s="36">
        <v>517.25369999999998</v>
      </c>
      <c r="U39" s="37">
        <f t="shared" si="14"/>
        <v>4365.8577800000003</v>
      </c>
    </row>
    <row r="40" spans="1:21" s="33" customFormat="1" ht="12.75" customHeight="1" x14ac:dyDescent="0.2">
      <c r="A40" s="40"/>
      <c r="B40" s="2"/>
      <c r="C40" s="2"/>
      <c r="D40" s="28"/>
      <c r="E40" s="49" t="s">
        <v>50</v>
      </c>
      <c r="F40" s="49"/>
      <c r="G40" s="42"/>
      <c r="H40" s="35">
        <v>4452107.6720000003</v>
      </c>
      <c r="I40" s="34">
        <v>344650.07581999997</v>
      </c>
      <c r="J40" s="39">
        <v>311227.37400000001</v>
      </c>
      <c r="K40" s="36">
        <v>395585.26152</v>
      </c>
      <c r="L40" s="36">
        <v>328235.43017000001</v>
      </c>
      <c r="M40" s="36">
        <v>19738.928079999998</v>
      </c>
      <c r="N40" s="36">
        <v>280802.25291000004</v>
      </c>
      <c r="O40" s="36">
        <v>375497.53158999997</v>
      </c>
      <c r="P40" s="36">
        <v>357215.24654000002</v>
      </c>
      <c r="Q40" s="36">
        <v>512121.84948999999</v>
      </c>
      <c r="R40" s="36">
        <v>508613.17636000004</v>
      </c>
      <c r="S40" s="36">
        <v>795155.04833999998</v>
      </c>
      <c r="T40" s="36">
        <v>345626.84647000005</v>
      </c>
      <c r="U40" s="37">
        <f>SUM(I40:T40)</f>
        <v>4574469.0212900005</v>
      </c>
    </row>
    <row r="41" spans="1:21" ht="12.75" customHeight="1" x14ac:dyDescent="0.2">
      <c r="A41" s="8"/>
      <c r="B41" s="2"/>
      <c r="C41" s="2"/>
      <c r="D41" s="2"/>
      <c r="E41" s="49" t="s">
        <v>51</v>
      </c>
      <c r="F41" s="49"/>
      <c r="G41" s="42"/>
      <c r="H41" s="35">
        <v>8927712.9189999998</v>
      </c>
      <c r="I41" s="34">
        <v>968423.40338000003</v>
      </c>
      <c r="J41" s="39">
        <v>685639.09735000005</v>
      </c>
      <c r="K41" s="36">
        <v>708818.19360999996</v>
      </c>
      <c r="L41" s="36">
        <v>864562.62917999993</v>
      </c>
      <c r="M41" s="36">
        <v>443237.86310000002</v>
      </c>
      <c r="N41" s="36">
        <v>450069.79883999994</v>
      </c>
      <c r="O41" s="36">
        <v>782915.50820000004</v>
      </c>
      <c r="P41" s="36">
        <v>680063.36220000009</v>
      </c>
      <c r="Q41" s="36">
        <v>727797.45153999992</v>
      </c>
      <c r="R41" s="36">
        <v>674911.0575</v>
      </c>
      <c r="S41" s="36">
        <v>934114.52815000003</v>
      </c>
      <c r="T41" s="36">
        <v>1074180.69894</v>
      </c>
      <c r="U41" s="37">
        <f t="shared" si="14"/>
        <v>8994733.5919899996</v>
      </c>
    </row>
    <row r="42" spans="1:21" ht="12.75" customHeight="1" x14ac:dyDescent="0.2">
      <c r="A42" s="8"/>
      <c r="B42" s="2"/>
      <c r="C42" s="2"/>
      <c r="D42" s="2"/>
      <c r="E42" s="669" t="s">
        <v>52</v>
      </c>
      <c r="F42" s="669"/>
      <c r="G42" s="670"/>
      <c r="H42" s="35">
        <v>14406843.151000001</v>
      </c>
      <c r="I42" s="34">
        <v>1968021.7834000001</v>
      </c>
      <c r="J42" s="39">
        <v>341655.21857999999</v>
      </c>
      <c r="K42" s="36">
        <v>706865.34465999994</v>
      </c>
      <c r="L42" s="36">
        <v>630873.85900000005</v>
      </c>
      <c r="M42" s="36">
        <v>891549.24364</v>
      </c>
      <c r="N42" s="36">
        <v>1147553.56803</v>
      </c>
      <c r="O42" s="36">
        <v>1075037.3341400002</v>
      </c>
      <c r="P42" s="36">
        <v>1116545.6632999999</v>
      </c>
      <c r="Q42" s="36">
        <v>1127724.73465</v>
      </c>
      <c r="R42" s="36">
        <v>2886153.3446399998</v>
      </c>
      <c r="S42" s="36">
        <v>962185.49410999997</v>
      </c>
      <c r="T42" s="36">
        <v>1115616.13775</v>
      </c>
      <c r="U42" s="37">
        <f t="shared" si="14"/>
        <v>13969781.7259</v>
      </c>
    </row>
    <row r="43" spans="1:21" ht="12.75" customHeight="1" x14ac:dyDescent="0.2">
      <c r="A43" s="8"/>
      <c r="B43" s="2"/>
      <c r="C43" s="2"/>
      <c r="D43" s="2"/>
      <c r="E43" s="49" t="s">
        <v>53</v>
      </c>
      <c r="F43" s="54"/>
      <c r="G43" s="42"/>
      <c r="H43" s="35">
        <v>475382.36800000002</v>
      </c>
      <c r="I43" s="34">
        <v>54108.781920000001</v>
      </c>
      <c r="J43" s="39">
        <v>31660.611089999999</v>
      </c>
      <c r="K43" s="36">
        <v>34412.940479999997</v>
      </c>
      <c r="L43" s="36">
        <v>38793.29722</v>
      </c>
      <c r="M43" s="36">
        <v>37301.608919999999</v>
      </c>
      <c r="N43" s="36">
        <v>55656.1973</v>
      </c>
      <c r="O43" s="36">
        <v>39190.156799999997</v>
      </c>
      <c r="P43" s="36">
        <v>43690.214399999997</v>
      </c>
      <c r="Q43" s="36">
        <v>54160.801009999996</v>
      </c>
      <c r="R43" s="36">
        <v>56834.95162</v>
      </c>
      <c r="S43" s="36">
        <v>42652.453270000005</v>
      </c>
      <c r="T43" s="36">
        <v>7232.2908499999994</v>
      </c>
      <c r="U43" s="37">
        <f t="shared" si="14"/>
        <v>495694.30487999995</v>
      </c>
    </row>
    <row r="44" spans="1:21" ht="12.75" customHeight="1" x14ac:dyDescent="0.2">
      <c r="A44" s="8"/>
      <c r="B44" s="2"/>
      <c r="C44" s="2"/>
      <c r="D44" s="2"/>
      <c r="E44" s="49" t="s">
        <v>54</v>
      </c>
      <c r="F44" s="54"/>
      <c r="G44" s="42" t="s">
        <v>55</v>
      </c>
      <c r="H44" s="35">
        <v>870038.45200000005</v>
      </c>
      <c r="I44" s="34">
        <v>64585.994009999995</v>
      </c>
      <c r="J44" s="39">
        <v>72611.262439999991</v>
      </c>
      <c r="K44" s="36">
        <v>71939.046860000002</v>
      </c>
      <c r="L44" s="36">
        <v>69202.47368000001</v>
      </c>
      <c r="M44" s="36">
        <v>67757.232629999999</v>
      </c>
      <c r="N44" s="36">
        <v>71545.808239999998</v>
      </c>
      <c r="O44" s="36">
        <v>66182.183090000006</v>
      </c>
      <c r="P44" s="36">
        <v>62974.834590000006</v>
      </c>
      <c r="Q44" s="36">
        <v>69292.204599999997</v>
      </c>
      <c r="R44" s="36">
        <v>75850.491330000004</v>
      </c>
      <c r="S44" s="36">
        <v>67154.006400000013</v>
      </c>
      <c r="T44" s="36">
        <v>66577.047080000004</v>
      </c>
      <c r="U44" s="37">
        <f t="shared" si="14"/>
        <v>825672.58494999993</v>
      </c>
    </row>
    <row r="45" spans="1:21" ht="12.75" customHeight="1" x14ac:dyDescent="0.2">
      <c r="A45" s="8"/>
      <c r="B45" s="2"/>
      <c r="C45" s="2"/>
      <c r="D45" s="2"/>
      <c r="E45" s="661" t="s">
        <v>56</v>
      </c>
      <c r="F45" s="661"/>
      <c r="G45" s="42" t="s">
        <v>57</v>
      </c>
      <c r="H45" s="56">
        <v>2208035.5619999999</v>
      </c>
      <c r="I45" s="57">
        <v>343903.99182999996</v>
      </c>
      <c r="J45" s="58">
        <v>0</v>
      </c>
      <c r="K45" s="59">
        <v>293739.98047000001</v>
      </c>
      <c r="L45" s="59">
        <v>84248.563779999997</v>
      </c>
      <c r="M45" s="59">
        <v>148988.46591</v>
      </c>
      <c r="N45" s="59">
        <v>292076.51195000001</v>
      </c>
      <c r="O45" s="59">
        <v>168629.66994999998</v>
      </c>
      <c r="P45" s="59">
        <v>0</v>
      </c>
      <c r="Q45" s="59">
        <v>394389.77431000001</v>
      </c>
      <c r="R45" s="59">
        <v>124254.45173999999</v>
      </c>
      <c r="S45" s="59">
        <v>0</v>
      </c>
      <c r="T45" s="59">
        <v>586866.86919000011</v>
      </c>
      <c r="U45" s="643">
        <f t="shared" si="14"/>
        <v>2437098.2791300002</v>
      </c>
    </row>
    <row r="46" spans="1:21" ht="12.75" customHeight="1" x14ac:dyDescent="0.2">
      <c r="A46" s="8"/>
      <c r="B46" s="2"/>
      <c r="C46" s="2" t="s">
        <v>58</v>
      </c>
      <c r="D46" s="2"/>
      <c r="E46" s="2"/>
      <c r="F46" s="54"/>
      <c r="G46" s="42"/>
      <c r="H46" s="35">
        <v>4112466.2080000001</v>
      </c>
      <c r="I46" s="34">
        <v>1001040.9323300001</v>
      </c>
      <c r="J46" s="39">
        <v>477.95976999999999</v>
      </c>
      <c r="K46" s="36">
        <v>157.18648000000002</v>
      </c>
      <c r="L46" s="36">
        <v>1056079.91775</v>
      </c>
      <c r="M46" s="36">
        <v>19829.603059999998</v>
      </c>
      <c r="N46" s="36">
        <v>1730.0260600000001</v>
      </c>
      <c r="O46" s="36">
        <v>1162707.3327800001</v>
      </c>
      <c r="P46" s="36">
        <v>230.40851999999998</v>
      </c>
      <c r="Q46" s="36">
        <v>1103.14797</v>
      </c>
      <c r="R46" s="36">
        <v>877230.24240999995</v>
      </c>
      <c r="S46" s="36">
        <v>3035.86555</v>
      </c>
      <c r="T46" s="36">
        <v>618.63380000000006</v>
      </c>
      <c r="U46" s="37">
        <f t="shared" si="14"/>
        <v>4124241.25648</v>
      </c>
    </row>
    <row r="47" spans="1:21" ht="12.75" customHeight="1" x14ac:dyDescent="0.2">
      <c r="A47" s="8"/>
      <c r="B47" s="2"/>
      <c r="C47" s="2" t="s">
        <v>59</v>
      </c>
      <c r="D47" s="2"/>
      <c r="E47" s="2"/>
      <c r="F47" s="54"/>
      <c r="G47" s="42"/>
      <c r="H47" s="35">
        <v>2590033.1710000001</v>
      </c>
      <c r="I47" s="34">
        <v>266056.59428000002</v>
      </c>
      <c r="J47" s="39">
        <v>219161.63021</v>
      </c>
      <c r="K47" s="36">
        <v>208877.07261</v>
      </c>
      <c r="L47" s="36">
        <v>168243.80935</v>
      </c>
      <c r="M47" s="36">
        <v>186100.34221</v>
      </c>
      <c r="N47" s="36">
        <v>216506.90796000001</v>
      </c>
      <c r="O47" s="36">
        <v>188563.25603999998</v>
      </c>
      <c r="P47" s="36">
        <v>217177.56147999997</v>
      </c>
      <c r="Q47" s="36">
        <v>234267.22955000002</v>
      </c>
      <c r="R47" s="36">
        <v>221762.50435</v>
      </c>
      <c r="S47" s="36">
        <v>157888.63480999999</v>
      </c>
      <c r="T47" s="36">
        <v>161578.34922999999</v>
      </c>
      <c r="U47" s="37">
        <f t="shared" si="14"/>
        <v>2446183.8920800001</v>
      </c>
    </row>
    <row r="48" spans="1:21" ht="12.75" customHeight="1" x14ac:dyDescent="0.2">
      <c r="A48" s="8"/>
      <c r="B48" s="2"/>
      <c r="C48" s="2" t="s">
        <v>60</v>
      </c>
      <c r="D48" s="2"/>
      <c r="E48" s="2"/>
      <c r="F48" s="54"/>
      <c r="G48" s="42"/>
      <c r="H48" s="35">
        <v>79277490.651000023</v>
      </c>
      <c r="I48" s="34">
        <v>6640862.1658100002</v>
      </c>
      <c r="J48" s="39">
        <v>6614292.1899699997</v>
      </c>
      <c r="K48" s="36">
        <v>6106205.0218799999</v>
      </c>
      <c r="L48" s="36">
        <v>6269229.05198</v>
      </c>
      <c r="M48" s="36">
        <f>6035766.99021</f>
        <v>6035766.9902100004</v>
      </c>
      <c r="N48" s="36">
        <v>6857348.6157200001</v>
      </c>
      <c r="O48" s="36">
        <v>6976445.9132900005</v>
      </c>
      <c r="P48" s="36">
        <v>7311236.0746500008</v>
      </c>
      <c r="Q48" s="36">
        <v>6210686.7699200008</v>
      </c>
      <c r="R48" s="36">
        <v>6678475.5081499992</v>
      </c>
      <c r="S48" s="36">
        <v>7103085.8110100003</v>
      </c>
      <c r="T48" s="36">
        <v>7371525.9516699994</v>
      </c>
      <c r="U48" s="37">
        <f t="shared" si="14"/>
        <v>80175160.064259991</v>
      </c>
    </row>
    <row r="49" spans="1:21" ht="12.75" customHeight="1" x14ac:dyDescent="0.2">
      <c r="A49" s="8"/>
      <c r="B49" s="2"/>
      <c r="C49" s="2"/>
      <c r="D49" s="2"/>
      <c r="E49" s="60" t="s">
        <v>61</v>
      </c>
      <c r="F49" s="54"/>
      <c r="G49" s="42"/>
      <c r="H49" s="35"/>
      <c r="I49" s="34"/>
      <c r="J49" s="39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s="33" customFormat="1" ht="12.75" customHeight="1" x14ac:dyDescent="0.2">
      <c r="A50" s="40"/>
      <c r="B50" s="28"/>
      <c r="D50" s="28"/>
      <c r="E50" s="33" t="s">
        <v>62</v>
      </c>
      <c r="F50" s="54"/>
      <c r="G50" s="42"/>
      <c r="H50" s="61">
        <f>SUM(H51:H52)</f>
        <v>1355493.584</v>
      </c>
      <c r="I50" s="10">
        <v>0</v>
      </c>
      <c r="J50" s="62">
        <f>SUM(J51:J52)</f>
        <v>0</v>
      </c>
      <c r="K50" s="61">
        <f>SUM(K51:K52)</f>
        <v>3255.27936</v>
      </c>
      <c r="L50" s="61">
        <f>SUM(L51:L52)</f>
        <v>15660.22831</v>
      </c>
      <c r="M50" s="63">
        <f>SUM(M51:M52)</f>
        <v>65124.925879999995</v>
      </c>
      <c r="N50" s="63">
        <f>SUM(N51:N52)</f>
        <v>135016.89245000001</v>
      </c>
      <c r="O50" s="63">
        <f t="shared" ref="O50:P50" si="15">SUM(O51:O52)</f>
        <v>283965.05514000001</v>
      </c>
      <c r="P50" s="63">
        <f t="shared" si="15"/>
        <v>154274.30668000001</v>
      </c>
      <c r="Q50" s="63">
        <f>SUM(Q51:Q52)</f>
        <v>152960.67767</v>
      </c>
      <c r="R50" s="63">
        <f>SUM(R51:R52)</f>
        <v>147348.14661999998</v>
      </c>
      <c r="S50" s="63">
        <f>SUM(S51:S52)</f>
        <v>158820.49348</v>
      </c>
      <c r="T50" s="63">
        <f>SUM(T51:T52)</f>
        <v>170858.94227</v>
      </c>
      <c r="U50" s="64">
        <f>SUM(I50:T50)</f>
        <v>1287284.94786</v>
      </c>
    </row>
    <row r="51" spans="1:21" s="33" customFormat="1" ht="12.75" customHeight="1" x14ac:dyDescent="0.2">
      <c r="A51" s="40"/>
      <c r="B51" s="28"/>
      <c r="C51" s="28"/>
      <c r="D51" s="28"/>
      <c r="E51" s="65" t="s">
        <v>63</v>
      </c>
      <c r="F51" s="54"/>
      <c r="G51" s="42"/>
      <c r="H51" s="61">
        <v>1201887.01</v>
      </c>
      <c r="I51" s="10">
        <v>0</v>
      </c>
      <c r="J51" s="62">
        <v>0</v>
      </c>
      <c r="K51" s="63">
        <v>0</v>
      </c>
      <c r="L51" s="63">
        <v>0</v>
      </c>
      <c r="M51" s="63">
        <v>51884.600989999999</v>
      </c>
      <c r="N51" s="63">
        <v>116451.20586</v>
      </c>
      <c r="O51" s="63">
        <v>256103.40635</v>
      </c>
      <c r="P51" s="63">
        <v>134264.75219</v>
      </c>
      <c r="Q51" s="63">
        <v>139629.97080000001</v>
      </c>
      <c r="R51" s="63">
        <v>133684.01535999999</v>
      </c>
      <c r="S51" s="63">
        <v>129730.63045</v>
      </c>
      <c r="T51" s="63">
        <v>130966.79015999999</v>
      </c>
      <c r="U51" s="64">
        <f>SUM(I51:T51)</f>
        <v>1092715.37216</v>
      </c>
    </row>
    <row r="52" spans="1:21" s="33" customFormat="1" ht="12.75" customHeight="1" x14ac:dyDescent="0.2">
      <c r="A52" s="40"/>
      <c r="B52" s="28"/>
      <c r="C52" s="28"/>
      <c r="D52" s="28"/>
      <c r="E52" s="65" t="s">
        <v>64</v>
      </c>
      <c r="F52" s="54"/>
      <c r="G52" s="42"/>
      <c r="H52" s="66">
        <v>153606.57399999999</v>
      </c>
      <c r="I52" s="67">
        <v>0</v>
      </c>
      <c r="J52" s="67">
        <v>0</v>
      </c>
      <c r="K52" s="66">
        <v>3255.27936</v>
      </c>
      <c r="L52" s="66">
        <v>15660.22831</v>
      </c>
      <c r="M52" s="66">
        <v>13240.32489</v>
      </c>
      <c r="N52" s="66">
        <v>18565.686590000001</v>
      </c>
      <c r="O52" s="66">
        <v>27861.648789999999</v>
      </c>
      <c r="P52" s="66">
        <v>20009.554489999999</v>
      </c>
      <c r="Q52" s="66">
        <v>13330.70687</v>
      </c>
      <c r="R52" s="66">
        <v>13664.13126</v>
      </c>
      <c r="S52" s="66">
        <v>29089.86303</v>
      </c>
      <c r="T52" s="66">
        <v>39892.152110000003</v>
      </c>
      <c r="U52" s="644">
        <f>SUM(I52:T52)</f>
        <v>194569.57569999999</v>
      </c>
    </row>
    <row r="53" spans="1:21" ht="12.75" customHeight="1" x14ac:dyDescent="0.2">
      <c r="A53" s="8"/>
      <c r="B53" s="2"/>
      <c r="C53" s="661" t="s">
        <v>65</v>
      </c>
      <c r="D53" s="661"/>
      <c r="E53" s="661"/>
      <c r="F53" s="661"/>
      <c r="G53" s="662"/>
      <c r="H53" s="35"/>
      <c r="I53" s="34"/>
      <c r="J53" s="39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ht="12.75" customHeight="1" x14ac:dyDescent="0.2">
      <c r="A54" s="8"/>
      <c r="B54" s="2"/>
      <c r="C54" s="2"/>
      <c r="D54" s="2"/>
      <c r="E54" s="49" t="s">
        <v>66</v>
      </c>
      <c r="F54" s="49"/>
      <c r="G54" s="42"/>
      <c r="H54" s="35">
        <v>1030852.863</v>
      </c>
      <c r="I54" s="34">
        <v>101134.07089</v>
      </c>
      <c r="J54" s="39">
        <v>88456.650020000001</v>
      </c>
      <c r="K54" s="36">
        <v>79895.462639999998</v>
      </c>
      <c r="L54" s="36">
        <v>89968.693189999991</v>
      </c>
      <c r="M54" s="36">
        <v>78624.689760000008</v>
      </c>
      <c r="N54" s="36">
        <v>97444.078309999997</v>
      </c>
      <c r="O54" s="36">
        <v>90797.060430000012</v>
      </c>
      <c r="P54" s="36">
        <v>87744.328480000011</v>
      </c>
      <c r="Q54" s="36">
        <v>74769.74166</v>
      </c>
      <c r="R54" s="36">
        <v>93965.362790000014</v>
      </c>
      <c r="S54" s="36">
        <v>104745.30426999999</v>
      </c>
      <c r="T54" s="36">
        <v>80712.949500000002</v>
      </c>
      <c r="U54" s="37">
        <f t="shared" ref="U54:U60" si="16">SUM(I54:T54)</f>
        <v>1068258.39194</v>
      </c>
    </row>
    <row r="55" spans="1:21" ht="12.75" customHeight="1" x14ac:dyDescent="0.2">
      <c r="A55" s="8"/>
      <c r="B55" s="2"/>
      <c r="C55" s="2"/>
      <c r="D55" s="2"/>
      <c r="E55" s="49" t="s">
        <v>67</v>
      </c>
      <c r="F55" s="49"/>
      <c r="G55" s="42"/>
      <c r="H55" s="56">
        <v>325985.86700000003</v>
      </c>
      <c r="I55" s="57">
        <v>360.00211999999999</v>
      </c>
      <c r="J55" s="58">
        <v>1533.06378</v>
      </c>
      <c r="K55" s="59">
        <v>79889.292019999993</v>
      </c>
      <c r="L55" s="59">
        <v>6341.1352000000006</v>
      </c>
      <c r="M55" s="59">
        <v>807.73906999999997</v>
      </c>
      <c r="N55" s="59">
        <v>72062.041319999989</v>
      </c>
      <c r="O55" s="59">
        <v>865.00909000000001</v>
      </c>
      <c r="P55" s="59">
        <v>757.45093000000008</v>
      </c>
      <c r="Q55" s="59">
        <v>98378.689450000005</v>
      </c>
      <c r="R55" s="59">
        <v>521.68747999999994</v>
      </c>
      <c r="S55" s="59">
        <v>709.92959999999994</v>
      </c>
      <c r="T55" s="59">
        <v>55671.367359999997</v>
      </c>
      <c r="U55" s="643">
        <f t="shared" si="16"/>
        <v>317897.40741999994</v>
      </c>
    </row>
    <row r="56" spans="1:21" ht="12.75" customHeight="1" x14ac:dyDescent="0.2">
      <c r="A56" s="8"/>
      <c r="B56" s="2"/>
      <c r="C56" s="2"/>
      <c r="D56" s="2"/>
      <c r="E56" s="49" t="s">
        <v>68</v>
      </c>
      <c r="F56" s="49"/>
      <c r="G56" s="42"/>
      <c r="H56" s="56">
        <v>8025000</v>
      </c>
      <c r="I56" s="57">
        <v>681890.39384999999</v>
      </c>
      <c r="J56" s="58">
        <v>685628.53688000003</v>
      </c>
      <c r="K56" s="59">
        <v>732383.77339999995</v>
      </c>
      <c r="L56" s="59">
        <v>724049.92690999992</v>
      </c>
      <c r="M56" s="59">
        <v>739522.19195000001</v>
      </c>
      <c r="N56" s="59">
        <v>699763.68946000002</v>
      </c>
      <c r="O56" s="59">
        <v>683982.67203000002</v>
      </c>
      <c r="P56" s="59">
        <v>707044.99799000006</v>
      </c>
      <c r="Q56" s="59">
        <v>678337.01846000005</v>
      </c>
      <c r="R56" s="59">
        <v>642919.55673000007</v>
      </c>
      <c r="S56" s="59">
        <v>671885.0808</v>
      </c>
      <c r="T56" s="59">
        <v>643267.76971000002</v>
      </c>
      <c r="U56" s="643">
        <f t="shared" si="16"/>
        <v>8290675.6081699999</v>
      </c>
    </row>
    <row r="57" spans="1:21" ht="12.75" customHeight="1" x14ac:dyDescent="0.2">
      <c r="A57" s="8"/>
      <c r="B57" s="2"/>
      <c r="C57" s="2"/>
      <c r="D57" s="2"/>
      <c r="E57" s="49" t="s">
        <v>69</v>
      </c>
      <c r="F57" s="49"/>
      <c r="G57" s="34"/>
      <c r="H57" s="56">
        <v>32529.249</v>
      </c>
      <c r="I57" s="57">
        <v>2145.8075800000001</v>
      </c>
      <c r="J57" s="58">
        <v>2248.6260000000002</v>
      </c>
      <c r="K57" s="59">
        <v>2643.96</v>
      </c>
      <c r="L57" s="59">
        <v>2476.768</v>
      </c>
      <c r="M57" s="59">
        <v>3064.7824999999998</v>
      </c>
      <c r="N57" s="59">
        <v>3354.4690499999997</v>
      </c>
      <c r="O57" s="59">
        <v>5239.2961699999996</v>
      </c>
      <c r="P57" s="59">
        <v>2175.9119900000001</v>
      </c>
      <c r="Q57" s="59">
        <v>2199.1088</v>
      </c>
      <c r="R57" s="59">
        <v>2080.7399999999998</v>
      </c>
      <c r="S57" s="59">
        <v>2600.232</v>
      </c>
      <c r="T57" s="59">
        <v>3733.3977999999997</v>
      </c>
      <c r="U57" s="643">
        <f t="shared" si="16"/>
        <v>33963.099889999998</v>
      </c>
    </row>
    <row r="58" spans="1:21" ht="12.75" customHeight="1" x14ac:dyDescent="0.2">
      <c r="A58" s="8"/>
      <c r="B58" s="2"/>
      <c r="C58" s="2"/>
      <c r="D58" s="2"/>
      <c r="E58" s="669" t="s">
        <v>70</v>
      </c>
      <c r="F58" s="669"/>
      <c r="G58" s="34"/>
      <c r="H58" s="56">
        <v>1300224.5589999999</v>
      </c>
      <c r="I58" s="57">
        <v>131657.41737000001</v>
      </c>
      <c r="J58" s="58">
        <v>62472.618340000001</v>
      </c>
      <c r="K58" s="59">
        <v>71468.911699999997</v>
      </c>
      <c r="L58" s="59">
        <v>196098.67846</v>
      </c>
      <c r="M58" s="59">
        <v>87745.890510000012</v>
      </c>
      <c r="N58" s="59">
        <v>73739.958259999999</v>
      </c>
      <c r="O58" s="59">
        <v>204085.63427000001</v>
      </c>
      <c r="P58" s="59">
        <v>71881.057889999996</v>
      </c>
      <c r="Q58" s="59">
        <v>79448.182889999996</v>
      </c>
      <c r="R58" s="59">
        <v>158615.99619000001</v>
      </c>
      <c r="S58" s="59">
        <v>63012.178039999999</v>
      </c>
      <c r="T58" s="59">
        <v>127190.95357</v>
      </c>
      <c r="U58" s="643">
        <f t="shared" si="16"/>
        <v>1327417.47749</v>
      </c>
    </row>
    <row r="59" spans="1:21" ht="12.75" customHeight="1" x14ac:dyDescent="0.2">
      <c r="A59" s="8"/>
      <c r="B59" s="2"/>
      <c r="C59" s="2"/>
      <c r="D59" s="2"/>
      <c r="E59" s="49" t="s">
        <v>71</v>
      </c>
      <c r="F59" s="2"/>
      <c r="G59" s="34"/>
      <c r="H59" s="56">
        <v>817542.34600000002</v>
      </c>
      <c r="I59" s="57">
        <v>73869.339959999998</v>
      </c>
      <c r="J59" s="58">
        <v>42382.25965</v>
      </c>
      <c r="K59" s="59">
        <v>40728.512750000002</v>
      </c>
      <c r="L59" s="59">
        <v>107950.1213</v>
      </c>
      <c r="M59" s="59">
        <v>45735.520219999999</v>
      </c>
      <c r="N59" s="59">
        <v>45085.570959999997</v>
      </c>
      <c r="O59" s="59">
        <v>98938.232530000008</v>
      </c>
      <c r="P59" s="59">
        <v>38617.041709999998</v>
      </c>
      <c r="Q59" s="59">
        <v>43862.242450000005</v>
      </c>
      <c r="R59" s="59">
        <v>83415.301040000006</v>
      </c>
      <c r="S59" s="59">
        <v>34783.105149999996</v>
      </c>
      <c r="T59" s="59">
        <v>52650.815710000003</v>
      </c>
      <c r="U59" s="643">
        <f t="shared" si="16"/>
        <v>708018.0634300001</v>
      </c>
    </row>
    <row r="60" spans="1:21" ht="12.75" customHeight="1" x14ac:dyDescent="0.2">
      <c r="A60" s="8"/>
      <c r="B60" s="2"/>
      <c r="C60" s="2"/>
      <c r="D60" s="2"/>
      <c r="E60" s="49" t="s">
        <v>72</v>
      </c>
      <c r="F60" s="49"/>
      <c r="G60" s="34"/>
      <c r="H60" s="56">
        <v>3170.1</v>
      </c>
      <c r="I60" s="57">
        <v>0</v>
      </c>
      <c r="J60" s="58">
        <v>3093.03305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643">
        <f t="shared" si="16"/>
        <v>3093.03305</v>
      </c>
    </row>
    <row r="61" spans="1:21" ht="12.75" customHeight="1" x14ac:dyDescent="0.2">
      <c r="A61" s="8"/>
      <c r="B61" s="2"/>
      <c r="C61" s="2" t="s">
        <v>29</v>
      </c>
      <c r="D61" s="2"/>
      <c r="E61" s="49"/>
      <c r="F61" s="49"/>
      <c r="G61" s="34"/>
      <c r="H61" s="35"/>
      <c r="I61" s="34"/>
      <c r="J61" s="39"/>
      <c r="K61" s="36"/>
      <c r="L61" s="36"/>
      <c r="M61" s="36"/>
      <c r="N61" s="59"/>
      <c r="O61" s="36"/>
      <c r="P61" s="36"/>
      <c r="Q61" s="36"/>
      <c r="R61" s="36"/>
      <c r="S61" s="36"/>
      <c r="T61" s="36"/>
      <c r="U61" s="37"/>
    </row>
    <row r="62" spans="1:21" ht="12.75" customHeight="1" x14ac:dyDescent="0.2">
      <c r="A62" s="8"/>
      <c r="B62" s="2"/>
      <c r="C62" s="2"/>
      <c r="D62" s="2"/>
      <c r="E62" s="49" t="s">
        <v>73</v>
      </c>
      <c r="F62" s="49"/>
      <c r="G62" s="34"/>
      <c r="H62" s="35">
        <v>209603.52900000001</v>
      </c>
      <c r="I62" s="34">
        <v>231.84679</v>
      </c>
      <c r="J62" s="39">
        <v>8.09497</v>
      </c>
      <c r="K62" s="36">
        <v>182.41560999999999</v>
      </c>
      <c r="L62" s="36">
        <v>1797.7035900000001</v>
      </c>
      <c r="M62" s="36">
        <v>11694.991039999999</v>
      </c>
      <c r="N62" s="36">
        <v>14101.45175</v>
      </c>
      <c r="O62" s="36">
        <v>11288.860470000001</v>
      </c>
      <c r="P62" s="36">
        <v>151742.61343</v>
      </c>
      <c r="Q62" s="36">
        <v>0</v>
      </c>
      <c r="R62" s="36">
        <v>165.79091</v>
      </c>
      <c r="S62" s="36">
        <v>256.55032999999997</v>
      </c>
      <c r="T62" s="36">
        <v>617.85019999999997</v>
      </c>
      <c r="U62" s="37">
        <f>SUM(I62:T62)</f>
        <v>192088.16909000001</v>
      </c>
    </row>
    <row r="63" spans="1:21" s="33" customFormat="1" ht="12.75" customHeight="1" x14ac:dyDescent="0.2">
      <c r="A63" s="32"/>
      <c r="B63" s="9" t="s">
        <v>74</v>
      </c>
      <c r="C63" s="27"/>
      <c r="D63" s="28"/>
      <c r="E63" s="41"/>
      <c r="F63" s="41"/>
      <c r="G63" s="42"/>
      <c r="H63" s="43">
        <f>SUM(H65:H70)</f>
        <v>57329668.084000006</v>
      </c>
      <c r="I63" s="43">
        <f t="shared" ref="I63:U63" si="17">SUM(I65:I70)</f>
        <v>2063346.1049899999</v>
      </c>
      <c r="J63" s="44">
        <f t="shared" si="17"/>
        <v>4181882.5542000001</v>
      </c>
      <c r="K63" s="45">
        <f>SUM(K65:K70)</f>
        <v>4104791.2754799998</v>
      </c>
      <c r="L63" s="45">
        <f t="shared" si="17"/>
        <v>5008013.8788299998</v>
      </c>
      <c r="M63" s="45">
        <f t="shared" si="17"/>
        <v>4782367.3543799995</v>
      </c>
      <c r="N63" s="45">
        <f t="shared" si="17"/>
        <v>5307081.4732500007</v>
      </c>
      <c r="O63" s="45">
        <f>SUM(O65:O70)</f>
        <v>5700347.0049300008</v>
      </c>
      <c r="P63" s="45">
        <f>SUM(P65:P70)</f>
        <v>4892079.6717900001</v>
      </c>
      <c r="Q63" s="45">
        <f t="shared" si="17"/>
        <v>4865055.8616399998</v>
      </c>
      <c r="R63" s="45">
        <f t="shared" si="17"/>
        <v>4157283.5933300001</v>
      </c>
      <c r="S63" s="45">
        <f t="shared" si="17"/>
        <v>4904349.0384299997</v>
      </c>
      <c r="T63" s="45">
        <f t="shared" si="17"/>
        <v>6355808.3830899997</v>
      </c>
      <c r="U63" s="48">
        <f t="shared" si="17"/>
        <v>56322406.194339991</v>
      </c>
    </row>
    <row r="64" spans="1:21" s="33" customFormat="1" ht="12.75" customHeight="1" x14ac:dyDescent="0.2">
      <c r="A64" s="32"/>
      <c r="B64" s="9"/>
      <c r="C64" s="2" t="s">
        <v>75</v>
      </c>
      <c r="D64" s="28"/>
      <c r="E64" s="41"/>
      <c r="F64" s="41"/>
      <c r="G64" s="42"/>
      <c r="H64" s="35"/>
      <c r="I64" s="34"/>
      <c r="J64" s="39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1:21" s="33" customFormat="1" ht="12.75" customHeight="1" x14ac:dyDescent="0.2">
      <c r="A65" s="32"/>
      <c r="B65" s="2"/>
      <c r="C65" s="28"/>
      <c r="D65" s="28"/>
      <c r="E65" s="2" t="s">
        <v>76</v>
      </c>
      <c r="F65" s="49"/>
      <c r="G65" s="42"/>
      <c r="H65" s="35">
        <v>48320819.637000002</v>
      </c>
      <c r="I65" s="34">
        <v>1848368.75905</v>
      </c>
      <c r="J65" s="39">
        <v>3618440.3049700004</v>
      </c>
      <c r="K65" s="36">
        <v>3567908.4383200002</v>
      </c>
      <c r="L65" s="36">
        <v>4364813.0685999999</v>
      </c>
      <c r="M65" s="36">
        <v>4176623.9757700004</v>
      </c>
      <c r="N65" s="36">
        <v>4491395.5611000005</v>
      </c>
      <c r="O65" s="36">
        <v>4837339.7154200003</v>
      </c>
      <c r="P65" s="36">
        <v>4016644.1704799999</v>
      </c>
      <c r="Q65" s="36">
        <v>3810898.1652700002</v>
      </c>
      <c r="R65" s="36">
        <v>3325875.0724200001</v>
      </c>
      <c r="S65" s="36">
        <v>3914912.2271199995</v>
      </c>
      <c r="T65" s="36">
        <v>5530851.3728200002</v>
      </c>
      <c r="U65" s="37">
        <f>SUM(I65:T65)</f>
        <v>47504070.831339993</v>
      </c>
    </row>
    <row r="66" spans="1:21" ht="12.75" customHeight="1" x14ac:dyDescent="0.2">
      <c r="A66" s="8"/>
      <c r="B66" s="2"/>
      <c r="C66" s="2"/>
      <c r="D66" s="2"/>
      <c r="E66" s="2" t="s">
        <v>77</v>
      </c>
      <c r="F66" s="49"/>
      <c r="G66" s="53"/>
      <c r="H66" s="56">
        <v>8004388.0099999998</v>
      </c>
      <c r="I66" s="57">
        <v>85988.763349999994</v>
      </c>
      <c r="J66" s="58">
        <v>475109.2157</v>
      </c>
      <c r="K66" s="59">
        <v>463419.72545999999</v>
      </c>
      <c r="L66" s="59">
        <v>590126.7547200002</v>
      </c>
      <c r="M66" s="59">
        <v>557906.75127000001</v>
      </c>
      <c r="N66" s="59">
        <v>723575.43200999987</v>
      </c>
      <c r="O66" s="59">
        <v>783193.39619</v>
      </c>
      <c r="P66" s="59">
        <v>759353.74650000001</v>
      </c>
      <c r="Q66" s="59">
        <v>898141.94186999998</v>
      </c>
      <c r="R66" s="59">
        <v>784717.23092000012</v>
      </c>
      <c r="S66" s="59">
        <v>906198.58243000007</v>
      </c>
      <c r="T66" s="59">
        <v>896557.72311999998</v>
      </c>
      <c r="U66" s="643">
        <f>SUM(I66:T66)</f>
        <v>7924289.2635400007</v>
      </c>
    </row>
    <row r="67" spans="1:21" ht="12.75" customHeight="1" x14ac:dyDescent="0.2">
      <c r="A67" s="8"/>
      <c r="B67" s="2"/>
      <c r="C67" s="2" t="s">
        <v>78</v>
      </c>
      <c r="D67" s="2"/>
      <c r="E67" s="2"/>
      <c r="F67" s="2"/>
      <c r="G67" s="53"/>
      <c r="H67" s="56">
        <v>54307.644999999997</v>
      </c>
      <c r="I67" s="57">
        <v>3048.6212799999998</v>
      </c>
      <c r="J67" s="58">
        <v>6114.5615099999995</v>
      </c>
      <c r="K67" s="59">
        <v>5744.12565</v>
      </c>
      <c r="L67" s="59">
        <v>6526.5096199999998</v>
      </c>
      <c r="M67" s="59">
        <v>3406.8414400000001</v>
      </c>
      <c r="N67" s="59">
        <v>5081.61168</v>
      </c>
      <c r="O67" s="59">
        <v>3948.0883199999998</v>
      </c>
      <c r="P67" s="59">
        <v>6684.3316799999993</v>
      </c>
      <c r="Q67" s="59">
        <v>6352.5147300000008</v>
      </c>
      <c r="R67" s="59">
        <v>5725.3077300000004</v>
      </c>
      <c r="S67" s="59">
        <v>5889.5580899999995</v>
      </c>
      <c r="T67" s="59">
        <v>8084.00803</v>
      </c>
      <c r="U67" s="643">
        <f>SUM(I67:T67)</f>
        <v>66606.079759999993</v>
      </c>
    </row>
    <row r="68" spans="1:21" s="33" customFormat="1" ht="12.75" customHeight="1" x14ac:dyDescent="0.2">
      <c r="A68" s="32"/>
      <c r="B68" s="2"/>
      <c r="C68" s="2" t="s">
        <v>29</v>
      </c>
      <c r="D68" s="28"/>
      <c r="E68" s="2"/>
      <c r="F68" s="49"/>
      <c r="G68" s="42"/>
      <c r="H68" s="35"/>
      <c r="I68" s="34"/>
      <c r="J68" s="39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</row>
    <row r="69" spans="1:21" ht="12.75" customHeight="1" x14ac:dyDescent="0.2">
      <c r="A69" s="8"/>
      <c r="B69" s="2"/>
      <c r="C69" s="2"/>
      <c r="D69" s="2"/>
      <c r="E69" s="2" t="s">
        <v>79</v>
      </c>
      <c r="F69" s="2"/>
      <c r="G69" s="42"/>
      <c r="H69" s="35">
        <v>859740.93900000001</v>
      </c>
      <c r="I69" s="34">
        <v>121451.30553</v>
      </c>
      <c r="J69" s="39">
        <v>81853.96067</v>
      </c>
      <c r="K69" s="36">
        <v>67718.128020000004</v>
      </c>
      <c r="L69" s="36">
        <v>42594.099199999997</v>
      </c>
      <c r="M69" s="36">
        <v>44219.562750000005</v>
      </c>
      <c r="N69" s="36">
        <v>59321.950859999997</v>
      </c>
      <c r="O69" s="36">
        <v>62563.343839999994</v>
      </c>
      <c r="P69" s="36">
        <v>109065.06453</v>
      </c>
      <c r="Q69" s="36">
        <v>149440.38412</v>
      </c>
      <c r="R69" s="36">
        <v>35783.673520000004</v>
      </c>
      <c r="S69" s="36">
        <v>77266.321590000007</v>
      </c>
      <c r="T69" s="36">
        <v>-118518.82080999999</v>
      </c>
      <c r="U69" s="37">
        <f>SUM(I69:T69)</f>
        <v>732758.97381999996</v>
      </c>
    </row>
    <row r="70" spans="1:21" ht="12.75" customHeight="1" x14ac:dyDescent="0.2">
      <c r="A70" s="8"/>
      <c r="B70" s="2"/>
      <c r="C70" s="2"/>
      <c r="D70" s="2"/>
      <c r="E70" s="2" t="s">
        <v>80</v>
      </c>
      <c r="F70" s="49"/>
      <c r="G70" s="42"/>
      <c r="H70" s="56">
        <v>90411.853000000003</v>
      </c>
      <c r="I70" s="57">
        <v>4488.65578</v>
      </c>
      <c r="J70" s="57">
        <v>364.51134999999999</v>
      </c>
      <c r="K70" s="56">
        <v>0.85802999999999996</v>
      </c>
      <c r="L70" s="56">
        <v>3953.4466899999998</v>
      </c>
      <c r="M70" s="56">
        <v>210.22315</v>
      </c>
      <c r="N70" s="56">
        <v>27706.917600000001</v>
      </c>
      <c r="O70" s="56">
        <v>13302.461160000001</v>
      </c>
      <c r="P70" s="56">
        <v>332.35859999999997</v>
      </c>
      <c r="Q70" s="56">
        <v>222.85565</v>
      </c>
      <c r="R70" s="56">
        <v>5182.3087400000004</v>
      </c>
      <c r="S70" s="56">
        <v>82.349199999999996</v>
      </c>
      <c r="T70" s="56">
        <v>38834.099929999997</v>
      </c>
      <c r="U70" s="643">
        <f>SUM(I70:T70)</f>
        <v>94681.045879999991</v>
      </c>
    </row>
    <row r="71" spans="1:21" s="33" customFormat="1" ht="12.75" customHeight="1" x14ac:dyDescent="0.2">
      <c r="A71" s="40"/>
      <c r="B71" s="9" t="s">
        <v>81</v>
      </c>
      <c r="C71" s="28"/>
      <c r="D71" s="28"/>
      <c r="E71" s="28"/>
      <c r="F71" s="28"/>
      <c r="G71" s="42"/>
      <c r="H71" s="43">
        <f>H72</f>
        <v>70.524000000000001</v>
      </c>
      <c r="I71" s="43">
        <f>I72</f>
        <v>0</v>
      </c>
      <c r="J71" s="43">
        <f t="shared" ref="J71:U71" si="18">J72</f>
        <v>0</v>
      </c>
      <c r="K71" s="51">
        <f t="shared" si="18"/>
        <v>0</v>
      </c>
      <c r="L71" s="51">
        <f t="shared" si="18"/>
        <v>0</v>
      </c>
      <c r="M71" s="51">
        <f t="shared" si="18"/>
        <v>0</v>
      </c>
      <c r="N71" s="51">
        <f t="shared" si="18"/>
        <v>7.2370000000000001</v>
      </c>
      <c r="O71" s="51">
        <f>O72</f>
        <v>-7.2370000000000001</v>
      </c>
      <c r="P71" s="51">
        <f t="shared" si="18"/>
        <v>1.4784000000000002</v>
      </c>
      <c r="Q71" s="51">
        <f t="shared" si="18"/>
        <v>0</v>
      </c>
      <c r="R71" s="51">
        <f t="shared" si="18"/>
        <v>0</v>
      </c>
      <c r="S71" s="51">
        <f t="shared" si="18"/>
        <v>75.879559999999998</v>
      </c>
      <c r="T71" s="51">
        <f t="shared" si="18"/>
        <v>1348.7471200000002</v>
      </c>
      <c r="U71" s="48">
        <f t="shared" si="18"/>
        <v>1426.1050800000003</v>
      </c>
    </row>
    <row r="72" spans="1:21" ht="12.75" customHeight="1" x14ac:dyDescent="0.2">
      <c r="A72" s="8"/>
      <c r="B72" s="2"/>
      <c r="C72" s="2" t="s">
        <v>82</v>
      </c>
      <c r="D72" s="2"/>
      <c r="E72" s="2"/>
      <c r="F72" s="2"/>
      <c r="G72" s="42"/>
      <c r="H72" s="35">
        <v>70.524000000000001</v>
      </c>
      <c r="I72" s="34">
        <v>0</v>
      </c>
      <c r="J72" s="34">
        <v>0</v>
      </c>
      <c r="K72" s="35">
        <v>0</v>
      </c>
      <c r="L72" s="35">
        <v>0</v>
      </c>
      <c r="M72" s="35">
        <v>0</v>
      </c>
      <c r="N72" s="56">
        <v>7.2370000000000001</v>
      </c>
      <c r="O72" s="35">
        <v>-7.2370000000000001</v>
      </c>
      <c r="P72" s="35">
        <v>1.4784000000000002</v>
      </c>
      <c r="Q72" s="35">
        <v>0</v>
      </c>
      <c r="R72" s="35">
        <v>0</v>
      </c>
      <c r="S72" s="35">
        <v>75.879559999999998</v>
      </c>
      <c r="T72" s="35">
        <v>1348.7471200000002</v>
      </c>
      <c r="U72" s="37">
        <f>SUM(I72:T72)</f>
        <v>1426.1050800000003</v>
      </c>
    </row>
    <row r="73" spans="1:21" s="72" customFormat="1" ht="12.75" customHeight="1" x14ac:dyDescent="0.2">
      <c r="A73" s="68"/>
      <c r="B73" s="9" t="s">
        <v>83</v>
      </c>
      <c r="C73" s="9"/>
      <c r="D73" s="9"/>
      <c r="E73" s="9"/>
      <c r="F73" s="9"/>
      <c r="G73" s="42" t="s">
        <v>84</v>
      </c>
      <c r="H73" s="69">
        <v>0</v>
      </c>
      <c r="I73" s="70">
        <v>52447.937920000004</v>
      </c>
      <c r="J73" s="70">
        <f>-55991.12932-52448+52448</f>
        <v>-55991.129320000007</v>
      </c>
      <c r="K73" s="69">
        <f>8635.05654-3543+3543</f>
        <v>8635.0565399999996</v>
      </c>
      <c r="L73" s="69">
        <f>-290663.89528-5092+5092</f>
        <v>-290663.89528</v>
      </c>
      <c r="M73" s="69">
        <f>-2525.16884-285572+285572</f>
        <v>-2525.1688399999985</v>
      </c>
      <c r="N73" s="69">
        <f>297599.58469-288097+288097</f>
        <v>297599.58468999999</v>
      </c>
      <c r="O73" s="69">
        <v>-557.56914000000006</v>
      </c>
      <c r="P73" s="69">
        <f>431.12406-8945+8945</f>
        <v>431.1240600000001</v>
      </c>
      <c r="Q73" s="69">
        <f>1090.1177-9376+9376</f>
        <v>1090.1177000000007</v>
      </c>
      <c r="R73" s="69">
        <v>296.01643999999999</v>
      </c>
      <c r="S73" s="69">
        <v>-608.60971999999992</v>
      </c>
      <c r="T73" s="69">
        <v>-1542.31285</v>
      </c>
      <c r="U73" s="71">
        <f>SUM(I73:T73)</f>
        <v>8611.1522000000023</v>
      </c>
    </row>
    <row r="74" spans="1:21" ht="12.75" customHeight="1" x14ac:dyDescent="0.2">
      <c r="A74" s="73"/>
      <c r="B74" s="74" t="s">
        <v>85</v>
      </c>
      <c r="C74" s="75"/>
      <c r="D74" s="75"/>
      <c r="E74" s="75"/>
      <c r="F74" s="75"/>
      <c r="G74" s="76"/>
      <c r="H74" s="51">
        <f t="shared" ref="H74:T74" si="19">H6+H21+H23+H30+H63+H71+H73</f>
        <v>1358934566.1500001</v>
      </c>
      <c r="I74" s="43">
        <f t="shared" si="19"/>
        <v>84807014.439560026</v>
      </c>
      <c r="J74" s="43">
        <f t="shared" si="19"/>
        <v>90991578.400710016</v>
      </c>
      <c r="K74" s="51">
        <f t="shared" si="19"/>
        <v>141340172.67634001</v>
      </c>
      <c r="L74" s="51">
        <f t="shared" si="19"/>
        <v>85526330.539679989</v>
      </c>
      <c r="M74" s="51">
        <f t="shared" si="19"/>
        <v>116443762.86853999</v>
      </c>
      <c r="N74" s="51">
        <f t="shared" si="19"/>
        <v>116559787.40256001</v>
      </c>
      <c r="O74" s="51">
        <f t="shared" si="19"/>
        <v>95682896.007359982</v>
      </c>
      <c r="P74" s="51">
        <f t="shared" si="19"/>
        <v>94605024.641590014</v>
      </c>
      <c r="Q74" s="51">
        <f t="shared" si="19"/>
        <v>153493101.93650001</v>
      </c>
      <c r="R74" s="51">
        <f t="shared" si="19"/>
        <v>103080766.49830002</v>
      </c>
      <c r="S74" s="51">
        <f t="shared" si="19"/>
        <v>142867934.82762998</v>
      </c>
      <c r="T74" s="51">
        <f t="shared" si="19"/>
        <v>130350585.37716998</v>
      </c>
      <c r="U74" s="48">
        <f>U6+U21+U23+U30+U63+U71+U73</f>
        <v>1355748954.6159399</v>
      </c>
    </row>
    <row r="75" spans="1:21" ht="12.75" customHeight="1" x14ac:dyDescent="0.2">
      <c r="A75" s="8"/>
      <c r="B75" s="9" t="s">
        <v>86</v>
      </c>
      <c r="C75" s="2"/>
      <c r="D75" s="2"/>
      <c r="E75" s="49"/>
      <c r="F75" s="49"/>
      <c r="G75" s="42" t="s">
        <v>87</v>
      </c>
      <c r="H75" s="77">
        <v>-50280313</v>
      </c>
      <c r="I75" s="20">
        <v>-12570078</v>
      </c>
      <c r="J75" s="20">
        <v>0</v>
      </c>
      <c r="K75" s="77">
        <v>0</v>
      </c>
      <c r="L75" s="77">
        <v>-12570078</v>
      </c>
      <c r="M75" s="77">
        <v>0</v>
      </c>
      <c r="N75" s="77">
        <v>0</v>
      </c>
      <c r="O75" s="77">
        <v>-12570078</v>
      </c>
      <c r="P75" s="77">
        <v>0</v>
      </c>
      <c r="Q75" s="77">
        <v>0</v>
      </c>
      <c r="R75" s="77">
        <v>-12570078</v>
      </c>
      <c r="S75" s="77">
        <v>0</v>
      </c>
      <c r="T75" s="77">
        <v>0</v>
      </c>
      <c r="U75" s="25">
        <f>SUM(I75:T75)</f>
        <v>-50280312</v>
      </c>
    </row>
    <row r="76" spans="1:21" ht="12.75" customHeight="1" x14ac:dyDescent="0.2">
      <c r="A76" s="80"/>
      <c r="B76" s="81" t="s">
        <v>88</v>
      </c>
      <c r="C76" s="82"/>
      <c r="D76" s="82"/>
      <c r="E76" s="83"/>
      <c r="F76" s="83"/>
      <c r="G76" s="84"/>
      <c r="H76" s="85">
        <f>H74+H75</f>
        <v>1308654253.1500001</v>
      </c>
      <c r="I76" s="86">
        <f>I74+I75</f>
        <v>72236936.439560026</v>
      </c>
      <c r="J76" s="86">
        <f>J74+J75</f>
        <v>90991578.400710016</v>
      </c>
      <c r="K76" s="85">
        <f t="shared" ref="K76:T76" si="20">K74+K75</f>
        <v>141340172.67634001</v>
      </c>
      <c r="L76" s="85">
        <f t="shared" si="20"/>
        <v>72956252.539679989</v>
      </c>
      <c r="M76" s="85">
        <f t="shared" si="20"/>
        <v>116443762.86853999</v>
      </c>
      <c r="N76" s="85">
        <f t="shared" si="20"/>
        <v>116559787.40256001</v>
      </c>
      <c r="O76" s="85">
        <f t="shared" si="20"/>
        <v>83112818.007359982</v>
      </c>
      <c r="P76" s="85">
        <f t="shared" si="20"/>
        <v>94605024.641590014</v>
      </c>
      <c r="Q76" s="85">
        <f t="shared" si="20"/>
        <v>153493101.93650001</v>
      </c>
      <c r="R76" s="85">
        <f t="shared" si="20"/>
        <v>90510688.498300016</v>
      </c>
      <c r="S76" s="85">
        <f t="shared" si="20"/>
        <v>142867934.82762998</v>
      </c>
      <c r="T76" s="85">
        <f t="shared" si="20"/>
        <v>130350585.37716998</v>
      </c>
      <c r="U76" s="87">
        <f>U74+U75</f>
        <v>1305468642.6159399</v>
      </c>
    </row>
    <row r="77" spans="1:21" ht="12.75" hidden="1" customHeight="1" x14ac:dyDescent="0.2">
      <c r="A77" s="8"/>
      <c r="B77" s="9"/>
      <c r="C77" s="2"/>
      <c r="D77" s="2"/>
      <c r="E77" s="49"/>
      <c r="F77" s="49"/>
      <c r="G77" s="42"/>
      <c r="H77" s="51"/>
      <c r="I77" s="43"/>
      <c r="J77" s="43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48"/>
    </row>
    <row r="78" spans="1:21" s="2" customFormat="1" ht="12.75" hidden="1" customHeight="1" x14ac:dyDescent="0.2">
      <c r="A78" s="88"/>
      <c r="B78" s="4"/>
      <c r="C78" s="4"/>
      <c r="D78" s="4"/>
      <c r="E78" s="4"/>
      <c r="F78" s="4"/>
      <c r="G78" s="89"/>
      <c r="H78" s="57"/>
      <c r="I78" s="57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645"/>
    </row>
    <row r="79" spans="1:21" ht="12.75" customHeight="1" x14ac:dyDescent="0.2">
      <c r="A79" s="8"/>
      <c r="B79" s="9" t="s">
        <v>89</v>
      </c>
      <c r="C79" s="9"/>
      <c r="D79" s="2"/>
      <c r="E79" s="49"/>
      <c r="F79" s="49"/>
      <c r="G79" s="42"/>
      <c r="H79" s="13">
        <f>SUM(H80:H95)-H93</f>
        <v>36142016.670505755</v>
      </c>
      <c r="I79" s="12">
        <f t="shared" ref="I79:U79" si="21">SUM(I80:I95)-I93</f>
        <v>1587406.6461699998</v>
      </c>
      <c r="J79" s="12">
        <f t="shared" si="21"/>
        <v>5929314.6683099996</v>
      </c>
      <c r="K79" s="13">
        <f>SUM(K80:K95)-K93</f>
        <v>5901305.32094</v>
      </c>
      <c r="L79" s="13">
        <f>SUM(L80:L95)-L93</f>
        <v>793556.98961999977</v>
      </c>
      <c r="M79" s="13">
        <f t="shared" si="21"/>
        <v>1488702.7767099999</v>
      </c>
      <c r="N79" s="13">
        <f>SUM(N80:N95)-N93</f>
        <v>1153941.87176</v>
      </c>
      <c r="O79" s="13">
        <f>SUM(O80:O95)-O93</f>
        <v>674426.72756999999</v>
      </c>
      <c r="P79" s="13">
        <f>SUM(P80:P95)-P93</f>
        <v>915686.39250999992</v>
      </c>
      <c r="Q79" s="13">
        <f t="shared" si="21"/>
        <v>6856521.4885600004</v>
      </c>
      <c r="R79" s="13">
        <f>SUM(R80:R95)-R93</f>
        <v>845840.16793999996</v>
      </c>
      <c r="S79" s="13">
        <f t="shared" ref="S79" si="22">SUM(S80:S95)-S93</f>
        <v>1611005.2640100003</v>
      </c>
      <c r="T79" s="13">
        <f t="shared" si="21"/>
        <v>10332830.81531</v>
      </c>
      <c r="U79" s="15">
        <f t="shared" si="21"/>
        <v>38090539.129409999</v>
      </c>
    </row>
    <row r="80" spans="1:21" ht="12.75" customHeight="1" x14ac:dyDescent="0.2">
      <c r="A80" s="8"/>
      <c r="B80" s="2"/>
      <c r="C80" s="672" t="s">
        <v>90</v>
      </c>
      <c r="D80" s="672"/>
      <c r="E80" s="672"/>
      <c r="F80" s="672"/>
      <c r="G80" s="42"/>
      <c r="H80" s="35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7"/>
    </row>
    <row r="81" spans="1:21" ht="12.75" customHeight="1" x14ac:dyDescent="0.2">
      <c r="A81" s="8"/>
      <c r="B81" s="2"/>
      <c r="C81" s="2"/>
      <c r="D81" s="2"/>
      <c r="E81" s="2" t="s">
        <v>91</v>
      </c>
      <c r="F81" s="49"/>
      <c r="G81" s="42"/>
      <c r="H81" s="35">
        <v>58778</v>
      </c>
      <c r="I81" s="53">
        <v>4039.0598999999997</v>
      </c>
      <c r="J81" s="34">
        <v>4205.4507000000003</v>
      </c>
      <c r="K81" s="34">
        <v>4098.4674199999999</v>
      </c>
      <c r="L81" s="34">
        <v>4155.7942599999997</v>
      </c>
      <c r="M81" s="34">
        <v>4133.72408</v>
      </c>
      <c r="N81" s="34">
        <v>4136.5518499999998</v>
      </c>
      <c r="O81" s="34">
        <v>4172.12284</v>
      </c>
      <c r="P81" s="34">
        <v>4225.33914</v>
      </c>
      <c r="Q81" s="34">
        <v>4112.3842999999997</v>
      </c>
      <c r="R81" s="34">
        <v>4184.84184</v>
      </c>
      <c r="S81" s="34">
        <v>4219.8515199999993</v>
      </c>
      <c r="T81" s="34">
        <v>4351.3918400000002</v>
      </c>
      <c r="U81" s="646">
        <f t="shared" ref="U81:U85" si="23">SUM(I81:T81)</f>
        <v>50034.979689999993</v>
      </c>
    </row>
    <row r="82" spans="1:21" ht="12.75" customHeight="1" x14ac:dyDescent="0.2">
      <c r="A82" s="8"/>
      <c r="B82" s="9"/>
      <c r="E82" s="91" t="s">
        <v>92</v>
      </c>
      <c r="F82" s="49"/>
      <c r="G82" s="42"/>
      <c r="H82" s="35">
        <v>4900</v>
      </c>
      <c r="I82" s="34">
        <v>84.5</v>
      </c>
      <c r="J82" s="34">
        <v>250.25</v>
      </c>
      <c r="K82" s="34">
        <v>333.5</v>
      </c>
      <c r="L82" s="35">
        <v>734</v>
      </c>
      <c r="M82" s="35">
        <v>299</v>
      </c>
      <c r="N82" s="35">
        <v>400.5</v>
      </c>
      <c r="O82" s="35">
        <v>319.5</v>
      </c>
      <c r="P82" s="35">
        <v>794.5</v>
      </c>
      <c r="Q82" s="35">
        <v>51</v>
      </c>
      <c r="R82" s="35">
        <v>707</v>
      </c>
      <c r="S82" s="35">
        <v>1065</v>
      </c>
      <c r="T82" s="35">
        <v>413.5</v>
      </c>
      <c r="U82" s="37">
        <f t="shared" si="23"/>
        <v>5452.25</v>
      </c>
    </row>
    <row r="83" spans="1:21" ht="12.75" customHeight="1" x14ac:dyDescent="0.2">
      <c r="A83" s="8"/>
      <c r="B83" s="2"/>
      <c r="C83" s="2"/>
      <c r="D83" s="2"/>
      <c r="E83" s="2" t="s">
        <v>93</v>
      </c>
      <c r="F83" s="2"/>
      <c r="G83" s="10"/>
      <c r="H83" s="35">
        <v>1399532</v>
      </c>
      <c r="I83" s="53">
        <v>16199.328690000013</v>
      </c>
      <c r="J83" s="34">
        <v>22206.400459999986</v>
      </c>
      <c r="K83" s="34">
        <v>17537.885790000008</v>
      </c>
      <c r="L83" s="34">
        <v>24756.219070000006</v>
      </c>
      <c r="M83" s="34">
        <v>20569.356969999983</v>
      </c>
      <c r="N83" s="34">
        <v>23683.213469999999</v>
      </c>
      <c r="O83" s="34">
        <v>20479.698150000022</v>
      </c>
      <c r="P83" s="34">
        <v>21979.039249999976</v>
      </c>
      <c r="Q83" s="34">
        <v>18724.750139999993</v>
      </c>
      <c r="R83" s="34">
        <v>19091.728890000002</v>
      </c>
      <c r="S83" s="34">
        <v>19370.458120000003</v>
      </c>
      <c r="T83" s="34">
        <v>20059.632680000006</v>
      </c>
      <c r="U83" s="646">
        <f t="shared" si="23"/>
        <v>244657.71167999998</v>
      </c>
    </row>
    <row r="84" spans="1:21" ht="12.75" customHeight="1" x14ac:dyDescent="0.2">
      <c r="A84" s="8"/>
      <c r="B84" s="9"/>
      <c r="C84" s="2"/>
      <c r="D84" s="2"/>
      <c r="E84" s="2" t="s">
        <v>94</v>
      </c>
      <c r="F84" s="2"/>
      <c r="G84" s="10"/>
      <c r="H84" s="35">
        <v>923544</v>
      </c>
      <c r="I84" s="53">
        <v>63984.520299999996</v>
      </c>
      <c r="J84" s="34">
        <v>105068.4385</v>
      </c>
      <c r="K84" s="34">
        <v>70767.325019999975</v>
      </c>
      <c r="L84" s="34">
        <v>81030.3946</v>
      </c>
      <c r="M84" s="34">
        <v>79107.466309999974</v>
      </c>
      <c r="N84" s="34">
        <v>71105.663699999961</v>
      </c>
      <c r="O84" s="34">
        <v>80850.049009999973</v>
      </c>
      <c r="P84" s="34">
        <v>74981.931689999998</v>
      </c>
      <c r="Q84" s="34">
        <v>421312.51058000018</v>
      </c>
      <c r="R84" s="34">
        <v>80657.74791999998</v>
      </c>
      <c r="S84" s="34">
        <v>74893.401209999996</v>
      </c>
      <c r="T84" s="34">
        <v>197398.86501999997</v>
      </c>
      <c r="U84" s="646">
        <f t="shared" si="23"/>
        <v>1401158.3138600001</v>
      </c>
    </row>
    <row r="85" spans="1:21" ht="12.75" customHeight="1" x14ac:dyDescent="0.2">
      <c r="A85" s="8"/>
      <c r="B85" s="2"/>
      <c r="C85" s="2"/>
      <c r="D85" s="2"/>
      <c r="E85" s="669" t="s">
        <v>95</v>
      </c>
      <c r="F85" s="669"/>
      <c r="G85" s="670"/>
      <c r="H85" s="35">
        <v>10347</v>
      </c>
      <c r="I85" s="53">
        <v>670.41235999999992</v>
      </c>
      <c r="J85" s="34">
        <v>691.09739999999988</v>
      </c>
      <c r="K85" s="34">
        <v>288.20190000000002</v>
      </c>
      <c r="L85" s="35">
        <v>1034.31034</v>
      </c>
      <c r="M85" s="34">
        <v>598.82432999999992</v>
      </c>
      <c r="N85" s="34">
        <v>426.37001000000004</v>
      </c>
      <c r="O85" s="34">
        <v>1306.4145100000001</v>
      </c>
      <c r="P85" s="34">
        <v>823.61602000000016</v>
      </c>
      <c r="Q85" s="34">
        <v>527.51756</v>
      </c>
      <c r="R85" s="34">
        <v>899.89923999999985</v>
      </c>
      <c r="S85" s="34">
        <v>267.71794</v>
      </c>
      <c r="T85" s="34">
        <v>642.74463000000003</v>
      </c>
      <c r="U85" s="646">
        <f t="shared" si="23"/>
        <v>8177.1262400000005</v>
      </c>
    </row>
    <row r="86" spans="1:21" s="72" customFormat="1" ht="12.75" customHeight="1" x14ac:dyDescent="0.2">
      <c r="A86" s="68"/>
      <c r="B86" s="9"/>
      <c r="C86" s="9" t="s">
        <v>96</v>
      </c>
      <c r="D86" s="9"/>
      <c r="E86" s="9"/>
      <c r="F86" s="52"/>
      <c r="G86" s="92"/>
      <c r="H86" s="51">
        <v>660345</v>
      </c>
      <c r="I86" s="93">
        <v>457.86014999999998</v>
      </c>
      <c r="J86" s="93">
        <v>23005.272100000002</v>
      </c>
      <c r="K86" s="93">
        <v>54417.97105</v>
      </c>
      <c r="L86" s="93">
        <v>5269.59357</v>
      </c>
      <c r="M86" s="93">
        <v>154.74808000000002</v>
      </c>
      <c r="N86" s="93">
        <v>62255.075259999998</v>
      </c>
      <c r="O86" s="93">
        <v>36439.328559999994</v>
      </c>
      <c r="P86" s="93">
        <v>88764.374510000009</v>
      </c>
      <c r="Q86" s="93">
        <v>376.91915999999998</v>
      </c>
      <c r="R86" s="93">
        <v>121.49248000000001</v>
      </c>
      <c r="S86" s="43">
        <v>36067.773549999998</v>
      </c>
      <c r="T86" s="43">
        <v>87446.048200000005</v>
      </c>
      <c r="U86" s="642">
        <f>SUM(I86:T86)</f>
        <v>394776.45666999999</v>
      </c>
    </row>
    <row r="87" spans="1:21" s="72" customFormat="1" ht="12.75" customHeight="1" x14ac:dyDescent="0.2">
      <c r="A87" s="68"/>
      <c r="B87" s="9"/>
      <c r="C87" s="9" t="s">
        <v>97</v>
      </c>
      <c r="D87" s="9"/>
      <c r="E87" s="9"/>
      <c r="F87" s="9"/>
      <c r="G87" s="94"/>
      <c r="H87" s="47">
        <v>711989</v>
      </c>
      <c r="I87" s="95">
        <v>11083.14739</v>
      </c>
      <c r="J87" s="95">
        <v>19369.1571</v>
      </c>
      <c r="K87" s="95">
        <v>23716.632320000001</v>
      </c>
      <c r="L87" s="95">
        <v>86933.891780000005</v>
      </c>
      <c r="M87" s="95">
        <v>21805.403830000003</v>
      </c>
      <c r="N87" s="95">
        <v>23042.901619999997</v>
      </c>
      <c r="O87" s="95">
        <v>38105.752390000009</v>
      </c>
      <c r="P87" s="95">
        <v>18607.126390000001</v>
      </c>
      <c r="Q87" s="95">
        <v>18700.432900000003</v>
      </c>
      <c r="R87" s="95">
        <v>40570.429290000007</v>
      </c>
      <c r="S87" s="95">
        <v>27400.775330000004</v>
      </c>
      <c r="T87" s="95">
        <v>240157.33004999999</v>
      </c>
      <c r="U87" s="642">
        <f>SUM(I87:T87)</f>
        <v>569492.98039000004</v>
      </c>
    </row>
    <row r="88" spans="1:21" s="72" customFormat="1" ht="12.75" customHeight="1" x14ac:dyDescent="0.2">
      <c r="A88" s="68"/>
      <c r="B88" s="9"/>
      <c r="C88" s="9" t="s">
        <v>98</v>
      </c>
      <c r="D88" s="9"/>
      <c r="E88" s="52"/>
      <c r="F88" s="52"/>
      <c r="G88" s="92"/>
      <c r="H88" s="51"/>
      <c r="I88" s="9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646"/>
    </row>
    <row r="89" spans="1:21" ht="12.75" customHeight="1" x14ac:dyDescent="0.2">
      <c r="A89" s="8"/>
      <c r="B89" s="2"/>
      <c r="C89" s="2"/>
      <c r="D89" s="2"/>
      <c r="E89" s="49" t="s">
        <v>99</v>
      </c>
      <c r="F89" s="49"/>
      <c r="G89" s="42"/>
      <c r="H89" s="56">
        <v>6789432</v>
      </c>
      <c r="I89" s="53">
        <v>255780.98400999996</v>
      </c>
      <c r="J89" s="53">
        <v>113001.25293000002</v>
      </c>
      <c r="K89" s="53">
        <v>161237.88804000008</v>
      </c>
      <c r="L89" s="53">
        <v>271416.64196999982</v>
      </c>
      <c r="M89" s="53">
        <v>371299.54551000003</v>
      </c>
      <c r="N89" s="53">
        <v>178286.11244000003</v>
      </c>
      <c r="O89" s="53">
        <v>228969.74388999998</v>
      </c>
      <c r="P89" s="53">
        <v>273606.31952999998</v>
      </c>
      <c r="Q89" s="53">
        <v>368984.86741999997</v>
      </c>
      <c r="R89" s="53">
        <v>314904.80430999998</v>
      </c>
      <c r="S89" s="57">
        <v>418372.13496000005</v>
      </c>
      <c r="T89" s="57">
        <v>4653863.5540899988</v>
      </c>
      <c r="U89" s="645">
        <f>SUM(I89:T89)</f>
        <v>7609723.8490999993</v>
      </c>
    </row>
    <row r="90" spans="1:21" ht="12.75" customHeight="1" x14ac:dyDescent="0.2">
      <c r="A90" s="8"/>
      <c r="B90" s="9"/>
      <c r="C90" s="2"/>
      <c r="D90" s="2"/>
      <c r="E90" s="49" t="s">
        <v>100</v>
      </c>
      <c r="F90" s="49"/>
      <c r="G90" s="42"/>
      <c r="H90" s="35">
        <v>924805</v>
      </c>
      <c r="I90" s="53">
        <v>0</v>
      </c>
      <c r="J90" s="53">
        <v>0</v>
      </c>
      <c r="K90" s="53">
        <v>516408.63178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190418.09088000003</v>
      </c>
      <c r="R90" s="53">
        <v>0</v>
      </c>
      <c r="S90" s="34">
        <v>0</v>
      </c>
      <c r="T90" s="34">
        <v>0</v>
      </c>
      <c r="U90" s="646">
        <f>SUM(I90:T90)</f>
        <v>706826.72265999997</v>
      </c>
    </row>
    <row r="91" spans="1:21" ht="12.6" customHeight="1" x14ac:dyDescent="0.2">
      <c r="A91" s="8"/>
      <c r="B91" s="2"/>
      <c r="C91" s="2"/>
      <c r="D91" s="2"/>
      <c r="E91" s="49" t="s">
        <v>101</v>
      </c>
      <c r="F91" s="49"/>
      <c r="G91" s="42"/>
      <c r="H91" s="35">
        <v>11960988.670505758</v>
      </c>
      <c r="I91" s="53">
        <v>-5657.8327199999994</v>
      </c>
      <c r="J91" s="53">
        <v>41115.461739999999</v>
      </c>
      <c r="K91" s="53">
        <v>4767655.2598700002</v>
      </c>
      <c r="L91" s="53">
        <v>9506.9745599999987</v>
      </c>
      <c r="M91" s="53">
        <v>380607.92888999998</v>
      </c>
      <c r="N91" s="53">
        <v>232357.98866999999</v>
      </c>
      <c r="O91" s="53">
        <v>26369.738539999998</v>
      </c>
      <c r="P91" s="53">
        <v>-2628.7111500000001</v>
      </c>
      <c r="Q91" s="53">
        <v>5648692.5219100006</v>
      </c>
      <c r="R91" s="53">
        <v>30086.185430000001</v>
      </c>
      <c r="S91" s="34">
        <v>423557.45937</v>
      </c>
      <c r="T91" s="34">
        <v>277479.02740000002</v>
      </c>
      <c r="U91" s="646">
        <f>SUM(I91:T91)</f>
        <v>11829142.002510002</v>
      </c>
    </row>
    <row r="92" spans="1:21" s="33" customFormat="1" ht="12.75" customHeight="1" x14ac:dyDescent="0.2">
      <c r="A92" s="40"/>
      <c r="B92" s="28"/>
      <c r="C92" s="28"/>
      <c r="D92" s="28"/>
      <c r="E92" s="54" t="s">
        <v>102</v>
      </c>
      <c r="F92" s="54"/>
      <c r="G92" s="42"/>
      <c r="H92" s="61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0"/>
      <c r="T92" s="10"/>
      <c r="U92" s="647"/>
    </row>
    <row r="93" spans="1:21" s="33" customFormat="1" ht="12.75" customHeight="1" x14ac:dyDescent="0.2">
      <c r="A93" s="40"/>
      <c r="B93" s="28"/>
      <c r="C93" s="28"/>
      <c r="D93" s="28"/>
      <c r="E93" s="97" t="s">
        <v>103</v>
      </c>
      <c r="F93" s="54"/>
      <c r="G93" s="42"/>
      <c r="H93" s="61">
        <v>11951926.403402453</v>
      </c>
      <c r="I93" s="42">
        <v>-7334.9199099999996</v>
      </c>
      <c r="J93" s="42">
        <v>36755.333070000008</v>
      </c>
      <c r="K93" s="42">
        <v>4765511.9956200002</v>
      </c>
      <c r="L93" s="42">
        <v>6054.1492800000005</v>
      </c>
      <c r="M93" s="53">
        <v>379623.93800000002</v>
      </c>
      <c r="N93" s="53">
        <v>229496.76089999999</v>
      </c>
      <c r="O93" s="53">
        <v>24177.015530000001</v>
      </c>
      <c r="P93" s="53">
        <v>-4490</v>
      </c>
      <c r="Q93" s="53">
        <v>5647202.7313400004</v>
      </c>
      <c r="R93" s="42">
        <v>29194.527320000001</v>
      </c>
      <c r="S93" s="10">
        <v>422131.29044999997</v>
      </c>
      <c r="T93" s="10">
        <v>276730.21047000005</v>
      </c>
      <c r="U93" s="647">
        <f>SUM(I93:T93)</f>
        <v>11805053.03207</v>
      </c>
    </row>
    <row r="94" spans="1:21" s="72" customFormat="1" ht="12.75" customHeight="1" x14ac:dyDescent="0.2">
      <c r="A94" s="68"/>
      <c r="B94" s="9"/>
      <c r="C94" s="9" t="s">
        <v>104</v>
      </c>
      <c r="D94" s="9"/>
      <c r="E94" s="52"/>
      <c r="F94" s="52"/>
      <c r="G94" s="92"/>
      <c r="H94" s="47">
        <v>113599</v>
      </c>
      <c r="I94" s="93">
        <v>5438.2048100000002</v>
      </c>
      <c r="J94" s="93">
        <v>6565.1272600000011</v>
      </c>
      <c r="K94" s="93">
        <v>656.6812000000001</v>
      </c>
      <c r="L94" s="93">
        <v>12160.331600000001</v>
      </c>
      <c r="M94" s="93">
        <v>7938.5100700000003</v>
      </c>
      <c r="N94" s="93">
        <v>2807.8927999999996</v>
      </c>
      <c r="O94" s="93">
        <v>23742.665419999998</v>
      </c>
      <c r="P94" s="93">
        <v>12790.411450000001</v>
      </c>
      <c r="Q94" s="93">
        <v>6513.8173900000002</v>
      </c>
      <c r="R94" s="93">
        <v>8706.8478699999996</v>
      </c>
      <c r="S94" s="93">
        <v>5262.6681800000006</v>
      </c>
      <c r="T94" s="93">
        <v>17789.888300000002</v>
      </c>
      <c r="U94" s="648">
        <f>SUM(I94:T94)</f>
        <v>110373.04635</v>
      </c>
    </row>
    <row r="95" spans="1:21" s="72" customFormat="1" ht="12" customHeight="1" x14ac:dyDescent="0.2">
      <c r="A95" s="68"/>
      <c r="B95" s="9"/>
      <c r="C95" s="9" t="s">
        <v>105</v>
      </c>
      <c r="D95" s="9"/>
      <c r="E95" s="9"/>
      <c r="F95" s="9"/>
      <c r="G95" s="92"/>
      <c r="H95" s="95">
        <f>SUM(H96:H99)+H112+1584558</f>
        <v>12583757</v>
      </c>
      <c r="I95" s="95">
        <f t="shared" ref="I95:L95" si="24">SUM(I96:I99)+I112</f>
        <v>1235326.4612799999</v>
      </c>
      <c r="J95" s="95">
        <f t="shared" si="24"/>
        <v>5593836.7601199998</v>
      </c>
      <c r="K95" s="47">
        <f t="shared" si="24"/>
        <v>284186.87654999999</v>
      </c>
      <c r="L95" s="47">
        <f t="shared" si="24"/>
        <v>296558.83786999999</v>
      </c>
      <c r="M95" s="47">
        <f>SUM(M96:M99)+M112</f>
        <v>602188.26864000002</v>
      </c>
      <c r="N95" s="47">
        <f>SUM(N96:N99)+N112</f>
        <v>555439.60193999996</v>
      </c>
      <c r="O95" s="47">
        <f t="shared" ref="O95" si="25">SUM(O96:O99)+O112</f>
        <v>213671.71426000001</v>
      </c>
      <c r="P95" s="47">
        <f t="shared" ref="P95" si="26">SUM(P96:P99)+P112</f>
        <v>421742.44568</v>
      </c>
      <c r="Q95" s="47">
        <f>SUM(Q96:Q99)+Q112</f>
        <v>178106.67632</v>
      </c>
      <c r="R95" s="47">
        <f>SUM(R96:R99)+R112</f>
        <v>345909.19066999998</v>
      </c>
      <c r="S95" s="47">
        <f>SUM(S96:S99)+S112</f>
        <v>600528.02382999996</v>
      </c>
      <c r="T95" s="47">
        <f>SUM(T96:T99)+T112+1479589</f>
        <v>4833228.8331000004</v>
      </c>
      <c r="U95" s="90">
        <f>SUM(I95:T95)</f>
        <v>15160723.690260002</v>
      </c>
    </row>
    <row r="96" spans="1:21" ht="12" hidden="1" customHeight="1" x14ac:dyDescent="0.2">
      <c r="A96" s="8"/>
      <c r="B96" s="2"/>
      <c r="C96" s="2"/>
      <c r="D96" s="2"/>
      <c r="E96" s="2" t="s">
        <v>106</v>
      </c>
      <c r="F96" s="2"/>
      <c r="G96" s="98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7">
        <f>SUM(I96:R96)</f>
        <v>0</v>
      </c>
    </row>
    <row r="97" spans="1:21" ht="12.75" hidden="1" customHeight="1" x14ac:dyDescent="0.2">
      <c r="A97" s="8"/>
      <c r="B97" s="2"/>
      <c r="C97" s="2"/>
      <c r="D97" s="2"/>
      <c r="E97" s="99" t="s">
        <v>107</v>
      </c>
      <c r="F97" s="100"/>
      <c r="G97" s="49"/>
      <c r="H97" s="101">
        <v>3665</v>
      </c>
      <c r="I97" s="35">
        <v>0</v>
      </c>
      <c r="J97" s="35">
        <v>0</v>
      </c>
      <c r="K97" s="35">
        <v>0</v>
      </c>
      <c r="L97" s="35">
        <v>1504.76965</v>
      </c>
      <c r="M97" s="35">
        <v>0</v>
      </c>
      <c r="N97" s="35">
        <v>0</v>
      </c>
      <c r="O97" s="35">
        <v>0.5438099999999999</v>
      </c>
      <c r="P97" s="35">
        <v>0</v>
      </c>
      <c r="Q97" s="35">
        <v>1593.09617</v>
      </c>
      <c r="R97" s="35">
        <v>0</v>
      </c>
      <c r="S97" s="35">
        <v>-0.45380999999999999</v>
      </c>
      <c r="T97" s="35">
        <v>-0.25</v>
      </c>
      <c r="U97" s="37">
        <f t="shared" ref="U97:U107" si="27">SUM(I97:R97)</f>
        <v>3098.4096300000001</v>
      </c>
    </row>
    <row r="98" spans="1:21" ht="12.75" hidden="1" customHeight="1" x14ac:dyDescent="0.2">
      <c r="A98" s="8"/>
      <c r="B98" s="2"/>
      <c r="C98" s="2"/>
      <c r="D98" s="2"/>
      <c r="E98" s="49" t="s">
        <v>108</v>
      </c>
      <c r="F98" s="100"/>
      <c r="G98" s="49"/>
      <c r="H98" s="101">
        <v>440778</v>
      </c>
      <c r="I98" s="35">
        <v>24408.137859999999</v>
      </c>
      <c r="J98" s="35">
        <v>40689.833230000011</v>
      </c>
      <c r="K98" s="35">
        <v>18392.487480000003</v>
      </c>
      <c r="L98" s="35">
        <v>35678.211889999991</v>
      </c>
      <c r="M98" s="35">
        <v>26279.083500000001</v>
      </c>
      <c r="N98" s="35">
        <v>33922.239409999995</v>
      </c>
      <c r="O98" s="35">
        <v>25873.676879999995</v>
      </c>
      <c r="P98" s="35">
        <v>27443.008200000007</v>
      </c>
      <c r="Q98" s="35">
        <v>17919.739340000004</v>
      </c>
      <c r="R98" s="35">
        <v>22053.832720000002</v>
      </c>
      <c r="S98" s="35">
        <v>31630.425299999995</v>
      </c>
      <c r="T98" s="35">
        <v>39729.460880000006</v>
      </c>
      <c r="U98" s="37">
        <f t="shared" si="27"/>
        <v>272660.25050999998</v>
      </c>
    </row>
    <row r="99" spans="1:21" ht="12.75" hidden="1" customHeight="1" x14ac:dyDescent="0.2">
      <c r="A99" s="8"/>
      <c r="B99" s="2"/>
      <c r="C99" s="2"/>
      <c r="D99" s="2"/>
      <c r="E99" s="49" t="s">
        <v>109</v>
      </c>
      <c r="F99" s="100"/>
      <c r="G99" s="49"/>
      <c r="H99" s="101">
        <v>534677</v>
      </c>
      <c r="I99" s="35">
        <f t="shared" ref="I99:L99" si="28">SUM(I100:I110)</f>
        <v>19400.323420000001</v>
      </c>
      <c r="J99" s="35">
        <f t="shared" si="28"/>
        <v>30768.926889999999</v>
      </c>
      <c r="K99" s="35">
        <f t="shared" si="28"/>
        <v>72466.38906999999</v>
      </c>
      <c r="L99" s="35">
        <f t="shared" si="28"/>
        <v>22547.856329999999</v>
      </c>
      <c r="M99" s="35">
        <f>SUM(M100:M110)</f>
        <v>39028.185140000001</v>
      </c>
      <c r="N99" s="35">
        <f>SUM(N100:N110)</f>
        <v>211872.36252999995</v>
      </c>
      <c r="O99" s="35">
        <f t="shared" ref="O99:S99" si="29">SUM(O100:O110)</f>
        <v>38218.493570000006</v>
      </c>
      <c r="P99" s="35">
        <f t="shared" si="29"/>
        <v>4322.4374799999996</v>
      </c>
      <c r="Q99" s="35">
        <f t="shared" si="29"/>
        <v>15308.84081</v>
      </c>
      <c r="R99" s="35">
        <f t="shared" si="29"/>
        <v>16302.357950000001</v>
      </c>
      <c r="S99" s="35">
        <f t="shared" si="29"/>
        <v>10483.05234</v>
      </c>
      <c r="T99" s="35">
        <f>SUM(T100:T110)</f>
        <v>51964.622219999983</v>
      </c>
      <c r="U99" s="37">
        <f t="shared" si="27"/>
        <v>470236.17318999994</v>
      </c>
    </row>
    <row r="100" spans="1:21" ht="12.75" hidden="1" customHeight="1" x14ac:dyDescent="0.2">
      <c r="A100" s="8"/>
      <c r="B100" s="2"/>
      <c r="C100" s="2"/>
      <c r="D100" s="2"/>
      <c r="E100" s="100" t="s">
        <v>110</v>
      </c>
      <c r="F100" s="100"/>
      <c r="G100" s="49"/>
      <c r="H100" s="102"/>
      <c r="I100" s="35">
        <v>0</v>
      </c>
      <c r="J100" s="35">
        <v>0</v>
      </c>
      <c r="K100" s="35">
        <v>0</v>
      </c>
      <c r="L100" s="35">
        <v>146.15614000000002</v>
      </c>
      <c r="M100" s="35">
        <v>0.1186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9.8306100000000001</v>
      </c>
      <c r="T100" s="35">
        <v>0</v>
      </c>
      <c r="U100" s="37">
        <f t="shared" si="27"/>
        <v>146.27474000000001</v>
      </c>
    </row>
    <row r="101" spans="1:21" ht="12.75" hidden="1" customHeight="1" x14ac:dyDescent="0.2">
      <c r="A101" s="8"/>
      <c r="B101" s="2"/>
      <c r="C101" s="2"/>
      <c r="D101" s="2"/>
      <c r="E101" s="100" t="s">
        <v>111</v>
      </c>
      <c r="F101" s="100"/>
      <c r="G101" s="49"/>
      <c r="H101" s="102"/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315.85041999999999</v>
      </c>
      <c r="O101" s="35">
        <v>0</v>
      </c>
      <c r="P101" s="35">
        <v>0</v>
      </c>
      <c r="Q101" s="35">
        <v>-3.0837600000000003</v>
      </c>
      <c r="R101" s="35">
        <v>0</v>
      </c>
      <c r="S101" s="35">
        <v>0</v>
      </c>
      <c r="T101" s="35">
        <v>0</v>
      </c>
      <c r="U101" s="37">
        <f t="shared" si="27"/>
        <v>312.76666</v>
      </c>
    </row>
    <row r="102" spans="1:21" ht="12.75" hidden="1" customHeight="1" x14ac:dyDescent="0.2">
      <c r="A102" s="8"/>
      <c r="B102" s="2"/>
      <c r="C102" s="2"/>
      <c r="D102" s="2"/>
      <c r="E102" s="100" t="s">
        <v>112</v>
      </c>
      <c r="F102" s="100"/>
      <c r="G102" s="49"/>
      <c r="H102" s="102"/>
      <c r="I102" s="35">
        <v>202.31643999999997</v>
      </c>
      <c r="J102" s="35">
        <v>230.16913</v>
      </c>
      <c r="K102" s="35">
        <v>314.65265000000005</v>
      </c>
      <c r="L102" s="35">
        <v>233.35162999999997</v>
      </c>
      <c r="M102" s="35">
        <v>122.42274999999999</v>
      </c>
      <c r="N102" s="35">
        <v>211.89459000000002</v>
      </c>
      <c r="O102" s="35">
        <v>209.71519000000001</v>
      </c>
      <c r="P102" s="35">
        <v>261.80095999999998</v>
      </c>
      <c r="Q102" s="35">
        <v>108.26355</v>
      </c>
      <c r="R102" s="35">
        <v>100.8112</v>
      </c>
      <c r="S102" s="35">
        <v>241.22172999999998</v>
      </c>
      <c r="T102" s="35">
        <v>192.36198000000002</v>
      </c>
      <c r="U102" s="37">
        <f t="shared" si="27"/>
        <v>1995.3980900000004</v>
      </c>
    </row>
    <row r="103" spans="1:21" ht="12.75" hidden="1" customHeight="1" x14ac:dyDescent="0.2">
      <c r="A103" s="8"/>
      <c r="B103" s="2"/>
      <c r="C103" s="2"/>
      <c r="D103" s="2"/>
      <c r="E103" s="100" t="s">
        <v>113</v>
      </c>
      <c r="F103" s="100"/>
      <c r="G103" s="49"/>
      <c r="H103" s="102"/>
      <c r="I103" s="35">
        <v>5.7514599999999998</v>
      </c>
      <c r="J103" s="35">
        <v>9.6931799999999999</v>
      </c>
      <c r="K103" s="35">
        <v>0.63600000000000001</v>
      </c>
      <c r="L103" s="35">
        <v>1.59</v>
      </c>
      <c r="M103" s="35">
        <v>0.47699999999999998</v>
      </c>
      <c r="N103" s="35">
        <v>1.9079999999999999</v>
      </c>
      <c r="O103" s="35">
        <v>0</v>
      </c>
      <c r="P103" s="35">
        <v>0.69599999999999995</v>
      </c>
      <c r="Q103" s="35">
        <v>0.9</v>
      </c>
      <c r="R103" s="35">
        <v>1.377</v>
      </c>
      <c r="S103" s="35">
        <v>2.6335000000000002</v>
      </c>
      <c r="T103" s="35">
        <v>18.036000000000001</v>
      </c>
      <c r="U103" s="37">
        <f t="shared" si="27"/>
        <v>23.028639999999999</v>
      </c>
    </row>
    <row r="104" spans="1:21" ht="12.75" hidden="1" customHeight="1" x14ac:dyDescent="0.2">
      <c r="A104" s="8"/>
      <c r="B104" s="2"/>
      <c r="C104" s="2"/>
      <c r="D104" s="2"/>
      <c r="E104" s="100" t="s">
        <v>114</v>
      </c>
      <c r="F104" s="100"/>
      <c r="G104" s="49"/>
      <c r="H104" s="102"/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7">
        <f t="shared" si="27"/>
        <v>0</v>
      </c>
    </row>
    <row r="105" spans="1:21" ht="12.75" hidden="1" customHeight="1" x14ac:dyDescent="0.2">
      <c r="A105" s="8"/>
      <c r="B105" s="2"/>
      <c r="C105" s="2"/>
      <c r="D105" s="2"/>
      <c r="E105" s="100" t="s">
        <v>115</v>
      </c>
      <c r="F105" s="100"/>
      <c r="G105" s="49"/>
      <c r="H105" s="102"/>
      <c r="I105" s="35">
        <v>1.0000000000000001E-5</v>
      </c>
      <c r="J105" s="35">
        <v>216.50257999999999</v>
      </c>
      <c r="K105" s="35">
        <v>999.02687000000003</v>
      </c>
      <c r="L105" s="35">
        <v>0.58432000000000006</v>
      </c>
      <c r="M105" s="35">
        <v>41.032969999999999</v>
      </c>
      <c r="N105" s="35">
        <v>473.41998999999998</v>
      </c>
      <c r="O105" s="35">
        <v>467.36171999999999</v>
      </c>
      <c r="P105" s="35">
        <v>205.60878</v>
      </c>
      <c r="Q105" s="35">
        <v>328.97113000000002</v>
      </c>
      <c r="R105" s="35">
        <v>302.34310999999997</v>
      </c>
      <c r="S105" s="35">
        <v>0</v>
      </c>
      <c r="T105" s="35">
        <v>298.34915999999998</v>
      </c>
      <c r="U105" s="37">
        <f t="shared" si="27"/>
        <v>3034.8514799999994</v>
      </c>
    </row>
    <row r="106" spans="1:21" ht="12.75" hidden="1" customHeight="1" x14ac:dyDescent="0.2">
      <c r="A106" s="8"/>
      <c r="B106" s="2"/>
      <c r="C106" s="2"/>
      <c r="D106" s="2"/>
      <c r="E106" s="100" t="s">
        <v>116</v>
      </c>
      <c r="F106" s="100"/>
      <c r="G106" s="49"/>
      <c r="H106" s="102"/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7">
        <f t="shared" si="27"/>
        <v>0</v>
      </c>
    </row>
    <row r="107" spans="1:21" ht="12.75" hidden="1" customHeight="1" x14ac:dyDescent="0.2">
      <c r="A107" s="8"/>
      <c r="B107" s="2"/>
      <c r="C107" s="2"/>
      <c r="D107" s="2"/>
      <c r="E107" s="100" t="s">
        <v>117</v>
      </c>
      <c r="F107" s="100"/>
      <c r="G107" s="49"/>
      <c r="H107" s="102"/>
      <c r="I107" s="35">
        <v>18180.68504</v>
      </c>
      <c r="J107" s="35">
        <v>28010.628109999998</v>
      </c>
      <c r="K107" s="35">
        <v>76723.05640999999</v>
      </c>
      <c r="L107" s="35">
        <v>20540.28268</v>
      </c>
      <c r="M107" s="35">
        <v>42419.814149999998</v>
      </c>
      <c r="N107" s="35">
        <v>211143.51804999996</v>
      </c>
      <c r="O107" s="35">
        <v>35114.543100000003</v>
      </c>
      <c r="P107" s="35">
        <v>3708.2744199999997</v>
      </c>
      <c r="Q107" s="35">
        <v>13736.141820000001</v>
      </c>
      <c r="R107" s="35">
        <v>15771.63096</v>
      </c>
      <c r="S107" s="35">
        <v>5340.9367400000001</v>
      </c>
      <c r="T107" s="35">
        <v>42803.338889999985</v>
      </c>
      <c r="U107" s="37">
        <f t="shared" si="27"/>
        <v>465348.57473999989</v>
      </c>
    </row>
    <row r="108" spans="1:21" ht="12.75" hidden="1" customHeight="1" x14ac:dyDescent="0.2">
      <c r="A108" s="8"/>
      <c r="B108" s="2"/>
      <c r="C108" s="2"/>
      <c r="D108" s="2"/>
      <c r="E108" s="100" t="s">
        <v>118</v>
      </c>
      <c r="F108" s="100"/>
      <c r="G108" s="49"/>
      <c r="H108" s="102"/>
      <c r="I108" s="35">
        <v>709.44918000000007</v>
      </c>
      <c r="J108" s="35">
        <v>1188.4887900000001</v>
      </c>
      <c r="K108" s="35">
        <v>218.37371000000002</v>
      </c>
      <c r="L108" s="35">
        <v>455.64657999999997</v>
      </c>
      <c r="M108" s="35">
        <v>98.98720999999999</v>
      </c>
      <c r="N108" s="35">
        <v>29.204239999999995</v>
      </c>
      <c r="O108" s="35">
        <v>474.47503</v>
      </c>
      <c r="P108" s="35">
        <v>1113.31531</v>
      </c>
      <c r="Q108" s="35">
        <v>373.56407000000002</v>
      </c>
      <c r="R108" s="35">
        <v>-108.68795999999996</v>
      </c>
      <c r="S108" s="35">
        <v>1361.7804799999999</v>
      </c>
      <c r="T108" s="35">
        <v>2015.85131</v>
      </c>
      <c r="U108" s="37">
        <f>SUM(I108:R108)</f>
        <v>4552.8161600000003</v>
      </c>
    </row>
    <row r="109" spans="1:21" ht="12.75" hidden="1" customHeight="1" x14ac:dyDescent="0.2">
      <c r="A109" s="8"/>
      <c r="B109" s="2"/>
      <c r="C109" s="2"/>
      <c r="D109" s="2"/>
      <c r="E109" s="100" t="s">
        <v>119</v>
      </c>
      <c r="F109" s="100"/>
      <c r="G109" s="49"/>
      <c r="H109" s="102"/>
      <c r="I109" s="35">
        <v>302.12129000000004</v>
      </c>
      <c r="J109" s="35">
        <v>1113.4221</v>
      </c>
      <c r="K109" s="35">
        <v>-5789.4089699999995</v>
      </c>
      <c r="L109" s="35">
        <v>1170.2449799999999</v>
      </c>
      <c r="M109" s="35">
        <v>-3655.0775400000007</v>
      </c>
      <c r="N109" s="35">
        <v>-303.55276000000003</v>
      </c>
      <c r="O109" s="35">
        <v>1951.83493</v>
      </c>
      <c r="P109" s="35">
        <v>-967.30799000000013</v>
      </c>
      <c r="Q109" s="35">
        <v>762.92499999999995</v>
      </c>
      <c r="R109" s="35">
        <v>234.84814000000011</v>
      </c>
      <c r="S109" s="35">
        <v>3526.6492800000001</v>
      </c>
      <c r="T109" s="35">
        <v>6636.6501800000005</v>
      </c>
      <c r="U109" s="37">
        <f>SUM(I109:R109)</f>
        <v>-5179.9508200000009</v>
      </c>
    </row>
    <row r="110" spans="1:21" ht="12.75" hidden="1" customHeight="1" x14ac:dyDescent="0.2">
      <c r="A110" s="8"/>
      <c r="B110" s="2"/>
      <c r="C110" s="2"/>
      <c r="D110" s="2"/>
      <c r="E110" s="100" t="s">
        <v>120</v>
      </c>
      <c r="F110" s="100"/>
      <c r="G110" s="49"/>
      <c r="H110" s="102"/>
      <c r="I110" s="34">
        <v>0</v>
      </c>
      <c r="J110" s="34">
        <v>2.3E-2</v>
      </c>
      <c r="K110" s="35">
        <v>5.2399999999999995E-2</v>
      </c>
      <c r="L110" s="103">
        <v>0</v>
      </c>
      <c r="M110" s="35">
        <v>0.41</v>
      </c>
      <c r="N110" s="35">
        <v>0.12</v>
      </c>
      <c r="O110" s="35">
        <v>0.56359999999999999</v>
      </c>
      <c r="P110" s="35">
        <v>0.05</v>
      </c>
      <c r="Q110" s="35">
        <v>1.159</v>
      </c>
      <c r="R110" s="35">
        <v>3.5499999999999997E-2</v>
      </c>
      <c r="S110" s="35"/>
      <c r="T110" s="35">
        <v>3.4700000000000002E-2</v>
      </c>
      <c r="U110" s="37">
        <f>SUM(I110:R110)</f>
        <v>2.4135</v>
      </c>
    </row>
    <row r="111" spans="1:21" ht="12.75" customHeight="1" x14ac:dyDescent="0.2">
      <c r="A111" s="8"/>
      <c r="B111" s="2"/>
      <c r="D111" s="54"/>
      <c r="E111" s="60" t="s">
        <v>61</v>
      </c>
      <c r="F111" s="49"/>
      <c r="G111" s="49"/>
      <c r="H111" s="35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7"/>
    </row>
    <row r="112" spans="1:21" s="33" customFormat="1" ht="12.75" customHeight="1" x14ac:dyDescent="0.2">
      <c r="A112" s="40"/>
      <c r="B112" s="28"/>
      <c r="C112" s="104"/>
      <c r="D112" s="28"/>
      <c r="E112" s="97" t="s">
        <v>121</v>
      </c>
      <c r="F112" s="54"/>
      <c r="G112" s="98" t="s">
        <v>122</v>
      </c>
      <c r="H112" s="105">
        <v>10020079</v>
      </c>
      <c r="I112" s="106">
        <f>+[36]original!$G$6</f>
        <v>1191518</v>
      </c>
      <c r="J112" s="106">
        <f>+[37]original!$H$6</f>
        <v>5522378</v>
      </c>
      <c r="K112" s="106">
        <f>+[38]original!$I$6</f>
        <v>193328</v>
      </c>
      <c r="L112" s="106">
        <f>+[39]original!$J$6</f>
        <v>236828</v>
      </c>
      <c r="M112" s="106">
        <f>+[40]original!$K$6</f>
        <v>536881</v>
      </c>
      <c r="N112" s="106">
        <f>+[41]original!$L$6</f>
        <v>309645</v>
      </c>
      <c r="O112" s="106">
        <f>+[42]original!$M$6</f>
        <v>149579</v>
      </c>
      <c r="P112" s="106">
        <f>+[43]original!$N$6</f>
        <v>389977</v>
      </c>
      <c r="Q112" s="106">
        <f>+[44]original!$O$6</f>
        <v>143285</v>
      </c>
      <c r="R112" s="106">
        <f>+[45]original!$P$6</f>
        <v>307553</v>
      </c>
      <c r="S112" s="106">
        <f>+[46]original!$Q$6</f>
        <v>558415</v>
      </c>
      <c r="T112" s="106">
        <f>+[47]original!$R$6</f>
        <v>3261946</v>
      </c>
      <c r="U112" s="649">
        <f>SUM(I112:T112)</f>
        <v>12801333</v>
      </c>
    </row>
    <row r="113" spans="1:21" ht="12.75" customHeight="1" x14ac:dyDescent="0.2">
      <c r="A113" s="107" t="s">
        <v>123</v>
      </c>
      <c r="B113" s="81"/>
      <c r="C113" s="81"/>
      <c r="D113" s="81"/>
      <c r="E113" s="81"/>
      <c r="F113" s="81"/>
      <c r="G113" s="84"/>
      <c r="H113" s="108">
        <f>H79+H76</f>
        <v>1344796269.8205059</v>
      </c>
      <c r="I113" s="108">
        <f>I79+I76</f>
        <v>73824343.085730031</v>
      </c>
      <c r="J113" s="108">
        <f>J79+J76</f>
        <v>96920893.069020018</v>
      </c>
      <c r="K113" s="108">
        <f t="shared" ref="K113:T113" si="30">K79+K76</f>
        <v>147241477.99728</v>
      </c>
      <c r="L113" s="108">
        <f>L79+L76</f>
        <v>73749809.529299989</v>
      </c>
      <c r="M113" s="108">
        <f t="shared" si="30"/>
        <v>117932465.64524999</v>
      </c>
      <c r="N113" s="108">
        <f>N79+N76</f>
        <v>117713729.27432001</v>
      </c>
      <c r="O113" s="108">
        <f t="shared" si="30"/>
        <v>83787244.734929979</v>
      </c>
      <c r="P113" s="108">
        <f t="shared" si="30"/>
        <v>95520711.034100011</v>
      </c>
      <c r="Q113" s="108">
        <f t="shared" si="30"/>
        <v>160349623.42506</v>
      </c>
      <c r="R113" s="108">
        <f t="shared" si="30"/>
        <v>91356528.666240022</v>
      </c>
      <c r="S113" s="108">
        <f t="shared" si="30"/>
        <v>144478940.09164</v>
      </c>
      <c r="T113" s="108">
        <f t="shared" si="30"/>
        <v>140683416.19247997</v>
      </c>
      <c r="U113" s="650">
        <f>U79+U76+1</f>
        <v>1343559182.7453499</v>
      </c>
    </row>
    <row r="114" spans="1:21" ht="12.75" customHeight="1" x14ac:dyDescent="0.2">
      <c r="A114" s="673" t="s">
        <v>124</v>
      </c>
      <c r="B114" s="674"/>
      <c r="C114" s="674"/>
      <c r="D114" s="674"/>
      <c r="E114" s="674"/>
      <c r="F114" s="674"/>
      <c r="G114" s="674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650"/>
    </row>
    <row r="115" spans="1:21" ht="12" customHeight="1" x14ac:dyDescent="0.2">
      <c r="A115" s="109" t="s">
        <v>123</v>
      </c>
      <c r="B115" s="110"/>
      <c r="C115" s="111"/>
      <c r="D115" s="6"/>
      <c r="E115" s="6"/>
      <c r="F115" s="6"/>
      <c r="G115" s="6"/>
      <c r="H115" s="112">
        <f t="shared" ref="H115:T115" si="31">+H113</f>
        <v>1344796269.8205059</v>
      </c>
      <c r="I115" s="113">
        <f t="shared" si="31"/>
        <v>73824343.085730031</v>
      </c>
      <c r="J115" s="113">
        <f t="shared" si="31"/>
        <v>96920893.069020018</v>
      </c>
      <c r="K115" s="113">
        <f t="shared" si="31"/>
        <v>147241477.99728</v>
      </c>
      <c r="L115" s="113">
        <f t="shared" si="31"/>
        <v>73749809.529299989</v>
      </c>
      <c r="M115" s="112">
        <f t="shared" si="31"/>
        <v>117932465.64524999</v>
      </c>
      <c r="N115" s="113">
        <f t="shared" si="31"/>
        <v>117713729.27432001</v>
      </c>
      <c r="O115" s="113">
        <f t="shared" si="31"/>
        <v>83787244.734929979</v>
      </c>
      <c r="P115" s="113">
        <f t="shared" si="31"/>
        <v>95520711.034100011</v>
      </c>
      <c r="Q115" s="113">
        <f t="shared" si="31"/>
        <v>160349623.42506</v>
      </c>
      <c r="R115" s="113">
        <f>+R113</f>
        <v>91356528.666240022</v>
      </c>
      <c r="S115" s="113">
        <f t="shared" si="31"/>
        <v>144478940.09164</v>
      </c>
      <c r="T115" s="113">
        <f t="shared" si="31"/>
        <v>140683416.19247997</v>
      </c>
      <c r="U115" s="651">
        <f>+U113</f>
        <v>1343559182.7453499</v>
      </c>
    </row>
    <row r="116" spans="1:21" s="72" customFormat="1" ht="12.75" customHeight="1" x14ac:dyDescent="0.2">
      <c r="A116" s="114" t="s">
        <v>125</v>
      </c>
      <c r="B116" s="115"/>
      <c r="C116" s="115"/>
      <c r="D116" s="115"/>
      <c r="E116" s="115"/>
      <c r="F116" s="115"/>
      <c r="G116" s="116"/>
      <c r="H116" s="9"/>
      <c r="I116" s="117">
        <f t="shared" ref="I116:U116" si="32">SUM(I117:I118)</f>
        <v>47866.433920000214</v>
      </c>
      <c r="J116" s="117">
        <f t="shared" si="32"/>
        <v>69649.664760000072</v>
      </c>
      <c r="K116" s="117">
        <f>SUM(K117:K118)</f>
        <v>-177559.32531999983</v>
      </c>
      <c r="L116" s="117">
        <f>SUM(L117:L118)</f>
        <v>611962.15966000024</v>
      </c>
      <c r="M116" s="117">
        <f t="shared" si="32"/>
        <v>226537.16129000019</v>
      </c>
      <c r="N116" s="117">
        <f>SUM(N117:N118)</f>
        <v>207845.88913999998</v>
      </c>
      <c r="O116" s="117">
        <f>SUM(O117:O118)</f>
        <v>100883.28795999999</v>
      </c>
      <c r="P116" s="117">
        <f t="shared" si="32"/>
        <v>247820.60749000008</v>
      </c>
      <c r="Q116" s="117">
        <f t="shared" si="32"/>
        <v>-119207.75722000003</v>
      </c>
      <c r="R116" s="117">
        <f t="shared" si="32"/>
        <v>96584.359380000038</v>
      </c>
      <c r="S116" s="117">
        <f t="shared" si="32"/>
        <v>215897.0264399997</v>
      </c>
      <c r="T116" s="117">
        <f t="shared" si="32"/>
        <v>-1582438.6048399992</v>
      </c>
      <c r="U116" s="652">
        <f t="shared" si="32"/>
        <v>-54159.097339998931</v>
      </c>
    </row>
    <row r="117" spans="1:21" ht="12.75" customHeight="1" x14ac:dyDescent="0.2">
      <c r="A117" s="675" t="s">
        <v>126</v>
      </c>
      <c r="B117" s="676"/>
      <c r="C117" s="676"/>
      <c r="D117" s="676"/>
      <c r="E117" s="676"/>
      <c r="F117" s="676"/>
      <c r="G117" s="677"/>
      <c r="H117" s="61"/>
      <c r="I117" s="34">
        <f>-I79+I93+I112</f>
        <v>-403223.56607999979</v>
      </c>
      <c r="J117" s="34">
        <f>-J79+J93+J112</f>
        <v>-370181.33523999993</v>
      </c>
      <c r="K117" s="34">
        <f t="shared" ref="K117:T117" si="33">-K79+K93+K112</f>
        <v>-942465.32531999983</v>
      </c>
      <c r="L117" s="34">
        <f t="shared" si="33"/>
        <v>-550674.84033999976</v>
      </c>
      <c r="M117" s="34">
        <f t="shared" si="33"/>
        <v>-572197.83870999981</v>
      </c>
      <c r="N117" s="34">
        <f t="shared" si="33"/>
        <v>-614800.11086000002</v>
      </c>
      <c r="O117" s="34">
        <f>-O79+O93+O112</f>
        <v>-500670.71204000001</v>
      </c>
      <c r="P117" s="34">
        <f t="shared" si="33"/>
        <v>-530199.39250999992</v>
      </c>
      <c r="Q117" s="34">
        <f t="shared" si="33"/>
        <v>-1066033.75722</v>
      </c>
      <c r="R117" s="34">
        <f t="shared" si="33"/>
        <v>-509092.64061999996</v>
      </c>
      <c r="S117" s="34">
        <f t="shared" si="33"/>
        <v>-630458.9735600003</v>
      </c>
      <c r="T117" s="34">
        <f t="shared" si="33"/>
        <v>-6794154.6048399992</v>
      </c>
      <c r="U117" s="646">
        <f t="shared" ref="U117:U129" si="34">SUM(I117:T117)</f>
        <v>-13484153.097339999</v>
      </c>
    </row>
    <row r="118" spans="1:21" ht="12.75" customHeight="1" x14ac:dyDescent="0.2">
      <c r="A118" s="118" t="s">
        <v>127</v>
      </c>
      <c r="B118" s="119"/>
      <c r="C118" s="119"/>
      <c r="D118" s="119"/>
      <c r="E118" s="119"/>
      <c r="F118" s="119"/>
      <c r="G118" s="119"/>
      <c r="H118" s="61"/>
      <c r="I118" s="34">
        <v>451090</v>
      </c>
      <c r="J118" s="34">
        <f>440625-694-100</f>
        <v>439831</v>
      </c>
      <c r="K118" s="34">
        <f>765004-98</f>
        <v>764906</v>
      </c>
      <c r="L118" s="34">
        <f>1162753-57-59</f>
        <v>1162637</v>
      </c>
      <c r="M118" s="34">
        <f>798619+57+59</f>
        <v>798735</v>
      </c>
      <c r="N118" s="34">
        <f>822779-8-11-114</f>
        <v>822646</v>
      </c>
      <c r="O118" s="34">
        <f>702329-23-100752</f>
        <v>601554</v>
      </c>
      <c r="P118" s="34">
        <v>778020</v>
      </c>
      <c r="Q118" s="34">
        <f>947241-415</f>
        <v>946826</v>
      </c>
      <c r="R118" s="34">
        <v>605677</v>
      </c>
      <c r="S118" s="120">
        <f>874824-10538-3-8-2919-15000</f>
        <v>846356</v>
      </c>
      <c r="T118" s="120">
        <f>5215090-1269-61-2045+1</f>
        <v>5211716</v>
      </c>
      <c r="U118" s="653">
        <f t="shared" si="34"/>
        <v>13429994</v>
      </c>
    </row>
    <row r="119" spans="1:21" s="72" customFormat="1" ht="12.75" customHeight="1" x14ac:dyDescent="0.2">
      <c r="A119" s="68" t="s">
        <v>128</v>
      </c>
      <c r="C119" s="115"/>
      <c r="D119" s="9"/>
      <c r="E119" s="9"/>
      <c r="F119" s="9"/>
      <c r="G119" s="98" t="s">
        <v>129</v>
      </c>
      <c r="H119" s="121"/>
      <c r="I119" s="95">
        <f t="shared" ref="I119:N119" si="35">SUM(I120:I135)</f>
        <v>41504</v>
      </c>
      <c r="J119" s="95">
        <f t="shared" si="35"/>
        <v>663270</v>
      </c>
      <c r="K119" s="95">
        <f t="shared" si="35"/>
        <v>22943</v>
      </c>
      <c r="L119" s="95">
        <f t="shared" si="35"/>
        <v>12072</v>
      </c>
      <c r="M119" s="95">
        <f t="shared" si="35"/>
        <v>198344</v>
      </c>
      <c r="N119" s="95">
        <f t="shared" si="35"/>
        <v>22868</v>
      </c>
      <c r="O119" s="95">
        <f>SUM(O120:O135)</f>
        <v>63341</v>
      </c>
      <c r="P119" s="122">
        <f>SUM(P120:P133)</f>
        <v>440899</v>
      </c>
      <c r="Q119" s="122">
        <f>SUM(Q120:Q133)</f>
        <v>-274</v>
      </c>
      <c r="R119" s="122">
        <f>SUM(R120:R133)</f>
        <v>37078</v>
      </c>
      <c r="S119" s="122">
        <f>SUM(S120:S133)</f>
        <v>5309</v>
      </c>
      <c r="T119" s="122">
        <f>SUM(T120:T133)</f>
        <v>51539</v>
      </c>
      <c r="U119" s="654">
        <f>SUM(I119:T119)</f>
        <v>1558893</v>
      </c>
    </row>
    <row r="120" spans="1:21" ht="12.75" customHeight="1" x14ac:dyDescent="0.2">
      <c r="A120" s="8"/>
      <c r="E120" s="1" t="s">
        <v>130</v>
      </c>
      <c r="F120" s="2"/>
      <c r="G120" s="2"/>
      <c r="H120" s="61"/>
      <c r="I120" s="34">
        <v>41304</v>
      </c>
      <c r="J120" s="34">
        <v>660295</v>
      </c>
      <c r="K120" s="34">
        <v>19227</v>
      </c>
      <c r="L120" s="34">
        <v>11482</v>
      </c>
      <c r="M120" s="34">
        <v>198450</v>
      </c>
      <c r="N120" s="34">
        <v>23008</v>
      </c>
      <c r="O120" s="34">
        <v>40718</v>
      </c>
      <c r="P120" s="34">
        <v>442858</v>
      </c>
      <c r="Q120" s="34">
        <v>0</v>
      </c>
      <c r="R120" s="34">
        <v>36715</v>
      </c>
      <c r="S120" s="34">
        <v>5532</v>
      </c>
      <c r="T120" s="34">
        <v>0</v>
      </c>
      <c r="U120" s="653">
        <f>SUM(I120:T120)</f>
        <v>1479589</v>
      </c>
    </row>
    <row r="121" spans="1:21" ht="12.75" customHeight="1" x14ac:dyDescent="0.2">
      <c r="A121" s="8"/>
      <c r="E121" s="1" t="s">
        <v>131</v>
      </c>
      <c r="F121" s="2"/>
      <c r="G121" s="2"/>
      <c r="H121" s="61"/>
      <c r="I121" s="34">
        <v>200</v>
      </c>
      <c r="J121" s="34">
        <v>210</v>
      </c>
      <c r="K121" s="34">
        <v>550</v>
      </c>
      <c r="L121" s="34">
        <v>590</v>
      </c>
      <c r="M121" s="34">
        <v>10</v>
      </c>
      <c r="N121" s="34">
        <f>551-10</f>
        <v>541</v>
      </c>
      <c r="O121" s="34">
        <v>23731</v>
      </c>
      <c r="P121" s="34">
        <v>41</v>
      </c>
      <c r="Q121" s="34">
        <v>81</v>
      </c>
      <c r="R121" s="34">
        <v>363</v>
      </c>
      <c r="S121" s="34">
        <v>837</v>
      </c>
      <c r="T121" s="34">
        <v>51830</v>
      </c>
      <c r="U121" s="653">
        <f t="shared" si="34"/>
        <v>78984</v>
      </c>
    </row>
    <row r="122" spans="1:21" ht="12.75" customHeight="1" x14ac:dyDescent="0.2">
      <c r="A122" s="8"/>
      <c r="E122" s="1" t="s">
        <v>132</v>
      </c>
      <c r="F122" s="2"/>
      <c r="G122" s="2"/>
      <c r="H122" s="61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v>0</v>
      </c>
      <c r="T122" s="34">
        <v>1000</v>
      </c>
      <c r="U122" s="653">
        <f t="shared" si="34"/>
        <v>1000</v>
      </c>
    </row>
    <row r="123" spans="1:21" ht="13.9" customHeight="1" x14ac:dyDescent="0.2">
      <c r="A123" s="8"/>
      <c r="B123" s="2"/>
      <c r="E123" s="1" t="s">
        <v>133</v>
      </c>
      <c r="F123" s="2"/>
      <c r="G123" s="2"/>
      <c r="H123" s="61"/>
      <c r="I123" s="34">
        <v>0</v>
      </c>
      <c r="J123" s="34">
        <v>0</v>
      </c>
      <c r="K123" s="34">
        <f>1163+2003</f>
        <v>3166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653">
        <f>SUM(I123:T123)</f>
        <v>3166</v>
      </c>
    </row>
    <row r="124" spans="1:21" ht="12.75" customHeight="1" x14ac:dyDescent="0.2">
      <c r="A124" s="8"/>
      <c r="B124" s="123"/>
      <c r="E124" s="1" t="s">
        <v>134</v>
      </c>
      <c r="F124" s="2"/>
      <c r="G124" s="2"/>
      <c r="H124" s="61"/>
      <c r="I124" s="34">
        <v>0</v>
      </c>
      <c r="J124" s="34">
        <v>765</v>
      </c>
      <c r="K124" s="34">
        <v>0</v>
      </c>
      <c r="L124" s="34">
        <v>0</v>
      </c>
      <c r="M124" s="34">
        <v>0</v>
      </c>
      <c r="N124" s="34">
        <v>0</v>
      </c>
      <c r="O124" s="34">
        <v>1566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653">
        <f>SUM(I124:T124)</f>
        <v>2331</v>
      </c>
    </row>
    <row r="125" spans="1:21" ht="12.75" hidden="1" customHeight="1" x14ac:dyDescent="0.2">
      <c r="A125" s="8"/>
      <c r="B125" s="123"/>
      <c r="E125" s="1" t="s">
        <v>135</v>
      </c>
      <c r="F125" s="2"/>
      <c r="G125" s="2"/>
      <c r="H125" s="61"/>
      <c r="I125" s="34">
        <v>0</v>
      </c>
      <c r="J125" s="34">
        <v>2000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-2000</v>
      </c>
      <c r="Q125" s="34">
        <v>0</v>
      </c>
      <c r="R125" s="34"/>
      <c r="S125" s="34"/>
      <c r="T125" s="34"/>
      <c r="U125" s="653">
        <f>SUM(I125:T125)</f>
        <v>0</v>
      </c>
    </row>
    <row r="126" spans="1:21" ht="12.75" customHeight="1" x14ac:dyDescent="0.2">
      <c r="A126" s="8"/>
      <c r="B126" s="123"/>
      <c r="E126" s="1" t="s">
        <v>136</v>
      </c>
      <c r="F126" s="2"/>
      <c r="G126" s="2"/>
      <c r="H126" s="61"/>
      <c r="I126" s="34">
        <v>0</v>
      </c>
      <c r="J126" s="34">
        <v>0</v>
      </c>
      <c r="K126" s="34">
        <v>0</v>
      </c>
      <c r="L126" s="34">
        <v>0</v>
      </c>
      <c r="M126" s="34">
        <v>-57</v>
      </c>
      <c r="N126" s="34">
        <f>-98-495-88</f>
        <v>-681</v>
      </c>
      <c r="O126" s="34">
        <f>-424-2250</f>
        <v>-2674</v>
      </c>
      <c r="P126" s="34">
        <v>0</v>
      </c>
      <c r="Q126" s="34">
        <v>-355</v>
      </c>
      <c r="R126" s="34">
        <v>0</v>
      </c>
      <c r="S126" s="34">
        <v>-1060</v>
      </c>
      <c r="T126" s="34">
        <v>-1291</v>
      </c>
      <c r="U126" s="653">
        <f>SUM(I126:T126)</f>
        <v>-6118</v>
      </c>
    </row>
    <row r="127" spans="1:21" ht="12.75" customHeight="1" x14ac:dyDescent="0.2">
      <c r="A127" s="8"/>
      <c r="B127" s="123"/>
      <c r="E127" s="1" t="s">
        <v>137</v>
      </c>
      <c r="F127" s="2"/>
      <c r="G127" s="2"/>
      <c r="H127" s="61"/>
      <c r="I127" s="34">
        <v>0</v>
      </c>
      <c r="J127" s="34">
        <v>0</v>
      </c>
      <c r="K127" s="34">
        <v>0</v>
      </c>
      <c r="L127" s="34">
        <v>0</v>
      </c>
      <c r="M127" s="34">
        <v>-59</v>
      </c>
      <c r="N127" s="34">
        <v>0</v>
      </c>
      <c r="O127" s="34">
        <v>0</v>
      </c>
      <c r="P127" s="34">
        <v>0</v>
      </c>
      <c r="Q127" s="34">
        <v>0</v>
      </c>
      <c r="R127" s="34"/>
      <c r="S127" s="34">
        <v>0</v>
      </c>
      <c r="T127" s="34">
        <v>0</v>
      </c>
      <c r="U127" s="653">
        <f>SUM(I127:T127)</f>
        <v>-59</v>
      </c>
    </row>
    <row r="128" spans="1:21" ht="12.75" customHeight="1" x14ac:dyDescent="0.2">
      <c r="A128" s="8"/>
      <c r="B128" s="2"/>
      <c r="C128" s="91"/>
      <c r="E128" s="2" t="s">
        <v>138</v>
      </c>
      <c r="F128" s="2"/>
      <c r="G128" s="2"/>
      <c r="H128" s="61"/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653">
        <f t="shared" si="34"/>
        <v>0</v>
      </c>
    </row>
    <row r="129" spans="1:21" ht="12.75" customHeight="1" x14ac:dyDescent="0.2">
      <c r="A129" s="8"/>
      <c r="B129" s="2"/>
      <c r="E129" s="1" t="s">
        <v>139</v>
      </c>
      <c r="F129" s="2"/>
      <c r="G129" s="2"/>
      <c r="H129" s="61"/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653">
        <f t="shared" si="34"/>
        <v>0</v>
      </c>
    </row>
    <row r="130" spans="1:21" ht="12.75" hidden="1" customHeight="1" x14ac:dyDescent="0.2">
      <c r="A130" s="8"/>
      <c r="B130" s="2"/>
      <c r="E130" s="1" t="s">
        <v>140</v>
      </c>
      <c r="F130" s="2"/>
      <c r="G130" s="2"/>
      <c r="H130" s="61"/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653">
        <f t="shared" ref="U130:U136" si="36">SUM(I130:T130)</f>
        <v>0</v>
      </c>
    </row>
    <row r="131" spans="1:21" ht="12.75" hidden="1" customHeight="1" x14ac:dyDescent="0.2">
      <c r="A131" s="8"/>
      <c r="B131" s="2"/>
      <c r="E131" s="1" t="s">
        <v>141</v>
      </c>
      <c r="F131" s="2"/>
      <c r="G131" s="2"/>
      <c r="H131" s="61"/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653">
        <f>SUM(I131:T131)</f>
        <v>0</v>
      </c>
    </row>
    <row r="132" spans="1:21" ht="12.75" customHeight="1" x14ac:dyDescent="0.2">
      <c r="A132" s="8"/>
      <c r="E132" s="123" t="s">
        <v>142</v>
      </c>
      <c r="F132" s="2"/>
      <c r="G132" s="2"/>
      <c r="H132" s="61"/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653">
        <f>SUM(I132:T132)</f>
        <v>0</v>
      </c>
    </row>
    <row r="133" spans="1:21" ht="12.75" hidden="1" customHeight="1" x14ac:dyDescent="0.2">
      <c r="A133" s="8"/>
      <c r="B133" s="123"/>
      <c r="E133" s="1" t="s">
        <v>143</v>
      </c>
      <c r="F133" s="2"/>
      <c r="G133" s="2"/>
      <c r="H133" s="61"/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653">
        <f t="shared" si="36"/>
        <v>0</v>
      </c>
    </row>
    <row r="134" spans="1:21" ht="12.75" customHeight="1" x14ac:dyDescent="0.2">
      <c r="A134" s="8"/>
      <c r="B134" s="123"/>
      <c r="E134" s="1" t="s">
        <v>144</v>
      </c>
      <c r="F134" s="2"/>
      <c r="G134" s="2"/>
      <c r="H134" s="61"/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/>
      <c r="S134" s="34">
        <v>0</v>
      </c>
      <c r="T134" s="34">
        <v>0</v>
      </c>
      <c r="U134" s="653">
        <f t="shared" ref="U134" si="37">SUM(I134:T134)</f>
        <v>0</v>
      </c>
    </row>
    <row r="135" spans="1:21" ht="12.75" customHeight="1" x14ac:dyDescent="0.2">
      <c r="A135" s="8"/>
      <c r="B135" s="123"/>
      <c r="E135" s="1" t="s">
        <v>145</v>
      </c>
      <c r="F135" s="2"/>
      <c r="G135" s="2"/>
      <c r="H135" s="61"/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653">
        <f>SUM(I135:T135)</f>
        <v>0</v>
      </c>
    </row>
    <row r="136" spans="1:21" x14ac:dyDescent="0.2">
      <c r="A136" s="678" t="s">
        <v>146</v>
      </c>
      <c r="B136" s="661"/>
      <c r="C136" s="661"/>
      <c r="D136" s="661"/>
      <c r="E136" s="661"/>
      <c r="F136" s="661"/>
      <c r="G136" s="662"/>
      <c r="H136" s="61"/>
      <c r="I136" s="34">
        <v>0</v>
      </c>
      <c r="J136" s="34">
        <v>0.66666999999999998</v>
      </c>
      <c r="K136" s="34">
        <v>0.2</v>
      </c>
      <c r="L136" s="34">
        <v>0</v>
      </c>
      <c r="M136" s="34">
        <v>0.05</v>
      </c>
      <c r="N136" s="34">
        <v>0</v>
      </c>
      <c r="O136" s="34">
        <v>0</v>
      </c>
      <c r="P136" s="34">
        <v>54.883330000000001</v>
      </c>
      <c r="Q136" s="34">
        <v>0</v>
      </c>
      <c r="R136" s="34">
        <v>1.5</v>
      </c>
      <c r="S136" s="34">
        <v>0</v>
      </c>
      <c r="T136" s="34">
        <v>0</v>
      </c>
      <c r="U136" s="653">
        <f t="shared" si="36"/>
        <v>57.300000000000004</v>
      </c>
    </row>
    <row r="137" spans="1:21" ht="12.75" customHeight="1" x14ac:dyDescent="0.2">
      <c r="A137" s="8" t="s">
        <v>147</v>
      </c>
      <c r="B137" s="2"/>
      <c r="C137" s="2"/>
      <c r="D137" s="2"/>
      <c r="E137" s="2"/>
      <c r="F137" s="2"/>
      <c r="G137" s="62"/>
      <c r="H137" s="35">
        <v>44425477.230999999</v>
      </c>
      <c r="I137" s="34">
        <v>3727892.12622</v>
      </c>
      <c r="J137" s="34">
        <v>3461514.7302600001</v>
      </c>
      <c r="K137" s="34">
        <v>3530607.19343</v>
      </c>
      <c r="L137" s="34">
        <v>3410770.7181799999</v>
      </c>
      <c r="M137" s="34">
        <v>3201069.94331</v>
      </c>
      <c r="N137" s="34">
        <v>3566543.301</v>
      </c>
      <c r="O137" s="34">
        <v>3796988.06317</v>
      </c>
      <c r="P137" s="34">
        <v>3458010.4393600002</v>
      </c>
      <c r="Q137" s="34">
        <v>3807332.1439099996</v>
      </c>
      <c r="R137" s="34">
        <v>3528323.70701</v>
      </c>
      <c r="S137" s="120">
        <v>3495556.9734800002</v>
      </c>
      <c r="T137" s="120">
        <v>3770745.3230999997</v>
      </c>
      <c r="U137" s="653">
        <f>SUM(I137:T137)</f>
        <v>42755354.662430003</v>
      </c>
    </row>
    <row r="138" spans="1:21" ht="12.75" customHeight="1" x14ac:dyDescent="0.2">
      <c r="A138" s="124" t="s">
        <v>148</v>
      </c>
      <c r="B138" s="125"/>
      <c r="C138" s="125"/>
      <c r="D138" s="125"/>
      <c r="E138" s="125"/>
      <c r="F138" s="125"/>
      <c r="G138" s="125"/>
      <c r="H138" s="126">
        <v>19471166.75</v>
      </c>
      <c r="I138" s="127">
        <v>1510983.9494400001</v>
      </c>
      <c r="J138" s="127">
        <v>1595692.48232</v>
      </c>
      <c r="K138" s="127">
        <v>1622086.74618</v>
      </c>
      <c r="L138" s="127">
        <v>1624245.86387</v>
      </c>
      <c r="M138" s="127">
        <v>1658067.0172999999</v>
      </c>
      <c r="N138" s="127">
        <v>1642823.66334</v>
      </c>
      <c r="O138" s="127">
        <v>1663487.2553599998</v>
      </c>
      <c r="P138" s="127">
        <v>1664709.8666300001</v>
      </c>
      <c r="Q138" s="127">
        <v>1788519.15705</v>
      </c>
      <c r="R138" s="127">
        <v>1670315.0718399999</v>
      </c>
      <c r="S138" s="126">
        <v>1763840.9556199999</v>
      </c>
      <c r="T138" s="126">
        <v>1895788.7980299999</v>
      </c>
      <c r="U138" s="655">
        <f>SUM(I138:T138)</f>
        <v>20100560.826980002</v>
      </c>
    </row>
    <row r="139" spans="1:21" ht="12.75" customHeight="1" x14ac:dyDescent="0.2">
      <c r="A139" s="68" t="s">
        <v>149</v>
      </c>
      <c r="B139" s="2"/>
      <c r="C139" s="2"/>
      <c r="D139" s="2"/>
      <c r="E139" s="2"/>
      <c r="F139" s="2"/>
      <c r="G139" s="2"/>
      <c r="H139" s="47"/>
      <c r="I139" s="95">
        <f>+I115+I116+I119+I136+I137+I138</f>
        <v>79152589.595310032</v>
      </c>
      <c r="J139" s="95">
        <f>+J115+J116+J119+J136+J137+J138-1</f>
        <v>102711019.61303</v>
      </c>
      <c r="K139" s="95">
        <f t="shared" ref="K139:U139" si="38">+K115+K116+K119+K136+K137+K138</f>
        <v>152239555.81156999</v>
      </c>
      <c r="L139" s="95">
        <f t="shared" si="38"/>
        <v>79408860.271009982</v>
      </c>
      <c r="M139" s="95">
        <f t="shared" si="38"/>
        <v>123216483.81714998</v>
      </c>
      <c r="N139" s="95">
        <f t="shared" si="38"/>
        <v>123153810.1278</v>
      </c>
      <c r="O139" s="95">
        <f t="shared" si="38"/>
        <v>89411944.341419965</v>
      </c>
      <c r="P139" s="95">
        <f t="shared" si="38"/>
        <v>101332205.83091001</v>
      </c>
      <c r="Q139" s="95">
        <f t="shared" si="38"/>
        <v>165825992.96880001</v>
      </c>
      <c r="R139" s="95">
        <f t="shared" si="38"/>
        <v>96688831.304470032</v>
      </c>
      <c r="S139" s="95">
        <f t="shared" si="38"/>
        <v>149959544.04717997</v>
      </c>
      <c r="T139" s="95">
        <f t="shared" si="38"/>
        <v>144819050.70876995</v>
      </c>
      <c r="U139" s="648">
        <f t="shared" si="38"/>
        <v>1407919889.4374199</v>
      </c>
    </row>
    <row r="140" spans="1:21" ht="12.75" customHeight="1" x14ac:dyDescent="0.2">
      <c r="A140" s="8" t="s">
        <v>150</v>
      </c>
      <c r="B140" s="2"/>
      <c r="C140" s="2"/>
      <c r="D140" s="2"/>
      <c r="E140" s="2"/>
      <c r="F140" s="2"/>
      <c r="G140" s="98"/>
      <c r="H140" s="61"/>
      <c r="I140" s="34">
        <v>-244488</v>
      </c>
      <c r="J140" s="34">
        <v>7619</v>
      </c>
      <c r="K140" s="34">
        <v>-10474</v>
      </c>
      <c r="L140" s="34">
        <v>234915</v>
      </c>
      <c r="M140" s="34">
        <v>98725</v>
      </c>
      <c r="N140" s="34">
        <v>19911</v>
      </c>
      <c r="O140" s="34">
        <v>-55150</v>
      </c>
      <c r="P140" s="34">
        <v>54061</v>
      </c>
      <c r="Q140" s="34">
        <v>388</v>
      </c>
      <c r="R140" s="34">
        <v>-58683</v>
      </c>
      <c r="S140" s="120">
        <v>12145</v>
      </c>
      <c r="T140" s="120">
        <v>-27044</v>
      </c>
      <c r="U140" s="653">
        <f>SUM(I140:T140)</f>
        <v>31925</v>
      </c>
    </row>
    <row r="141" spans="1:21" ht="12.75" customHeight="1" x14ac:dyDescent="0.2">
      <c r="A141" s="678" t="s">
        <v>151</v>
      </c>
      <c r="B141" s="661"/>
      <c r="C141" s="661"/>
      <c r="D141" s="661"/>
      <c r="E141" s="661"/>
      <c r="F141" s="661"/>
      <c r="G141" s="662"/>
      <c r="H141" s="61"/>
      <c r="I141" s="34">
        <v>0</v>
      </c>
      <c r="J141" s="34">
        <v>0</v>
      </c>
      <c r="K141" s="34">
        <v>-1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-55</v>
      </c>
      <c r="R141" s="34">
        <v>0</v>
      </c>
      <c r="S141" s="120">
        <v>-1.5</v>
      </c>
      <c r="T141" s="120">
        <v>0</v>
      </c>
      <c r="U141" s="653">
        <f>SUM(I141:T141)</f>
        <v>-57.5</v>
      </c>
    </row>
    <row r="142" spans="1:21" ht="12.75" customHeight="1" x14ac:dyDescent="0.2">
      <c r="A142" s="8" t="s">
        <v>152</v>
      </c>
      <c r="B142" s="2"/>
      <c r="C142" s="2"/>
      <c r="D142" s="2"/>
      <c r="E142" s="2"/>
      <c r="F142" s="2"/>
      <c r="G142" s="2"/>
      <c r="H142" s="61"/>
      <c r="I142" s="34">
        <v>-3648226</v>
      </c>
      <c r="J142" s="34">
        <v>-3727892</v>
      </c>
      <c r="K142" s="34">
        <v>-3461515</v>
      </c>
      <c r="L142" s="34">
        <v>-3530607</v>
      </c>
      <c r="M142" s="34">
        <v>-3410771</v>
      </c>
      <c r="N142" s="34">
        <v>-3201070</v>
      </c>
      <c r="O142" s="34">
        <v>-3566544</v>
      </c>
      <c r="P142" s="34">
        <v>-3796988</v>
      </c>
      <c r="Q142" s="34">
        <v>-3458010</v>
      </c>
      <c r="R142" s="34">
        <v>-3807332</v>
      </c>
      <c r="S142" s="120">
        <v>-3528324</v>
      </c>
      <c r="T142" s="120">
        <v>-3495557</v>
      </c>
      <c r="U142" s="653">
        <f>SUM(I142:T142)</f>
        <v>-42632836</v>
      </c>
    </row>
    <row r="143" spans="1:21" ht="12.75" customHeight="1" x14ac:dyDescent="0.2">
      <c r="A143" s="8" t="s">
        <v>153</v>
      </c>
      <c r="B143" s="2"/>
      <c r="C143" s="2"/>
      <c r="D143" s="2"/>
      <c r="E143" s="2"/>
      <c r="F143" s="2"/>
      <c r="G143" s="2"/>
      <c r="H143" s="61"/>
      <c r="I143" s="34">
        <v>-1696711</v>
      </c>
      <c r="J143" s="34">
        <v>-1510984</v>
      </c>
      <c r="K143" s="34">
        <v>-1595692</v>
      </c>
      <c r="L143" s="34">
        <v>-1622087</v>
      </c>
      <c r="M143" s="34">
        <v>-1624246</v>
      </c>
      <c r="N143" s="34">
        <v>-1658067</v>
      </c>
      <c r="O143" s="34">
        <v>-1642824</v>
      </c>
      <c r="P143" s="34">
        <v>-1663487</v>
      </c>
      <c r="Q143" s="34">
        <v>-1664710</v>
      </c>
      <c r="R143" s="34">
        <v>-1788519</v>
      </c>
      <c r="S143" s="120">
        <v>-1670315</v>
      </c>
      <c r="T143" s="120">
        <v>-1763841</v>
      </c>
      <c r="U143" s="653">
        <f>SUM(I143:T143)</f>
        <v>-19901483</v>
      </c>
    </row>
    <row r="144" spans="1:21" ht="12.75" customHeight="1" x14ac:dyDescent="0.2">
      <c r="A144" s="679" t="s">
        <v>154</v>
      </c>
      <c r="B144" s="680"/>
      <c r="C144" s="680"/>
      <c r="D144" s="680"/>
      <c r="E144" s="680"/>
      <c r="F144" s="680"/>
      <c r="G144" s="681"/>
      <c r="H144" s="126"/>
      <c r="I144" s="34">
        <f>2181-4051</f>
        <v>-1870</v>
      </c>
      <c r="J144" s="34">
        <v>3506</v>
      </c>
      <c r="K144" s="34">
        <v>4746</v>
      </c>
      <c r="L144" s="34">
        <f>106384-2000</f>
        <v>104384</v>
      </c>
      <c r="M144" s="34">
        <v>3409</v>
      </c>
      <c r="N144" s="34">
        <f>2093-10600</f>
        <v>-8507</v>
      </c>
      <c r="O144" s="34">
        <f>2713-3400-2000-50-50-30000</f>
        <v>-32787</v>
      </c>
      <c r="P144" s="34">
        <v>1715</v>
      </c>
      <c r="Q144" s="34">
        <v>26449</v>
      </c>
      <c r="R144" s="34">
        <f>743-27250</f>
        <v>-26507</v>
      </c>
      <c r="S144" s="120">
        <v>4991</v>
      </c>
      <c r="T144" s="120">
        <f>712-67993-79</f>
        <v>-67360</v>
      </c>
      <c r="U144" s="653">
        <f>SUM(I144:T144)</f>
        <v>12169</v>
      </c>
    </row>
    <row r="145" spans="1:21" ht="12.75" customHeight="1" x14ac:dyDescent="0.2">
      <c r="A145" s="107" t="s">
        <v>155</v>
      </c>
      <c r="B145" s="82"/>
      <c r="C145" s="82"/>
      <c r="D145" s="82"/>
      <c r="E145" s="82"/>
      <c r="F145" s="82"/>
      <c r="G145" s="84"/>
      <c r="H145" s="108"/>
      <c r="I145" s="108">
        <f t="shared" ref="I145:M145" si="39">SUM(I139:I144)</f>
        <v>73561294.595310032</v>
      </c>
      <c r="J145" s="108">
        <f t="shared" si="39"/>
        <v>97483268.613030002</v>
      </c>
      <c r="K145" s="108">
        <f t="shared" si="39"/>
        <v>147176619.81156999</v>
      </c>
      <c r="L145" s="108">
        <f t="shared" si="39"/>
        <v>74595465.271009982</v>
      </c>
      <c r="M145" s="108">
        <f t="shared" si="39"/>
        <v>118283600.81714998</v>
      </c>
      <c r="N145" s="108">
        <f>SUM(N139:N144)</f>
        <v>118306077.1278</v>
      </c>
      <c r="O145" s="108">
        <f>SUM(O139:O144)</f>
        <v>84114639.341419965</v>
      </c>
      <c r="P145" s="108">
        <f t="shared" ref="P145:T145" si="40">SUM(P139:P144)</f>
        <v>95927506.830910012</v>
      </c>
      <c r="Q145" s="108">
        <f>SUM(Q139:Q144)</f>
        <v>160730054.96880001</v>
      </c>
      <c r="R145" s="108">
        <f t="shared" si="40"/>
        <v>91007790.304470032</v>
      </c>
      <c r="S145" s="108">
        <f t="shared" si="40"/>
        <v>144778039.54717997</v>
      </c>
      <c r="T145" s="108">
        <f t="shared" si="40"/>
        <v>139465248.70876995</v>
      </c>
      <c r="U145" s="650">
        <f>SUM(U139:U144)</f>
        <v>1345429606.9374199</v>
      </c>
    </row>
    <row r="146" spans="1:21" s="129" customFormat="1" ht="12.75" customHeight="1" x14ac:dyDescent="0.2">
      <c r="A146" s="671" t="s">
        <v>156</v>
      </c>
      <c r="B146" s="671"/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1"/>
      <c r="T146" s="671"/>
      <c r="U146" s="671"/>
    </row>
    <row r="147" spans="1:21" ht="12.75" customHeight="1" x14ac:dyDescent="0.2">
      <c r="A147" s="682" t="s">
        <v>157</v>
      </c>
      <c r="B147" s="682"/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2"/>
      <c r="T147" s="682"/>
      <c r="U147" s="682"/>
    </row>
    <row r="148" spans="1:21" ht="12.75" customHeight="1" x14ac:dyDescent="0.2">
      <c r="A148" s="682" t="s">
        <v>158</v>
      </c>
      <c r="B148" s="682"/>
      <c r="C148" s="682"/>
      <c r="D148" s="682"/>
      <c r="E148" s="682"/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2"/>
      <c r="S148" s="682"/>
      <c r="T148" s="682"/>
      <c r="U148" s="682"/>
    </row>
    <row r="149" spans="1:21" ht="12.75" customHeight="1" x14ac:dyDescent="0.2">
      <c r="A149" s="682" t="s">
        <v>159</v>
      </c>
      <c r="B149" s="682"/>
      <c r="C149" s="682"/>
      <c r="D149" s="682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</row>
    <row r="150" spans="1:21" ht="12.75" customHeight="1" x14ac:dyDescent="0.2">
      <c r="A150" s="682" t="s">
        <v>160</v>
      </c>
      <c r="B150" s="682"/>
      <c r="C150" s="682"/>
      <c r="D150" s="682"/>
      <c r="E150" s="682"/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  <c r="S150" s="682"/>
      <c r="T150" s="682"/>
      <c r="U150" s="682"/>
    </row>
    <row r="151" spans="1:21" ht="12.75" customHeight="1" x14ac:dyDescent="0.2">
      <c r="A151" s="129" t="s">
        <v>161</v>
      </c>
      <c r="B151" s="129"/>
      <c r="C151" s="129"/>
      <c r="D151" s="129"/>
      <c r="E151" s="28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1:21" ht="12.75" customHeight="1" x14ac:dyDescent="0.2">
      <c r="A152" s="682" t="s">
        <v>162</v>
      </c>
      <c r="B152" s="682"/>
      <c r="C152" s="682"/>
      <c r="D152" s="682"/>
      <c r="E152" s="682"/>
      <c r="F152" s="682"/>
      <c r="G152" s="682"/>
      <c r="H152" s="682"/>
      <c r="I152" s="682"/>
      <c r="J152" s="682"/>
      <c r="K152" s="682"/>
      <c r="L152" s="682"/>
      <c r="M152" s="682"/>
      <c r="N152" s="682"/>
      <c r="O152" s="682"/>
      <c r="P152" s="682"/>
      <c r="Q152" s="682"/>
      <c r="R152" s="682"/>
      <c r="S152" s="682"/>
      <c r="T152" s="682"/>
      <c r="U152" s="682"/>
    </row>
    <row r="153" spans="1:21" ht="12.75" customHeight="1" x14ac:dyDescent="0.2">
      <c r="A153" s="129"/>
      <c r="B153" s="129"/>
      <c r="C153" s="129"/>
      <c r="D153" s="129"/>
      <c r="E153" s="130"/>
      <c r="F153" s="129"/>
      <c r="G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1" ht="12.75" customHeight="1" x14ac:dyDescent="0.2">
      <c r="A154" s="33"/>
      <c r="B154" s="33"/>
      <c r="C154" s="33"/>
      <c r="E154" s="3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129" customFormat="1" ht="12.6" customHeight="1" x14ac:dyDescent="0.2"/>
    <row r="156" spans="1:21" s="2" customFormat="1" ht="12.75" customHeight="1" x14ac:dyDescent="0.2"/>
    <row r="157" spans="1:21" s="2" customFormat="1" ht="12.75" customHeight="1" x14ac:dyDescent="0.2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2" customFormat="1" ht="12.75" customHeight="1" x14ac:dyDescent="0.2">
      <c r="H158" s="23"/>
      <c r="I158" s="23"/>
      <c r="J158" s="23"/>
      <c r="K158" s="23"/>
      <c r="L158" s="23"/>
      <c r="M158" s="23"/>
      <c r="N158" s="23"/>
      <c r="O158" s="9"/>
      <c r="P158" s="23"/>
      <c r="Q158" s="23"/>
      <c r="R158" s="23"/>
      <c r="S158" s="23"/>
      <c r="T158" s="23"/>
      <c r="U158" s="23"/>
    </row>
    <row r="159" spans="1:21" s="2" customFormat="1" ht="12.75" customHeight="1" x14ac:dyDescent="0.2"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s="2" customFormat="1" ht="12.75" customHeight="1" x14ac:dyDescent="0.2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="2" customFormat="1" ht="12.75" customHeight="1" x14ac:dyDescent="0.2"/>
    <row r="162" s="2" customFormat="1" ht="12.75" customHeight="1" x14ac:dyDescent="0.2"/>
    <row r="163" s="2" customFormat="1" ht="12.75" customHeight="1" x14ac:dyDescent="0.2"/>
    <row r="164" s="2" customFormat="1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</sheetData>
  <mergeCells count="28">
    <mergeCell ref="A147:U147"/>
    <mergeCell ref="A148:U148"/>
    <mergeCell ref="A149:U149"/>
    <mergeCell ref="A150:U150"/>
    <mergeCell ref="A152:U152"/>
    <mergeCell ref="A146:U146"/>
    <mergeCell ref="E42:G42"/>
    <mergeCell ref="E45:F45"/>
    <mergeCell ref="C53:G53"/>
    <mergeCell ref="E58:F58"/>
    <mergeCell ref="C80:F80"/>
    <mergeCell ref="E85:G85"/>
    <mergeCell ref="A114:G114"/>
    <mergeCell ref="A117:G117"/>
    <mergeCell ref="A136:G136"/>
    <mergeCell ref="A141:G141"/>
    <mergeCell ref="A144:G144"/>
    <mergeCell ref="C27:G27"/>
    <mergeCell ref="H3:U3"/>
    <mergeCell ref="E8:G8"/>
    <mergeCell ref="E10:G10"/>
    <mergeCell ref="C13:G13"/>
    <mergeCell ref="E15:G15"/>
    <mergeCell ref="E16:G16"/>
    <mergeCell ref="E17:G17"/>
    <mergeCell ref="E19:G19"/>
    <mergeCell ref="E20:G20"/>
    <mergeCell ref="C24:G24"/>
  </mergeCells>
  <pageMargins left="0.7" right="0.7" top="0.75" bottom="0.75" header="0.3" footer="0.3"/>
  <pageSetup scale="3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32"/>
  <sheetViews>
    <sheetView view="pageBreakPreview" topLeftCell="I31" zoomScaleNormal="100" zoomScaleSheetLayoutView="100" workbookViewId="0">
      <selection activeCell="AH65" sqref="AH65"/>
    </sheetView>
  </sheetViews>
  <sheetFormatPr defaultRowHeight="12.75" x14ac:dyDescent="0.2"/>
  <cols>
    <col min="1" max="1" width="2.85546875" style="137" customWidth="1"/>
    <col min="2" max="2" width="3.28515625" style="137" customWidth="1"/>
    <col min="3" max="3" width="69.28515625" style="136" customWidth="1"/>
    <col min="4" max="4" width="6" style="137" customWidth="1"/>
    <col min="5" max="8" width="13.5703125" style="137" hidden="1" customWidth="1"/>
    <col min="9" max="9" width="13.7109375" style="137" customWidth="1"/>
    <col min="10" max="13" width="13.5703125" style="137" hidden="1" customWidth="1"/>
    <col min="14" max="14" width="13.7109375" style="137" customWidth="1"/>
    <col min="15" max="15" width="12.7109375" style="137" hidden="1" customWidth="1"/>
    <col min="16" max="17" width="11.28515625" style="137" hidden="1" customWidth="1"/>
    <col min="18" max="18" width="12.7109375" style="137" hidden="1" customWidth="1"/>
    <col min="19" max="19" width="13.7109375" style="137" customWidth="1"/>
    <col min="20" max="22" width="11.28515625" style="137" hidden="1" customWidth="1"/>
    <col min="23" max="23" width="12.7109375" style="137" hidden="1" customWidth="1"/>
    <col min="24" max="24" width="13.7109375" style="137" customWidth="1"/>
    <col min="25" max="27" width="11.28515625" style="137" hidden="1" customWidth="1"/>
    <col min="28" max="28" width="12.7109375" style="137" hidden="1" customWidth="1"/>
    <col min="29" max="29" width="13.7109375" style="137" customWidth="1"/>
    <col min="30" max="30" width="12.28515625" style="137" hidden="1" customWidth="1"/>
    <col min="31" max="31" width="12.7109375" style="137" hidden="1" customWidth="1"/>
    <col min="32" max="32" width="11.28515625" style="137" hidden="1" customWidth="1"/>
    <col min="33" max="33" width="12.7109375" style="137" hidden="1" customWidth="1"/>
    <col min="34" max="34" width="13.7109375" style="137" customWidth="1"/>
    <col min="35" max="35" width="11.28515625" style="137" hidden="1" customWidth="1"/>
    <col min="36" max="36" width="13.5703125" style="137" hidden="1" customWidth="1"/>
    <col min="37" max="37" width="11.28515625" style="137" hidden="1" customWidth="1"/>
    <col min="38" max="38" width="13.28515625" style="137" hidden="1" customWidth="1"/>
    <col min="39" max="39" width="13.7109375" style="137" customWidth="1"/>
    <col min="40" max="42" width="11.28515625" style="137" hidden="1" customWidth="1"/>
    <col min="43" max="43" width="12.7109375" style="137" hidden="1" customWidth="1"/>
    <col min="44" max="44" width="13.7109375" style="137" customWidth="1"/>
    <col min="45" max="47" width="11.28515625" style="137" hidden="1" customWidth="1"/>
    <col min="48" max="48" width="12.7109375" style="137" hidden="1" customWidth="1"/>
    <col min="49" max="49" width="13.7109375" style="137" customWidth="1"/>
    <col min="50" max="52" width="11.28515625" style="137" hidden="1" customWidth="1"/>
    <col min="53" max="53" width="12.7109375" style="137" hidden="1" customWidth="1"/>
    <col min="54" max="54" width="13.7109375" style="137" customWidth="1"/>
    <col min="55" max="57" width="11.28515625" style="137" hidden="1" customWidth="1"/>
    <col min="58" max="58" width="12.7109375" style="137" hidden="1" customWidth="1"/>
    <col min="59" max="59" width="13.7109375" style="137" customWidth="1"/>
    <col min="60" max="62" width="11.28515625" style="137" hidden="1" customWidth="1"/>
    <col min="63" max="63" width="13.140625" style="137" hidden="1" customWidth="1"/>
    <col min="64" max="64" width="13.7109375" style="137" customWidth="1"/>
    <col min="65" max="66" width="12.85546875" style="137" hidden="1" customWidth="1"/>
    <col min="67" max="67" width="12" style="137" hidden="1" customWidth="1"/>
    <col min="68" max="68" width="13.140625" style="137" hidden="1" customWidth="1"/>
    <col min="69" max="69" width="13.7109375" style="137" customWidth="1"/>
    <col min="70" max="70" width="12.7109375" style="137" hidden="1" customWidth="1"/>
    <col min="71" max="71" width="13.140625" style="137" hidden="1" customWidth="1"/>
    <col min="72" max="72" width="11.28515625" style="137" hidden="1" customWidth="1"/>
    <col min="73" max="73" width="12.7109375" style="137" hidden="1" customWidth="1"/>
    <col min="74" max="74" width="13.7109375" style="137" customWidth="1"/>
    <col min="75" max="75" width="3.28515625" style="137" customWidth="1"/>
    <col min="76" max="76" width="7.85546875" style="137" hidden="1" customWidth="1"/>
    <col min="77" max="77" width="3.28515625" style="137" customWidth="1"/>
    <col min="78" max="78" width="9.85546875" style="137" bestFit="1" customWidth="1"/>
    <col min="79" max="79" width="9.5703125" style="137" bestFit="1" customWidth="1"/>
    <col min="80" max="256" width="9.140625" style="137"/>
    <col min="257" max="257" width="2.85546875" style="137" customWidth="1"/>
    <col min="258" max="258" width="3.28515625" style="137" customWidth="1"/>
    <col min="259" max="259" width="69.28515625" style="137" customWidth="1"/>
    <col min="260" max="260" width="6" style="137" customWidth="1"/>
    <col min="261" max="265" width="13.5703125" style="137" customWidth="1"/>
    <col min="266" max="320" width="0" style="137" hidden="1" customWidth="1"/>
    <col min="321" max="322" width="12.85546875" style="137" customWidth="1"/>
    <col min="323" max="323" width="12" style="137" customWidth="1"/>
    <col min="324" max="324" width="13.140625" style="137" customWidth="1"/>
    <col min="325" max="325" width="12.85546875" style="137" customWidth="1"/>
    <col min="326" max="326" width="12.7109375" style="137" customWidth="1"/>
    <col min="327" max="327" width="13.140625" style="137" customWidth="1"/>
    <col min="328" max="328" width="11.28515625" style="137" customWidth="1"/>
    <col min="329" max="329" width="12.7109375" style="137" customWidth="1"/>
    <col min="330" max="330" width="12.5703125" style="137" customWidth="1"/>
    <col min="331" max="331" width="3.28515625" style="137" customWidth="1"/>
    <col min="332" max="332" width="0" style="137" hidden="1" customWidth="1"/>
    <col min="333" max="333" width="3.28515625" style="137" customWidth="1"/>
    <col min="334" max="334" width="9.85546875" style="137" bestFit="1" customWidth="1"/>
    <col min="335" max="335" width="9.5703125" style="137" bestFit="1" customWidth="1"/>
    <col min="336" max="512" width="9.140625" style="137"/>
    <col min="513" max="513" width="2.85546875" style="137" customWidth="1"/>
    <col min="514" max="514" width="3.28515625" style="137" customWidth="1"/>
    <col min="515" max="515" width="69.28515625" style="137" customWidth="1"/>
    <col min="516" max="516" width="6" style="137" customWidth="1"/>
    <col min="517" max="521" width="13.5703125" style="137" customWidth="1"/>
    <col min="522" max="576" width="0" style="137" hidden="1" customWidth="1"/>
    <col min="577" max="578" width="12.85546875" style="137" customWidth="1"/>
    <col min="579" max="579" width="12" style="137" customWidth="1"/>
    <col min="580" max="580" width="13.140625" style="137" customWidth="1"/>
    <col min="581" max="581" width="12.85546875" style="137" customWidth="1"/>
    <col min="582" max="582" width="12.7109375" style="137" customWidth="1"/>
    <col min="583" max="583" width="13.140625" style="137" customWidth="1"/>
    <col min="584" max="584" width="11.28515625" style="137" customWidth="1"/>
    <col min="585" max="585" width="12.7109375" style="137" customWidth="1"/>
    <col min="586" max="586" width="12.5703125" style="137" customWidth="1"/>
    <col min="587" max="587" width="3.28515625" style="137" customWidth="1"/>
    <col min="588" max="588" width="0" style="137" hidden="1" customWidth="1"/>
    <col min="589" max="589" width="3.28515625" style="137" customWidth="1"/>
    <col min="590" max="590" width="9.85546875" style="137" bestFit="1" customWidth="1"/>
    <col min="591" max="591" width="9.5703125" style="137" bestFit="1" customWidth="1"/>
    <col min="592" max="768" width="9.140625" style="137"/>
    <col min="769" max="769" width="2.85546875" style="137" customWidth="1"/>
    <col min="770" max="770" width="3.28515625" style="137" customWidth="1"/>
    <col min="771" max="771" width="69.28515625" style="137" customWidth="1"/>
    <col min="772" max="772" width="6" style="137" customWidth="1"/>
    <col min="773" max="777" width="13.5703125" style="137" customWidth="1"/>
    <col min="778" max="832" width="0" style="137" hidden="1" customWidth="1"/>
    <col min="833" max="834" width="12.85546875" style="137" customWidth="1"/>
    <col min="835" max="835" width="12" style="137" customWidth="1"/>
    <col min="836" max="836" width="13.140625" style="137" customWidth="1"/>
    <col min="837" max="837" width="12.85546875" style="137" customWidth="1"/>
    <col min="838" max="838" width="12.7109375" style="137" customWidth="1"/>
    <col min="839" max="839" width="13.140625" style="137" customWidth="1"/>
    <col min="840" max="840" width="11.28515625" style="137" customWidth="1"/>
    <col min="841" max="841" width="12.7109375" style="137" customWidth="1"/>
    <col min="842" max="842" width="12.5703125" style="137" customWidth="1"/>
    <col min="843" max="843" width="3.28515625" style="137" customWidth="1"/>
    <col min="844" max="844" width="0" style="137" hidden="1" customWidth="1"/>
    <col min="845" max="845" width="3.28515625" style="137" customWidth="1"/>
    <col min="846" max="846" width="9.85546875" style="137" bestFit="1" customWidth="1"/>
    <col min="847" max="847" width="9.5703125" style="137" bestFit="1" customWidth="1"/>
    <col min="848" max="1024" width="9.140625" style="137"/>
    <col min="1025" max="1025" width="2.85546875" style="137" customWidth="1"/>
    <col min="1026" max="1026" width="3.28515625" style="137" customWidth="1"/>
    <col min="1027" max="1027" width="69.28515625" style="137" customWidth="1"/>
    <col min="1028" max="1028" width="6" style="137" customWidth="1"/>
    <col min="1029" max="1033" width="13.5703125" style="137" customWidth="1"/>
    <col min="1034" max="1088" width="0" style="137" hidden="1" customWidth="1"/>
    <col min="1089" max="1090" width="12.85546875" style="137" customWidth="1"/>
    <col min="1091" max="1091" width="12" style="137" customWidth="1"/>
    <col min="1092" max="1092" width="13.140625" style="137" customWidth="1"/>
    <col min="1093" max="1093" width="12.85546875" style="137" customWidth="1"/>
    <col min="1094" max="1094" width="12.7109375" style="137" customWidth="1"/>
    <col min="1095" max="1095" width="13.140625" style="137" customWidth="1"/>
    <col min="1096" max="1096" width="11.28515625" style="137" customWidth="1"/>
    <col min="1097" max="1097" width="12.7109375" style="137" customWidth="1"/>
    <col min="1098" max="1098" width="12.5703125" style="137" customWidth="1"/>
    <col min="1099" max="1099" width="3.28515625" style="137" customWidth="1"/>
    <col min="1100" max="1100" width="0" style="137" hidden="1" customWidth="1"/>
    <col min="1101" max="1101" width="3.28515625" style="137" customWidth="1"/>
    <col min="1102" max="1102" width="9.85546875" style="137" bestFit="1" customWidth="1"/>
    <col min="1103" max="1103" width="9.5703125" style="137" bestFit="1" customWidth="1"/>
    <col min="1104" max="1280" width="9.140625" style="137"/>
    <col min="1281" max="1281" width="2.85546875" style="137" customWidth="1"/>
    <col min="1282" max="1282" width="3.28515625" style="137" customWidth="1"/>
    <col min="1283" max="1283" width="69.28515625" style="137" customWidth="1"/>
    <col min="1284" max="1284" width="6" style="137" customWidth="1"/>
    <col min="1285" max="1289" width="13.5703125" style="137" customWidth="1"/>
    <col min="1290" max="1344" width="0" style="137" hidden="1" customWidth="1"/>
    <col min="1345" max="1346" width="12.85546875" style="137" customWidth="1"/>
    <col min="1347" max="1347" width="12" style="137" customWidth="1"/>
    <col min="1348" max="1348" width="13.140625" style="137" customWidth="1"/>
    <col min="1349" max="1349" width="12.85546875" style="137" customWidth="1"/>
    <col min="1350" max="1350" width="12.7109375" style="137" customWidth="1"/>
    <col min="1351" max="1351" width="13.140625" style="137" customWidth="1"/>
    <col min="1352" max="1352" width="11.28515625" style="137" customWidth="1"/>
    <col min="1353" max="1353" width="12.7109375" style="137" customWidth="1"/>
    <col min="1354" max="1354" width="12.5703125" style="137" customWidth="1"/>
    <col min="1355" max="1355" width="3.28515625" style="137" customWidth="1"/>
    <col min="1356" max="1356" width="0" style="137" hidden="1" customWidth="1"/>
    <col min="1357" max="1357" width="3.28515625" style="137" customWidth="1"/>
    <col min="1358" max="1358" width="9.85546875" style="137" bestFit="1" customWidth="1"/>
    <col min="1359" max="1359" width="9.5703125" style="137" bestFit="1" customWidth="1"/>
    <col min="1360" max="1536" width="9.140625" style="137"/>
    <col min="1537" max="1537" width="2.85546875" style="137" customWidth="1"/>
    <col min="1538" max="1538" width="3.28515625" style="137" customWidth="1"/>
    <col min="1539" max="1539" width="69.28515625" style="137" customWidth="1"/>
    <col min="1540" max="1540" width="6" style="137" customWidth="1"/>
    <col min="1541" max="1545" width="13.5703125" style="137" customWidth="1"/>
    <col min="1546" max="1600" width="0" style="137" hidden="1" customWidth="1"/>
    <col min="1601" max="1602" width="12.85546875" style="137" customWidth="1"/>
    <col min="1603" max="1603" width="12" style="137" customWidth="1"/>
    <col min="1604" max="1604" width="13.140625" style="137" customWidth="1"/>
    <col min="1605" max="1605" width="12.85546875" style="137" customWidth="1"/>
    <col min="1606" max="1606" width="12.7109375" style="137" customWidth="1"/>
    <col min="1607" max="1607" width="13.140625" style="137" customWidth="1"/>
    <col min="1608" max="1608" width="11.28515625" style="137" customWidth="1"/>
    <col min="1609" max="1609" width="12.7109375" style="137" customWidth="1"/>
    <col min="1610" max="1610" width="12.5703125" style="137" customWidth="1"/>
    <col min="1611" max="1611" width="3.28515625" style="137" customWidth="1"/>
    <col min="1612" max="1612" width="0" style="137" hidden="1" customWidth="1"/>
    <col min="1613" max="1613" width="3.28515625" style="137" customWidth="1"/>
    <col min="1614" max="1614" width="9.85546875" style="137" bestFit="1" customWidth="1"/>
    <col min="1615" max="1615" width="9.5703125" style="137" bestFit="1" customWidth="1"/>
    <col min="1616" max="1792" width="9.140625" style="137"/>
    <col min="1793" max="1793" width="2.85546875" style="137" customWidth="1"/>
    <col min="1794" max="1794" width="3.28515625" style="137" customWidth="1"/>
    <col min="1795" max="1795" width="69.28515625" style="137" customWidth="1"/>
    <col min="1796" max="1796" width="6" style="137" customWidth="1"/>
    <col min="1797" max="1801" width="13.5703125" style="137" customWidth="1"/>
    <col min="1802" max="1856" width="0" style="137" hidden="1" customWidth="1"/>
    <col min="1857" max="1858" width="12.85546875" style="137" customWidth="1"/>
    <col min="1859" max="1859" width="12" style="137" customWidth="1"/>
    <col min="1860" max="1860" width="13.140625" style="137" customWidth="1"/>
    <col min="1861" max="1861" width="12.85546875" style="137" customWidth="1"/>
    <col min="1862" max="1862" width="12.7109375" style="137" customWidth="1"/>
    <col min="1863" max="1863" width="13.140625" style="137" customWidth="1"/>
    <col min="1864" max="1864" width="11.28515625" style="137" customWidth="1"/>
    <col min="1865" max="1865" width="12.7109375" style="137" customWidth="1"/>
    <col min="1866" max="1866" width="12.5703125" style="137" customWidth="1"/>
    <col min="1867" max="1867" width="3.28515625" style="137" customWidth="1"/>
    <col min="1868" max="1868" width="0" style="137" hidden="1" customWidth="1"/>
    <col min="1869" max="1869" width="3.28515625" style="137" customWidth="1"/>
    <col min="1870" max="1870" width="9.85546875" style="137" bestFit="1" customWidth="1"/>
    <col min="1871" max="1871" width="9.5703125" style="137" bestFit="1" customWidth="1"/>
    <col min="1872" max="2048" width="9.140625" style="137"/>
    <col min="2049" max="2049" width="2.85546875" style="137" customWidth="1"/>
    <col min="2050" max="2050" width="3.28515625" style="137" customWidth="1"/>
    <col min="2051" max="2051" width="69.28515625" style="137" customWidth="1"/>
    <col min="2052" max="2052" width="6" style="137" customWidth="1"/>
    <col min="2053" max="2057" width="13.5703125" style="137" customWidth="1"/>
    <col min="2058" max="2112" width="0" style="137" hidden="1" customWidth="1"/>
    <col min="2113" max="2114" width="12.85546875" style="137" customWidth="1"/>
    <col min="2115" max="2115" width="12" style="137" customWidth="1"/>
    <col min="2116" max="2116" width="13.140625" style="137" customWidth="1"/>
    <col min="2117" max="2117" width="12.85546875" style="137" customWidth="1"/>
    <col min="2118" max="2118" width="12.7109375" style="137" customWidth="1"/>
    <col min="2119" max="2119" width="13.140625" style="137" customWidth="1"/>
    <col min="2120" max="2120" width="11.28515625" style="137" customWidth="1"/>
    <col min="2121" max="2121" width="12.7109375" style="137" customWidth="1"/>
    <col min="2122" max="2122" width="12.5703125" style="137" customWidth="1"/>
    <col min="2123" max="2123" width="3.28515625" style="137" customWidth="1"/>
    <col min="2124" max="2124" width="0" style="137" hidden="1" customWidth="1"/>
    <col min="2125" max="2125" width="3.28515625" style="137" customWidth="1"/>
    <col min="2126" max="2126" width="9.85546875" style="137" bestFit="1" customWidth="1"/>
    <col min="2127" max="2127" width="9.5703125" style="137" bestFit="1" customWidth="1"/>
    <col min="2128" max="2304" width="9.140625" style="137"/>
    <col min="2305" max="2305" width="2.85546875" style="137" customWidth="1"/>
    <col min="2306" max="2306" width="3.28515625" style="137" customWidth="1"/>
    <col min="2307" max="2307" width="69.28515625" style="137" customWidth="1"/>
    <col min="2308" max="2308" width="6" style="137" customWidth="1"/>
    <col min="2309" max="2313" width="13.5703125" style="137" customWidth="1"/>
    <col min="2314" max="2368" width="0" style="137" hidden="1" customWidth="1"/>
    <col min="2369" max="2370" width="12.85546875" style="137" customWidth="1"/>
    <col min="2371" max="2371" width="12" style="137" customWidth="1"/>
    <col min="2372" max="2372" width="13.140625" style="137" customWidth="1"/>
    <col min="2373" max="2373" width="12.85546875" style="137" customWidth="1"/>
    <col min="2374" max="2374" width="12.7109375" style="137" customWidth="1"/>
    <col min="2375" max="2375" width="13.140625" style="137" customWidth="1"/>
    <col min="2376" max="2376" width="11.28515625" style="137" customWidth="1"/>
    <col min="2377" max="2377" width="12.7109375" style="137" customWidth="1"/>
    <col min="2378" max="2378" width="12.5703125" style="137" customWidth="1"/>
    <col min="2379" max="2379" width="3.28515625" style="137" customWidth="1"/>
    <col min="2380" max="2380" width="0" style="137" hidden="1" customWidth="1"/>
    <col min="2381" max="2381" width="3.28515625" style="137" customWidth="1"/>
    <col min="2382" max="2382" width="9.85546875" style="137" bestFit="1" customWidth="1"/>
    <col min="2383" max="2383" width="9.5703125" style="137" bestFit="1" customWidth="1"/>
    <col min="2384" max="2560" width="9.140625" style="137"/>
    <col min="2561" max="2561" width="2.85546875" style="137" customWidth="1"/>
    <col min="2562" max="2562" width="3.28515625" style="137" customWidth="1"/>
    <col min="2563" max="2563" width="69.28515625" style="137" customWidth="1"/>
    <col min="2564" max="2564" width="6" style="137" customWidth="1"/>
    <col min="2565" max="2569" width="13.5703125" style="137" customWidth="1"/>
    <col min="2570" max="2624" width="0" style="137" hidden="1" customWidth="1"/>
    <col min="2625" max="2626" width="12.85546875" style="137" customWidth="1"/>
    <col min="2627" max="2627" width="12" style="137" customWidth="1"/>
    <col min="2628" max="2628" width="13.140625" style="137" customWidth="1"/>
    <col min="2629" max="2629" width="12.85546875" style="137" customWidth="1"/>
    <col min="2630" max="2630" width="12.7109375" style="137" customWidth="1"/>
    <col min="2631" max="2631" width="13.140625" style="137" customWidth="1"/>
    <col min="2632" max="2632" width="11.28515625" style="137" customWidth="1"/>
    <col min="2633" max="2633" width="12.7109375" style="137" customWidth="1"/>
    <col min="2634" max="2634" width="12.5703125" style="137" customWidth="1"/>
    <col min="2635" max="2635" width="3.28515625" style="137" customWidth="1"/>
    <col min="2636" max="2636" width="0" style="137" hidden="1" customWidth="1"/>
    <col min="2637" max="2637" width="3.28515625" style="137" customWidth="1"/>
    <col min="2638" max="2638" width="9.85546875" style="137" bestFit="1" customWidth="1"/>
    <col min="2639" max="2639" width="9.5703125" style="137" bestFit="1" customWidth="1"/>
    <col min="2640" max="2816" width="9.140625" style="137"/>
    <col min="2817" max="2817" width="2.85546875" style="137" customWidth="1"/>
    <col min="2818" max="2818" width="3.28515625" style="137" customWidth="1"/>
    <col min="2819" max="2819" width="69.28515625" style="137" customWidth="1"/>
    <col min="2820" max="2820" width="6" style="137" customWidth="1"/>
    <col min="2821" max="2825" width="13.5703125" style="137" customWidth="1"/>
    <col min="2826" max="2880" width="0" style="137" hidden="1" customWidth="1"/>
    <col min="2881" max="2882" width="12.85546875" style="137" customWidth="1"/>
    <col min="2883" max="2883" width="12" style="137" customWidth="1"/>
    <col min="2884" max="2884" width="13.140625" style="137" customWidth="1"/>
    <col min="2885" max="2885" width="12.85546875" style="137" customWidth="1"/>
    <col min="2886" max="2886" width="12.7109375" style="137" customWidth="1"/>
    <col min="2887" max="2887" width="13.140625" style="137" customWidth="1"/>
    <col min="2888" max="2888" width="11.28515625" style="137" customWidth="1"/>
    <col min="2889" max="2889" width="12.7109375" style="137" customWidth="1"/>
    <col min="2890" max="2890" width="12.5703125" style="137" customWidth="1"/>
    <col min="2891" max="2891" width="3.28515625" style="137" customWidth="1"/>
    <col min="2892" max="2892" width="0" style="137" hidden="1" customWidth="1"/>
    <col min="2893" max="2893" width="3.28515625" style="137" customWidth="1"/>
    <col min="2894" max="2894" width="9.85546875" style="137" bestFit="1" customWidth="1"/>
    <col min="2895" max="2895" width="9.5703125" style="137" bestFit="1" customWidth="1"/>
    <col min="2896" max="3072" width="9.140625" style="137"/>
    <col min="3073" max="3073" width="2.85546875" style="137" customWidth="1"/>
    <col min="3074" max="3074" width="3.28515625" style="137" customWidth="1"/>
    <col min="3075" max="3075" width="69.28515625" style="137" customWidth="1"/>
    <col min="3076" max="3076" width="6" style="137" customWidth="1"/>
    <col min="3077" max="3081" width="13.5703125" style="137" customWidth="1"/>
    <col min="3082" max="3136" width="0" style="137" hidden="1" customWidth="1"/>
    <col min="3137" max="3138" width="12.85546875" style="137" customWidth="1"/>
    <col min="3139" max="3139" width="12" style="137" customWidth="1"/>
    <col min="3140" max="3140" width="13.140625" style="137" customWidth="1"/>
    <col min="3141" max="3141" width="12.85546875" style="137" customWidth="1"/>
    <col min="3142" max="3142" width="12.7109375" style="137" customWidth="1"/>
    <col min="3143" max="3143" width="13.140625" style="137" customWidth="1"/>
    <col min="3144" max="3144" width="11.28515625" style="137" customWidth="1"/>
    <col min="3145" max="3145" width="12.7109375" style="137" customWidth="1"/>
    <col min="3146" max="3146" width="12.5703125" style="137" customWidth="1"/>
    <col min="3147" max="3147" width="3.28515625" style="137" customWidth="1"/>
    <col min="3148" max="3148" width="0" style="137" hidden="1" customWidth="1"/>
    <col min="3149" max="3149" width="3.28515625" style="137" customWidth="1"/>
    <col min="3150" max="3150" width="9.85546875" style="137" bestFit="1" customWidth="1"/>
    <col min="3151" max="3151" width="9.5703125" style="137" bestFit="1" customWidth="1"/>
    <col min="3152" max="3328" width="9.140625" style="137"/>
    <col min="3329" max="3329" width="2.85546875" style="137" customWidth="1"/>
    <col min="3330" max="3330" width="3.28515625" style="137" customWidth="1"/>
    <col min="3331" max="3331" width="69.28515625" style="137" customWidth="1"/>
    <col min="3332" max="3332" width="6" style="137" customWidth="1"/>
    <col min="3333" max="3337" width="13.5703125" style="137" customWidth="1"/>
    <col min="3338" max="3392" width="0" style="137" hidden="1" customWidth="1"/>
    <col min="3393" max="3394" width="12.85546875" style="137" customWidth="1"/>
    <col min="3395" max="3395" width="12" style="137" customWidth="1"/>
    <col min="3396" max="3396" width="13.140625" style="137" customWidth="1"/>
    <col min="3397" max="3397" width="12.85546875" style="137" customWidth="1"/>
    <col min="3398" max="3398" width="12.7109375" style="137" customWidth="1"/>
    <col min="3399" max="3399" width="13.140625" style="137" customWidth="1"/>
    <col min="3400" max="3400" width="11.28515625" style="137" customWidth="1"/>
    <col min="3401" max="3401" width="12.7109375" style="137" customWidth="1"/>
    <col min="3402" max="3402" width="12.5703125" style="137" customWidth="1"/>
    <col min="3403" max="3403" width="3.28515625" style="137" customWidth="1"/>
    <col min="3404" max="3404" width="0" style="137" hidden="1" customWidth="1"/>
    <col min="3405" max="3405" width="3.28515625" style="137" customWidth="1"/>
    <col min="3406" max="3406" width="9.85546875" style="137" bestFit="1" customWidth="1"/>
    <col min="3407" max="3407" width="9.5703125" style="137" bestFit="1" customWidth="1"/>
    <col min="3408" max="3584" width="9.140625" style="137"/>
    <col min="3585" max="3585" width="2.85546875" style="137" customWidth="1"/>
    <col min="3586" max="3586" width="3.28515625" style="137" customWidth="1"/>
    <col min="3587" max="3587" width="69.28515625" style="137" customWidth="1"/>
    <col min="3588" max="3588" width="6" style="137" customWidth="1"/>
    <col min="3589" max="3593" width="13.5703125" style="137" customWidth="1"/>
    <col min="3594" max="3648" width="0" style="137" hidden="1" customWidth="1"/>
    <col min="3649" max="3650" width="12.85546875" style="137" customWidth="1"/>
    <col min="3651" max="3651" width="12" style="137" customWidth="1"/>
    <col min="3652" max="3652" width="13.140625" style="137" customWidth="1"/>
    <col min="3653" max="3653" width="12.85546875" style="137" customWidth="1"/>
    <col min="3654" max="3654" width="12.7109375" style="137" customWidth="1"/>
    <col min="3655" max="3655" width="13.140625" style="137" customWidth="1"/>
    <col min="3656" max="3656" width="11.28515625" style="137" customWidth="1"/>
    <col min="3657" max="3657" width="12.7109375" style="137" customWidth="1"/>
    <col min="3658" max="3658" width="12.5703125" style="137" customWidth="1"/>
    <col min="3659" max="3659" width="3.28515625" style="137" customWidth="1"/>
    <col min="3660" max="3660" width="0" style="137" hidden="1" customWidth="1"/>
    <col min="3661" max="3661" width="3.28515625" style="137" customWidth="1"/>
    <col min="3662" max="3662" width="9.85546875" style="137" bestFit="1" customWidth="1"/>
    <col min="3663" max="3663" width="9.5703125" style="137" bestFit="1" customWidth="1"/>
    <col min="3664" max="3840" width="9.140625" style="137"/>
    <col min="3841" max="3841" width="2.85546875" style="137" customWidth="1"/>
    <col min="3842" max="3842" width="3.28515625" style="137" customWidth="1"/>
    <col min="3843" max="3843" width="69.28515625" style="137" customWidth="1"/>
    <col min="3844" max="3844" width="6" style="137" customWidth="1"/>
    <col min="3845" max="3849" width="13.5703125" style="137" customWidth="1"/>
    <col min="3850" max="3904" width="0" style="137" hidden="1" customWidth="1"/>
    <col min="3905" max="3906" width="12.85546875" style="137" customWidth="1"/>
    <col min="3907" max="3907" width="12" style="137" customWidth="1"/>
    <col min="3908" max="3908" width="13.140625" style="137" customWidth="1"/>
    <col min="3909" max="3909" width="12.85546875" style="137" customWidth="1"/>
    <col min="3910" max="3910" width="12.7109375" style="137" customWidth="1"/>
    <col min="3911" max="3911" width="13.140625" style="137" customWidth="1"/>
    <col min="3912" max="3912" width="11.28515625" style="137" customWidth="1"/>
    <col min="3913" max="3913" width="12.7109375" style="137" customWidth="1"/>
    <col min="3914" max="3914" width="12.5703125" style="137" customWidth="1"/>
    <col min="3915" max="3915" width="3.28515625" style="137" customWidth="1"/>
    <col min="3916" max="3916" width="0" style="137" hidden="1" customWidth="1"/>
    <col min="3917" max="3917" width="3.28515625" style="137" customWidth="1"/>
    <col min="3918" max="3918" width="9.85546875" style="137" bestFit="1" customWidth="1"/>
    <col min="3919" max="3919" width="9.5703125" style="137" bestFit="1" customWidth="1"/>
    <col min="3920" max="4096" width="9.140625" style="137"/>
    <col min="4097" max="4097" width="2.85546875" style="137" customWidth="1"/>
    <col min="4098" max="4098" width="3.28515625" style="137" customWidth="1"/>
    <col min="4099" max="4099" width="69.28515625" style="137" customWidth="1"/>
    <col min="4100" max="4100" width="6" style="137" customWidth="1"/>
    <col min="4101" max="4105" width="13.5703125" style="137" customWidth="1"/>
    <col min="4106" max="4160" width="0" style="137" hidden="1" customWidth="1"/>
    <col min="4161" max="4162" width="12.85546875" style="137" customWidth="1"/>
    <col min="4163" max="4163" width="12" style="137" customWidth="1"/>
    <col min="4164" max="4164" width="13.140625" style="137" customWidth="1"/>
    <col min="4165" max="4165" width="12.85546875" style="137" customWidth="1"/>
    <col min="4166" max="4166" width="12.7109375" style="137" customWidth="1"/>
    <col min="4167" max="4167" width="13.140625" style="137" customWidth="1"/>
    <col min="4168" max="4168" width="11.28515625" style="137" customWidth="1"/>
    <col min="4169" max="4169" width="12.7109375" style="137" customWidth="1"/>
    <col min="4170" max="4170" width="12.5703125" style="137" customWidth="1"/>
    <col min="4171" max="4171" width="3.28515625" style="137" customWidth="1"/>
    <col min="4172" max="4172" width="0" style="137" hidden="1" customWidth="1"/>
    <col min="4173" max="4173" width="3.28515625" style="137" customWidth="1"/>
    <col min="4174" max="4174" width="9.85546875" style="137" bestFit="1" customWidth="1"/>
    <col min="4175" max="4175" width="9.5703125" style="137" bestFit="1" customWidth="1"/>
    <col min="4176" max="4352" width="9.140625" style="137"/>
    <col min="4353" max="4353" width="2.85546875" style="137" customWidth="1"/>
    <col min="4354" max="4354" width="3.28515625" style="137" customWidth="1"/>
    <col min="4355" max="4355" width="69.28515625" style="137" customWidth="1"/>
    <col min="4356" max="4356" width="6" style="137" customWidth="1"/>
    <col min="4357" max="4361" width="13.5703125" style="137" customWidth="1"/>
    <col min="4362" max="4416" width="0" style="137" hidden="1" customWidth="1"/>
    <col min="4417" max="4418" width="12.85546875" style="137" customWidth="1"/>
    <col min="4419" max="4419" width="12" style="137" customWidth="1"/>
    <col min="4420" max="4420" width="13.140625" style="137" customWidth="1"/>
    <col min="4421" max="4421" width="12.85546875" style="137" customWidth="1"/>
    <col min="4422" max="4422" width="12.7109375" style="137" customWidth="1"/>
    <col min="4423" max="4423" width="13.140625" style="137" customWidth="1"/>
    <col min="4424" max="4424" width="11.28515625" style="137" customWidth="1"/>
    <col min="4425" max="4425" width="12.7109375" style="137" customWidth="1"/>
    <col min="4426" max="4426" width="12.5703125" style="137" customWidth="1"/>
    <col min="4427" max="4427" width="3.28515625" style="137" customWidth="1"/>
    <col min="4428" max="4428" width="0" style="137" hidden="1" customWidth="1"/>
    <col min="4429" max="4429" width="3.28515625" style="137" customWidth="1"/>
    <col min="4430" max="4430" width="9.85546875" style="137" bestFit="1" customWidth="1"/>
    <col min="4431" max="4431" width="9.5703125" style="137" bestFit="1" customWidth="1"/>
    <col min="4432" max="4608" width="9.140625" style="137"/>
    <col min="4609" max="4609" width="2.85546875" style="137" customWidth="1"/>
    <col min="4610" max="4610" width="3.28515625" style="137" customWidth="1"/>
    <col min="4611" max="4611" width="69.28515625" style="137" customWidth="1"/>
    <col min="4612" max="4612" width="6" style="137" customWidth="1"/>
    <col min="4613" max="4617" width="13.5703125" style="137" customWidth="1"/>
    <col min="4618" max="4672" width="0" style="137" hidden="1" customWidth="1"/>
    <col min="4673" max="4674" width="12.85546875" style="137" customWidth="1"/>
    <col min="4675" max="4675" width="12" style="137" customWidth="1"/>
    <col min="4676" max="4676" width="13.140625" style="137" customWidth="1"/>
    <col min="4677" max="4677" width="12.85546875" style="137" customWidth="1"/>
    <col min="4678" max="4678" width="12.7109375" style="137" customWidth="1"/>
    <col min="4679" max="4679" width="13.140625" style="137" customWidth="1"/>
    <col min="4680" max="4680" width="11.28515625" style="137" customWidth="1"/>
    <col min="4681" max="4681" width="12.7109375" style="137" customWidth="1"/>
    <col min="4682" max="4682" width="12.5703125" style="137" customWidth="1"/>
    <col min="4683" max="4683" width="3.28515625" style="137" customWidth="1"/>
    <col min="4684" max="4684" width="0" style="137" hidden="1" customWidth="1"/>
    <col min="4685" max="4685" width="3.28515625" style="137" customWidth="1"/>
    <col min="4686" max="4686" width="9.85546875" style="137" bestFit="1" customWidth="1"/>
    <col min="4687" max="4687" width="9.5703125" style="137" bestFit="1" customWidth="1"/>
    <col min="4688" max="4864" width="9.140625" style="137"/>
    <col min="4865" max="4865" width="2.85546875" style="137" customWidth="1"/>
    <col min="4866" max="4866" width="3.28515625" style="137" customWidth="1"/>
    <col min="4867" max="4867" width="69.28515625" style="137" customWidth="1"/>
    <col min="4868" max="4868" width="6" style="137" customWidth="1"/>
    <col min="4869" max="4873" width="13.5703125" style="137" customWidth="1"/>
    <col min="4874" max="4928" width="0" style="137" hidden="1" customWidth="1"/>
    <col min="4929" max="4930" width="12.85546875" style="137" customWidth="1"/>
    <col min="4931" max="4931" width="12" style="137" customWidth="1"/>
    <col min="4932" max="4932" width="13.140625" style="137" customWidth="1"/>
    <col min="4933" max="4933" width="12.85546875" style="137" customWidth="1"/>
    <col min="4934" max="4934" width="12.7109375" style="137" customWidth="1"/>
    <col min="4935" max="4935" width="13.140625" style="137" customWidth="1"/>
    <col min="4936" max="4936" width="11.28515625" style="137" customWidth="1"/>
    <col min="4937" max="4937" width="12.7109375" style="137" customWidth="1"/>
    <col min="4938" max="4938" width="12.5703125" style="137" customWidth="1"/>
    <col min="4939" max="4939" width="3.28515625" style="137" customWidth="1"/>
    <col min="4940" max="4940" width="0" style="137" hidden="1" customWidth="1"/>
    <col min="4941" max="4941" width="3.28515625" style="137" customWidth="1"/>
    <col min="4942" max="4942" width="9.85546875" style="137" bestFit="1" customWidth="1"/>
    <col min="4943" max="4943" width="9.5703125" style="137" bestFit="1" customWidth="1"/>
    <col min="4944" max="5120" width="9.140625" style="137"/>
    <col min="5121" max="5121" width="2.85546875" style="137" customWidth="1"/>
    <col min="5122" max="5122" width="3.28515625" style="137" customWidth="1"/>
    <col min="5123" max="5123" width="69.28515625" style="137" customWidth="1"/>
    <col min="5124" max="5124" width="6" style="137" customWidth="1"/>
    <col min="5125" max="5129" width="13.5703125" style="137" customWidth="1"/>
    <col min="5130" max="5184" width="0" style="137" hidden="1" customWidth="1"/>
    <col min="5185" max="5186" width="12.85546875" style="137" customWidth="1"/>
    <col min="5187" max="5187" width="12" style="137" customWidth="1"/>
    <col min="5188" max="5188" width="13.140625" style="137" customWidth="1"/>
    <col min="5189" max="5189" width="12.85546875" style="137" customWidth="1"/>
    <col min="5190" max="5190" width="12.7109375" style="137" customWidth="1"/>
    <col min="5191" max="5191" width="13.140625" style="137" customWidth="1"/>
    <col min="5192" max="5192" width="11.28515625" style="137" customWidth="1"/>
    <col min="5193" max="5193" width="12.7109375" style="137" customWidth="1"/>
    <col min="5194" max="5194" width="12.5703125" style="137" customWidth="1"/>
    <col min="5195" max="5195" width="3.28515625" style="137" customWidth="1"/>
    <col min="5196" max="5196" width="0" style="137" hidden="1" customWidth="1"/>
    <col min="5197" max="5197" width="3.28515625" style="137" customWidth="1"/>
    <col min="5198" max="5198" width="9.85546875" style="137" bestFit="1" customWidth="1"/>
    <col min="5199" max="5199" width="9.5703125" style="137" bestFit="1" customWidth="1"/>
    <col min="5200" max="5376" width="9.140625" style="137"/>
    <col min="5377" max="5377" width="2.85546875" style="137" customWidth="1"/>
    <col min="5378" max="5378" width="3.28515625" style="137" customWidth="1"/>
    <col min="5379" max="5379" width="69.28515625" style="137" customWidth="1"/>
    <col min="5380" max="5380" width="6" style="137" customWidth="1"/>
    <col min="5381" max="5385" width="13.5703125" style="137" customWidth="1"/>
    <col min="5386" max="5440" width="0" style="137" hidden="1" customWidth="1"/>
    <col min="5441" max="5442" width="12.85546875" style="137" customWidth="1"/>
    <col min="5443" max="5443" width="12" style="137" customWidth="1"/>
    <col min="5444" max="5444" width="13.140625" style="137" customWidth="1"/>
    <col min="5445" max="5445" width="12.85546875" style="137" customWidth="1"/>
    <col min="5446" max="5446" width="12.7109375" style="137" customWidth="1"/>
    <col min="5447" max="5447" width="13.140625" style="137" customWidth="1"/>
    <col min="5448" max="5448" width="11.28515625" style="137" customWidth="1"/>
    <col min="5449" max="5449" width="12.7109375" style="137" customWidth="1"/>
    <col min="5450" max="5450" width="12.5703125" style="137" customWidth="1"/>
    <col min="5451" max="5451" width="3.28515625" style="137" customWidth="1"/>
    <col min="5452" max="5452" width="0" style="137" hidden="1" customWidth="1"/>
    <col min="5453" max="5453" width="3.28515625" style="137" customWidth="1"/>
    <col min="5454" max="5454" width="9.85546875" style="137" bestFit="1" customWidth="1"/>
    <col min="5455" max="5455" width="9.5703125" style="137" bestFit="1" customWidth="1"/>
    <col min="5456" max="5632" width="9.140625" style="137"/>
    <col min="5633" max="5633" width="2.85546875" style="137" customWidth="1"/>
    <col min="5634" max="5634" width="3.28515625" style="137" customWidth="1"/>
    <col min="5635" max="5635" width="69.28515625" style="137" customWidth="1"/>
    <col min="5636" max="5636" width="6" style="137" customWidth="1"/>
    <col min="5637" max="5641" width="13.5703125" style="137" customWidth="1"/>
    <col min="5642" max="5696" width="0" style="137" hidden="1" customWidth="1"/>
    <col min="5697" max="5698" width="12.85546875" style="137" customWidth="1"/>
    <col min="5699" max="5699" width="12" style="137" customWidth="1"/>
    <col min="5700" max="5700" width="13.140625" style="137" customWidth="1"/>
    <col min="5701" max="5701" width="12.85546875" style="137" customWidth="1"/>
    <col min="5702" max="5702" width="12.7109375" style="137" customWidth="1"/>
    <col min="5703" max="5703" width="13.140625" style="137" customWidth="1"/>
    <col min="5704" max="5704" width="11.28515625" style="137" customWidth="1"/>
    <col min="5705" max="5705" width="12.7109375" style="137" customWidth="1"/>
    <col min="5706" max="5706" width="12.5703125" style="137" customWidth="1"/>
    <col min="5707" max="5707" width="3.28515625" style="137" customWidth="1"/>
    <col min="5708" max="5708" width="0" style="137" hidden="1" customWidth="1"/>
    <col min="5709" max="5709" width="3.28515625" style="137" customWidth="1"/>
    <col min="5710" max="5710" width="9.85546875" style="137" bestFit="1" customWidth="1"/>
    <col min="5711" max="5711" width="9.5703125" style="137" bestFit="1" customWidth="1"/>
    <col min="5712" max="5888" width="9.140625" style="137"/>
    <col min="5889" max="5889" width="2.85546875" style="137" customWidth="1"/>
    <col min="5890" max="5890" width="3.28515625" style="137" customWidth="1"/>
    <col min="5891" max="5891" width="69.28515625" style="137" customWidth="1"/>
    <col min="5892" max="5892" width="6" style="137" customWidth="1"/>
    <col min="5893" max="5897" width="13.5703125" style="137" customWidth="1"/>
    <col min="5898" max="5952" width="0" style="137" hidden="1" customWidth="1"/>
    <col min="5953" max="5954" width="12.85546875" style="137" customWidth="1"/>
    <col min="5955" max="5955" width="12" style="137" customWidth="1"/>
    <col min="5956" max="5956" width="13.140625" style="137" customWidth="1"/>
    <col min="5957" max="5957" width="12.85546875" style="137" customWidth="1"/>
    <col min="5958" max="5958" width="12.7109375" style="137" customWidth="1"/>
    <col min="5959" max="5959" width="13.140625" style="137" customWidth="1"/>
    <col min="5960" max="5960" width="11.28515625" style="137" customWidth="1"/>
    <col min="5961" max="5961" width="12.7109375" style="137" customWidth="1"/>
    <col min="5962" max="5962" width="12.5703125" style="137" customWidth="1"/>
    <col min="5963" max="5963" width="3.28515625" style="137" customWidth="1"/>
    <col min="5964" max="5964" width="0" style="137" hidden="1" customWidth="1"/>
    <col min="5965" max="5965" width="3.28515625" style="137" customWidth="1"/>
    <col min="5966" max="5966" width="9.85546875" style="137" bestFit="1" customWidth="1"/>
    <col min="5967" max="5967" width="9.5703125" style="137" bestFit="1" customWidth="1"/>
    <col min="5968" max="6144" width="9.140625" style="137"/>
    <col min="6145" max="6145" width="2.85546875" style="137" customWidth="1"/>
    <col min="6146" max="6146" width="3.28515625" style="137" customWidth="1"/>
    <col min="6147" max="6147" width="69.28515625" style="137" customWidth="1"/>
    <col min="6148" max="6148" width="6" style="137" customWidth="1"/>
    <col min="6149" max="6153" width="13.5703125" style="137" customWidth="1"/>
    <col min="6154" max="6208" width="0" style="137" hidden="1" customWidth="1"/>
    <col min="6209" max="6210" width="12.85546875" style="137" customWidth="1"/>
    <col min="6211" max="6211" width="12" style="137" customWidth="1"/>
    <col min="6212" max="6212" width="13.140625" style="137" customWidth="1"/>
    <col min="6213" max="6213" width="12.85546875" style="137" customWidth="1"/>
    <col min="6214" max="6214" width="12.7109375" style="137" customWidth="1"/>
    <col min="6215" max="6215" width="13.140625" style="137" customWidth="1"/>
    <col min="6216" max="6216" width="11.28515625" style="137" customWidth="1"/>
    <col min="6217" max="6217" width="12.7109375" style="137" customWidth="1"/>
    <col min="6218" max="6218" width="12.5703125" style="137" customWidth="1"/>
    <col min="6219" max="6219" width="3.28515625" style="137" customWidth="1"/>
    <col min="6220" max="6220" width="0" style="137" hidden="1" customWidth="1"/>
    <col min="6221" max="6221" width="3.28515625" style="137" customWidth="1"/>
    <col min="6222" max="6222" width="9.85546875" style="137" bestFit="1" customWidth="1"/>
    <col min="6223" max="6223" width="9.5703125" style="137" bestFit="1" customWidth="1"/>
    <col min="6224" max="6400" width="9.140625" style="137"/>
    <col min="6401" max="6401" width="2.85546875" style="137" customWidth="1"/>
    <col min="6402" max="6402" width="3.28515625" style="137" customWidth="1"/>
    <col min="6403" max="6403" width="69.28515625" style="137" customWidth="1"/>
    <col min="6404" max="6404" width="6" style="137" customWidth="1"/>
    <col min="6405" max="6409" width="13.5703125" style="137" customWidth="1"/>
    <col min="6410" max="6464" width="0" style="137" hidden="1" customWidth="1"/>
    <col min="6465" max="6466" width="12.85546875" style="137" customWidth="1"/>
    <col min="6467" max="6467" width="12" style="137" customWidth="1"/>
    <col min="6468" max="6468" width="13.140625" style="137" customWidth="1"/>
    <col min="6469" max="6469" width="12.85546875" style="137" customWidth="1"/>
    <col min="6470" max="6470" width="12.7109375" style="137" customWidth="1"/>
    <col min="6471" max="6471" width="13.140625" style="137" customWidth="1"/>
    <col min="6472" max="6472" width="11.28515625" style="137" customWidth="1"/>
    <col min="6473" max="6473" width="12.7109375" style="137" customWidth="1"/>
    <col min="6474" max="6474" width="12.5703125" style="137" customWidth="1"/>
    <col min="6475" max="6475" width="3.28515625" style="137" customWidth="1"/>
    <col min="6476" max="6476" width="0" style="137" hidden="1" customWidth="1"/>
    <col min="6477" max="6477" width="3.28515625" style="137" customWidth="1"/>
    <col min="6478" max="6478" width="9.85546875" style="137" bestFit="1" customWidth="1"/>
    <col min="6479" max="6479" width="9.5703125" style="137" bestFit="1" customWidth="1"/>
    <col min="6480" max="6656" width="9.140625" style="137"/>
    <col min="6657" max="6657" width="2.85546875" style="137" customWidth="1"/>
    <col min="6658" max="6658" width="3.28515625" style="137" customWidth="1"/>
    <col min="6659" max="6659" width="69.28515625" style="137" customWidth="1"/>
    <col min="6660" max="6660" width="6" style="137" customWidth="1"/>
    <col min="6661" max="6665" width="13.5703125" style="137" customWidth="1"/>
    <col min="6666" max="6720" width="0" style="137" hidden="1" customWidth="1"/>
    <col min="6721" max="6722" width="12.85546875" style="137" customWidth="1"/>
    <col min="6723" max="6723" width="12" style="137" customWidth="1"/>
    <col min="6724" max="6724" width="13.140625" style="137" customWidth="1"/>
    <col min="6725" max="6725" width="12.85546875" style="137" customWidth="1"/>
    <col min="6726" max="6726" width="12.7109375" style="137" customWidth="1"/>
    <col min="6727" max="6727" width="13.140625" style="137" customWidth="1"/>
    <col min="6728" max="6728" width="11.28515625" style="137" customWidth="1"/>
    <col min="6729" max="6729" width="12.7109375" style="137" customWidth="1"/>
    <col min="6730" max="6730" width="12.5703125" style="137" customWidth="1"/>
    <col min="6731" max="6731" width="3.28515625" style="137" customWidth="1"/>
    <col min="6732" max="6732" width="0" style="137" hidden="1" customWidth="1"/>
    <col min="6733" max="6733" width="3.28515625" style="137" customWidth="1"/>
    <col min="6734" max="6734" width="9.85546875" style="137" bestFit="1" customWidth="1"/>
    <col min="6735" max="6735" width="9.5703125" style="137" bestFit="1" customWidth="1"/>
    <col min="6736" max="6912" width="9.140625" style="137"/>
    <col min="6913" max="6913" width="2.85546875" style="137" customWidth="1"/>
    <col min="6914" max="6914" width="3.28515625" style="137" customWidth="1"/>
    <col min="6915" max="6915" width="69.28515625" style="137" customWidth="1"/>
    <col min="6916" max="6916" width="6" style="137" customWidth="1"/>
    <col min="6917" max="6921" width="13.5703125" style="137" customWidth="1"/>
    <col min="6922" max="6976" width="0" style="137" hidden="1" customWidth="1"/>
    <col min="6977" max="6978" width="12.85546875" style="137" customWidth="1"/>
    <col min="6979" max="6979" width="12" style="137" customWidth="1"/>
    <col min="6980" max="6980" width="13.140625" style="137" customWidth="1"/>
    <col min="6981" max="6981" width="12.85546875" style="137" customWidth="1"/>
    <col min="6982" max="6982" width="12.7109375" style="137" customWidth="1"/>
    <col min="6983" max="6983" width="13.140625" style="137" customWidth="1"/>
    <col min="6984" max="6984" width="11.28515625" style="137" customWidth="1"/>
    <col min="6985" max="6985" width="12.7109375" style="137" customWidth="1"/>
    <col min="6986" max="6986" width="12.5703125" style="137" customWidth="1"/>
    <col min="6987" max="6987" width="3.28515625" style="137" customWidth="1"/>
    <col min="6988" max="6988" width="0" style="137" hidden="1" customWidth="1"/>
    <col min="6989" max="6989" width="3.28515625" style="137" customWidth="1"/>
    <col min="6990" max="6990" width="9.85546875" style="137" bestFit="1" customWidth="1"/>
    <col min="6991" max="6991" width="9.5703125" style="137" bestFit="1" customWidth="1"/>
    <col min="6992" max="7168" width="9.140625" style="137"/>
    <col min="7169" max="7169" width="2.85546875" style="137" customWidth="1"/>
    <col min="7170" max="7170" width="3.28515625" style="137" customWidth="1"/>
    <col min="7171" max="7171" width="69.28515625" style="137" customWidth="1"/>
    <col min="7172" max="7172" width="6" style="137" customWidth="1"/>
    <col min="7173" max="7177" width="13.5703125" style="137" customWidth="1"/>
    <col min="7178" max="7232" width="0" style="137" hidden="1" customWidth="1"/>
    <col min="7233" max="7234" width="12.85546875" style="137" customWidth="1"/>
    <col min="7235" max="7235" width="12" style="137" customWidth="1"/>
    <col min="7236" max="7236" width="13.140625" style="137" customWidth="1"/>
    <col min="7237" max="7237" width="12.85546875" style="137" customWidth="1"/>
    <col min="7238" max="7238" width="12.7109375" style="137" customWidth="1"/>
    <col min="7239" max="7239" width="13.140625" style="137" customWidth="1"/>
    <col min="7240" max="7240" width="11.28515625" style="137" customWidth="1"/>
    <col min="7241" max="7241" width="12.7109375" style="137" customWidth="1"/>
    <col min="7242" max="7242" width="12.5703125" style="137" customWidth="1"/>
    <col min="7243" max="7243" width="3.28515625" style="137" customWidth="1"/>
    <col min="7244" max="7244" width="0" style="137" hidden="1" customWidth="1"/>
    <col min="7245" max="7245" width="3.28515625" style="137" customWidth="1"/>
    <col min="7246" max="7246" width="9.85546875" style="137" bestFit="1" customWidth="1"/>
    <col min="7247" max="7247" width="9.5703125" style="137" bestFit="1" customWidth="1"/>
    <col min="7248" max="7424" width="9.140625" style="137"/>
    <col min="7425" max="7425" width="2.85546875" style="137" customWidth="1"/>
    <col min="7426" max="7426" width="3.28515625" style="137" customWidth="1"/>
    <col min="7427" max="7427" width="69.28515625" style="137" customWidth="1"/>
    <col min="7428" max="7428" width="6" style="137" customWidth="1"/>
    <col min="7429" max="7433" width="13.5703125" style="137" customWidth="1"/>
    <col min="7434" max="7488" width="0" style="137" hidden="1" customWidth="1"/>
    <col min="7489" max="7490" width="12.85546875" style="137" customWidth="1"/>
    <col min="7491" max="7491" width="12" style="137" customWidth="1"/>
    <col min="7492" max="7492" width="13.140625" style="137" customWidth="1"/>
    <col min="7493" max="7493" width="12.85546875" style="137" customWidth="1"/>
    <col min="7494" max="7494" width="12.7109375" style="137" customWidth="1"/>
    <col min="7495" max="7495" width="13.140625" style="137" customWidth="1"/>
    <col min="7496" max="7496" width="11.28515625" style="137" customWidth="1"/>
    <col min="7497" max="7497" width="12.7109375" style="137" customWidth="1"/>
    <col min="7498" max="7498" width="12.5703125" style="137" customWidth="1"/>
    <col min="7499" max="7499" width="3.28515625" style="137" customWidth="1"/>
    <col min="7500" max="7500" width="0" style="137" hidden="1" customWidth="1"/>
    <col min="7501" max="7501" width="3.28515625" style="137" customWidth="1"/>
    <col min="7502" max="7502" width="9.85546875" style="137" bestFit="1" customWidth="1"/>
    <col min="7503" max="7503" width="9.5703125" style="137" bestFit="1" customWidth="1"/>
    <col min="7504" max="7680" width="9.140625" style="137"/>
    <col min="7681" max="7681" width="2.85546875" style="137" customWidth="1"/>
    <col min="7682" max="7682" width="3.28515625" style="137" customWidth="1"/>
    <col min="7683" max="7683" width="69.28515625" style="137" customWidth="1"/>
    <col min="7684" max="7684" width="6" style="137" customWidth="1"/>
    <col min="7685" max="7689" width="13.5703125" style="137" customWidth="1"/>
    <col min="7690" max="7744" width="0" style="137" hidden="1" customWidth="1"/>
    <col min="7745" max="7746" width="12.85546875" style="137" customWidth="1"/>
    <col min="7747" max="7747" width="12" style="137" customWidth="1"/>
    <col min="7748" max="7748" width="13.140625" style="137" customWidth="1"/>
    <col min="7749" max="7749" width="12.85546875" style="137" customWidth="1"/>
    <col min="7750" max="7750" width="12.7109375" style="137" customWidth="1"/>
    <col min="7751" max="7751" width="13.140625" style="137" customWidth="1"/>
    <col min="7752" max="7752" width="11.28515625" style="137" customWidth="1"/>
    <col min="7753" max="7753" width="12.7109375" style="137" customWidth="1"/>
    <col min="7754" max="7754" width="12.5703125" style="137" customWidth="1"/>
    <col min="7755" max="7755" width="3.28515625" style="137" customWidth="1"/>
    <col min="7756" max="7756" width="0" style="137" hidden="1" customWidth="1"/>
    <col min="7757" max="7757" width="3.28515625" style="137" customWidth="1"/>
    <col min="7758" max="7758" width="9.85546875" style="137" bestFit="1" customWidth="1"/>
    <col min="7759" max="7759" width="9.5703125" style="137" bestFit="1" customWidth="1"/>
    <col min="7760" max="7936" width="9.140625" style="137"/>
    <col min="7937" max="7937" width="2.85546875" style="137" customWidth="1"/>
    <col min="7938" max="7938" width="3.28515625" style="137" customWidth="1"/>
    <col min="7939" max="7939" width="69.28515625" style="137" customWidth="1"/>
    <col min="7940" max="7940" width="6" style="137" customWidth="1"/>
    <col min="7941" max="7945" width="13.5703125" style="137" customWidth="1"/>
    <col min="7946" max="8000" width="0" style="137" hidden="1" customWidth="1"/>
    <col min="8001" max="8002" width="12.85546875" style="137" customWidth="1"/>
    <col min="8003" max="8003" width="12" style="137" customWidth="1"/>
    <col min="8004" max="8004" width="13.140625" style="137" customWidth="1"/>
    <col min="8005" max="8005" width="12.85546875" style="137" customWidth="1"/>
    <col min="8006" max="8006" width="12.7109375" style="137" customWidth="1"/>
    <col min="8007" max="8007" width="13.140625" style="137" customWidth="1"/>
    <col min="8008" max="8008" width="11.28515625" style="137" customWidth="1"/>
    <col min="8009" max="8009" width="12.7109375" style="137" customWidth="1"/>
    <col min="8010" max="8010" width="12.5703125" style="137" customWidth="1"/>
    <col min="8011" max="8011" width="3.28515625" style="137" customWidth="1"/>
    <col min="8012" max="8012" width="0" style="137" hidden="1" customWidth="1"/>
    <col min="8013" max="8013" width="3.28515625" style="137" customWidth="1"/>
    <col min="8014" max="8014" width="9.85546875" style="137" bestFit="1" customWidth="1"/>
    <col min="8015" max="8015" width="9.5703125" style="137" bestFit="1" customWidth="1"/>
    <col min="8016" max="8192" width="9.140625" style="137"/>
    <col min="8193" max="8193" width="2.85546875" style="137" customWidth="1"/>
    <col min="8194" max="8194" width="3.28515625" style="137" customWidth="1"/>
    <col min="8195" max="8195" width="69.28515625" style="137" customWidth="1"/>
    <col min="8196" max="8196" width="6" style="137" customWidth="1"/>
    <col min="8197" max="8201" width="13.5703125" style="137" customWidth="1"/>
    <col min="8202" max="8256" width="0" style="137" hidden="1" customWidth="1"/>
    <col min="8257" max="8258" width="12.85546875" style="137" customWidth="1"/>
    <col min="8259" max="8259" width="12" style="137" customWidth="1"/>
    <col min="8260" max="8260" width="13.140625" style="137" customWidth="1"/>
    <col min="8261" max="8261" width="12.85546875" style="137" customWidth="1"/>
    <col min="8262" max="8262" width="12.7109375" style="137" customWidth="1"/>
    <col min="8263" max="8263" width="13.140625" style="137" customWidth="1"/>
    <col min="8264" max="8264" width="11.28515625" style="137" customWidth="1"/>
    <col min="8265" max="8265" width="12.7109375" style="137" customWidth="1"/>
    <col min="8266" max="8266" width="12.5703125" style="137" customWidth="1"/>
    <col min="8267" max="8267" width="3.28515625" style="137" customWidth="1"/>
    <col min="8268" max="8268" width="0" style="137" hidden="1" customWidth="1"/>
    <col min="8269" max="8269" width="3.28515625" style="137" customWidth="1"/>
    <col min="8270" max="8270" width="9.85546875" style="137" bestFit="1" customWidth="1"/>
    <col min="8271" max="8271" width="9.5703125" style="137" bestFit="1" customWidth="1"/>
    <col min="8272" max="8448" width="9.140625" style="137"/>
    <col min="8449" max="8449" width="2.85546875" style="137" customWidth="1"/>
    <col min="8450" max="8450" width="3.28515625" style="137" customWidth="1"/>
    <col min="8451" max="8451" width="69.28515625" style="137" customWidth="1"/>
    <col min="8452" max="8452" width="6" style="137" customWidth="1"/>
    <col min="8453" max="8457" width="13.5703125" style="137" customWidth="1"/>
    <col min="8458" max="8512" width="0" style="137" hidden="1" customWidth="1"/>
    <col min="8513" max="8514" width="12.85546875" style="137" customWidth="1"/>
    <col min="8515" max="8515" width="12" style="137" customWidth="1"/>
    <col min="8516" max="8516" width="13.140625" style="137" customWidth="1"/>
    <col min="8517" max="8517" width="12.85546875" style="137" customWidth="1"/>
    <col min="8518" max="8518" width="12.7109375" style="137" customWidth="1"/>
    <col min="8519" max="8519" width="13.140625" style="137" customWidth="1"/>
    <col min="8520" max="8520" width="11.28515625" style="137" customWidth="1"/>
    <col min="8521" max="8521" width="12.7109375" style="137" customWidth="1"/>
    <col min="8522" max="8522" width="12.5703125" style="137" customWidth="1"/>
    <col min="8523" max="8523" width="3.28515625" style="137" customWidth="1"/>
    <col min="8524" max="8524" width="0" style="137" hidden="1" customWidth="1"/>
    <col min="8525" max="8525" width="3.28515625" style="137" customWidth="1"/>
    <col min="8526" max="8526" width="9.85546875" style="137" bestFit="1" customWidth="1"/>
    <col min="8527" max="8527" width="9.5703125" style="137" bestFit="1" customWidth="1"/>
    <col min="8528" max="8704" width="9.140625" style="137"/>
    <col min="8705" max="8705" width="2.85546875" style="137" customWidth="1"/>
    <col min="8706" max="8706" width="3.28515625" style="137" customWidth="1"/>
    <col min="8707" max="8707" width="69.28515625" style="137" customWidth="1"/>
    <col min="8708" max="8708" width="6" style="137" customWidth="1"/>
    <col min="8709" max="8713" width="13.5703125" style="137" customWidth="1"/>
    <col min="8714" max="8768" width="0" style="137" hidden="1" customWidth="1"/>
    <col min="8769" max="8770" width="12.85546875" style="137" customWidth="1"/>
    <col min="8771" max="8771" width="12" style="137" customWidth="1"/>
    <col min="8772" max="8772" width="13.140625" style="137" customWidth="1"/>
    <col min="8773" max="8773" width="12.85546875" style="137" customWidth="1"/>
    <col min="8774" max="8774" width="12.7109375" style="137" customWidth="1"/>
    <col min="8775" max="8775" width="13.140625" style="137" customWidth="1"/>
    <col min="8776" max="8776" width="11.28515625" style="137" customWidth="1"/>
    <col min="8777" max="8777" width="12.7109375" style="137" customWidth="1"/>
    <col min="8778" max="8778" width="12.5703125" style="137" customWidth="1"/>
    <col min="8779" max="8779" width="3.28515625" style="137" customWidth="1"/>
    <col min="8780" max="8780" width="0" style="137" hidden="1" customWidth="1"/>
    <col min="8781" max="8781" width="3.28515625" style="137" customWidth="1"/>
    <col min="8782" max="8782" width="9.85546875" style="137" bestFit="1" customWidth="1"/>
    <col min="8783" max="8783" width="9.5703125" style="137" bestFit="1" customWidth="1"/>
    <col min="8784" max="8960" width="9.140625" style="137"/>
    <col min="8961" max="8961" width="2.85546875" style="137" customWidth="1"/>
    <col min="8962" max="8962" width="3.28515625" style="137" customWidth="1"/>
    <col min="8963" max="8963" width="69.28515625" style="137" customWidth="1"/>
    <col min="8964" max="8964" width="6" style="137" customWidth="1"/>
    <col min="8965" max="8969" width="13.5703125" style="137" customWidth="1"/>
    <col min="8970" max="9024" width="0" style="137" hidden="1" customWidth="1"/>
    <col min="9025" max="9026" width="12.85546875" style="137" customWidth="1"/>
    <col min="9027" max="9027" width="12" style="137" customWidth="1"/>
    <col min="9028" max="9028" width="13.140625" style="137" customWidth="1"/>
    <col min="9029" max="9029" width="12.85546875" style="137" customWidth="1"/>
    <col min="9030" max="9030" width="12.7109375" style="137" customWidth="1"/>
    <col min="9031" max="9031" width="13.140625" style="137" customWidth="1"/>
    <col min="9032" max="9032" width="11.28515625" style="137" customWidth="1"/>
    <col min="9033" max="9033" width="12.7109375" style="137" customWidth="1"/>
    <col min="9034" max="9034" width="12.5703125" style="137" customWidth="1"/>
    <col min="9035" max="9035" width="3.28515625" style="137" customWidth="1"/>
    <col min="9036" max="9036" width="0" style="137" hidden="1" customWidth="1"/>
    <col min="9037" max="9037" width="3.28515625" style="137" customWidth="1"/>
    <col min="9038" max="9038" width="9.85546875" style="137" bestFit="1" customWidth="1"/>
    <col min="9039" max="9039" width="9.5703125" style="137" bestFit="1" customWidth="1"/>
    <col min="9040" max="9216" width="9.140625" style="137"/>
    <col min="9217" max="9217" width="2.85546875" style="137" customWidth="1"/>
    <col min="9218" max="9218" width="3.28515625" style="137" customWidth="1"/>
    <col min="9219" max="9219" width="69.28515625" style="137" customWidth="1"/>
    <col min="9220" max="9220" width="6" style="137" customWidth="1"/>
    <col min="9221" max="9225" width="13.5703125" style="137" customWidth="1"/>
    <col min="9226" max="9280" width="0" style="137" hidden="1" customWidth="1"/>
    <col min="9281" max="9282" width="12.85546875" style="137" customWidth="1"/>
    <col min="9283" max="9283" width="12" style="137" customWidth="1"/>
    <col min="9284" max="9284" width="13.140625" style="137" customWidth="1"/>
    <col min="9285" max="9285" width="12.85546875" style="137" customWidth="1"/>
    <col min="9286" max="9286" width="12.7109375" style="137" customWidth="1"/>
    <col min="9287" max="9287" width="13.140625" style="137" customWidth="1"/>
    <col min="9288" max="9288" width="11.28515625" style="137" customWidth="1"/>
    <col min="9289" max="9289" width="12.7109375" style="137" customWidth="1"/>
    <col min="9290" max="9290" width="12.5703125" style="137" customWidth="1"/>
    <col min="9291" max="9291" width="3.28515625" style="137" customWidth="1"/>
    <col min="9292" max="9292" width="0" style="137" hidden="1" customWidth="1"/>
    <col min="9293" max="9293" width="3.28515625" style="137" customWidth="1"/>
    <col min="9294" max="9294" width="9.85546875" style="137" bestFit="1" customWidth="1"/>
    <col min="9295" max="9295" width="9.5703125" style="137" bestFit="1" customWidth="1"/>
    <col min="9296" max="9472" width="9.140625" style="137"/>
    <col min="9473" max="9473" width="2.85546875" style="137" customWidth="1"/>
    <col min="9474" max="9474" width="3.28515625" style="137" customWidth="1"/>
    <col min="9475" max="9475" width="69.28515625" style="137" customWidth="1"/>
    <col min="9476" max="9476" width="6" style="137" customWidth="1"/>
    <col min="9477" max="9481" width="13.5703125" style="137" customWidth="1"/>
    <col min="9482" max="9536" width="0" style="137" hidden="1" customWidth="1"/>
    <col min="9537" max="9538" width="12.85546875" style="137" customWidth="1"/>
    <col min="9539" max="9539" width="12" style="137" customWidth="1"/>
    <col min="9540" max="9540" width="13.140625" style="137" customWidth="1"/>
    <col min="9541" max="9541" width="12.85546875" style="137" customWidth="1"/>
    <col min="9542" max="9542" width="12.7109375" style="137" customWidth="1"/>
    <col min="9543" max="9543" width="13.140625" style="137" customWidth="1"/>
    <col min="9544" max="9544" width="11.28515625" style="137" customWidth="1"/>
    <col min="9545" max="9545" width="12.7109375" style="137" customWidth="1"/>
    <col min="9546" max="9546" width="12.5703125" style="137" customWidth="1"/>
    <col min="9547" max="9547" width="3.28515625" style="137" customWidth="1"/>
    <col min="9548" max="9548" width="0" style="137" hidden="1" customWidth="1"/>
    <col min="9549" max="9549" width="3.28515625" style="137" customWidth="1"/>
    <col min="9550" max="9550" width="9.85546875" style="137" bestFit="1" customWidth="1"/>
    <col min="9551" max="9551" width="9.5703125" style="137" bestFit="1" customWidth="1"/>
    <col min="9552" max="9728" width="9.140625" style="137"/>
    <col min="9729" max="9729" width="2.85546875" style="137" customWidth="1"/>
    <col min="9730" max="9730" width="3.28515625" style="137" customWidth="1"/>
    <col min="9731" max="9731" width="69.28515625" style="137" customWidth="1"/>
    <col min="9732" max="9732" width="6" style="137" customWidth="1"/>
    <col min="9733" max="9737" width="13.5703125" style="137" customWidth="1"/>
    <col min="9738" max="9792" width="0" style="137" hidden="1" customWidth="1"/>
    <col min="9793" max="9794" width="12.85546875" style="137" customWidth="1"/>
    <col min="9795" max="9795" width="12" style="137" customWidth="1"/>
    <col min="9796" max="9796" width="13.140625" style="137" customWidth="1"/>
    <col min="9797" max="9797" width="12.85546875" style="137" customWidth="1"/>
    <col min="9798" max="9798" width="12.7109375" style="137" customWidth="1"/>
    <col min="9799" max="9799" width="13.140625" style="137" customWidth="1"/>
    <col min="9800" max="9800" width="11.28515625" style="137" customWidth="1"/>
    <col min="9801" max="9801" width="12.7109375" style="137" customWidth="1"/>
    <col min="9802" max="9802" width="12.5703125" style="137" customWidth="1"/>
    <col min="9803" max="9803" width="3.28515625" style="137" customWidth="1"/>
    <col min="9804" max="9804" width="0" style="137" hidden="1" customWidth="1"/>
    <col min="9805" max="9805" width="3.28515625" style="137" customWidth="1"/>
    <col min="9806" max="9806" width="9.85546875" style="137" bestFit="1" customWidth="1"/>
    <col min="9807" max="9807" width="9.5703125" style="137" bestFit="1" customWidth="1"/>
    <col min="9808" max="9984" width="9.140625" style="137"/>
    <col min="9985" max="9985" width="2.85546875" style="137" customWidth="1"/>
    <col min="9986" max="9986" width="3.28515625" style="137" customWidth="1"/>
    <col min="9987" max="9987" width="69.28515625" style="137" customWidth="1"/>
    <col min="9988" max="9988" width="6" style="137" customWidth="1"/>
    <col min="9989" max="9993" width="13.5703125" style="137" customWidth="1"/>
    <col min="9994" max="10048" width="0" style="137" hidden="1" customWidth="1"/>
    <col min="10049" max="10050" width="12.85546875" style="137" customWidth="1"/>
    <col min="10051" max="10051" width="12" style="137" customWidth="1"/>
    <col min="10052" max="10052" width="13.140625" style="137" customWidth="1"/>
    <col min="10053" max="10053" width="12.85546875" style="137" customWidth="1"/>
    <col min="10054" max="10054" width="12.7109375" style="137" customWidth="1"/>
    <col min="10055" max="10055" width="13.140625" style="137" customWidth="1"/>
    <col min="10056" max="10056" width="11.28515625" style="137" customWidth="1"/>
    <col min="10057" max="10057" width="12.7109375" style="137" customWidth="1"/>
    <col min="10058" max="10058" width="12.5703125" style="137" customWidth="1"/>
    <col min="10059" max="10059" width="3.28515625" style="137" customWidth="1"/>
    <col min="10060" max="10060" width="0" style="137" hidden="1" customWidth="1"/>
    <col min="10061" max="10061" width="3.28515625" style="137" customWidth="1"/>
    <col min="10062" max="10062" width="9.85546875" style="137" bestFit="1" customWidth="1"/>
    <col min="10063" max="10063" width="9.5703125" style="137" bestFit="1" customWidth="1"/>
    <col min="10064" max="10240" width="9.140625" style="137"/>
    <col min="10241" max="10241" width="2.85546875" style="137" customWidth="1"/>
    <col min="10242" max="10242" width="3.28515625" style="137" customWidth="1"/>
    <col min="10243" max="10243" width="69.28515625" style="137" customWidth="1"/>
    <col min="10244" max="10244" width="6" style="137" customWidth="1"/>
    <col min="10245" max="10249" width="13.5703125" style="137" customWidth="1"/>
    <col min="10250" max="10304" width="0" style="137" hidden="1" customWidth="1"/>
    <col min="10305" max="10306" width="12.85546875" style="137" customWidth="1"/>
    <col min="10307" max="10307" width="12" style="137" customWidth="1"/>
    <col min="10308" max="10308" width="13.140625" style="137" customWidth="1"/>
    <col min="10309" max="10309" width="12.85546875" style="137" customWidth="1"/>
    <col min="10310" max="10310" width="12.7109375" style="137" customWidth="1"/>
    <col min="10311" max="10311" width="13.140625" style="137" customWidth="1"/>
    <col min="10312" max="10312" width="11.28515625" style="137" customWidth="1"/>
    <col min="10313" max="10313" width="12.7109375" style="137" customWidth="1"/>
    <col min="10314" max="10314" width="12.5703125" style="137" customWidth="1"/>
    <col min="10315" max="10315" width="3.28515625" style="137" customWidth="1"/>
    <col min="10316" max="10316" width="0" style="137" hidden="1" customWidth="1"/>
    <col min="10317" max="10317" width="3.28515625" style="137" customWidth="1"/>
    <col min="10318" max="10318" width="9.85546875" style="137" bestFit="1" customWidth="1"/>
    <col min="10319" max="10319" width="9.5703125" style="137" bestFit="1" customWidth="1"/>
    <col min="10320" max="10496" width="9.140625" style="137"/>
    <col min="10497" max="10497" width="2.85546875" style="137" customWidth="1"/>
    <col min="10498" max="10498" width="3.28515625" style="137" customWidth="1"/>
    <col min="10499" max="10499" width="69.28515625" style="137" customWidth="1"/>
    <col min="10500" max="10500" width="6" style="137" customWidth="1"/>
    <col min="10501" max="10505" width="13.5703125" style="137" customWidth="1"/>
    <col min="10506" max="10560" width="0" style="137" hidden="1" customWidth="1"/>
    <col min="10561" max="10562" width="12.85546875" style="137" customWidth="1"/>
    <col min="10563" max="10563" width="12" style="137" customWidth="1"/>
    <col min="10564" max="10564" width="13.140625" style="137" customWidth="1"/>
    <col min="10565" max="10565" width="12.85546875" style="137" customWidth="1"/>
    <col min="10566" max="10566" width="12.7109375" style="137" customWidth="1"/>
    <col min="10567" max="10567" width="13.140625" style="137" customWidth="1"/>
    <col min="10568" max="10568" width="11.28515625" style="137" customWidth="1"/>
    <col min="10569" max="10569" width="12.7109375" style="137" customWidth="1"/>
    <col min="10570" max="10570" width="12.5703125" style="137" customWidth="1"/>
    <col min="10571" max="10571" width="3.28515625" style="137" customWidth="1"/>
    <col min="10572" max="10572" width="0" style="137" hidden="1" customWidth="1"/>
    <col min="10573" max="10573" width="3.28515625" style="137" customWidth="1"/>
    <col min="10574" max="10574" width="9.85546875" style="137" bestFit="1" customWidth="1"/>
    <col min="10575" max="10575" width="9.5703125" style="137" bestFit="1" customWidth="1"/>
    <col min="10576" max="10752" width="9.140625" style="137"/>
    <col min="10753" max="10753" width="2.85546875" style="137" customWidth="1"/>
    <col min="10754" max="10754" width="3.28515625" style="137" customWidth="1"/>
    <col min="10755" max="10755" width="69.28515625" style="137" customWidth="1"/>
    <col min="10756" max="10756" width="6" style="137" customWidth="1"/>
    <col min="10757" max="10761" width="13.5703125" style="137" customWidth="1"/>
    <col min="10762" max="10816" width="0" style="137" hidden="1" customWidth="1"/>
    <col min="10817" max="10818" width="12.85546875" style="137" customWidth="1"/>
    <col min="10819" max="10819" width="12" style="137" customWidth="1"/>
    <col min="10820" max="10820" width="13.140625" style="137" customWidth="1"/>
    <col min="10821" max="10821" width="12.85546875" style="137" customWidth="1"/>
    <col min="10822" max="10822" width="12.7109375" style="137" customWidth="1"/>
    <col min="10823" max="10823" width="13.140625" style="137" customWidth="1"/>
    <col min="10824" max="10824" width="11.28515625" style="137" customWidth="1"/>
    <col min="10825" max="10825" width="12.7109375" style="137" customWidth="1"/>
    <col min="10826" max="10826" width="12.5703125" style="137" customWidth="1"/>
    <col min="10827" max="10827" width="3.28515625" style="137" customWidth="1"/>
    <col min="10828" max="10828" width="0" style="137" hidden="1" customWidth="1"/>
    <col min="10829" max="10829" width="3.28515625" style="137" customWidth="1"/>
    <col min="10830" max="10830" width="9.85546875" style="137" bestFit="1" customWidth="1"/>
    <col min="10831" max="10831" width="9.5703125" style="137" bestFit="1" customWidth="1"/>
    <col min="10832" max="11008" width="9.140625" style="137"/>
    <col min="11009" max="11009" width="2.85546875" style="137" customWidth="1"/>
    <col min="11010" max="11010" width="3.28515625" style="137" customWidth="1"/>
    <col min="11011" max="11011" width="69.28515625" style="137" customWidth="1"/>
    <col min="11012" max="11012" width="6" style="137" customWidth="1"/>
    <col min="11013" max="11017" width="13.5703125" style="137" customWidth="1"/>
    <col min="11018" max="11072" width="0" style="137" hidden="1" customWidth="1"/>
    <col min="11073" max="11074" width="12.85546875" style="137" customWidth="1"/>
    <col min="11075" max="11075" width="12" style="137" customWidth="1"/>
    <col min="11076" max="11076" width="13.140625" style="137" customWidth="1"/>
    <col min="11077" max="11077" width="12.85546875" style="137" customWidth="1"/>
    <col min="11078" max="11078" width="12.7109375" style="137" customWidth="1"/>
    <col min="11079" max="11079" width="13.140625" style="137" customWidth="1"/>
    <col min="11080" max="11080" width="11.28515625" style="137" customWidth="1"/>
    <col min="11081" max="11081" width="12.7109375" style="137" customWidth="1"/>
    <col min="11082" max="11082" width="12.5703125" style="137" customWidth="1"/>
    <col min="11083" max="11083" width="3.28515625" style="137" customWidth="1"/>
    <col min="11084" max="11084" width="0" style="137" hidden="1" customWidth="1"/>
    <col min="11085" max="11085" width="3.28515625" style="137" customWidth="1"/>
    <col min="11086" max="11086" width="9.85546875" style="137" bestFit="1" customWidth="1"/>
    <col min="11087" max="11087" width="9.5703125" style="137" bestFit="1" customWidth="1"/>
    <col min="11088" max="11264" width="9.140625" style="137"/>
    <col min="11265" max="11265" width="2.85546875" style="137" customWidth="1"/>
    <col min="11266" max="11266" width="3.28515625" style="137" customWidth="1"/>
    <col min="11267" max="11267" width="69.28515625" style="137" customWidth="1"/>
    <col min="11268" max="11268" width="6" style="137" customWidth="1"/>
    <col min="11269" max="11273" width="13.5703125" style="137" customWidth="1"/>
    <col min="11274" max="11328" width="0" style="137" hidden="1" customWidth="1"/>
    <col min="11329" max="11330" width="12.85546875" style="137" customWidth="1"/>
    <col min="11331" max="11331" width="12" style="137" customWidth="1"/>
    <col min="11332" max="11332" width="13.140625" style="137" customWidth="1"/>
    <col min="11333" max="11333" width="12.85546875" style="137" customWidth="1"/>
    <col min="11334" max="11334" width="12.7109375" style="137" customWidth="1"/>
    <col min="11335" max="11335" width="13.140625" style="137" customWidth="1"/>
    <col min="11336" max="11336" width="11.28515625" style="137" customWidth="1"/>
    <col min="11337" max="11337" width="12.7109375" style="137" customWidth="1"/>
    <col min="11338" max="11338" width="12.5703125" style="137" customWidth="1"/>
    <col min="11339" max="11339" width="3.28515625" style="137" customWidth="1"/>
    <col min="11340" max="11340" width="0" style="137" hidden="1" customWidth="1"/>
    <col min="11341" max="11341" width="3.28515625" style="137" customWidth="1"/>
    <col min="11342" max="11342" width="9.85546875" style="137" bestFit="1" customWidth="1"/>
    <col min="11343" max="11343" width="9.5703125" style="137" bestFit="1" customWidth="1"/>
    <col min="11344" max="11520" width="9.140625" style="137"/>
    <col min="11521" max="11521" width="2.85546875" style="137" customWidth="1"/>
    <col min="11522" max="11522" width="3.28515625" style="137" customWidth="1"/>
    <col min="11523" max="11523" width="69.28515625" style="137" customWidth="1"/>
    <col min="11524" max="11524" width="6" style="137" customWidth="1"/>
    <col min="11525" max="11529" width="13.5703125" style="137" customWidth="1"/>
    <col min="11530" max="11584" width="0" style="137" hidden="1" customWidth="1"/>
    <col min="11585" max="11586" width="12.85546875" style="137" customWidth="1"/>
    <col min="11587" max="11587" width="12" style="137" customWidth="1"/>
    <col min="11588" max="11588" width="13.140625" style="137" customWidth="1"/>
    <col min="11589" max="11589" width="12.85546875" style="137" customWidth="1"/>
    <col min="11590" max="11590" width="12.7109375" style="137" customWidth="1"/>
    <col min="11591" max="11591" width="13.140625" style="137" customWidth="1"/>
    <col min="11592" max="11592" width="11.28515625" style="137" customWidth="1"/>
    <col min="11593" max="11593" width="12.7109375" style="137" customWidth="1"/>
    <col min="11594" max="11594" width="12.5703125" style="137" customWidth="1"/>
    <col min="11595" max="11595" width="3.28515625" style="137" customWidth="1"/>
    <col min="11596" max="11596" width="0" style="137" hidden="1" customWidth="1"/>
    <col min="11597" max="11597" width="3.28515625" style="137" customWidth="1"/>
    <col min="11598" max="11598" width="9.85546875" style="137" bestFit="1" customWidth="1"/>
    <col min="11599" max="11599" width="9.5703125" style="137" bestFit="1" customWidth="1"/>
    <col min="11600" max="11776" width="9.140625" style="137"/>
    <col min="11777" max="11777" width="2.85546875" style="137" customWidth="1"/>
    <col min="11778" max="11778" width="3.28515625" style="137" customWidth="1"/>
    <col min="11779" max="11779" width="69.28515625" style="137" customWidth="1"/>
    <col min="11780" max="11780" width="6" style="137" customWidth="1"/>
    <col min="11781" max="11785" width="13.5703125" style="137" customWidth="1"/>
    <col min="11786" max="11840" width="0" style="137" hidden="1" customWidth="1"/>
    <col min="11841" max="11842" width="12.85546875" style="137" customWidth="1"/>
    <col min="11843" max="11843" width="12" style="137" customWidth="1"/>
    <col min="11844" max="11844" width="13.140625" style="137" customWidth="1"/>
    <col min="11845" max="11845" width="12.85546875" style="137" customWidth="1"/>
    <col min="11846" max="11846" width="12.7109375" style="137" customWidth="1"/>
    <col min="11847" max="11847" width="13.140625" style="137" customWidth="1"/>
    <col min="11848" max="11848" width="11.28515625" style="137" customWidth="1"/>
    <col min="11849" max="11849" width="12.7109375" style="137" customWidth="1"/>
    <col min="11850" max="11850" width="12.5703125" style="137" customWidth="1"/>
    <col min="11851" max="11851" width="3.28515625" style="137" customWidth="1"/>
    <col min="11852" max="11852" width="0" style="137" hidden="1" customWidth="1"/>
    <col min="11853" max="11853" width="3.28515625" style="137" customWidth="1"/>
    <col min="11854" max="11854" width="9.85546875" style="137" bestFit="1" customWidth="1"/>
    <col min="11855" max="11855" width="9.5703125" style="137" bestFit="1" customWidth="1"/>
    <col min="11856" max="12032" width="9.140625" style="137"/>
    <col min="12033" max="12033" width="2.85546875" style="137" customWidth="1"/>
    <col min="12034" max="12034" width="3.28515625" style="137" customWidth="1"/>
    <col min="12035" max="12035" width="69.28515625" style="137" customWidth="1"/>
    <col min="12036" max="12036" width="6" style="137" customWidth="1"/>
    <col min="12037" max="12041" width="13.5703125" style="137" customWidth="1"/>
    <col min="12042" max="12096" width="0" style="137" hidden="1" customWidth="1"/>
    <col min="12097" max="12098" width="12.85546875" style="137" customWidth="1"/>
    <col min="12099" max="12099" width="12" style="137" customWidth="1"/>
    <col min="12100" max="12100" width="13.140625" style="137" customWidth="1"/>
    <col min="12101" max="12101" width="12.85546875" style="137" customWidth="1"/>
    <col min="12102" max="12102" width="12.7109375" style="137" customWidth="1"/>
    <col min="12103" max="12103" width="13.140625" style="137" customWidth="1"/>
    <col min="12104" max="12104" width="11.28515625" style="137" customWidth="1"/>
    <col min="12105" max="12105" width="12.7109375" style="137" customWidth="1"/>
    <col min="12106" max="12106" width="12.5703125" style="137" customWidth="1"/>
    <col min="12107" max="12107" width="3.28515625" style="137" customWidth="1"/>
    <col min="12108" max="12108" width="0" style="137" hidden="1" customWidth="1"/>
    <col min="12109" max="12109" width="3.28515625" style="137" customWidth="1"/>
    <col min="12110" max="12110" width="9.85546875" style="137" bestFit="1" customWidth="1"/>
    <col min="12111" max="12111" width="9.5703125" style="137" bestFit="1" customWidth="1"/>
    <col min="12112" max="12288" width="9.140625" style="137"/>
    <col min="12289" max="12289" width="2.85546875" style="137" customWidth="1"/>
    <col min="12290" max="12290" width="3.28515625" style="137" customWidth="1"/>
    <col min="12291" max="12291" width="69.28515625" style="137" customWidth="1"/>
    <col min="12292" max="12292" width="6" style="137" customWidth="1"/>
    <col min="12293" max="12297" width="13.5703125" style="137" customWidth="1"/>
    <col min="12298" max="12352" width="0" style="137" hidden="1" customWidth="1"/>
    <col min="12353" max="12354" width="12.85546875" style="137" customWidth="1"/>
    <col min="12355" max="12355" width="12" style="137" customWidth="1"/>
    <col min="12356" max="12356" width="13.140625" style="137" customWidth="1"/>
    <col min="12357" max="12357" width="12.85546875" style="137" customWidth="1"/>
    <col min="12358" max="12358" width="12.7109375" style="137" customWidth="1"/>
    <col min="12359" max="12359" width="13.140625" style="137" customWidth="1"/>
    <col min="12360" max="12360" width="11.28515625" style="137" customWidth="1"/>
    <col min="12361" max="12361" width="12.7109375" style="137" customWidth="1"/>
    <col min="12362" max="12362" width="12.5703125" style="137" customWidth="1"/>
    <col min="12363" max="12363" width="3.28515625" style="137" customWidth="1"/>
    <col min="12364" max="12364" width="0" style="137" hidden="1" customWidth="1"/>
    <col min="12365" max="12365" width="3.28515625" style="137" customWidth="1"/>
    <col min="12366" max="12366" width="9.85546875" style="137" bestFit="1" customWidth="1"/>
    <col min="12367" max="12367" width="9.5703125" style="137" bestFit="1" customWidth="1"/>
    <col min="12368" max="12544" width="9.140625" style="137"/>
    <col min="12545" max="12545" width="2.85546875" style="137" customWidth="1"/>
    <col min="12546" max="12546" width="3.28515625" style="137" customWidth="1"/>
    <col min="12547" max="12547" width="69.28515625" style="137" customWidth="1"/>
    <col min="12548" max="12548" width="6" style="137" customWidth="1"/>
    <col min="12549" max="12553" width="13.5703125" style="137" customWidth="1"/>
    <col min="12554" max="12608" width="0" style="137" hidden="1" customWidth="1"/>
    <col min="12609" max="12610" width="12.85546875" style="137" customWidth="1"/>
    <col min="12611" max="12611" width="12" style="137" customWidth="1"/>
    <col min="12612" max="12612" width="13.140625" style="137" customWidth="1"/>
    <col min="12613" max="12613" width="12.85546875" style="137" customWidth="1"/>
    <col min="12614" max="12614" width="12.7109375" style="137" customWidth="1"/>
    <col min="12615" max="12615" width="13.140625" style="137" customWidth="1"/>
    <col min="12616" max="12616" width="11.28515625" style="137" customWidth="1"/>
    <col min="12617" max="12617" width="12.7109375" style="137" customWidth="1"/>
    <col min="12618" max="12618" width="12.5703125" style="137" customWidth="1"/>
    <col min="12619" max="12619" width="3.28515625" style="137" customWidth="1"/>
    <col min="12620" max="12620" width="0" style="137" hidden="1" customWidth="1"/>
    <col min="12621" max="12621" width="3.28515625" style="137" customWidth="1"/>
    <col min="12622" max="12622" width="9.85546875" style="137" bestFit="1" customWidth="1"/>
    <col min="12623" max="12623" width="9.5703125" style="137" bestFit="1" customWidth="1"/>
    <col min="12624" max="12800" width="9.140625" style="137"/>
    <col min="12801" max="12801" width="2.85546875" style="137" customWidth="1"/>
    <col min="12802" max="12802" width="3.28515625" style="137" customWidth="1"/>
    <col min="12803" max="12803" width="69.28515625" style="137" customWidth="1"/>
    <col min="12804" max="12804" width="6" style="137" customWidth="1"/>
    <col min="12805" max="12809" width="13.5703125" style="137" customWidth="1"/>
    <col min="12810" max="12864" width="0" style="137" hidden="1" customWidth="1"/>
    <col min="12865" max="12866" width="12.85546875" style="137" customWidth="1"/>
    <col min="12867" max="12867" width="12" style="137" customWidth="1"/>
    <col min="12868" max="12868" width="13.140625" style="137" customWidth="1"/>
    <col min="12869" max="12869" width="12.85546875" style="137" customWidth="1"/>
    <col min="12870" max="12870" width="12.7109375" style="137" customWidth="1"/>
    <col min="12871" max="12871" width="13.140625" style="137" customWidth="1"/>
    <col min="12872" max="12872" width="11.28515625" style="137" customWidth="1"/>
    <col min="12873" max="12873" width="12.7109375" style="137" customWidth="1"/>
    <col min="12874" max="12874" width="12.5703125" style="137" customWidth="1"/>
    <col min="12875" max="12875" width="3.28515625" style="137" customWidth="1"/>
    <col min="12876" max="12876" width="0" style="137" hidden="1" customWidth="1"/>
    <col min="12877" max="12877" width="3.28515625" style="137" customWidth="1"/>
    <col min="12878" max="12878" width="9.85546875" style="137" bestFit="1" customWidth="1"/>
    <col min="12879" max="12879" width="9.5703125" style="137" bestFit="1" customWidth="1"/>
    <col min="12880" max="13056" width="9.140625" style="137"/>
    <col min="13057" max="13057" width="2.85546875" style="137" customWidth="1"/>
    <col min="13058" max="13058" width="3.28515625" style="137" customWidth="1"/>
    <col min="13059" max="13059" width="69.28515625" style="137" customWidth="1"/>
    <col min="13060" max="13060" width="6" style="137" customWidth="1"/>
    <col min="13061" max="13065" width="13.5703125" style="137" customWidth="1"/>
    <col min="13066" max="13120" width="0" style="137" hidden="1" customWidth="1"/>
    <col min="13121" max="13122" width="12.85546875" style="137" customWidth="1"/>
    <col min="13123" max="13123" width="12" style="137" customWidth="1"/>
    <col min="13124" max="13124" width="13.140625" style="137" customWidth="1"/>
    <col min="13125" max="13125" width="12.85546875" style="137" customWidth="1"/>
    <col min="13126" max="13126" width="12.7109375" style="137" customWidth="1"/>
    <col min="13127" max="13127" width="13.140625" style="137" customWidth="1"/>
    <col min="13128" max="13128" width="11.28515625" style="137" customWidth="1"/>
    <col min="13129" max="13129" width="12.7109375" style="137" customWidth="1"/>
    <col min="13130" max="13130" width="12.5703125" style="137" customWidth="1"/>
    <col min="13131" max="13131" width="3.28515625" style="137" customWidth="1"/>
    <col min="13132" max="13132" width="0" style="137" hidden="1" customWidth="1"/>
    <col min="13133" max="13133" width="3.28515625" style="137" customWidth="1"/>
    <col min="13134" max="13134" width="9.85546875" style="137" bestFit="1" customWidth="1"/>
    <col min="13135" max="13135" width="9.5703125" style="137" bestFit="1" customWidth="1"/>
    <col min="13136" max="13312" width="9.140625" style="137"/>
    <col min="13313" max="13313" width="2.85546875" style="137" customWidth="1"/>
    <col min="13314" max="13314" width="3.28515625" style="137" customWidth="1"/>
    <col min="13315" max="13315" width="69.28515625" style="137" customWidth="1"/>
    <col min="13316" max="13316" width="6" style="137" customWidth="1"/>
    <col min="13317" max="13321" width="13.5703125" style="137" customWidth="1"/>
    <col min="13322" max="13376" width="0" style="137" hidden="1" customWidth="1"/>
    <col min="13377" max="13378" width="12.85546875" style="137" customWidth="1"/>
    <col min="13379" max="13379" width="12" style="137" customWidth="1"/>
    <col min="13380" max="13380" width="13.140625" style="137" customWidth="1"/>
    <col min="13381" max="13381" width="12.85546875" style="137" customWidth="1"/>
    <col min="13382" max="13382" width="12.7109375" style="137" customWidth="1"/>
    <col min="13383" max="13383" width="13.140625" style="137" customWidth="1"/>
    <col min="13384" max="13384" width="11.28515625" style="137" customWidth="1"/>
    <col min="13385" max="13385" width="12.7109375" style="137" customWidth="1"/>
    <col min="13386" max="13386" width="12.5703125" style="137" customWidth="1"/>
    <col min="13387" max="13387" width="3.28515625" style="137" customWidth="1"/>
    <col min="13388" max="13388" width="0" style="137" hidden="1" customWidth="1"/>
    <col min="13389" max="13389" width="3.28515625" style="137" customWidth="1"/>
    <col min="13390" max="13390" width="9.85546875" style="137" bestFit="1" customWidth="1"/>
    <col min="13391" max="13391" width="9.5703125" style="137" bestFit="1" customWidth="1"/>
    <col min="13392" max="13568" width="9.140625" style="137"/>
    <col min="13569" max="13569" width="2.85546875" style="137" customWidth="1"/>
    <col min="13570" max="13570" width="3.28515625" style="137" customWidth="1"/>
    <col min="13571" max="13571" width="69.28515625" style="137" customWidth="1"/>
    <col min="13572" max="13572" width="6" style="137" customWidth="1"/>
    <col min="13573" max="13577" width="13.5703125" style="137" customWidth="1"/>
    <col min="13578" max="13632" width="0" style="137" hidden="1" customWidth="1"/>
    <col min="13633" max="13634" width="12.85546875" style="137" customWidth="1"/>
    <col min="13635" max="13635" width="12" style="137" customWidth="1"/>
    <col min="13636" max="13636" width="13.140625" style="137" customWidth="1"/>
    <col min="13637" max="13637" width="12.85546875" style="137" customWidth="1"/>
    <col min="13638" max="13638" width="12.7109375" style="137" customWidth="1"/>
    <col min="13639" max="13639" width="13.140625" style="137" customWidth="1"/>
    <col min="13640" max="13640" width="11.28515625" style="137" customWidth="1"/>
    <col min="13641" max="13641" width="12.7109375" style="137" customWidth="1"/>
    <col min="13642" max="13642" width="12.5703125" style="137" customWidth="1"/>
    <col min="13643" max="13643" width="3.28515625" style="137" customWidth="1"/>
    <col min="13644" max="13644" width="0" style="137" hidden="1" customWidth="1"/>
    <col min="13645" max="13645" width="3.28515625" style="137" customWidth="1"/>
    <col min="13646" max="13646" width="9.85546875" style="137" bestFit="1" customWidth="1"/>
    <col min="13647" max="13647" width="9.5703125" style="137" bestFit="1" customWidth="1"/>
    <col min="13648" max="13824" width="9.140625" style="137"/>
    <col min="13825" max="13825" width="2.85546875" style="137" customWidth="1"/>
    <col min="13826" max="13826" width="3.28515625" style="137" customWidth="1"/>
    <col min="13827" max="13827" width="69.28515625" style="137" customWidth="1"/>
    <col min="13828" max="13828" width="6" style="137" customWidth="1"/>
    <col min="13829" max="13833" width="13.5703125" style="137" customWidth="1"/>
    <col min="13834" max="13888" width="0" style="137" hidden="1" customWidth="1"/>
    <col min="13889" max="13890" width="12.85546875" style="137" customWidth="1"/>
    <col min="13891" max="13891" width="12" style="137" customWidth="1"/>
    <col min="13892" max="13892" width="13.140625" style="137" customWidth="1"/>
    <col min="13893" max="13893" width="12.85546875" style="137" customWidth="1"/>
    <col min="13894" max="13894" width="12.7109375" style="137" customWidth="1"/>
    <col min="13895" max="13895" width="13.140625" style="137" customWidth="1"/>
    <col min="13896" max="13896" width="11.28515625" style="137" customWidth="1"/>
    <col min="13897" max="13897" width="12.7109375" style="137" customWidth="1"/>
    <col min="13898" max="13898" width="12.5703125" style="137" customWidth="1"/>
    <col min="13899" max="13899" width="3.28515625" style="137" customWidth="1"/>
    <col min="13900" max="13900" width="0" style="137" hidden="1" customWidth="1"/>
    <col min="13901" max="13901" width="3.28515625" style="137" customWidth="1"/>
    <col min="13902" max="13902" width="9.85546875" style="137" bestFit="1" customWidth="1"/>
    <col min="13903" max="13903" width="9.5703125" style="137" bestFit="1" customWidth="1"/>
    <col min="13904" max="14080" width="9.140625" style="137"/>
    <col min="14081" max="14081" width="2.85546875" style="137" customWidth="1"/>
    <col min="14082" max="14082" width="3.28515625" style="137" customWidth="1"/>
    <col min="14083" max="14083" width="69.28515625" style="137" customWidth="1"/>
    <col min="14084" max="14084" width="6" style="137" customWidth="1"/>
    <col min="14085" max="14089" width="13.5703125" style="137" customWidth="1"/>
    <col min="14090" max="14144" width="0" style="137" hidden="1" customWidth="1"/>
    <col min="14145" max="14146" width="12.85546875" style="137" customWidth="1"/>
    <col min="14147" max="14147" width="12" style="137" customWidth="1"/>
    <col min="14148" max="14148" width="13.140625" style="137" customWidth="1"/>
    <col min="14149" max="14149" width="12.85546875" style="137" customWidth="1"/>
    <col min="14150" max="14150" width="12.7109375" style="137" customWidth="1"/>
    <col min="14151" max="14151" width="13.140625" style="137" customWidth="1"/>
    <col min="14152" max="14152" width="11.28515625" style="137" customWidth="1"/>
    <col min="14153" max="14153" width="12.7109375" style="137" customWidth="1"/>
    <col min="14154" max="14154" width="12.5703125" style="137" customWidth="1"/>
    <col min="14155" max="14155" width="3.28515625" style="137" customWidth="1"/>
    <col min="14156" max="14156" width="0" style="137" hidden="1" customWidth="1"/>
    <col min="14157" max="14157" width="3.28515625" style="137" customWidth="1"/>
    <col min="14158" max="14158" width="9.85546875" style="137" bestFit="1" customWidth="1"/>
    <col min="14159" max="14159" width="9.5703125" style="137" bestFit="1" customWidth="1"/>
    <col min="14160" max="14336" width="9.140625" style="137"/>
    <col min="14337" max="14337" width="2.85546875" style="137" customWidth="1"/>
    <col min="14338" max="14338" width="3.28515625" style="137" customWidth="1"/>
    <col min="14339" max="14339" width="69.28515625" style="137" customWidth="1"/>
    <col min="14340" max="14340" width="6" style="137" customWidth="1"/>
    <col min="14341" max="14345" width="13.5703125" style="137" customWidth="1"/>
    <col min="14346" max="14400" width="0" style="137" hidden="1" customWidth="1"/>
    <col min="14401" max="14402" width="12.85546875" style="137" customWidth="1"/>
    <col min="14403" max="14403" width="12" style="137" customWidth="1"/>
    <col min="14404" max="14404" width="13.140625" style="137" customWidth="1"/>
    <col min="14405" max="14405" width="12.85546875" style="137" customWidth="1"/>
    <col min="14406" max="14406" width="12.7109375" style="137" customWidth="1"/>
    <col min="14407" max="14407" width="13.140625" style="137" customWidth="1"/>
    <col min="14408" max="14408" width="11.28515625" style="137" customWidth="1"/>
    <col min="14409" max="14409" width="12.7109375" style="137" customWidth="1"/>
    <col min="14410" max="14410" width="12.5703125" style="137" customWidth="1"/>
    <col min="14411" max="14411" width="3.28515625" style="137" customWidth="1"/>
    <col min="14412" max="14412" width="0" style="137" hidden="1" customWidth="1"/>
    <col min="14413" max="14413" width="3.28515625" style="137" customWidth="1"/>
    <col min="14414" max="14414" width="9.85546875" style="137" bestFit="1" customWidth="1"/>
    <col min="14415" max="14415" width="9.5703125" style="137" bestFit="1" customWidth="1"/>
    <col min="14416" max="14592" width="9.140625" style="137"/>
    <col min="14593" max="14593" width="2.85546875" style="137" customWidth="1"/>
    <col min="14594" max="14594" width="3.28515625" style="137" customWidth="1"/>
    <col min="14595" max="14595" width="69.28515625" style="137" customWidth="1"/>
    <col min="14596" max="14596" width="6" style="137" customWidth="1"/>
    <col min="14597" max="14601" width="13.5703125" style="137" customWidth="1"/>
    <col min="14602" max="14656" width="0" style="137" hidden="1" customWidth="1"/>
    <col min="14657" max="14658" width="12.85546875" style="137" customWidth="1"/>
    <col min="14659" max="14659" width="12" style="137" customWidth="1"/>
    <col min="14660" max="14660" width="13.140625" style="137" customWidth="1"/>
    <col min="14661" max="14661" width="12.85546875" style="137" customWidth="1"/>
    <col min="14662" max="14662" width="12.7109375" style="137" customWidth="1"/>
    <col min="14663" max="14663" width="13.140625" style="137" customWidth="1"/>
    <col min="14664" max="14664" width="11.28515625" style="137" customWidth="1"/>
    <col min="14665" max="14665" width="12.7109375" style="137" customWidth="1"/>
    <col min="14666" max="14666" width="12.5703125" style="137" customWidth="1"/>
    <col min="14667" max="14667" width="3.28515625" style="137" customWidth="1"/>
    <col min="14668" max="14668" width="0" style="137" hidden="1" customWidth="1"/>
    <col min="14669" max="14669" width="3.28515625" style="137" customWidth="1"/>
    <col min="14670" max="14670" width="9.85546875" style="137" bestFit="1" customWidth="1"/>
    <col min="14671" max="14671" width="9.5703125" style="137" bestFit="1" customWidth="1"/>
    <col min="14672" max="14848" width="9.140625" style="137"/>
    <col min="14849" max="14849" width="2.85546875" style="137" customWidth="1"/>
    <col min="14850" max="14850" width="3.28515625" style="137" customWidth="1"/>
    <col min="14851" max="14851" width="69.28515625" style="137" customWidth="1"/>
    <col min="14852" max="14852" width="6" style="137" customWidth="1"/>
    <col min="14853" max="14857" width="13.5703125" style="137" customWidth="1"/>
    <col min="14858" max="14912" width="0" style="137" hidden="1" customWidth="1"/>
    <col min="14913" max="14914" width="12.85546875" style="137" customWidth="1"/>
    <col min="14915" max="14915" width="12" style="137" customWidth="1"/>
    <col min="14916" max="14916" width="13.140625" style="137" customWidth="1"/>
    <col min="14917" max="14917" width="12.85546875" style="137" customWidth="1"/>
    <col min="14918" max="14918" width="12.7109375" style="137" customWidth="1"/>
    <col min="14919" max="14919" width="13.140625" style="137" customWidth="1"/>
    <col min="14920" max="14920" width="11.28515625" style="137" customWidth="1"/>
    <col min="14921" max="14921" width="12.7109375" style="137" customWidth="1"/>
    <col min="14922" max="14922" width="12.5703125" style="137" customWidth="1"/>
    <col min="14923" max="14923" width="3.28515625" style="137" customWidth="1"/>
    <col min="14924" max="14924" width="0" style="137" hidden="1" customWidth="1"/>
    <col min="14925" max="14925" width="3.28515625" style="137" customWidth="1"/>
    <col min="14926" max="14926" width="9.85546875" style="137" bestFit="1" customWidth="1"/>
    <col min="14927" max="14927" width="9.5703125" style="137" bestFit="1" customWidth="1"/>
    <col min="14928" max="15104" width="9.140625" style="137"/>
    <col min="15105" max="15105" width="2.85546875" style="137" customWidth="1"/>
    <col min="15106" max="15106" width="3.28515625" style="137" customWidth="1"/>
    <col min="15107" max="15107" width="69.28515625" style="137" customWidth="1"/>
    <col min="15108" max="15108" width="6" style="137" customWidth="1"/>
    <col min="15109" max="15113" width="13.5703125" style="137" customWidth="1"/>
    <col min="15114" max="15168" width="0" style="137" hidden="1" customWidth="1"/>
    <col min="15169" max="15170" width="12.85546875" style="137" customWidth="1"/>
    <col min="15171" max="15171" width="12" style="137" customWidth="1"/>
    <col min="15172" max="15172" width="13.140625" style="137" customWidth="1"/>
    <col min="15173" max="15173" width="12.85546875" style="137" customWidth="1"/>
    <col min="15174" max="15174" width="12.7109375" style="137" customWidth="1"/>
    <col min="15175" max="15175" width="13.140625" style="137" customWidth="1"/>
    <col min="15176" max="15176" width="11.28515625" style="137" customWidth="1"/>
    <col min="15177" max="15177" width="12.7109375" style="137" customWidth="1"/>
    <col min="15178" max="15178" width="12.5703125" style="137" customWidth="1"/>
    <col min="15179" max="15179" width="3.28515625" style="137" customWidth="1"/>
    <col min="15180" max="15180" width="0" style="137" hidden="1" customWidth="1"/>
    <col min="15181" max="15181" width="3.28515625" style="137" customWidth="1"/>
    <col min="15182" max="15182" width="9.85546875" style="137" bestFit="1" customWidth="1"/>
    <col min="15183" max="15183" width="9.5703125" style="137" bestFit="1" customWidth="1"/>
    <col min="15184" max="15360" width="9.140625" style="137"/>
    <col min="15361" max="15361" width="2.85546875" style="137" customWidth="1"/>
    <col min="15362" max="15362" width="3.28515625" style="137" customWidth="1"/>
    <col min="15363" max="15363" width="69.28515625" style="137" customWidth="1"/>
    <col min="15364" max="15364" width="6" style="137" customWidth="1"/>
    <col min="15365" max="15369" width="13.5703125" style="137" customWidth="1"/>
    <col min="15370" max="15424" width="0" style="137" hidden="1" customWidth="1"/>
    <col min="15425" max="15426" width="12.85546875" style="137" customWidth="1"/>
    <col min="15427" max="15427" width="12" style="137" customWidth="1"/>
    <col min="15428" max="15428" width="13.140625" style="137" customWidth="1"/>
    <col min="15429" max="15429" width="12.85546875" style="137" customWidth="1"/>
    <col min="15430" max="15430" width="12.7109375" style="137" customWidth="1"/>
    <col min="15431" max="15431" width="13.140625" style="137" customWidth="1"/>
    <col min="15432" max="15432" width="11.28515625" style="137" customWidth="1"/>
    <col min="15433" max="15433" width="12.7109375" style="137" customWidth="1"/>
    <col min="15434" max="15434" width="12.5703125" style="137" customWidth="1"/>
    <col min="15435" max="15435" width="3.28515625" style="137" customWidth="1"/>
    <col min="15436" max="15436" width="0" style="137" hidden="1" customWidth="1"/>
    <col min="15437" max="15437" width="3.28515625" style="137" customWidth="1"/>
    <col min="15438" max="15438" width="9.85546875" style="137" bestFit="1" customWidth="1"/>
    <col min="15439" max="15439" width="9.5703125" style="137" bestFit="1" customWidth="1"/>
    <col min="15440" max="15616" width="9.140625" style="137"/>
    <col min="15617" max="15617" width="2.85546875" style="137" customWidth="1"/>
    <col min="15618" max="15618" width="3.28515625" style="137" customWidth="1"/>
    <col min="15619" max="15619" width="69.28515625" style="137" customWidth="1"/>
    <col min="15620" max="15620" width="6" style="137" customWidth="1"/>
    <col min="15621" max="15625" width="13.5703125" style="137" customWidth="1"/>
    <col min="15626" max="15680" width="0" style="137" hidden="1" customWidth="1"/>
    <col min="15681" max="15682" width="12.85546875" style="137" customWidth="1"/>
    <col min="15683" max="15683" width="12" style="137" customWidth="1"/>
    <col min="15684" max="15684" width="13.140625" style="137" customWidth="1"/>
    <col min="15685" max="15685" width="12.85546875" style="137" customWidth="1"/>
    <col min="15686" max="15686" width="12.7109375" style="137" customWidth="1"/>
    <col min="15687" max="15687" width="13.140625" style="137" customWidth="1"/>
    <col min="15688" max="15688" width="11.28515625" style="137" customWidth="1"/>
    <col min="15689" max="15689" width="12.7109375" style="137" customWidth="1"/>
    <col min="15690" max="15690" width="12.5703125" style="137" customWidth="1"/>
    <col min="15691" max="15691" width="3.28515625" style="137" customWidth="1"/>
    <col min="15692" max="15692" width="0" style="137" hidden="1" customWidth="1"/>
    <col min="15693" max="15693" width="3.28515625" style="137" customWidth="1"/>
    <col min="15694" max="15694" width="9.85546875" style="137" bestFit="1" customWidth="1"/>
    <col min="15695" max="15695" width="9.5703125" style="137" bestFit="1" customWidth="1"/>
    <col min="15696" max="15872" width="9.140625" style="137"/>
    <col min="15873" max="15873" width="2.85546875" style="137" customWidth="1"/>
    <col min="15874" max="15874" width="3.28515625" style="137" customWidth="1"/>
    <col min="15875" max="15875" width="69.28515625" style="137" customWidth="1"/>
    <col min="15876" max="15876" width="6" style="137" customWidth="1"/>
    <col min="15877" max="15881" width="13.5703125" style="137" customWidth="1"/>
    <col min="15882" max="15936" width="0" style="137" hidden="1" customWidth="1"/>
    <col min="15937" max="15938" width="12.85546875" style="137" customWidth="1"/>
    <col min="15939" max="15939" width="12" style="137" customWidth="1"/>
    <col min="15940" max="15940" width="13.140625" style="137" customWidth="1"/>
    <col min="15941" max="15941" width="12.85546875" style="137" customWidth="1"/>
    <col min="15942" max="15942" width="12.7109375" style="137" customWidth="1"/>
    <col min="15943" max="15943" width="13.140625" style="137" customWidth="1"/>
    <col min="15944" max="15944" width="11.28515625" style="137" customWidth="1"/>
    <col min="15945" max="15945" width="12.7109375" style="137" customWidth="1"/>
    <col min="15946" max="15946" width="12.5703125" style="137" customWidth="1"/>
    <col min="15947" max="15947" width="3.28515625" style="137" customWidth="1"/>
    <col min="15948" max="15948" width="0" style="137" hidden="1" customWidth="1"/>
    <col min="15949" max="15949" width="3.28515625" style="137" customWidth="1"/>
    <col min="15950" max="15950" width="9.85546875" style="137" bestFit="1" customWidth="1"/>
    <col min="15951" max="15951" width="9.5703125" style="137" bestFit="1" customWidth="1"/>
    <col min="15952" max="16128" width="9.140625" style="137"/>
    <col min="16129" max="16129" width="2.85546875" style="137" customWidth="1"/>
    <col min="16130" max="16130" width="3.28515625" style="137" customWidth="1"/>
    <col min="16131" max="16131" width="69.28515625" style="137" customWidth="1"/>
    <col min="16132" max="16132" width="6" style="137" customWidth="1"/>
    <col min="16133" max="16137" width="13.5703125" style="137" customWidth="1"/>
    <col min="16138" max="16192" width="0" style="137" hidden="1" customWidth="1"/>
    <col min="16193" max="16194" width="12.85546875" style="137" customWidth="1"/>
    <col min="16195" max="16195" width="12" style="137" customWidth="1"/>
    <col min="16196" max="16196" width="13.140625" style="137" customWidth="1"/>
    <col min="16197" max="16197" width="12.85546875" style="137" customWidth="1"/>
    <col min="16198" max="16198" width="12.7109375" style="137" customWidth="1"/>
    <col min="16199" max="16199" width="13.140625" style="137" customWidth="1"/>
    <col min="16200" max="16200" width="11.28515625" style="137" customWidth="1"/>
    <col min="16201" max="16201" width="12.7109375" style="137" customWidth="1"/>
    <col min="16202" max="16202" width="12.5703125" style="137" customWidth="1"/>
    <col min="16203" max="16203" width="3.28515625" style="137" customWidth="1"/>
    <col min="16204" max="16204" width="0" style="137" hidden="1" customWidth="1"/>
    <col min="16205" max="16205" width="3.28515625" style="137" customWidth="1"/>
    <col min="16206" max="16206" width="9.85546875" style="137" bestFit="1" customWidth="1"/>
    <col min="16207" max="16207" width="9.5703125" style="137" bestFit="1" customWidth="1"/>
    <col min="16208" max="16384" width="9.140625" style="137"/>
  </cols>
  <sheetData>
    <row r="1" spans="1:78" ht="15.75" x14ac:dyDescent="0.25">
      <c r="A1" s="131" t="s">
        <v>163</v>
      </c>
      <c r="B1" s="132"/>
      <c r="C1" s="133"/>
      <c r="D1" s="134"/>
      <c r="E1" s="135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6"/>
      <c r="BX1" s="136"/>
    </row>
    <row r="2" spans="1:78" ht="15" x14ac:dyDescent="0.25">
      <c r="A2" s="138"/>
      <c r="B2" s="134"/>
      <c r="D2" s="139"/>
      <c r="E2" s="683" t="s">
        <v>164</v>
      </c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  <c r="AQ2" s="684"/>
      <c r="AR2" s="684"/>
      <c r="AS2" s="684"/>
      <c r="AT2" s="684"/>
      <c r="AU2" s="684"/>
      <c r="AV2" s="684"/>
      <c r="AW2" s="684"/>
      <c r="AX2" s="684"/>
      <c r="AY2" s="684"/>
      <c r="AZ2" s="684"/>
      <c r="BA2" s="684"/>
      <c r="BB2" s="684"/>
      <c r="BC2" s="684"/>
      <c r="BD2" s="684"/>
      <c r="BE2" s="684"/>
      <c r="BF2" s="684"/>
      <c r="BG2" s="684"/>
      <c r="BH2" s="684"/>
      <c r="BI2" s="684"/>
      <c r="BJ2" s="684"/>
      <c r="BK2" s="684"/>
      <c r="BL2" s="684"/>
      <c r="BM2" s="684"/>
      <c r="BN2" s="684"/>
      <c r="BO2" s="684"/>
      <c r="BP2" s="684"/>
      <c r="BQ2" s="684"/>
      <c r="BR2" s="684"/>
      <c r="BS2" s="684"/>
      <c r="BT2" s="684"/>
      <c r="BU2" s="684"/>
      <c r="BV2" s="685"/>
      <c r="BW2" s="140"/>
      <c r="BX2" s="136"/>
      <c r="BZ2" s="136"/>
    </row>
    <row r="3" spans="1:78" ht="15" x14ac:dyDescent="0.25">
      <c r="A3" s="141"/>
      <c r="B3" s="134"/>
      <c r="C3" s="136" t="s">
        <v>165</v>
      </c>
      <c r="D3" s="142"/>
      <c r="E3" s="686" t="s">
        <v>166</v>
      </c>
      <c r="F3" s="687"/>
      <c r="G3" s="687"/>
      <c r="H3" s="687"/>
      <c r="I3" s="688"/>
      <c r="J3" s="686" t="s">
        <v>2</v>
      </c>
      <c r="K3" s="687"/>
      <c r="L3" s="687"/>
      <c r="M3" s="687"/>
      <c r="N3" s="688"/>
      <c r="O3" s="689" t="s">
        <v>3</v>
      </c>
      <c r="P3" s="687"/>
      <c r="Q3" s="687"/>
      <c r="R3" s="687"/>
      <c r="S3" s="688"/>
      <c r="T3" s="686" t="s">
        <v>167</v>
      </c>
      <c r="U3" s="687"/>
      <c r="V3" s="687"/>
      <c r="W3" s="687"/>
      <c r="X3" s="688"/>
      <c r="Y3" s="686" t="s">
        <v>5</v>
      </c>
      <c r="Z3" s="687"/>
      <c r="AA3" s="687"/>
      <c r="AB3" s="687"/>
      <c r="AC3" s="688"/>
      <c r="AD3" s="686" t="s">
        <v>6</v>
      </c>
      <c r="AE3" s="687"/>
      <c r="AF3" s="687"/>
      <c r="AG3" s="687"/>
      <c r="AH3" s="688"/>
      <c r="AI3" s="686" t="s">
        <v>7</v>
      </c>
      <c r="AJ3" s="687"/>
      <c r="AK3" s="687"/>
      <c r="AL3" s="687"/>
      <c r="AM3" s="688"/>
      <c r="AN3" s="686" t="s">
        <v>8</v>
      </c>
      <c r="AO3" s="687"/>
      <c r="AP3" s="687"/>
      <c r="AQ3" s="687"/>
      <c r="AR3" s="688"/>
      <c r="AS3" s="686" t="s">
        <v>9</v>
      </c>
      <c r="AT3" s="687"/>
      <c r="AU3" s="687"/>
      <c r="AV3" s="687"/>
      <c r="AW3" s="688"/>
      <c r="AX3" s="686" t="s">
        <v>10</v>
      </c>
      <c r="AY3" s="687"/>
      <c r="AZ3" s="687"/>
      <c r="BA3" s="687"/>
      <c r="BB3" s="688"/>
      <c r="BC3" s="686" t="s">
        <v>11</v>
      </c>
      <c r="BD3" s="687"/>
      <c r="BE3" s="687"/>
      <c r="BF3" s="687"/>
      <c r="BG3" s="688"/>
      <c r="BH3" s="686" t="s">
        <v>12</v>
      </c>
      <c r="BI3" s="687"/>
      <c r="BJ3" s="687"/>
      <c r="BK3" s="687"/>
      <c r="BL3" s="688"/>
      <c r="BM3" s="686" t="s">
        <v>13</v>
      </c>
      <c r="BN3" s="687"/>
      <c r="BO3" s="687"/>
      <c r="BP3" s="687"/>
      <c r="BQ3" s="688"/>
      <c r="BR3" s="686" t="s">
        <v>14</v>
      </c>
      <c r="BS3" s="687"/>
      <c r="BT3" s="687"/>
      <c r="BU3" s="687"/>
      <c r="BV3" s="690"/>
      <c r="BW3" s="143"/>
      <c r="BX3" s="143"/>
    </row>
    <row r="4" spans="1:78" x14ac:dyDescent="0.2">
      <c r="A4" s="141"/>
      <c r="B4" s="134"/>
      <c r="D4" s="142"/>
      <c r="E4" s="144" t="s">
        <v>168</v>
      </c>
      <c r="F4" s="145" t="s">
        <v>169</v>
      </c>
      <c r="G4" s="145" t="s">
        <v>170</v>
      </c>
      <c r="H4" s="145" t="s">
        <v>171</v>
      </c>
      <c r="I4" s="146" t="s">
        <v>172</v>
      </c>
      <c r="J4" s="144" t="s">
        <v>168</v>
      </c>
      <c r="K4" s="145" t="s">
        <v>169</v>
      </c>
      <c r="L4" s="145" t="s">
        <v>170</v>
      </c>
      <c r="M4" s="145" t="s">
        <v>171</v>
      </c>
      <c r="N4" s="147" t="s">
        <v>172</v>
      </c>
      <c r="O4" s="145" t="s">
        <v>168</v>
      </c>
      <c r="P4" s="145" t="s">
        <v>169</v>
      </c>
      <c r="Q4" s="145" t="s">
        <v>170</v>
      </c>
      <c r="R4" s="145" t="s">
        <v>171</v>
      </c>
      <c r="S4" s="147" t="s">
        <v>172</v>
      </c>
      <c r="T4" s="144" t="s">
        <v>168</v>
      </c>
      <c r="U4" s="145" t="s">
        <v>169</v>
      </c>
      <c r="V4" s="145" t="s">
        <v>170</v>
      </c>
      <c r="W4" s="145" t="s">
        <v>171</v>
      </c>
      <c r="X4" s="147" t="s">
        <v>172</v>
      </c>
      <c r="Y4" s="144" t="s">
        <v>168</v>
      </c>
      <c r="Z4" s="145" t="s">
        <v>169</v>
      </c>
      <c r="AA4" s="145" t="s">
        <v>170</v>
      </c>
      <c r="AB4" s="145" t="s">
        <v>171</v>
      </c>
      <c r="AC4" s="147" t="s">
        <v>172</v>
      </c>
      <c r="AD4" s="144" t="s">
        <v>168</v>
      </c>
      <c r="AE4" s="145" t="s">
        <v>169</v>
      </c>
      <c r="AF4" s="145" t="s">
        <v>170</v>
      </c>
      <c r="AG4" s="145" t="s">
        <v>171</v>
      </c>
      <c r="AH4" s="147" t="s">
        <v>172</v>
      </c>
      <c r="AI4" s="144" t="s">
        <v>168</v>
      </c>
      <c r="AJ4" s="145" t="s">
        <v>169</v>
      </c>
      <c r="AK4" s="145" t="s">
        <v>170</v>
      </c>
      <c r="AL4" s="145" t="s">
        <v>171</v>
      </c>
      <c r="AM4" s="147" t="s">
        <v>172</v>
      </c>
      <c r="AN4" s="144" t="s">
        <v>168</v>
      </c>
      <c r="AO4" s="145" t="s">
        <v>169</v>
      </c>
      <c r="AP4" s="145" t="s">
        <v>170</v>
      </c>
      <c r="AQ4" s="145" t="s">
        <v>171</v>
      </c>
      <c r="AR4" s="147" t="s">
        <v>172</v>
      </c>
      <c r="AS4" s="144" t="s">
        <v>168</v>
      </c>
      <c r="AT4" s="145" t="s">
        <v>169</v>
      </c>
      <c r="AU4" s="145" t="s">
        <v>170</v>
      </c>
      <c r="AV4" s="145" t="s">
        <v>171</v>
      </c>
      <c r="AW4" s="147" t="s">
        <v>172</v>
      </c>
      <c r="AX4" s="144" t="s">
        <v>168</v>
      </c>
      <c r="AY4" s="145" t="s">
        <v>169</v>
      </c>
      <c r="AZ4" s="145" t="s">
        <v>170</v>
      </c>
      <c r="BA4" s="145" t="s">
        <v>171</v>
      </c>
      <c r="BB4" s="147" t="s">
        <v>172</v>
      </c>
      <c r="BC4" s="144" t="s">
        <v>168</v>
      </c>
      <c r="BD4" s="145" t="s">
        <v>169</v>
      </c>
      <c r="BE4" s="145" t="s">
        <v>170</v>
      </c>
      <c r="BF4" s="145" t="s">
        <v>171</v>
      </c>
      <c r="BG4" s="147" t="s">
        <v>172</v>
      </c>
      <c r="BH4" s="144" t="s">
        <v>168</v>
      </c>
      <c r="BI4" s="145" t="s">
        <v>169</v>
      </c>
      <c r="BJ4" s="145" t="s">
        <v>170</v>
      </c>
      <c r="BK4" s="145" t="s">
        <v>173</v>
      </c>
      <c r="BL4" s="147" t="s">
        <v>172</v>
      </c>
      <c r="BM4" s="144" t="s">
        <v>168</v>
      </c>
      <c r="BN4" s="145" t="s">
        <v>169</v>
      </c>
      <c r="BO4" s="145" t="s">
        <v>170</v>
      </c>
      <c r="BP4" s="145" t="s">
        <v>171</v>
      </c>
      <c r="BQ4" s="147" t="s">
        <v>172</v>
      </c>
      <c r="BR4" s="144" t="s">
        <v>168</v>
      </c>
      <c r="BS4" s="145" t="s">
        <v>169</v>
      </c>
      <c r="BT4" s="145" t="s">
        <v>170</v>
      </c>
      <c r="BU4" s="145" t="s">
        <v>171</v>
      </c>
      <c r="BV4" s="148" t="s">
        <v>172</v>
      </c>
      <c r="BW4" s="140"/>
      <c r="BX4" s="143"/>
    </row>
    <row r="5" spans="1:78" x14ac:dyDescent="0.2">
      <c r="A5" s="149" t="s">
        <v>15</v>
      </c>
      <c r="B5" s="150"/>
      <c r="C5" s="150"/>
      <c r="D5" s="151"/>
      <c r="E5" s="152" t="s">
        <v>174</v>
      </c>
      <c r="F5" s="153" t="s">
        <v>175</v>
      </c>
      <c r="G5" s="153" t="s">
        <v>176</v>
      </c>
      <c r="H5" s="153" t="s">
        <v>177</v>
      </c>
      <c r="I5" s="154"/>
      <c r="J5" s="152" t="s">
        <v>174</v>
      </c>
      <c r="K5" s="153" t="s">
        <v>175</v>
      </c>
      <c r="L5" s="153" t="s">
        <v>176</v>
      </c>
      <c r="M5" s="153" t="s">
        <v>177</v>
      </c>
      <c r="N5" s="154"/>
      <c r="O5" s="153" t="s">
        <v>174</v>
      </c>
      <c r="P5" s="153" t="s">
        <v>175</v>
      </c>
      <c r="Q5" s="153" t="s">
        <v>176</v>
      </c>
      <c r="R5" s="153" t="s">
        <v>177</v>
      </c>
      <c r="S5" s="154"/>
      <c r="T5" s="152" t="s">
        <v>174</v>
      </c>
      <c r="U5" s="153" t="s">
        <v>175</v>
      </c>
      <c r="V5" s="153" t="s">
        <v>176</v>
      </c>
      <c r="W5" s="153" t="s">
        <v>177</v>
      </c>
      <c r="X5" s="154"/>
      <c r="Y5" s="152" t="s">
        <v>174</v>
      </c>
      <c r="Z5" s="153" t="s">
        <v>175</v>
      </c>
      <c r="AA5" s="153" t="s">
        <v>176</v>
      </c>
      <c r="AB5" s="153" t="s">
        <v>177</v>
      </c>
      <c r="AC5" s="154"/>
      <c r="AD5" s="152" t="s">
        <v>174</v>
      </c>
      <c r="AE5" s="153" t="s">
        <v>175</v>
      </c>
      <c r="AF5" s="153" t="s">
        <v>176</v>
      </c>
      <c r="AG5" s="153" t="s">
        <v>177</v>
      </c>
      <c r="AH5" s="154"/>
      <c r="AI5" s="152" t="s">
        <v>174</v>
      </c>
      <c r="AJ5" s="153" t="s">
        <v>175</v>
      </c>
      <c r="AK5" s="153" t="s">
        <v>176</v>
      </c>
      <c r="AL5" s="153" t="s">
        <v>177</v>
      </c>
      <c r="AM5" s="154"/>
      <c r="AN5" s="152" t="s">
        <v>174</v>
      </c>
      <c r="AO5" s="153" t="s">
        <v>175</v>
      </c>
      <c r="AP5" s="153" t="s">
        <v>176</v>
      </c>
      <c r="AQ5" s="153" t="s">
        <v>177</v>
      </c>
      <c r="AR5" s="154"/>
      <c r="AS5" s="152" t="s">
        <v>174</v>
      </c>
      <c r="AT5" s="153" t="s">
        <v>175</v>
      </c>
      <c r="AU5" s="153" t="s">
        <v>176</v>
      </c>
      <c r="AV5" s="153" t="s">
        <v>177</v>
      </c>
      <c r="AW5" s="154"/>
      <c r="AX5" s="152" t="s">
        <v>174</v>
      </c>
      <c r="AY5" s="153" t="s">
        <v>175</v>
      </c>
      <c r="AZ5" s="153" t="s">
        <v>176</v>
      </c>
      <c r="BA5" s="153" t="s">
        <v>177</v>
      </c>
      <c r="BB5" s="154"/>
      <c r="BC5" s="152" t="s">
        <v>174</v>
      </c>
      <c r="BD5" s="153" t="s">
        <v>175</v>
      </c>
      <c r="BE5" s="153" t="s">
        <v>176</v>
      </c>
      <c r="BF5" s="153" t="s">
        <v>177</v>
      </c>
      <c r="BG5" s="154"/>
      <c r="BH5" s="152" t="s">
        <v>174</v>
      </c>
      <c r="BI5" s="153" t="s">
        <v>175</v>
      </c>
      <c r="BJ5" s="153" t="s">
        <v>176</v>
      </c>
      <c r="BK5" s="153" t="s">
        <v>177</v>
      </c>
      <c r="BL5" s="154"/>
      <c r="BM5" s="152" t="s">
        <v>174</v>
      </c>
      <c r="BN5" s="153" t="s">
        <v>175</v>
      </c>
      <c r="BO5" s="153" t="s">
        <v>176</v>
      </c>
      <c r="BP5" s="153" t="s">
        <v>177</v>
      </c>
      <c r="BQ5" s="154"/>
      <c r="BR5" s="152" t="s">
        <v>174</v>
      </c>
      <c r="BS5" s="153" t="s">
        <v>175</v>
      </c>
      <c r="BT5" s="153" t="s">
        <v>176</v>
      </c>
      <c r="BU5" s="153" t="s">
        <v>177</v>
      </c>
      <c r="BV5" s="152"/>
      <c r="BW5" s="140"/>
      <c r="BX5" s="155">
        <f>(100/12)*12</f>
        <v>100</v>
      </c>
    </row>
    <row r="6" spans="1:78" x14ac:dyDescent="0.2">
      <c r="A6" s="156"/>
      <c r="B6" s="134"/>
      <c r="D6" s="145"/>
      <c r="E6" s="157"/>
      <c r="F6" s="145"/>
      <c r="G6" s="145"/>
      <c r="H6" s="145"/>
      <c r="I6" s="158"/>
      <c r="J6" s="144"/>
      <c r="K6" s="145"/>
      <c r="L6" s="145"/>
      <c r="M6" s="145"/>
      <c r="N6" s="158"/>
      <c r="O6" s="145"/>
      <c r="P6" s="145"/>
      <c r="Q6" s="145"/>
      <c r="R6" s="145"/>
      <c r="S6" s="158"/>
      <c r="T6" s="144"/>
      <c r="U6" s="145"/>
      <c r="V6" s="145"/>
      <c r="W6" s="145"/>
      <c r="X6" s="158"/>
      <c r="Y6" s="144"/>
      <c r="Z6" s="145"/>
      <c r="AA6" s="145"/>
      <c r="AB6" s="145"/>
      <c r="AC6" s="158"/>
      <c r="AD6" s="144"/>
      <c r="AE6" s="145"/>
      <c r="AF6" s="145"/>
      <c r="AG6" s="145"/>
      <c r="AH6" s="158"/>
      <c r="AI6" s="144"/>
      <c r="AJ6" s="145"/>
      <c r="AK6" s="145"/>
      <c r="AL6" s="145"/>
      <c r="AM6" s="158"/>
      <c r="AN6" s="144"/>
      <c r="AO6" s="145"/>
      <c r="AP6" s="145"/>
      <c r="AQ6" s="145"/>
      <c r="AR6" s="158"/>
      <c r="AS6" s="144"/>
      <c r="AT6" s="145"/>
      <c r="AU6" s="145"/>
      <c r="AV6" s="145"/>
      <c r="AW6" s="158"/>
      <c r="AX6" s="144"/>
      <c r="AY6" s="145"/>
      <c r="AZ6" s="145"/>
      <c r="BA6" s="145"/>
      <c r="BB6" s="158"/>
      <c r="BC6" s="144"/>
      <c r="BD6" s="145"/>
      <c r="BE6" s="145"/>
      <c r="BF6" s="145"/>
      <c r="BG6" s="158"/>
      <c r="BH6" s="144"/>
      <c r="BI6" s="145"/>
      <c r="BJ6" s="145"/>
      <c r="BK6" s="145"/>
      <c r="BL6" s="158"/>
      <c r="BM6" s="144"/>
      <c r="BN6" s="145"/>
      <c r="BO6" s="145"/>
      <c r="BP6" s="145"/>
      <c r="BQ6" s="158"/>
      <c r="BR6" s="144"/>
      <c r="BS6" s="145"/>
      <c r="BT6" s="145"/>
      <c r="BU6" s="145"/>
      <c r="BV6" s="144"/>
      <c r="BW6" s="140"/>
      <c r="BX6" s="143"/>
    </row>
    <row r="7" spans="1:78" ht="13.5" customHeight="1" x14ac:dyDescent="0.2">
      <c r="A7" s="159">
        <v>1</v>
      </c>
      <c r="B7" s="160" t="s">
        <v>178</v>
      </c>
      <c r="D7" s="161"/>
      <c r="E7" s="162">
        <v>675901</v>
      </c>
      <c r="F7" s="163">
        <v>2540</v>
      </c>
      <c r="G7" s="163">
        <v>12913</v>
      </c>
      <c r="H7" s="163">
        <v>0</v>
      </c>
      <c r="I7" s="35">
        <f t="shared" ref="I7:I46" si="0">SUM(E7:H7)</f>
        <v>691354</v>
      </c>
      <c r="J7" s="36">
        <v>39235</v>
      </c>
      <c r="K7" s="39">
        <v>51</v>
      </c>
      <c r="L7" s="39">
        <v>135</v>
      </c>
      <c r="M7" s="39">
        <v>0</v>
      </c>
      <c r="N7" s="35">
        <f>SUM(J7:M7)</f>
        <v>39421</v>
      </c>
      <c r="O7" s="39">
        <v>37059</v>
      </c>
      <c r="P7" s="39">
        <v>148</v>
      </c>
      <c r="Q7" s="39">
        <v>133</v>
      </c>
      <c r="R7" s="39">
        <v>0</v>
      </c>
      <c r="S7" s="35">
        <f>SUM(O7:R7)</f>
        <v>37340</v>
      </c>
      <c r="T7" s="36">
        <v>38132</v>
      </c>
      <c r="U7" s="39">
        <v>318</v>
      </c>
      <c r="V7" s="39">
        <v>690</v>
      </c>
      <c r="W7" s="39">
        <v>0</v>
      </c>
      <c r="X7" s="35">
        <f>SUM(T7:W7)</f>
        <v>39140</v>
      </c>
      <c r="Y7" s="36">
        <v>35672</v>
      </c>
      <c r="Z7" s="39">
        <v>341</v>
      </c>
      <c r="AA7" s="39">
        <v>1924</v>
      </c>
      <c r="AB7" s="39">
        <v>0</v>
      </c>
      <c r="AC7" s="35">
        <f>SUM(Y7:AB7)</f>
        <v>37937</v>
      </c>
      <c r="AD7" s="36">
        <v>44418</v>
      </c>
      <c r="AE7" s="39">
        <v>126</v>
      </c>
      <c r="AF7" s="39">
        <v>1489</v>
      </c>
      <c r="AG7" s="39">
        <v>0</v>
      </c>
      <c r="AH7" s="35">
        <f>SUM(AD7:AG7)</f>
        <v>46033</v>
      </c>
      <c r="AI7" s="36">
        <v>60287</v>
      </c>
      <c r="AJ7" s="39">
        <v>107</v>
      </c>
      <c r="AK7" s="39">
        <v>3971</v>
      </c>
      <c r="AL7" s="39">
        <v>0</v>
      </c>
      <c r="AM7" s="35">
        <f>SUM(AI7:AL7)</f>
        <v>64365</v>
      </c>
      <c r="AN7" s="36">
        <v>91897</v>
      </c>
      <c r="AO7" s="39">
        <v>216</v>
      </c>
      <c r="AP7" s="39">
        <v>296</v>
      </c>
      <c r="AQ7" s="39">
        <v>0</v>
      </c>
      <c r="AR7" s="35">
        <f t="shared" ref="AR7:AR45" si="1">SUM(AN7:AQ7)</f>
        <v>92409</v>
      </c>
      <c r="AS7" s="36">
        <v>43887</v>
      </c>
      <c r="AT7" s="39">
        <v>44</v>
      </c>
      <c r="AU7" s="39">
        <v>1334</v>
      </c>
      <c r="AV7" s="39">
        <v>0</v>
      </c>
      <c r="AW7" s="35">
        <f>SUM(AS7:AV7)</f>
        <v>45265</v>
      </c>
      <c r="AX7" s="36">
        <v>53036</v>
      </c>
      <c r="AY7" s="39">
        <v>54</v>
      </c>
      <c r="AZ7" s="39">
        <v>2822</v>
      </c>
      <c r="BA7" s="39">
        <v>0</v>
      </c>
      <c r="BB7" s="35">
        <f>SUM(AX7:BA7)</f>
        <v>55912</v>
      </c>
      <c r="BC7" s="36">
        <f>42890+7</f>
        <v>42897</v>
      </c>
      <c r="BD7" s="39">
        <v>48</v>
      </c>
      <c r="BE7" s="39">
        <v>1005</v>
      </c>
      <c r="BF7" s="39">
        <v>0</v>
      </c>
      <c r="BG7" s="35">
        <f>SUM(BC7:BF7)</f>
        <v>43950</v>
      </c>
      <c r="BH7" s="36">
        <v>39798</v>
      </c>
      <c r="BI7" s="39">
        <v>56</v>
      </c>
      <c r="BJ7" s="39">
        <v>1167</v>
      </c>
      <c r="BK7" s="39">
        <v>0</v>
      </c>
      <c r="BL7" s="35">
        <f>SUM(BH7:BK7)</f>
        <v>41021</v>
      </c>
      <c r="BM7" s="36">
        <v>86427</v>
      </c>
      <c r="BN7" s="39">
        <v>34</v>
      </c>
      <c r="BO7" s="39">
        <v>1378</v>
      </c>
      <c r="BP7" s="39">
        <v>949</v>
      </c>
      <c r="BQ7" s="35">
        <f>SUM(BM7:BP7)</f>
        <v>88788</v>
      </c>
      <c r="BR7" s="36">
        <f>+J7+O7+T7+Y7+AD7+AI7+AN7+AS7+AX7+BC7+BH7+BM7</f>
        <v>612745</v>
      </c>
      <c r="BS7" s="163">
        <f>+K7+P7+U7+Z7+AE7+AJ7+AO7+AT7+AY7+BD7+BI7+BN7</f>
        <v>1543</v>
      </c>
      <c r="BT7" s="39">
        <f>+L7+Q7+V7+AA7+AF7+AK7+AP7+AU7+AZ7+BE7+BJ7+BO7</f>
        <v>16344</v>
      </c>
      <c r="BU7" s="39">
        <f>+M7+R7+W7+AB7+AG7+AL7+AQ7+AV7+BA7+BF7+BK7+BP7</f>
        <v>949</v>
      </c>
      <c r="BV7" s="36">
        <f t="shared" ref="BV7:BV46" si="2">SUM(BR7:BU7)</f>
        <v>631581</v>
      </c>
      <c r="BW7" s="164"/>
      <c r="BX7" s="165">
        <f>(BV7/I7)*100</f>
        <v>91.354212169163702</v>
      </c>
    </row>
    <row r="8" spans="1:78" x14ac:dyDescent="0.2">
      <c r="A8" s="159">
        <v>2</v>
      </c>
      <c r="B8" s="160" t="s">
        <v>179</v>
      </c>
      <c r="D8" s="166" t="s">
        <v>55</v>
      </c>
      <c r="E8" s="162">
        <v>1518513</v>
      </c>
      <c r="F8" s="163">
        <v>463312</v>
      </c>
      <c r="G8" s="163">
        <v>11635</v>
      </c>
      <c r="H8" s="163">
        <v>0</v>
      </c>
      <c r="I8" s="35">
        <f t="shared" si="0"/>
        <v>1993460</v>
      </c>
      <c r="J8" s="36">
        <v>127270</v>
      </c>
      <c r="K8" s="39">
        <v>115828</v>
      </c>
      <c r="L8" s="39">
        <v>0</v>
      </c>
      <c r="M8" s="39">
        <v>0</v>
      </c>
      <c r="N8" s="35">
        <f>SUM(J8:M8)</f>
        <v>243098</v>
      </c>
      <c r="O8" s="39">
        <v>121796</v>
      </c>
      <c r="P8" s="39">
        <v>0</v>
      </c>
      <c r="Q8" s="39">
        <v>935</v>
      </c>
      <c r="R8" s="39">
        <v>0</v>
      </c>
      <c r="S8" s="35">
        <f t="shared" ref="S8:S15" si="3">SUM(O8:R8)</f>
        <v>122731</v>
      </c>
      <c r="T8" s="36">
        <v>126124</v>
      </c>
      <c r="U8" s="39">
        <v>0</v>
      </c>
      <c r="V8" s="39">
        <v>935</v>
      </c>
      <c r="W8" s="39">
        <v>0</v>
      </c>
      <c r="X8" s="35">
        <f t="shared" ref="X8:X46" si="4">SUM(T8:W8)</f>
        <v>127059</v>
      </c>
      <c r="Y8" s="36">
        <v>129617</v>
      </c>
      <c r="Z8" s="39">
        <v>115828</v>
      </c>
      <c r="AA8" s="39">
        <v>935</v>
      </c>
      <c r="AB8" s="39">
        <v>0</v>
      </c>
      <c r="AC8" s="35">
        <f t="shared" ref="AC8:AC46" si="5">SUM(Y8:AB8)</f>
        <v>246380</v>
      </c>
      <c r="AD8" s="36">
        <v>128066</v>
      </c>
      <c r="AE8" s="39">
        <v>0</v>
      </c>
      <c r="AF8" s="39">
        <v>935</v>
      </c>
      <c r="AG8" s="39">
        <v>0</v>
      </c>
      <c r="AH8" s="35">
        <f t="shared" ref="AH8:AH46" si="6">SUM(AD8:AG8)</f>
        <v>129001</v>
      </c>
      <c r="AI8" s="36">
        <v>124983</v>
      </c>
      <c r="AJ8" s="39">
        <v>935</v>
      </c>
      <c r="AK8" s="39">
        <v>0</v>
      </c>
      <c r="AL8" s="39">
        <v>0</v>
      </c>
      <c r="AM8" s="35">
        <f t="shared" ref="AM8:AM46" si="7">SUM(AI8:AL8)</f>
        <v>125918</v>
      </c>
      <c r="AN8" s="36">
        <v>124674</v>
      </c>
      <c r="AO8" s="39">
        <v>115828</v>
      </c>
      <c r="AP8" s="39">
        <v>935</v>
      </c>
      <c r="AQ8" s="39">
        <v>0</v>
      </c>
      <c r="AR8" s="35">
        <f t="shared" si="1"/>
        <v>241437</v>
      </c>
      <c r="AS8" s="36">
        <v>129232</v>
      </c>
      <c r="AT8" s="39">
        <v>0</v>
      </c>
      <c r="AU8" s="39">
        <v>935</v>
      </c>
      <c r="AV8" s="39">
        <v>0</v>
      </c>
      <c r="AW8" s="35">
        <f t="shared" ref="AW8:AW46" si="8">SUM(AS8:AV8)</f>
        <v>130167</v>
      </c>
      <c r="AX8" s="36">
        <v>123713</v>
      </c>
      <c r="AY8" s="39">
        <v>0</v>
      </c>
      <c r="AZ8" s="39">
        <v>935</v>
      </c>
      <c r="BA8" s="39">
        <v>0</v>
      </c>
      <c r="BB8" s="35">
        <f t="shared" ref="BB8:BB46" si="9">SUM(AX8:BA8)</f>
        <v>124648</v>
      </c>
      <c r="BC8" s="36">
        <v>124532</v>
      </c>
      <c r="BD8" s="39">
        <v>115828</v>
      </c>
      <c r="BE8" s="39">
        <v>1094</v>
      </c>
      <c r="BF8" s="39">
        <v>0</v>
      </c>
      <c r="BG8" s="35">
        <f t="shared" ref="BG8:BG46" si="10">SUM(BC8:BF8)</f>
        <v>241454</v>
      </c>
      <c r="BH8" s="36">
        <v>127817</v>
      </c>
      <c r="BI8" s="39">
        <v>0</v>
      </c>
      <c r="BJ8" s="39">
        <v>925</v>
      </c>
      <c r="BK8" s="39">
        <v>0</v>
      </c>
      <c r="BL8" s="35">
        <f t="shared" ref="BL8:BL46" si="11">SUM(BH8:BK8)</f>
        <v>128742</v>
      </c>
      <c r="BM8" s="36">
        <v>130689</v>
      </c>
      <c r="BN8" s="39">
        <v>0</v>
      </c>
      <c r="BO8" s="39">
        <v>2136</v>
      </c>
      <c r="BP8" s="39">
        <v>0</v>
      </c>
      <c r="BQ8" s="35">
        <f t="shared" ref="BQ8:BQ46" si="12">SUM(BM8:BP8)</f>
        <v>132825</v>
      </c>
      <c r="BR8" s="36">
        <f>+J8+O8+T8+Y8+AD8+AI8+AN8+AS8+AX8+BC8+BH8+BM8</f>
        <v>1518513</v>
      </c>
      <c r="BS8" s="163">
        <f t="shared" ref="BS8:BU23" si="13">+K8+P8+U8+Z8+AE8+AJ8+AO8+AT8+AY8+BD8+BI8+BN8</f>
        <v>464247</v>
      </c>
      <c r="BT8" s="39">
        <f t="shared" si="13"/>
        <v>10700</v>
      </c>
      <c r="BU8" s="39">
        <f>+M8+R8+W8+AB8+AG8+AL8+AQ8+AV8+BA8+BF8+BK8+BP8</f>
        <v>0</v>
      </c>
      <c r="BV8" s="36">
        <f t="shared" si="2"/>
        <v>1993460</v>
      </c>
      <c r="BW8" s="8"/>
      <c r="BX8" s="165">
        <f>(BV8/I8)*100</f>
        <v>100</v>
      </c>
    </row>
    <row r="9" spans="1:78" x14ac:dyDescent="0.2">
      <c r="A9" s="159">
        <v>3</v>
      </c>
      <c r="B9" s="160" t="s">
        <v>180</v>
      </c>
      <c r="D9" s="166"/>
      <c r="E9" s="162">
        <v>142668</v>
      </c>
      <c r="F9" s="163">
        <v>1430317</v>
      </c>
      <c r="G9" s="163">
        <v>106</v>
      </c>
      <c r="H9" s="163">
        <v>3200000</v>
      </c>
      <c r="I9" s="35">
        <f t="shared" si="0"/>
        <v>4773091</v>
      </c>
      <c r="J9" s="36">
        <v>5829</v>
      </c>
      <c r="K9" s="39">
        <v>32386</v>
      </c>
      <c r="L9" s="39">
        <v>0</v>
      </c>
      <c r="M9" s="39">
        <v>0</v>
      </c>
      <c r="N9" s="35">
        <f t="shared" ref="N9:N46" si="14">SUM(J9:M9)</f>
        <v>38215</v>
      </c>
      <c r="O9" s="39">
        <v>9685</v>
      </c>
      <c r="P9" s="39">
        <v>247376</v>
      </c>
      <c r="Q9" s="39">
        <v>44</v>
      </c>
      <c r="R9" s="39">
        <v>21</v>
      </c>
      <c r="S9" s="35">
        <f t="shared" si="3"/>
        <v>257126</v>
      </c>
      <c r="T9" s="36">
        <v>7317</v>
      </c>
      <c r="U9" s="39">
        <v>42383</v>
      </c>
      <c r="V9" s="39">
        <v>0</v>
      </c>
      <c r="W9" s="39">
        <v>1</v>
      </c>
      <c r="X9" s="35">
        <f t="shared" si="4"/>
        <v>49701</v>
      </c>
      <c r="Y9" s="36">
        <v>8157</v>
      </c>
      <c r="Z9" s="39">
        <v>201914</v>
      </c>
      <c r="AA9" s="39">
        <v>48</v>
      </c>
      <c r="AB9" s="39">
        <v>17</v>
      </c>
      <c r="AC9" s="35">
        <f t="shared" si="5"/>
        <v>210136</v>
      </c>
      <c r="AD9" s="36">
        <v>10956</v>
      </c>
      <c r="AE9" s="39">
        <v>85878</v>
      </c>
      <c r="AF9" s="39">
        <v>115</v>
      </c>
      <c r="AG9" s="39">
        <v>0</v>
      </c>
      <c r="AH9" s="35">
        <f t="shared" si="6"/>
        <v>96949</v>
      </c>
      <c r="AI9" s="36">
        <v>7220</v>
      </c>
      <c r="AJ9" s="39">
        <v>38078</v>
      </c>
      <c r="AK9" s="39">
        <v>196</v>
      </c>
      <c r="AL9" s="39">
        <v>0</v>
      </c>
      <c r="AM9" s="35">
        <f t="shared" si="7"/>
        <v>45494</v>
      </c>
      <c r="AN9" s="36">
        <v>6835</v>
      </c>
      <c r="AO9" s="39">
        <v>268468</v>
      </c>
      <c r="AP9" s="39">
        <v>38</v>
      </c>
      <c r="AQ9" s="39">
        <v>0</v>
      </c>
      <c r="AR9" s="35">
        <f t="shared" si="1"/>
        <v>275341</v>
      </c>
      <c r="AS9" s="36">
        <v>6401</v>
      </c>
      <c r="AT9" s="39">
        <v>94708</v>
      </c>
      <c r="AU9" s="39">
        <v>69</v>
      </c>
      <c r="AV9" s="39">
        <v>0</v>
      </c>
      <c r="AW9" s="35">
        <f t="shared" si="8"/>
        <v>101178</v>
      </c>
      <c r="AX9" s="36">
        <v>6713</v>
      </c>
      <c r="AY9" s="39">
        <v>58298</v>
      </c>
      <c r="AZ9" s="39">
        <v>316</v>
      </c>
      <c r="BA9" s="39">
        <v>0</v>
      </c>
      <c r="BB9" s="35">
        <f t="shared" si="9"/>
        <v>65327</v>
      </c>
      <c r="BC9" s="36">
        <v>7380</v>
      </c>
      <c r="BD9" s="39">
        <v>169487</v>
      </c>
      <c r="BE9" s="39">
        <v>0</v>
      </c>
      <c r="BF9" s="39">
        <f>13+2100000</f>
        <v>2100013</v>
      </c>
      <c r="BG9" s="35">
        <f t="shared" si="10"/>
        <v>2276880</v>
      </c>
      <c r="BH9" s="36">
        <v>7805</v>
      </c>
      <c r="BI9" s="39">
        <v>128619</v>
      </c>
      <c r="BJ9" s="39">
        <v>0</v>
      </c>
      <c r="BK9" s="39">
        <v>3</v>
      </c>
      <c r="BL9" s="35">
        <f t="shared" si="11"/>
        <v>136427</v>
      </c>
      <c r="BM9" s="36">
        <v>11518</v>
      </c>
      <c r="BN9" s="39">
        <v>62644</v>
      </c>
      <c r="BO9" s="39">
        <v>4684</v>
      </c>
      <c r="BP9" s="39">
        <v>1100016</v>
      </c>
      <c r="BQ9" s="35">
        <f t="shared" si="12"/>
        <v>1178862</v>
      </c>
      <c r="BR9" s="36">
        <f>+J9+O9+T9+Y9+AD9+AI9+AN9+AS9+AX9+BC9+BH9+BM9</f>
        <v>95816</v>
      </c>
      <c r="BS9" s="163">
        <f t="shared" si="13"/>
        <v>1430239</v>
      </c>
      <c r="BT9" s="39">
        <f>+L9+Q9+V9+AA9+AF9+AK9+AP9+AU9+AZ9+BE9+BJ9+BO9</f>
        <v>5510</v>
      </c>
      <c r="BU9" s="39">
        <f>+M9+R9+W9+AB9+AG9+AL9+AQ9+AV9+BA9+BF9+BK9+BP9</f>
        <v>3200071</v>
      </c>
      <c r="BV9" s="36">
        <f t="shared" si="2"/>
        <v>4731636</v>
      </c>
      <c r="BW9" s="8"/>
      <c r="BX9" s="165">
        <f t="shared" ref="BX9:BX75" si="15">(BV9/I9)*100</f>
        <v>99.131485236715577</v>
      </c>
    </row>
    <row r="10" spans="1:78" x14ac:dyDescent="0.2">
      <c r="A10" s="159">
        <v>4</v>
      </c>
      <c r="B10" s="160" t="s">
        <v>181</v>
      </c>
      <c r="D10" s="166"/>
      <c r="E10" s="162">
        <v>4457419</v>
      </c>
      <c r="F10" s="163">
        <v>85877947</v>
      </c>
      <c r="G10" s="163">
        <v>11188</v>
      </c>
      <c r="H10" s="163">
        <v>0</v>
      </c>
      <c r="I10" s="35">
        <f t="shared" si="0"/>
        <v>90346554</v>
      </c>
      <c r="J10" s="36">
        <v>269058</v>
      </c>
      <c r="K10" s="39">
        <v>40647</v>
      </c>
      <c r="L10" s="39">
        <v>28</v>
      </c>
      <c r="M10" s="39">
        <v>0</v>
      </c>
      <c r="N10" s="35">
        <f t="shared" si="14"/>
        <v>309733</v>
      </c>
      <c r="O10" s="39">
        <v>269745</v>
      </c>
      <c r="P10" s="39">
        <v>85996</v>
      </c>
      <c r="Q10" s="39">
        <v>1365</v>
      </c>
      <c r="R10" s="39">
        <v>0</v>
      </c>
      <c r="S10" s="35">
        <f t="shared" si="3"/>
        <v>357106</v>
      </c>
      <c r="T10" s="36">
        <v>263603</v>
      </c>
      <c r="U10" s="39">
        <v>1</v>
      </c>
      <c r="V10" s="39">
        <v>55</v>
      </c>
      <c r="W10" s="39">
        <v>0</v>
      </c>
      <c r="X10" s="35">
        <f t="shared" si="4"/>
        <v>263659</v>
      </c>
      <c r="Y10" s="36">
        <v>281974</v>
      </c>
      <c r="Z10" s="39">
        <v>32341361</v>
      </c>
      <c r="AA10" s="39">
        <v>351</v>
      </c>
      <c r="AB10" s="39">
        <v>0</v>
      </c>
      <c r="AC10" s="35">
        <f t="shared" si="5"/>
        <v>32623686</v>
      </c>
      <c r="AD10" s="36">
        <v>305389</v>
      </c>
      <c r="AE10" s="39">
        <v>1169916</v>
      </c>
      <c r="AF10" s="39">
        <v>3431</v>
      </c>
      <c r="AG10" s="39">
        <v>0</v>
      </c>
      <c r="AH10" s="35">
        <f t="shared" si="6"/>
        <v>1478736</v>
      </c>
      <c r="AI10" s="36">
        <v>287627</v>
      </c>
      <c r="AJ10" s="39">
        <v>54809</v>
      </c>
      <c r="AK10" s="39">
        <v>8318</v>
      </c>
      <c r="AL10" s="39">
        <v>0</v>
      </c>
      <c r="AM10" s="35">
        <f t="shared" si="7"/>
        <v>350754</v>
      </c>
      <c r="AN10" s="36">
        <v>281692</v>
      </c>
      <c r="AO10" s="39">
        <v>402062</v>
      </c>
      <c r="AP10" s="39">
        <v>729</v>
      </c>
      <c r="AQ10" s="39">
        <v>0</v>
      </c>
      <c r="AR10" s="35">
        <f t="shared" si="1"/>
        <v>684483</v>
      </c>
      <c r="AS10" s="36">
        <v>418158</v>
      </c>
      <c r="AT10" s="39">
        <v>418626</v>
      </c>
      <c r="AU10" s="39">
        <v>4968</v>
      </c>
      <c r="AV10" s="39">
        <v>0</v>
      </c>
      <c r="AW10" s="35">
        <f t="shared" si="8"/>
        <v>841752</v>
      </c>
      <c r="AX10" s="36">
        <v>486423</v>
      </c>
      <c r="AY10" s="39">
        <v>22729096</v>
      </c>
      <c r="AZ10" s="39">
        <v>9640</v>
      </c>
      <c r="BA10" s="39">
        <v>0</v>
      </c>
      <c r="BB10" s="35">
        <f t="shared" si="9"/>
        <v>23225159</v>
      </c>
      <c r="BC10" s="36">
        <v>316807</v>
      </c>
      <c r="BD10" s="39">
        <v>1724641</v>
      </c>
      <c r="BE10" s="39">
        <v>3101</v>
      </c>
      <c r="BF10" s="39">
        <v>0</v>
      </c>
      <c r="BG10" s="35">
        <f t="shared" si="10"/>
        <v>2044549</v>
      </c>
      <c r="BH10" s="36">
        <v>453541</v>
      </c>
      <c r="BI10" s="39">
        <v>459095</v>
      </c>
      <c r="BJ10" s="39">
        <v>2474</v>
      </c>
      <c r="BK10" s="39">
        <v>40</v>
      </c>
      <c r="BL10" s="35">
        <f t="shared" si="11"/>
        <v>915150</v>
      </c>
      <c r="BM10" s="36">
        <v>465317</v>
      </c>
      <c r="BN10" s="39">
        <v>23113530</v>
      </c>
      <c r="BO10" s="39">
        <v>3921</v>
      </c>
      <c r="BP10" s="39">
        <v>0</v>
      </c>
      <c r="BQ10" s="35">
        <f t="shared" si="12"/>
        <v>23582768</v>
      </c>
      <c r="BR10" s="36">
        <f>+J10+O10+T10+Y10+AD10+AI10+AN10+AS10+AX10+BC10+BH10+BM10</f>
        <v>4099334</v>
      </c>
      <c r="BS10" s="163">
        <f t="shared" si="13"/>
        <v>82539780</v>
      </c>
      <c r="BT10" s="39">
        <f>+L10+Q10+V10+AA10+AF10+AK10+AP10+AU10+AZ10+BE10+BJ10+BO10</f>
        <v>38381</v>
      </c>
      <c r="BU10" s="39">
        <f>+M10+R10+W10+AB10+AG10+AL10+AQ10+AV10+BA10+BF10+BK10+BP10</f>
        <v>40</v>
      </c>
      <c r="BV10" s="36">
        <f t="shared" si="2"/>
        <v>86677535</v>
      </c>
      <c r="BW10" s="8"/>
      <c r="BX10" s="165">
        <f>(BV10/I10)*100</f>
        <v>95.938949702497794</v>
      </c>
    </row>
    <row r="11" spans="1:78" x14ac:dyDescent="0.2">
      <c r="A11" s="159">
        <v>5</v>
      </c>
      <c r="B11" s="160" t="s">
        <v>182</v>
      </c>
      <c r="D11" s="161"/>
      <c r="E11" s="162">
        <v>7338925</v>
      </c>
      <c r="F11" s="163">
        <v>2176194</v>
      </c>
      <c r="G11" s="163">
        <v>12585</v>
      </c>
      <c r="H11" s="163">
        <v>0</v>
      </c>
      <c r="I11" s="35">
        <f t="shared" si="0"/>
        <v>9527704</v>
      </c>
      <c r="J11" s="36">
        <v>454613</v>
      </c>
      <c r="K11" s="39">
        <v>294034</v>
      </c>
      <c r="L11" s="39">
        <v>3944</v>
      </c>
      <c r="M11" s="39">
        <v>0</v>
      </c>
      <c r="N11" s="35">
        <f t="shared" si="14"/>
        <v>752591</v>
      </c>
      <c r="O11" s="39">
        <v>522761</v>
      </c>
      <c r="P11" s="39">
        <v>642591</v>
      </c>
      <c r="Q11" s="39">
        <v>6800</v>
      </c>
      <c r="R11" s="39">
        <v>0</v>
      </c>
      <c r="S11" s="35">
        <f t="shared" si="3"/>
        <v>1172152</v>
      </c>
      <c r="T11" s="36">
        <v>480104</v>
      </c>
      <c r="U11" s="39">
        <v>162981</v>
      </c>
      <c r="V11" s="39">
        <v>16368</v>
      </c>
      <c r="W11" s="39">
        <v>0</v>
      </c>
      <c r="X11" s="35">
        <f t="shared" si="4"/>
        <v>659453</v>
      </c>
      <c r="Y11" s="36">
        <v>673647</v>
      </c>
      <c r="Z11" s="39">
        <v>145482</v>
      </c>
      <c r="AA11" s="39">
        <v>20965</v>
      </c>
      <c r="AB11" s="39">
        <v>0</v>
      </c>
      <c r="AC11" s="35">
        <f t="shared" si="5"/>
        <v>840094</v>
      </c>
      <c r="AD11" s="36">
        <v>481916</v>
      </c>
      <c r="AE11" s="39">
        <v>101861</v>
      </c>
      <c r="AF11" s="39">
        <v>42132</v>
      </c>
      <c r="AG11" s="39">
        <v>0</v>
      </c>
      <c r="AH11" s="35">
        <f t="shared" si="6"/>
        <v>625909</v>
      </c>
      <c r="AI11" s="36">
        <v>553031</v>
      </c>
      <c r="AJ11" s="39">
        <v>100654</v>
      </c>
      <c r="AK11" s="39">
        <v>23675</v>
      </c>
      <c r="AL11" s="39">
        <v>0</v>
      </c>
      <c r="AM11" s="35">
        <f t="shared" si="7"/>
        <v>677360</v>
      </c>
      <c r="AN11" s="36">
        <v>573970</v>
      </c>
      <c r="AO11" s="39">
        <v>140590</v>
      </c>
      <c r="AP11" s="39">
        <v>25343</v>
      </c>
      <c r="AQ11" s="39">
        <v>0</v>
      </c>
      <c r="AR11" s="35">
        <f t="shared" si="1"/>
        <v>739903</v>
      </c>
      <c r="AS11" s="36">
        <v>562306</v>
      </c>
      <c r="AT11" s="39">
        <v>100441</v>
      </c>
      <c r="AU11" s="39">
        <v>40753</v>
      </c>
      <c r="AV11" s="39">
        <v>0</v>
      </c>
      <c r="AW11" s="35">
        <f t="shared" si="8"/>
        <v>703500</v>
      </c>
      <c r="AX11" s="36">
        <v>473164</v>
      </c>
      <c r="AY11" s="39">
        <v>100263</v>
      </c>
      <c r="AZ11" s="39">
        <v>86522</v>
      </c>
      <c r="BA11" s="39">
        <v>0</v>
      </c>
      <c r="BB11" s="35">
        <f t="shared" si="9"/>
        <v>659949</v>
      </c>
      <c r="BC11" s="36">
        <v>565425</v>
      </c>
      <c r="BD11" s="39">
        <v>141330</v>
      </c>
      <c r="BE11" s="39">
        <v>10503</v>
      </c>
      <c r="BF11" s="39">
        <v>0</v>
      </c>
      <c r="BG11" s="35">
        <f t="shared" si="10"/>
        <v>717258</v>
      </c>
      <c r="BH11" s="36">
        <v>749702</v>
      </c>
      <c r="BI11" s="39">
        <v>101332</v>
      </c>
      <c r="BJ11" s="39">
        <v>21799</v>
      </c>
      <c r="BK11" s="39">
        <v>0</v>
      </c>
      <c r="BL11" s="35">
        <f t="shared" si="11"/>
        <v>872833</v>
      </c>
      <c r="BM11" s="36">
        <v>765874</v>
      </c>
      <c r="BN11" s="39">
        <v>165349</v>
      </c>
      <c r="BO11" s="39">
        <v>169204</v>
      </c>
      <c r="BP11" s="39">
        <v>5042</v>
      </c>
      <c r="BQ11" s="35">
        <f t="shared" si="12"/>
        <v>1105469</v>
      </c>
      <c r="BR11" s="36">
        <f t="shared" ref="BR11:BU46" si="16">+J11+O11+T11+Y11+AD11+AI11+AN11+AS11+AX11+BC11+BH11+BM11</f>
        <v>6856513</v>
      </c>
      <c r="BS11" s="163">
        <f t="shared" si="13"/>
        <v>2196908</v>
      </c>
      <c r="BT11" s="39">
        <f t="shared" si="13"/>
        <v>468008</v>
      </c>
      <c r="BU11" s="39">
        <f t="shared" si="13"/>
        <v>5042</v>
      </c>
      <c r="BV11" s="36">
        <f>SUM(BR11:BU11)</f>
        <v>9526471</v>
      </c>
      <c r="BW11" s="8"/>
      <c r="BX11" s="165">
        <f>(BV11/I11)*100</f>
        <v>99.987058791918798</v>
      </c>
    </row>
    <row r="12" spans="1:78" x14ac:dyDescent="0.2">
      <c r="A12" s="159">
        <v>6</v>
      </c>
      <c r="B12" s="160" t="s">
        <v>183</v>
      </c>
      <c r="D12" s="161"/>
      <c r="E12" s="162">
        <v>5247298</v>
      </c>
      <c r="F12" s="163">
        <v>865960</v>
      </c>
      <c r="G12" s="163">
        <v>395257</v>
      </c>
      <c r="H12" s="163">
        <v>0</v>
      </c>
      <c r="I12" s="35">
        <f t="shared" si="0"/>
        <v>6508515</v>
      </c>
      <c r="J12" s="36">
        <v>439016</v>
      </c>
      <c r="K12" s="39">
        <v>441489</v>
      </c>
      <c r="L12" s="39">
        <v>6067</v>
      </c>
      <c r="M12" s="39">
        <v>0</v>
      </c>
      <c r="N12" s="35">
        <f t="shared" si="14"/>
        <v>886572</v>
      </c>
      <c r="O12" s="39">
        <v>429861</v>
      </c>
      <c r="P12" s="39">
        <v>12354</v>
      </c>
      <c r="Q12" s="39">
        <v>43184</v>
      </c>
      <c r="R12" s="39">
        <v>0</v>
      </c>
      <c r="S12" s="35">
        <f t="shared" si="3"/>
        <v>485399</v>
      </c>
      <c r="T12" s="36">
        <v>433045</v>
      </c>
      <c r="U12" s="39">
        <v>52997</v>
      </c>
      <c r="V12" s="39">
        <v>4479</v>
      </c>
      <c r="W12" s="39">
        <v>0</v>
      </c>
      <c r="X12" s="35">
        <f t="shared" si="4"/>
        <v>490521</v>
      </c>
      <c r="Y12" s="36">
        <v>489724</v>
      </c>
      <c r="Z12" s="39">
        <v>90780</v>
      </c>
      <c r="AA12" s="39">
        <v>42140</v>
      </c>
      <c r="AB12" s="39">
        <v>529</v>
      </c>
      <c r="AC12" s="35">
        <f t="shared" si="5"/>
        <v>623173</v>
      </c>
      <c r="AD12" s="36">
        <v>436776</v>
      </c>
      <c r="AE12" s="39">
        <v>9295</v>
      </c>
      <c r="AF12" s="39">
        <v>3939</v>
      </c>
      <c r="AG12" s="39">
        <v>0</v>
      </c>
      <c r="AH12" s="35">
        <f t="shared" si="6"/>
        <v>450010</v>
      </c>
      <c r="AI12" s="36">
        <v>504822</v>
      </c>
      <c r="AJ12" s="39">
        <v>15096</v>
      </c>
      <c r="AK12" s="39">
        <v>-72669</v>
      </c>
      <c r="AL12" s="39">
        <v>0</v>
      </c>
      <c r="AM12" s="35">
        <f t="shared" si="7"/>
        <v>447249</v>
      </c>
      <c r="AN12" s="36">
        <v>467913</v>
      </c>
      <c r="AO12" s="39">
        <v>1286</v>
      </c>
      <c r="AP12" s="39">
        <v>2364</v>
      </c>
      <c r="AQ12" s="39">
        <v>58</v>
      </c>
      <c r="AR12" s="35">
        <f t="shared" si="1"/>
        <v>471621</v>
      </c>
      <c r="AS12" s="36">
        <v>369654</v>
      </c>
      <c r="AT12" s="39">
        <v>5345</v>
      </c>
      <c r="AU12" s="39">
        <v>204</v>
      </c>
      <c r="AV12" s="39">
        <v>-587</v>
      </c>
      <c r="AW12" s="35">
        <f t="shared" si="8"/>
        <v>374616</v>
      </c>
      <c r="AX12" s="36">
        <v>458920</v>
      </c>
      <c r="AY12" s="39">
        <v>4198</v>
      </c>
      <c r="AZ12" s="39">
        <v>4887</v>
      </c>
      <c r="BA12" s="39">
        <v>0</v>
      </c>
      <c r="BB12" s="35">
        <f t="shared" si="9"/>
        <v>468005</v>
      </c>
      <c r="BC12" s="36">
        <v>201931</v>
      </c>
      <c r="BD12" s="39">
        <v>278</v>
      </c>
      <c r="BE12" s="39">
        <v>101</v>
      </c>
      <c r="BF12" s="39">
        <v>0</v>
      </c>
      <c r="BG12" s="35">
        <f t="shared" si="10"/>
        <v>202310</v>
      </c>
      <c r="BH12" s="36">
        <v>229478</v>
      </c>
      <c r="BI12" s="39">
        <v>-10847</v>
      </c>
      <c r="BJ12" s="39">
        <v>5065</v>
      </c>
      <c r="BK12" s="39">
        <v>11</v>
      </c>
      <c r="BL12" s="35">
        <f>SUM(BH12:BK12)</f>
        <v>223707</v>
      </c>
      <c r="BM12" s="36">
        <v>863264</v>
      </c>
      <c r="BN12" s="39">
        <v>259832</v>
      </c>
      <c r="BO12" s="39">
        <v>6523</v>
      </c>
      <c r="BP12" s="39">
        <v>0</v>
      </c>
      <c r="BQ12" s="35">
        <f t="shared" si="12"/>
        <v>1129619</v>
      </c>
      <c r="BR12" s="36">
        <f t="shared" si="16"/>
        <v>5324404</v>
      </c>
      <c r="BS12" s="163">
        <f t="shared" si="13"/>
        <v>882103</v>
      </c>
      <c r="BT12" s="39">
        <f t="shared" si="13"/>
        <v>46284</v>
      </c>
      <c r="BU12" s="39">
        <f t="shared" si="13"/>
        <v>11</v>
      </c>
      <c r="BV12" s="36">
        <f t="shared" si="2"/>
        <v>6252802</v>
      </c>
      <c r="BW12" s="8"/>
      <c r="BX12" s="165">
        <f t="shared" si="15"/>
        <v>96.071100704231299</v>
      </c>
    </row>
    <row r="13" spans="1:78" x14ac:dyDescent="0.2">
      <c r="A13" s="159">
        <v>7</v>
      </c>
      <c r="B13" s="160" t="s">
        <v>184</v>
      </c>
      <c r="D13" s="167"/>
      <c r="E13" s="162">
        <v>2410448</v>
      </c>
      <c r="F13" s="163">
        <v>23491488</v>
      </c>
      <c r="G13" s="163">
        <v>42868</v>
      </c>
      <c r="H13" s="163">
        <v>4746916</v>
      </c>
      <c r="I13" s="35">
        <f t="shared" si="0"/>
        <v>30691720</v>
      </c>
      <c r="J13" s="36">
        <v>149165</v>
      </c>
      <c r="K13" s="39">
        <v>1582311</v>
      </c>
      <c r="L13" s="39">
        <v>2036</v>
      </c>
      <c r="M13" s="39">
        <v>0</v>
      </c>
      <c r="N13" s="35">
        <f t="shared" si="14"/>
        <v>1733512</v>
      </c>
      <c r="O13" s="39">
        <v>194420</v>
      </c>
      <c r="P13" s="39">
        <v>1565933</v>
      </c>
      <c r="Q13" s="39">
        <v>1021</v>
      </c>
      <c r="R13" s="39">
        <v>78</v>
      </c>
      <c r="S13" s="35">
        <f t="shared" si="3"/>
        <v>1761452</v>
      </c>
      <c r="T13" s="36">
        <v>90234</v>
      </c>
      <c r="U13" s="39">
        <v>1672323</v>
      </c>
      <c r="V13" s="39">
        <v>2236</v>
      </c>
      <c r="W13" s="39">
        <v>0</v>
      </c>
      <c r="X13" s="35">
        <f t="shared" si="4"/>
        <v>1764793</v>
      </c>
      <c r="Y13" s="36">
        <v>200618</v>
      </c>
      <c r="Z13" s="39">
        <v>1839720</v>
      </c>
      <c r="AA13" s="39">
        <v>712</v>
      </c>
      <c r="AB13" s="39">
        <v>0</v>
      </c>
      <c r="AC13" s="35">
        <f t="shared" si="5"/>
        <v>2041050</v>
      </c>
      <c r="AD13" s="36">
        <v>142937</v>
      </c>
      <c r="AE13" s="39">
        <v>2296090</v>
      </c>
      <c r="AF13" s="39">
        <v>260</v>
      </c>
      <c r="AG13" s="39">
        <v>0</v>
      </c>
      <c r="AH13" s="35">
        <f t="shared" si="6"/>
        <v>2439287</v>
      </c>
      <c r="AI13" s="36">
        <v>124883</v>
      </c>
      <c r="AJ13" s="39">
        <v>1661768</v>
      </c>
      <c r="AK13" s="39">
        <v>1796</v>
      </c>
      <c r="AL13" s="39">
        <v>0</v>
      </c>
      <c r="AM13" s="35">
        <f t="shared" si="7"/>
        <v>1788447</v>
      </c>
      <c r="AN13" s="36">
        <v>197481</v>
      </c>
      <c r="AO13" s="39">
        <v>1814144</v>
      </c>
      <c r="AP13" s="39">
        <v>1529</v>
      </c>
      <c r="AQ13" s="39">
        <v>0</v>
      </c>
      <c r="AR13" s="35">
        <f t="shared" si="1"/>
        <v>2013154</v>
      </c>
      <c r="AS13" s="36">
        <v>182965</v>
      </c>
      <c r="AT13" s="39">
        <v>1930400</v>
      </c>
      <c r="AU13" s="39">
        <v>502</v>
      </c>
      <c r="AV13" s="39">
        <v>0</v>
      </c>
      <c r="AW13" s="35">
        <f t="shared" si="8"/>
        <v>2113867</v>
      </c>
      <c r="AX13" s="36">
        <v>158245</v>
      </c>
      <c r="AY13" s="39">
        <v>1598092</v>
      </c>
      <c r="AZ13" s="39">
        <v>1034</v>
      </c>
      <c r="BA13" s="39">
        <v>4273500</v>
      </c>
      <c r="BB13" s="35">
        <f t="shared" si="9"/>
        <v>6030871</v>
      </c>
      <c r="BC13" s="36">
        <v>156923</v>
      </c>
      <c r="BD13" s="39">
        <v>1882281</v>
      </c>
      <c r="BE13" s="39">
        <v>253</v>
      </c>
      <c r="BF13" s="39">
        <v>170</v>
      </c>
      <c r="BG13" s="35">
        <f t="shared" si="10"/>
        <v>2039627</v>
      </c>
      <c r="BH13" s="36">
        <v>194945</v>
      </c>
      <c r="BI13" s="39">
        <v>2655289</v>
      </c>
      <c r="BJ13" s="39">
        <v>515</v>
      </c>
      <c r="BK13" s="39">
        <v>68</v>
      </c>
      <c r="BL13" s="35">
        <f t="shared" si="11"/>
        <v>2850817</v>
      </c>
      <c r="BM13" s="36">
        <v>224066</v>
      </c>
      <c r="BN13" s="39">
        <v>3033987</v>
      </c>
      <c r="BO13" s="39">
        <v>1571</v>
      </c>
      <c r="BP13" s="39">
        <v>0</v>
      </c>
      <c r="BQ13" s="35">
        <f t="shared" si="12"/>
        <v>3259624</v>
      </c>
      <c r="BR13" s="36">
        <f t="shared" si="16"/>
        <v>2016882</v>
      </c>
      <c r="BS13" s="163">
        <f t="shared" si="13"/>
        <v>23532338</v>
      </c>
      <c r="BT13" s="39">
        <f t="shared" si="13"/>
        <v>13465</v>
      </c>
      <c r="BU13" s="39">
        <f t="shared" si="13"/>
        <v>4273816</v>
      </c>
      <c r="BV13" s="36">
        <f>SUM(BR13:BU13)</f>
        <v>29836501</v>
      </c>
      <c r="BW13" s="8"/>
      <c r="BX13" s="165">
        <f>(BV13/I13)*100</f>
        <v>97.213518825272743</v>
      </c>
      <c r="BZ13" s="1"/>
    </row>
    <row r="14" spans="1:78" x14ac:dyDescent="0.2">
      <c r="A14" s="159">
        <v>8</v>
      </c>
      <c r="B14" s="160" t="s">
        <v>185</v>
      </c>
      <c r="D14" s="167"/>
      <c r="E14" s="162">
        <v>485461</v>
      </c>
      <c r="F14" s="163">
        <v>459957</v>
      </c>
      <c r="G14" s="163">
        <v>11521</v>
      </c>
      <c r="H14" s="163">
        <v>0</v>
      </c>
      <c r="I14" s="35">
        <f>SUM(E14:H14)</f>
        <v>956939</v>
      </c>
      <c r="J14" s="36">
        <v>28996</v>
      </c>
      <c r="K14" s="39">
        <v>0</v>
      </c>
      <c r="L14" s="39">
        <v>11</v>
      </c>
      <c r="M14" s="39">
        <v>0</v>
      </c>
      <c r="N14" s="35">
        <f t="shared" si="14"/>
        <v>29007</v>
      </c>
      <c r="O14" s="39">
        <v>33122</v>
      </c>
      <c r="P14" s="39">
        <v>110053</v>
      </c>
      <c r="Q14" s="39">
        <v>1109</v>
      </c>
      <c r="R14" s="39">
        <v>0</v>
      </c>
      <c r="S14" s="35">
        <f t="shared" si="3"/>
        <v>144284</v>
      </c>
      <c r="T14" s="36">
        <v>32962</v>
      </c>
      <c r="U14" s="39">
        <v>0</v>
      </c>
      <c r="V14" s="39">
        <v>167</v>
      </c>
      <c r="W14" s="39">
        <v>0</v>
      </c>
      <c r="X14" s="35">
        <f t="shared" si="4"/>
        <v>33129</v>
      </c>
      <c r="Y14" s="36">
        <v>34454</v>
      </c>
      <c r="Z14" s="39">
        <v>35</v>
      </c>
      <c r="AA14" s="39">
        <v>154</v>
      </c>
      <c r="AB14" s="39">
        <v>0</v>
      </c>
      <c r="AC14" s="35">
        <f t="shared" si="5"/>
        <v>34643</v>
      </c>
      <c r="AD14" s="36">
        <v>36533</v>
      </c>
      <c r="AE14" s="39">
        <v>129732</v>
      </c>
      <c r="AF14" s="39">
        <v>139</v>
      </c>
      <c r="AG14" s="39">
        <v>0</v>
      </c>
      <c r="AH14" s="35">
        <f t="shared" si="6"/>
        <v>166404</v>
      </c>
      <c r="AI14" s="36">
        <v>34085</v>
      </c>
      <c r="AJ14" s="39">
        <v>97</v>
      </c>
      <c r="AK14" s="39">
        <v>351</v>
      </c>
      <c r="AL14" s="39">
        <v>1</v>
      </c>
      <c r="AM14" s="35">
        <f t="shared" si="7"/>
        <v>34534</v>
      </c>
      <c r="AN14" s="36">
        <v>42019</v>
      </c>
      <c r="AO14" s="39">
        <v>149</v>
      </c>
      <c r="AP14" s="39">
        <v>788</v>
      </c>
      <c r="AQ14" s="39">
        <v>0</v>
      </c>
      <c r="AR14" s="35">
        <f t="shared" si="1"/>
        <v>42956</v>
      </c>
      <c r="AS14" s="36">
        <v>35543</v>
      </c>
      <c r="AT14" s="39">
        <v>110376</v>
      </c>
      <c r="AU14" s="39">
        <v>242</v>
      </c>
      <c r="AV14" s="39">
        <v>0</v>
      </c>
      <c r="AW14" s="35">
        <f t="shared" si="8"/>
        <v>146161</v>
      </c>
      <c r="AX14" s="36">
        <v>37185</v>
      </c>
      <c r="AY14" s="39">
        <v>299</v>
      </c>
      <c r="AZ14" s="39">
        <v>1922</v>
      </c>
      <c r="BA14" s="39">
        <v>0</v>
      </c>
      <c r="BB14" s="35">
        <f t="shared" si="9"/>
        <v>39406</v>
      </c>
      <c r="BC14" s="36">
        <v>35125</v>
      </c>
      <c r="BD14" s="39">
        <v>49</v>
      </c>
      <c r="BE14" s="39">
        <v>1377</v>
      </c>
      <c r="BF14" s="39">
        <v>0</v>
      </c>
      <c r="BG14" s="35">
        <f t="shared" si="10"/>
        <v>36551</v>
      </c>
      <c r="BH14" s="36">
        <v>34233</v>
      </c>
      <c r="BI14" s="39">
        <v>110074</v>
      </c>
      <c r="BJ14" s="39">
        <v>281</v>
      </c>
      <c r="BK14" s="39">
        <v>0</v>
      </c>
      <c r="BL14" s="35">
        <f t="shared" si="11"/>
        <v>144588</v>
      </c>
      <c r="BM14" s="36">
        <v>61790</v>
      </c>
      <c r="BN14" s="39">
        <v>6</v>
      </c>
      <c r="BO14" s="39">
        <v>1056</v>
      </c>
      <c r="BP14" s="39">
        <v>29</v>
      </c>
      <c r="BQ14" s="35">
        <f t="shared" si="12"/>
        <v>62881</v>
      </c>
      <c r="BR14" s="36">
        <f t="shared" si="16"/>
        <v>446047</v>
      </c>
      <c r="BS14" s="163">
        <f t="shared" si="13"/>
        <v>460870</v>
      </c>
      <c r="BT14" s="39">
        <f t="shared" si="13"/>
        <v>7597</v>
      </c>
      <c r="BU14" s="39">
        <f t="shared" si="13"/>
        <v>30</v>
      </c>
      <c r="BV14" s="36">
        <f t="shared" si="2"/>
        <v>914544</v>
      </c>
      <c r="BW14" s="8"/>
      <c r="BX14" s="165">
        <f t="shared" si="15"/>
        <v>95.569728059991292</v>
      </c>
    </row>
    <row r="15" spans="1:78" x14ac:dyDescent="0.2">
      <c r="A15" s="159">
        <v>9</v>
      </c>
      <c r="B15" s="168" t="s">
        <v>186</v>
      </c>
      <c r="D15" s="166"/>
      <c r="E15" s="162">
        <v>274270</v>
      </c>
      <c r="F15" s="163">
        <v>5322</v>
      </c>
      <c r="G15" s="163">
        <v>3438</v>
      </c>
      <c r="H15" s="163">
        <v>56600000</v>
      </c>
      <c r="I15" s="35">
        <f>SUM(E15:H15)</f>
        <v>56883030</v>
      </c>
      <c r="J15" s="36">
        <v>22363</v>
      </c>
      <c r="K15" s="39">
        <v>2</v>
      </c>
      <c r="L15" s="39">
        <v>0</v>
      </c>
      <c r="M15" s="39">
        <v>0</v>
      </c>
      <c r="N15" s="35">
        <f t="shared" si="14"/>
        <v>22365</v>
      </c>
      <c r="O15" s="39">
        <v>14051</v>
      </c>
      <c r="P15" s="39">
        <v>19</v>
      </c>
      <c r="Q15" s="39">
        <v>168</v>
      </c>
      <c r="R15" s="39">
        <v>0</v>
      </c>
      <c r="S15" s="35">
        <f t="shared" si="3"/>
        <v>14238</v>
      </c>
      <c r="T15" s="36">
        <v>16701</v>
      </c>
      <c r="U15" s="39">
        <v>1</v>
      </c>
      <c r="V15" s="39">
        <v>449</v>
      </c>
      <c r="W15" s="39">
        <v>0</v>
      </c>
      <c r="X15" s="35">
        <f t="shared" si="4"/>
        <v>17151</v>
      </c>
      <c r="Y15" s="36">
        <v>17978</v>
      </c>
      <c r="Z15" s="39">
        <v>122</v>
      </c>
      <c r="AA15" s="39">
        <v>93</v>
      </c>
      <c r="AB15" s="39">
        <v>0</v>
      </c>
      <c r="AC15" s="35">
        <f t="shared" si="5"/>
        <v>18193</v>
      </c>
      <c r="AD15" s="36">
        <v>22653</v>
      </c>
      <c r="AE15" s="39">
        <v>76</v>
      </c>
      <c r="AF15" s="39">
        <v>255</v>
      </c>
      <c r="AG15" s="39">
        <v>0</v>
      </c>
      <c r="AH15" s="35">
        <f t="shared" si="6"/>
        <v>22984</v>
      </c>
      <c r="AI15" s="36">
        <v>14911</v>
      </c>
      <c r="AJ15" s="39">
        <v>4745</v>
      </c>
      <c r="AK15" s="39">
        <v>-48</v>
      </c>
      <c r="AL15" s="39">
        <v>13500000</v>
      </c>
      <c r="AM15" s="35">
        <f>SUM(AI15:AL15)</f>
        <v>13519608</v>
      </c>
      <c r="AN15" s="36">
        <v>18930</v>
      </c>
      <c r="AO15" s="39">
        <v>3</v>
      </c>
      <c r="AP15" s="39">
        <v>26</v>
      </c>
      <c r="AQ15" s="39">
        <v>0</v>
      </c>
      <c r="AR15" s="35">
        <f t="shared" si="1"/>
        <v>18959</v>
      </c>
      <c r="AS15" s="36">
        <v>21167</v>
      </c>
      <c r="AT15" s="39">
        <v>0</v>
      </c>
      <c r="AU15" s="39">
        <v>22</v>
      </c>
      <c r="AV15" s="39">
        <v>0</v>
      </c>
      <c r="AW15" s="35">
        <f t="shared" si="8"/>
        <v>21189</v>
      </c>
      <c r="AX15" s="36">
        <v>24388</v>
      </c>
      <c r="AY15" s="39">
        <v>100</v>
      </c>
      <c r="AZ15" s="39">
        <v>2751</v>
      </c>
      <c r="BA15" s="39">
        <v>13000000</v>
      </c>
      <c r="BB15" s="35">
        <f t="shared" si="9"/>
        <v>13027239</v>
      </c>
      <c r="BC15" s="36">
        <v>9997</v>
      </c>
      <c r="BD15" s="39">
        <v>0</v>
      </c>
      <c r="BE15" s="39">
        <v>321</v>
      </c>
      <c r="BF15" s="39">
        <f>5500000+300000+1800000</f>
        <v>7600000</v>
      </c>
      <c r="BG15" s="35">
        <f t="shared" si="10"/>
        <v>7610318</v>
      </c>
      <c r="BH15" s="36">
        <v>17739</v>
      </c>
      <c r="BI15" s="39">
        <v>46</v>
      </c>
      <c r="BJ15" s="39">
        <v>58</v>
      </c>
      <c r="BK15" s="39">
        <v>13000000</v>
      </c>
      <c r="BL15" s="35">
        <f t="shared" si="11"/>
        <v>13017843</v>
      </c>
      <c r="BM15" s="36">
        <v>33112</v>
      </c>
      <c r="BN15" s="39">
        <v>3016</v>
      </c>
      <c r="BO15" s="39">
        <v>132</v>
      </c>
      <c r="BP15" s="39">
        <v>9500041</v>
      </c>
      <c r="BQ15" s="35">
        <f t="shared" si="12"/>
        <v>9536301</v>
      </c>
      <c r="BR15" s="36">
        <f t="shared" si="16"/>
        <v>233990</v>
      </c>
      <c r="BS15" s="163">
        <f t="shared" si="13"/>
        <v>8130</v>
      </c>
      <c r="BT15" s="39">
        <f t="shared" si="13"/>
        <v>4227</v>
      </c>
      <c r="BU15" s="39">
        <f>+M15+R15+W15+AB15+AG15+AL15+AQ15+AV15+BA15+BF15+BK15+BP15</f>
        <v>56600041</v>
      </c>
      <c r="BV15" s="36">
        <f t="shared" si="2"/>
        <v>56846388</v>
      </c>
      <c r="BW15" s="8"/>
      <c r="BX15" s="165">
        <f t="shared" si="15"/>
        <v>99.935583600240705</v>
      </c>
      <c r="BZ15" s="1"/>
    </row>
    <row r="16" spans="1:78" x14ac:dyDescent="0.2">
      <c r="A16" s="159">
        <v>10</v>
      </c>
      <c r="B16" s="160" t="s">
        <v>187</v>
      </c>
      <c r="D16" s="161"/>
      <c r="E16" s="162">
        <v>480135</v>
      </c>
      <c r="F16" s="163">
        <v>509066</v>
      </c>
      <c r="G16" s="163">
        <v>4142</v>
      </c>
      <c r="H16" s="163">
        <v>0</v>
      </c>
      <c r="I16" s="35">
        <f t="shared" si="0"/>
        <v>993343</v>
      </c>
      <c r="J16" s="36">
        <v>29256</v>
      </c>
      <c r="K16" s="39">
        <v>39528</v>
      </c>
      <c r="L16" s="39">
        <v>423</v>
      </c>
      <c r="M16" s="39">
        <v>0</v>
      </c>
      <c r="N16" s="35">
        <f t="shared" si="14"/>
        <v>69207</v>
      </c>
      <c r="O16" s="39">
        <v>37301</v>
      </c>
      <c r="P16" s="39">
        <v>37239</v>
      </c>
      <c r="Q16" s="39">
        <v>268</v>
      </c>
      <c r="R16" s="39">
        <v>0</v>
      </c>
      <c r="S16" s="35">
        <f>SUM(O16:R16)</f>
        <v>74808</v>
      </c>
      <c r="T16" s="36">
        <v>30158</v>
      </c>
      <c r="U16" s="39">
        <v>43295</v>
      </c>
      <c r="V16" s="39">
        <v>278</v>
      </c>
      <c r="W16" s="39">
        <v>0</v>
      </c>
      <c r="X16" s="35">
        <f t="shared" si="4"/>
        <v>73731</v>
      </c>
      <c r="Y16" s="36">
        <v>33502</v>
      </c>
      <c r="Z16" s="39">
        <v>44814</v>
      </c>
      <c r="AA16" s="39">
        <v>611</v>
      </c>
      <c r="AB16" s="39">
        <v>0</v>
      </c>
      <c r="AC16" s="35">
        <f t="shared" si="5"/>
        <v>78927</v>
      </c>
      <c r="AD16" s="36">
        <v>33117</v>
      </c>
      <c r="AE16" s="39">
        <v>41736</v>
      </c>
      <c r="AF16" s="39">
        <v>415</v>
      </c>
      <c r="AG16" s="39">
        <v>837</v>
      </c>
      <c r="AH16" s="35">
        <f t="shared" si="6"/>
        <v>76105</v>
      </c>
      <c r="AI16" s="36">
        <v>32396</v>
      </c>
      <c r="AJ16" s="39">
        <v>44878</v>
      </c>
      <c r="AK16" s="39">
        <v>-499</v>
      </c>
      <c r="AL16" s="39">
        <v>-837</v>
      </c>
      <c r="AM16" s="35">
        <f t="shared" si="7"/>
        <v>75938</v>
      </c>
      <c r="AN16" s="36">
        <v>33272</v>
      </c>
      <c r="AO16" s="39">
        <v>42872</v>
      </c>
      <c r="AP16" s="39">
        <v>524</v>
      </c>
      <c r="AQ16" s="39">
        <v>13</v>
      </c>
      <c r="AR16" s="35">
        <f t="shared" si="1"/>
        <v>76681</v>
      </c>
      <c r="AS16" s="36">
        <v>31873</v>
      </c>
      <c r="AT16" s="39">
        <v>42105</v>
      </c>
      <c r="AU16" s="39">
        <v>188</v>
      </c>
      <c r="AV16" s="39">
        <v>0</v>
      </c>
      <c r="AW16" s="35">
        <f t="shared" si="8"/>
        <v>74166</v>
      </c>
      <c r="AX16" s="36">
        <v>32575</v>
      </c>
      <c r="AY16" s="39">
        <v>44212</v>
      </c>
      <c r="AZ16" s="39">
        <v>102</v>
      </c>
      <c r="BA16" s="39">
        <v>0</v>
      </c>
      <c r="BB16" s="35">
        <f t="shared" si="9"/>
        <v>76889</v>
      </c>
      <c r="BC16" s="36">
        <v>29100</v>
      </c>
      <c r="BD16" s="39">
        <v>38185</v>
      </c>
      <c r="BE16" s="39">
        <v>203</v>
      </c>
      <c r="BF16" s="39">
        <v>0</v>
      </c>
      <c r="BG16" s="35">
        <f t="shared" si="10"/>
        <v>67488</v>
      </c>
      <c r="BH16" s="36">
        <v>41716</v>
      </c>
      <c r="BI16" s="39">
        <v>42916</v>
      </c>
      <c r="BJ16" s="39">
        <v>152</v>
      </c>
      <c r="BK16" s="39">
        <v>0</v>
      </c>
      <c r="BL16" s="35">
        <f>SUM(BH16:BK16)</f>
        <v>84784</v>
      </c>
      <c r="BM16" s="36">
        <v>80185</v>
      </c>
      <c r="BN16" s="39">
        <v>46465</v>
      </c>
      <c r="BO16" s="39">
        <v>597</v>
      </c>
      <c r="BP16" s="39">
        <v>0</v>
      </c>
      <c r="BQ16" s="35">
        <f t="shared" si="12"/>
        <v>127247</v>
      </c>
      <c r="BR16" s="36">
        <f t="shared" si="16"/>
        <v>444451</v>
      </c>
      <c r="BS16" s="163">
        <f t="shared" si="13"/>
        <v>508245</v>
      </c>
      <c r="BT16" s="39">
        <f t="shared" si="13"/>
        <v>3262</v>
      </c>
      <c r="BU16" s="39">
        <f t="shared" si="13"/>
        <v>13</v>
      </c>
      <c r="BV16" s="36">
        <f t="shared" si="2"/>
        <v>955971</v>
      </c>
      <c r="BW16" s="8"/>
      <c r="BX16" s="165">
        <f t="shared" si="15"/>
        <v>96.237754733259308</v>
      </c>
    </row>
    <row r="17" spans="1:80" x14ac:dyDescent="0.2">
      <c r="A17" s="159">
        <v>11</v>
      </c>
      <c r="B17" s="137" t="s">
        <v>188</v>
      </c>
      <c r="D17" s="166"/>
      <c r="E17" s="162">
        <v>1009820</v>
      </c>
      <c r="F17" s="163">
        <v>6873984</v>
      </c>
      <c r="G17" s="163">
        <v>23241</v>
      </c>
      <c r="H17" s="163">
        <v>0</v>
      </c>
      <c r="I17" s="35">
        <f t="shared" si="0"/>
        <v>7907045</v>
      </c>
      <c r="J17" s="36">
        <v>56180</v>
      </c>
      <c r="K17" s="39">
        <v>1231312</v>
      </c>
      <c r="L17" s="39">
        <v>193</v>
      </c>
      <c r="M17" s="39">
        <v>0</v>
      </c>
      <c r="N17" s="35">
        <f t="shared" si="14"/>
        <v>1287685</v>
      </c>
      <c r="O17" s="39">
        <v>64574</v>
      </c>
      <c r="P17" s="39">
        <v>156127</v>
      </c>
      <c r="Q17" s="39">
        <v>1403</v>
      </c>
      <c r="R17" s="39">
        <v>0</v>
      </c>
      <c r="S17" s="35">
        <f>SUM(O17:R17)</f>
        <v>222104</v>
      </c>
      <c r="T17" s="36">
        <v>98696</v>
      </c>
      <c r="U17" s="39">
        <v>394727</v>
      </c>
      <c r="V17" s="39">
        <v>2008</v>
      </c>
      <c r="W17" s="39">
        <v>0</v>
      </c>
      <c r="X17" s="35">
        <f t="shared" si="4"/>
        <v>495431</v>
      </c>
      <c r="Y17" s="36">
        <v>65628</v>
      </c>
      <c r="Z17" s="39">
        <v>1057255</v>
      </c>
      <c r="AA17" s="39">
        <v>1220</v>
      </c>
      <c r="AB17" s="39">
        <v>0</v>
      </c>
      <c r="AC17" s="35">
        <f t="shared" si="5"/>
        <v>1124103</v>
      </c>
      <c r="AD17" s="36">
        <v>78891</v>
      </c>
      <c r="AE17" s="39">
        <v>352032</v>
      </c>
      <c r="AF17" s="39">
        <v>5515</v>
      </c>
      <c r="AG17" s="39">
        <v>0</v>
      </c>
      <c r="AH17" s="35">
        <f t="shared" si="6"/>
        <v>436438</v>
      </c>
      <c r="AI17" s="36">
        <v>64686</v>
      </c>
      <c r="AJ17" s="39">
        <v>145775</v>
      </c>
      <c r="AK17" s="39">
        <v>1304</v>
      </c>
      <c r="AL17" s="39">
        <v>0</v>
      </c>
      <c r="AM17" s="35">
        <f t="shared" si="7"/>
        <v>211765</v>
      </c>
      <c r="AN17" s="36">
        <v>66095</v>
      </c>
      <c r="AO17" s="39">
        <v>1265207</v>
      </c>
      <c r="AP17" s="39">
        <v>2567</v>
      </c>
      <c r="AQ17" s="39">
        <v>0</v>
      </c>
      <c r="AR17" s="35">
        <f t="shared" si="1"/>
        <v>1333869</v>
      </c>
      <c r="AS17" s="36">
        <v>81198</v>
      </c>
      <c r="AT17" s="39">
        <v>317409</v>
      </c>
      <c r="AU17" s="39">
        <v>780</v>
      </c>
      <c r="AV17" s="39">
        <v>0</v>
      </c>
      <c r="AW17" s="35">
        <f t="shared" si="8"/>
        <v>399387</v>
      </c>
      <c r="AX17" s="36">
        <v>71138</v>
      </c>
      <c r="AY17" s="39">
        <v>133451</v>
      </c>
      <c r="AZ17" s="39">
        <v>293</v>
      </c>
      <c r="BA17" s="39">
        <v>0</v>
      </c>
      <c r="BB17" s="35">
        <f>SUM(AX17:BA17)</f>
        <v>204882</v>
      </c>
      <c r="BC17" s="36">
        <v>52811</v>
      </c>
      <c r="BD17" s="39">
        <v>1441993</v>
      </c>
      <c r="BE17" s="39">
        <v>359</v>
      </c>
      <c r="BF17" s="39">
        <v>0</v>
      </c>
      <c r="BG17" s="35">
        <f t="shared" si="10"/>
        <v>1495163</v>
      </c>
      <c r="BH17" s="36">
        <v>74302</v>
      </c>
      <c r="BI17" s="39">
        <v>217933</v>
      </c>
      <c r="BJ17" s="39">
        <v>1049</v>
      </c>
      <c r="BK17" s="39">
        <v>0</v>
      </c>
      <c r="BL17" s="35">
        <f t="shared" si="11"/>
        <v>293284</v>
      </c>
      <c r="BM17" s="36">
        <v>80555</v>
      </c>
      <c r="BN17" s="39">
        <v>160962</v>
      </c>
      <c r="BO17" s="39">
        <v>775</v>
      </c>
      <c r="BP17" s="39">
        <v>148</v>
      </c>
      <c r="BQ17" s="35">
        <f t="shared" si="12"/>
        <v>242440</v>
      </c>
      <c r="BR17" s="36">
        <f t="shared" si="16"/>
        <v>854754</v>
      </c>
      <c r="BS17" s="163">
        <f t="shared" si="13"/>
        <v>6874183</v>
      </c>
      <c r="BT17" s="39">
        <f t="shared" si="13"/>
        <v>17466</v>
      </c>
      <c r="BU17" s="39">
        <f t="shared" si="13"/>
        <v>148</v>
      </c>
      <c r="BV17" s="36">
        <f t="shared" si="2"/>
        <v>7746551</v>
      </c>
      <c r="BW17" s="8"/>
      <c r="BX17" s="165">
        <f t="shared" si="15"/>
        <v>97.970240462777184</v>
      </c>
    </row>
    <row r="18" spans="1:80" x14ac:dyDescent="0.2">
      <c r="A18" s="159">
        <v>12</v>
      </c>
      <c r="B18" s="160" t="s">
        <v>189</v>
      </c>
      <c r="D18" s="167"/>
      <c r="E18" s="162">
        <v>2141122</v>
      </c>
      <c r="F18" s="163">
        <v>2612</v>
      </c>
      <c r="G18" s="163">
        <v>370634</v>
      </c>
      <c r="H18" s="163">
        <v>0</v>
      </c>
      <c r="I18" s="35">
        <f t="shared" si="0"/>
        <v>2514368</v>
      </c>
      <c r="J18" s="36">
        <v>144532</v>
      </c>
      <c r="K18" s="39">
        <v>75</v>
      </c>
      <c r="L18" s="39">
        <v>21611</v>
      </c>
      <c r="M18" s="39">
        <v>0</v>
      </c>
      <c r="N18" s="35">
        <f t="shared" si="14"/>
        <v>166218</v>
      </c>
      <c r="O18" s="39">
        <v>170732</v>
      </c>
      <c r="P18" s="39">
        <v>4730</v>
      </c>
      <c r="Q18" s="39">
        <v>21913</v>
      </c>
      <c r="R18" s="39">
        <v>0</v>
      </c>
      <c r="S18" s="35">
        <f>SUM(O18:R18)</f>
        <v>197375</v>
      </c>
      <c r="T18" s="36">
        <v>169470</v>
      </c>
      <c r="U18" s="39">
        <v>-4219</v>
      </c>
      <c r="V18" s="39">
        <v>22083</v>
      </c>
      <c r="W18" s="39">
        <v>0</v>
      </c>
      <c r="X18" s="35">
        <f t="shared" si="4"/>
        <v>187334</v>
      </c>
      <c r="Y18" s="36">
        <v>172504</v>
      </c>
      <c r="Z18" s="39">
        <v>43</v>
      </c>
      <c r="AA18" s="39">
        <v>21481</v>
      </c>
      <c r="AB18" s="39">
        <v>0</v>
      </c>
      <c r="AC18" s="35">
        <f t="shared" si="5"/>
        <v>194028</v>
      </c>
      <c r="AD18" s="36">
        <v>172018</v>
      </c>
      <c r="AE18" s="39">
        <v>515</v>
      </c>
      <c r="AF18" s="39">
        <v>21655</v>
      </c>
      <c r="AG18" s="39">
        <v>0</v>
      </c>
      <c r="AH18" s="35">
        <f t="shared" si="6"/>
        <v>194188</v>
      </c>
      <c r="AI18" s="36">
        <v>174780</v>
      </c>
      <c r="AJ18" s="39">
        <v>136</v>
      </c>
      <c r="AK18" s="39">
        <v>26745</v>
      </c>
      <c r="AL18" s="39">
        <v>0</v>
      </c>
      <c r="AM18" s="35">
        <f>SUM(AI18:AL18)</f>
        <v>201661</v>
      </c>
      <c r="AN18" s="36">
        <v>187413</v>
      </c>
      <c r="AO18" s="39">
        <v>723</v>
      </c>
      <c r="AP18" s="39">
        <v>17944</v>
      </c>
      <c r="AQ18" s="39">
        <v>0</v>
      </c>
      <c r="AR18" s="35">
        <f t="shared" si="1"/>
        <v>206080</v>
      </c>
      <c r="AS18" s="36">
        <v>180304</v>
      </c>
      <c r="AT18" s="39">
        <v>158</v>
      </c>
      <c r="AU18" s="39">
        <v>21921</v>
      </c>
      <c r="AV18" s="39">
        <v>0</v>
      </c>
      <c r="AW18" s="35">
        <f t="shared" si="8"/>
        <v>202383</v>
      </c>
      <c r="AX18" s="36">
        <v>204958</v>
      </c>
      <c r="AY18" s="39">
        <v>261</v>
      </c>
      <c r="AZ18" s="39">
        <v>23227</v>
      </c>
      <c r="BA18" s="39">
        <v>0</v>
      </c>
      <c r="BB18" s="35">
        <f t="shared" si="9"/>
        <v>228446</v>
      </c>
      <c r="BC18" s="36">
        <v>161062</v>
      </c>
      <c r="BD18" s="39">
        <v>102</v>
      </c>
      <c r="BE18" s="39">
        <v>23133</v>
      </c>
      <c r="BF18" s="39">
        <v>0</v>
      </c>
      <c r="BG18" s="35">
        <f t="shared" si="10"/>
        <v>184297</v>
      </c>
      <c r="BH18" s="36">
        <v>191480</v>
      </c>
      <c r="BI18" s="39">
        <v>1973</v>
      </c>
      <c r="BJ18" s="39">
        <v>23672</v>
      </c>
      <c r="BK18" s="39">
        <v>0</v>
      </c>
      <c r="BL18" s="35">
        <f t="shared" si="11"/>
        <v>217125</v>
      </c>
      <c r="BM18" s="36">
        <v>299726</v>
      </c>
      <c r="BN18" s="39">
        <v>-1223</v>
      </c>
      <c r="BO18" s="39">
        <v>68387</v>
      </c>
      <c r="BP18" s="39">
        <v>8638</v>
      </c>
      <c r="BQ18" s="35">
        <f t="shared" si="12"/>
        <v>375528</v>
      </c>
      <c r="BR18" s="36">
        <f t="shared" si="16"/>
        <v>2228979</v>
      </c>
      <c r="BS18" s="163">
        <f t="shared" si="13"/>
        <v>3274</v>
      </c>
      <c r="BT18" s="39">
        <f t="shared" si="13"/>
        <v>313772</v>
      </c>
      <c r="BU18" s="39">
        <f t="shared" si="13"/>
        <v>8638</v>
      </c>
      <c r="BV18" s="36">
        <f t="shared" si="2"/>
        <v>2554663</v>
      </c>
      <c r="BW18" s="8"/>
      <c r="BX18" s="165">
        <f t="shared" si="15"/>
        <v>101.60258959706773</v>
      </c>
      <c r="BY18" s="39"/>
      <c r="BZ18" s="39"/>
      <c r="CA18" s="39"/>
    </row>
    <row r="19" spans="1:80" x14ac:dyDescent="0.2">
      <c r="A19" s="159">
        <v>13</v>
      </c>
      <c r="B19" s="137" t="s">
        <v>190</v>
      </c>
      <c r="D19" s="161"/>
      <c r="E19" s="162">
        <v>154493</v>
      </c>
      <c r="F19" s="163">
        <v>86301</v>
      </c>
      <c r="G19" s="163">
        <v>3204</v>
      </c>
      <c r="H19" s="163">
        <v>400</v>
      </c>
      <c r="I19" s="35">
        <f t="shared" si="0"/>
        <v>244398</v>
      </c>
      <c r="J19" s="36">
        <v>12411</v>
      </c>
      <c r="K19" s="39">
        <v>7099</v>
      </c>
      <c r="L19" s="39">
        <v>38</v>
      </c>
      <c r="M19" s="39">
        <v>0</v>
      </c>
      <c r="N19" s="35">
        <f t="shared" si="14"/>
        <v>19548</v>
      </c>
      <c r="O19" s="39">
        <v>11788</v>
      </c>
      <c r="P19" s="39">
        <v>7098</v>
      </c>
      <c r="Q19" s="39">
        <v>20</v>
      </c>
      <c r="R19" s="39">
        <v>0</v>
      </c>
      <c r="S19" s="35">
        <f>SUM(O19:R19)</f>
        <v>18906</v>
      </c>
      <c r="T19" s="36">
        <v>14919</v>
      </c>
      <c r="U19" s="39">
        <v>7404</v>
      </c>
      <c r="V19" s="39">
        <v>41</v>
      </c>
      <c r="W19" s="39">
        <v>0</v>
      </c>
      <c r="X19" s="35">
        <f t="shared" si="4"/>
        <v>22364</v>
      </c>
      <c r="Y19" s="36">
        <v>11162</v>
      </c>
      <c r="Z19" s="39">
        <v>8233</v>
      </c>
      <c r="AA19" s="39">
        <v>116</v>
      </c>
      <c r="AB19" s="39">
        <v>0</v>
      </c>
      <c r="AC19" s="35">
        <f t="shared" si="5"/>
        <v>19511</v>
      </c>
      <c r="AD19" s="36">
        <v>12774</v>
      </c>
      <c r="AE19" s="39">
        <v>7131</v>
      </c>
      <c r="AF19" s="39">
        <v>480</v>
      </c>
      <c r="AG19" s="39">
        <v>0</v>
      </c>
      <c r="AH19" s="35">
        <f t="shared" si="6"/>
        <v>20385</v>
      </c>
      <c r="AI19" s="36">
        <v>11630</v>
      </c>
      <c r="AJ19" s="39">
        <v>7098</v>
      </c>
      <c r="AK19" s="39">
        <v>19</v>
      </c>
      <c r="AL19" s="39">
        <v>0</v>
      </c>
      <c r="AM19" s="35">
        <f t="shared" si="7"/>
        <v>18747</v>
      </c>
      <c r="AN19" s="36">
        <v>14968</v>
      </c>
      <c r="AO19" s="39">
        <v>7099</v>
      </c>
      <c r="AP19" s="39">
        <v>282</v>
      </c>
      <c r="AQ19" s="39">
        <v>0</v>
      </c>
      <c r="AR19" s="35">
        <f t="shared" si="1"/>
        <v>22349</v>
      </c>
      <c r="AS19" s="36">
        <v>16211</v>
      </c>
      <c r="AT19" s="39">
        <v>7419</v>
      </c>
      <c r="AU19" s="39">
        <v>264</v>
      </c>
      <c r="AV19" s="39">
        <v>0</v>
      </c>
      <c r="AW19" s="35">
        <f t="shared" si="8"/>
        <v>23894</v>
      </c>
      <c r="AX19" s="36">
        <v>11518</v>
      </c>
      <c r="AY19" s="39">
        <v>7098</v>
      </c>
      <c r="AZ19" s="39">
        <v>18</v>
      </c>
      <c r="BA19" s="39">
        <v>0</v>
      </c>
      <c r="BB19" s="35">
        <f t="shared" si="9"/>
        <v>18634</v>
      </c>
      <c r="BC19" s="36">
        <v>11049</v>
      </c>
      <c r="BD19" s="39">
        <v>7270</v>
      </c>
      <c r="BE19" s="39">
        <v>677</v>
      </c>
      <c r="BF19" s="39">
        <v>0</v>
      </c>
      <c r="BG19" s="35">
        <f t="shared" si="10"/>
        <v>18996</v>
      </c>
      <c r="BH19" s="36">
        <v>10139</v>
      </c>
      <c r="BI19" s="39">
        <v>7099</v>
      </c>
      <c r="BJ19" s="39">
        <v>7</v>
      </c>
      <c r="BK19" s="39">
        <v>381</v>
      </c>
      <c r="BL19" s="35">
        <f t="shared" si="11"/>
        <v>17626</v>
      </c>
      <c r="BM19" s="36">
        <v>13070</v>
      </c>
      <c r="BN19" s="39">
        <v>7098</v>
      </c>
      <c r="BO19" s="39">
        <v>740</v>
      </c>
      <c r="BP19" s="39">
        <v>0</v>
      </c>
      <c r="BQ19" s="35">
        <f t="shared" si="12"/>
        <v>20908</v>
      </c>
      <c r="BR19" s="36">
        <f t="shared" si="16"/>
        <v>151639</v>
      </c>
      <c r="BS19" s="163">
        <f t="shared" si="13"/>
        <v>87146</v>
      </c>
      <c r="BT19" s="39">
        <f t="shared" si="13"/>
        <v>2702</v>
      </c>
      <c r="BU19" s="39">
        <f t="shared" si="13"/>
        <v>381</v>
      </c>
      <c r="BV19" s="36">
        <f t="shared" si="2"/>
        <v>241868</v>
      </c>
      <c r="BW19" s="8"/>
      <c r="BX19" s="165">
        <f t="shared" si="15"/>
        <v>98.9648033126294</v>
      </c>
    </row>
    <row r="20" spans="1:80" x14ac:dyDescent="0.2">
      <c r="A20" s="159">
        <v>14</v>
      </c>
      <c r="B20" s="160" t="s">
        <v>191</v>
      </c>
      <c r="D20" s="161"/>
      <c r="E20" s="162">
        <v>2635218</v>
      </c>
      <c r="F20" s="163">
        <v>20083007</v>
      </c>
      <c r="G20" s="163">
        <v>1746242</v>
      </c>
      <c r="H20" s="163">
        <v>64</v>
      </c>
      <c r="I20" s="35">
        <f t="shared" si="0"/>
        <v>24464531</v>
      </c>
      <c r="J20" s="36">
        <v>79776</v>
      </c>
      <c r="K20" s="39">
        <v>3234436</v>
      </c>
      <c r="L20" s="39">
        <v>7750</v>
      </c>
      <c r="M20" s="39">
        <v>180</v>
      </c>
      <c r="N20" s="35">
        <f t="shared" si="14"/>
        <v>3322142</v>
      </c>
      <c r="O20" s="39">
        <v>83503</v>
      </c>
      <c r="P20" s="39">
        <v>3983819</v>
      </c>
      <c r="Q20" s="39">
        <v>69221</v>
      </c>
      <c r="R20" s="39">
        <v>5</v>
      </c>
      <c r="S20" s="35">
        <f>SUM(O20:R20)</f>
        <v>4136548</v>
      </c>
      <c r="T20" s="36">
        <v>93693</v>
      </c>
      <c r="U20" s="39">
        <v>690231</v>
      </c>
      <c r="V20" s="39">
        <v>65939</v>
      </c>
      <c r="W20" s="39">
        <v>1</v>
      </c>
      <c r="X20" s="35">
        <f t="shared" si="4"/>
        <v>849864</v>
      </c>
      <c r="Y20" s="36">
        <v>133545</v>
      </c>
      <c r="Z20" s="39">
        <v>1403599</v>
      </c>
      <c r="AA20" s="39">
        <v>81075</v>
      </c>
      <c r="AB20" s="39">
        <v>0</v>
      </c>
      <c r="AC20" s="35">
        <f t="shared" si="5"/>
        <v>1618219</v>
      </c>
      <c r="AD20" s="36">
        <v>495369</v>
      </c>
      <c r="AE20" s="39">
        <v>2653655</v>
      </c>
      <c r="AF20" s="39">
        <v>212268</v>
      </c>
      <c r="AG20" s="39">
        <v>0</v>
      </c>
      <c r="AH20" s="35">
        <f t="shared" si="6"/>
        <v>3361292</v>
      </c>
      <c r="AI20" s="36">
        <v>133519</v>
      </c>
      <c r="AJ20" s="39">
        <v>781681</v>
      </c>
      <c r="AK20" s="39">
        <v>113406</v>
      </c>
      <c r="AL20" s="39">
        <v>0</v>
      </c>
      <c r="AM20" s="35">
        <f t="shared" si="7"/>
        <v>1028606</v>
      </c>
      <c r="AN20" s="36">
        <v>136997</v>
      </c>
      <c r="AO20" s="39">
        <v>1212127</v>
      </c>
      <c r="AP20" s="39">
        <v>75971</v>
      </c>
      <c r="AQ20" s="39">
        <v>7</v>
      </c>
      <c r="AR20" s="35">
        <f t="shared" si="1"/>
        <v>1425102</v>
      </c>
      <c r="AS20" s="36">
        <v>566643</v>
      </c>
      <c r="AT20" s="39">
        <v>1929063</v>
      </c>
      <c r="AU20" s="39">
        <v>67182</v>
      </c>
      <c r="AV20" s="39">
        <v>41</v>
      </c>
      <c r="AW20" s="35">
        <f t="shared" si="8"/>
        <v>2562929</v>
      </c>
      <c r="AX20" s="36">
        <v>225581</v>
      </c>
      <c r="AY20" s="39">
        <v>581299</v>
      </c>
      <c r="AZ20" s="39">
        <v>156757</v>
      </c>
      <c r="BA20" s="39">
        <v>2</v>
      </c>
      <c r="BB20" s="35">
        <f t="shared" si="9"/>
        <v>963639</v>
      </c>
      <c r="BC20" s="36">
        <v>154667</v>
      </c>
      <c r="BD20" s="39">
        <v>3009243</v>
      </c>
      <c r="BE20" s="39">
        <v>113434</v>
      </c>
      <c r="BF20" s="39">
        <v>3</v>
      </c>
      <c r="BG20" s="35">
        <f t="shared" si="10"/>
        <v>3277347</v>
      </c>
      <c r="BH20" s="36">
        <v>174009</v>
      </c>
      <c r="BI20" s="39">
        <v>45615</v>
      </c>
      <c r="BJ20" s="39">
        <v>46301</v>
      </c>
      <c r="BK20" s="39">
        <v>0</v>
      </c>
      <c r="BL20" s="35">
        <f t="shared" si="11"/>
        <v>265925</v>
      </c>
      <c r="BM20" s="36">
        <v>246247</v>
      </c>
      <c r="BN20" s="39">
        <v>585768</v>
      </c>
      <c r="BO20" s="39">
        <v>91171</v>
      </c>
      <c r="BP20" s="39">
        <v>0</v>
      </c>
      <c r="BQ20" s="35">
        <f t="shared" si="12"/>
        <v>923186</v>
      </c>
      <c r="BR20" s="36">
        <f t="shared" si="16"/>
        <v>2523549</v>
      </c>
      <c r="BS20" s="163">
        <f t="shared" si="13"/>
        <v>20110536</v>
      </c>
      <c r="BT20" s="39">
        <f t="shared" si="13"/>
        <v>1100475</v>
      </c>
      <c r="BU20" s="39">
        <f t="shared" si="13"/>
        <v>239</v>
      </c>
      <c r="BV20" s="36">
        <f t="shared" si="2"/>
        <v>23734799</v>
      </c>
      <c r="BW20" s="8"/>
      <c r="BX20" s="165">
        <f t="shared" si="15"/>
        <v>97.017183775155956</v>
      </c>
      <c r="BY20" s="1"/>
      <c r="BZ20" s="1"/>
      <c r="CA20" s="1"/>
      <c r="CB20" s="1"/>
    </row>
    <row r="21" spans="1:80" x14ac:dyDescent="0.2">
      <c r="A21" s="159">
        <v>15</v>
      </c>
      <c r="B21" s="160" t="s">
        <v>192</v>
      </c>
      <c r="D21" s="167"/>
      <c r="E21" s="162">
        <v>10138944</v>
      </c>
      <c r="F21" s="163">
        <v>78886525</v>
      </c>
      <c r="G21" s="163">
        <v>14241</v>
      </c>
      <c r="H21" s="163">
        <v>0</v>
      </c>
      <c r="I21" s="35">
        <f t="shared" si="0"/>
        <v>89039710</v>
      </c>
      <c r="J21" s="36">
        <v>762757</v>
      </c>
      <c r="K21" s="39">
        <v>19038631</v>
      </c>
      <c r="L21" s="39">
        <v>780</v>
      </c>
      <c r="M21" s="39">
        <v>1</v>
      </c>
      <c r="N21" s="35">
        <f t="shared" si="14"/>
        <v>19802169</v>
      </c>
      <c r="O21" s="39">
        <v>715486</v>
      </c>
      <c r="P21" s="39">
        <v>8936316</v>
      </c>
      <c r="Q21" s="39">
        <v>248</v>
      </c>
      <c r="R21" s="39">
        <v>1</v>
      </c>
      <c r="S21" s="35">
        <f t="shared" ref="S21:S27" si="17">SUM(O21:R21)</f>
        <v>9652051</v>
      </c>
      <c r="T21" s="36">
        <v>775576</v>
      </c>
      <c r="U21" s="39">
        <v>10765997</v>
      </c>
      <c r="V21" s="39">
        <v>132</v>
      </c>
      <c r="W21" s="39">
        <v>0</v>
      </c>
      <c r="X21" s="35">
        <f t="shared" si="4"/>
        <v>11541705</v>
      </c>
      <c r="Y21" s="36">
        <v>760051</v>
      </c>
      <c r="Z21" s="39">
        <v>4154468</v>
      </c>
      <c r="AA21" s="39">
        <v>426</v>
      </c>
      <c r="AB21" s="39">
        <v>3</v>
      </c>
      <c r="AC21" s="35">
        <f t="shared" si="5"/>
        <v>4914948</v>
      </c>
      <c r="AD21" s="36">
        <v>797538</v>
      </c>
      <c r="AE21" s="39">
        <v>11187843</v>
      </c>
      <c r="AF21" s="39">
        <v>381</v>
      </c>
      <c r="AG21" s="39">
        <v>0</v>
      </c>
      <c r="AH21" s="35">
        <f t="shared" si="6"/>
        <v>11985762</v>
      </c>
      <c r="AI21" s="36">
        <v>844326</v>
      </c>
      <c r="AJ21" s="39">
        <v>4765797</v>
      </c>
      <c r="AK21" s="39">
        <v>96</v>
      </c>
      <c r="AL21" s="39">
        <v>0</v>
      </c>
      <c r="AM21" s="35">
        <f t="shared" si="7"/>
        <v>5610219</v>
      </c>
      <c r="AN21" s="36">
        <v>790057</v>
      </c>
      <c r="AO21" s="39">
        <v>11882605</v>
      </c>
      <c r="AP21" s="39">
        <v>3002</v>
      </c>
      <c r="AQ21" s="39">
        <v>0</v>
      </c>
      <c r="AR21" s="35">
        <f t="shared" si="1"/>
        <v>12675664</v>
      </c>
      <c r="AS21" s="36">
        <v>855423</v>
      </c>
      <c r="AT21" s="39">
        <v>2992682</v>
      </c>
      <c r="AU21" s="39">
        <v>194</v>
      </c>
      <c r="AV21" s="39">
        <v>0</v>
      </c>
      <c r="AW21" s="35">
        <f t="shared" si="8"/>
        <v>3848299</v>
      </c>
      <c r="AX21" s="36">
        <v>798931</v>
      </c>
      <c r="AY21" s="39">
        <v>201864</v>
      </c>
      <c r="AZ21" s="39">
        <v>255</v>
      </c>
      <c r="BA21" s="39">
        <v>0</v>
      </c>
      <c r="BB21" s="35">
        <f t="shared" si="9"/>
        <v>1001050</v>
      </c>
      <c r="BC21" s="36">
        <v>744629</v>
      </c>
      <c r="BD21" s="39">
        <v>1425649</v>
      </c>
      <c r="BE21" s="39">
        <v>150</v>
      </c>
      <c r="BF21" s="39">
        <v>0</v>
      </c>
      <c r="BG21" s="35">
        <f t="shared" si="10"/>
        <v>2170428</v>
      </c>
      <c r="BH21" s="36">
        <v>857856</v>
      </c>
      <c r="BI21" s="39">
        <v>1352010</v>
      </c>
      <c r="BJ21" s="39">
        <v>736</v>
      </c>
      <c r="BK21" s="39">
        <v>0</v>
      </c>
      <c r="BL21" s="35">
        <f t="shared" si="11"/>
        <v>2210602</v>
      </c>
      <c r="BM21" s="36">
        <v>1206329</v>
      </c>
      <c r="BN21" s="39">
        <v>2189668</v>
      </c>
      <c r="BO21" s="39">
        <v>1527</v>
      </c>
      <c r="BP21" s="39">
        <v>1594</v>
      </c>
      <c r="BQ21" s="35">
        <f t="shared" si="12"/>
        <v>3399118</v>
      </c>
      <c r="BR21" s="36">
        <f t="shared" si="16"/>
        <v>9908959</v>
      </c>
      <c r="BS21" s="163">
        <f t="shared" si="13"/>
        <v>78893530</v>
      </c>
      <c r="BT21" s="39">
        <f t="shared" si="13"/>
        <v>7927</v>
      </c>
      <c r="BU21" s="39">
        <f t="shared" si="13"/>
        <v>1599</v>
      </c>
      <c r="BV21" s="36">
        <f t="shared" si="2"/>
        <v>88812015</v>
      </c>
      <c r="BW21" s="8"/>
      <c r="BX21" s="165">
        <f t="shared" si="15"/>
        <v>99.744277019770166</v>
      </c>
      <c r="BY21" s="1"/>
    </row>
    <row r="22" spans="1:80" x14ac:dyDescent="0.2">
      <c r="A22" s="159">
        <v>16</v>
      </c>
      <c r="B22" s="160" t="s">
        <v>193</v>
      </c>
      <c r="D22" s="161"/>
      <c r="E22" s="162">
        <v>2502954</v>
      </c>
      <c r="F22" s="163">
        <v>47523085</v>
      </c>
      <c r="G22" s="163">
        <v>1169124</v>
      </c>
      <c r="H22" s="163">
        <v>0</v>
      </c>
      <c r="I22" s="35">
        <f t="shared" si="0"/>
        <v>51195163</v>
      </c>
      <c r="J22" s="36">
        <v>97182</v>
      </c>
      <c r="K22" s="39">
        <v>5527538</v>
      </c>
      <c r="L22" s="39">
        <v>1585</v>
      </c>
      <c r="M22" s="39">
        <v>0</v>
      </c>
      <c r="N22" s="35">
        <f t="shared" si="14"/>
        <v>5626305</v>
      </c>
      <c r="O22" s="39">
        <v>111121</v>
      </c>
      <c r="P22" s="39">
        <v>3249197</v>
      </c>
      <c r="Q22" s="39">
        <v>14590</v>
      </c>
      <c r="R22" s="39">
        <v>0</v>
      </c>
      <c r="S22" s="35">
        <f t="shared" si="17"/>
        <v>3374908</v>
      </c>
      <c r="T22" s="36">
        <v>130668</v>
      </c>
      <c r="U22" s="39">
        <v>3289852</v>
      </c>
      <c r="V22" s="39">
        <v>53737</v>
      </c>
      <c r="W22" s="39">
        <v>0</v>
      </c>
      <c r="X22" s="35">
        <f t="shared" si="4"/>
        <v>3474257</v>
      </c>
      <c r="Y22" s="36">
        <v>174782</v>
      </c>
      <c r="Z22" s="39">
        <v>5294934</v>
      </c>
      <c r="AA22" s="39">
        <v>77787</v>
      </c>
      <c r="AB22" s="39">
        <v>0</v>
      </c>
      <c r="AC22" s="35">
        <f t="shared" si="5"/>
        <v>5547503</v>
      </c>
      <c r="AD22" s="36">
        <v>158079</v>
      </c>
      <c r="AE22" s="39">
        <v>3248753</v>
      </c>
      <c r="AF22" s="39">
        <v>64015</v>
      </c>
      <c r="AG22" s="39">
        <v>0</v>
      </c>
      <c r="AH22" s="35">
        <f t="shared" si="6"/>
        <v>3470847</v>
      </c>
      <c r="AI22" s="36">
        <v>207339</v>
      </c>
      <c r="AJ22" s="39">
        <v>3267348</v>
      </c>
      <c r="AK22" s="39">
        <v>28763</v>
      </c>
      <c r="AL22" s="39">
        <v>0</v>
      </c>
      <c r="AM22" s="35">
        <f t="shared" si="7"/>
        <v>3503450</v>
      </c>
      <c r="AN22" s="36">
        <v>139336</v>
      </c>
      <c r="AO22" s="39">
        <v>5290237</v>
      </c>
      <c r="AP22" s="39">
        <v>87604</v>
      </c>
      <c r="AQ22" s="39">
        <v>0</v>
      </c>
      <c r="AR22" s="35">
        <f t="shared" si="1"/>
        <v>5517177</v>
      </c>
      <c r="AS22" s="36">
        <v>188159</v>
      </c>
      <c r="AT22" s="39">
        <v>3254104</v>
      </c>
      <c r="AU22" s="39">
        <v>58013</v>
      </c>
      <c r="AV22" s="39">
        <v>0</v>
      </c>
      <c r="AW22" s="35">
        <f t="shared" si="8"/>
        <v>3500276</v>
      </c>
      <c r="AX22" s="36">
        <v>163240</v>
      </c>
      <c r="AY22" s="39">
        <v>3261642</v>
      </c>
      <c r="AZ22" s="39">
        <v>72205</v>
      </c>
      <c r="BA22" s="39">
        <v>0</v>
      </c>
      <c r="BB22" s="35">
        <f t="shared" si="9"/>
        <v>3497087</v>
      </c>
      <c r="BC22" s="36">
        <v>164854</v>
      </c>
      <c r="BD22" s="39">
        <v>5057839</v>
      </c>
      <c r="BE22" s="39">
        <v>89935</v>
      </c>
      <c r="BF22" s="39">
        <v>0</v>
      </c>
      <c r="BG22" s="35">
        <f t="shared" si="10"/>
        <v>5312628</v>
      </c>
      <c r="BH22" s="36">
        <v>179428</v>
      </c>
      <c r="BI22" s="39">
        <v>3742852</v>
      </c>
      <c r="BJ22" s="39">
        <v>89180</v>
      </c>
      <c r="BK22" s="39">
        <v>0</v>
      </c>
      <c r="BL22" s="35">
        <f t="shared" si="11"/>
        <v>4011460</v>
      </c>
      <c r="BM22" s="36">
        <v>401124</v>
      </c>
      <c r="BN22" s="39">
        <v>3378893</v>
      </c>
      <c r="BO22" s="39">
        <v>190025</v>
      </c>
      <c r="BP22" s="39">
        <v>0</v>
      </c>
      <c r="BQ22" s="35">
        <f t="shared" si="12"/>
        <v>3970042</v>
      </c>
      <c r="BR22" s="36">
        <f t="shared" si="16"/>
        <v>2115312</v>
      </c>
      <c r="BS22" s="163">
        <f t="shared" si="13"/>
        <v>47863189</v>
      </c>
      <c r="BT22" s="39">
        <f t="shared" si="13"/>
        <v>827439</v>
      </c>
      <c r="BU22" s="39">
        <f t="shared" si="13"/>
        <v>0</v>
      </c>
      <c r="BV22" s="36">
        <f t="shared" si="2"/>
        <v>50805940</v>
      </c>
      <c r="BW22" s="8"/>
      <c r="BX22" s="165">
        <f t="shared" si="15"/>
        <v>99.239727003115505</v>
      </c>
    </row>
    <row r="23" spans="1:80" x14ac:dyDescent="0.2">
      <c r="A23" s="169">
        <v>17</v>
      </c>
      <c r="B23" s="170" t="s">
        <v>194</v>
      </c>
      <c r="D23" s="171" t="s">
        <v>57</v>
      </c>
      <c r="E23" s="162">
        <v>1032944</v>
      </c>
      <c r="F23" s="163">
        <v>183426496</v>
      </c>
      <c r="G23" s="163">
        <v>11632</v>
      </c>
      <c r="H23" s="163">
        <v>250900</v>
      </c>
      <c r="I23" s="35">
        <f t="shared" si="0"/>
        <v>184721972</v>
      </c>
      <c r="J23" s="36">
        <v>52234</v>
      </c>
      <c r="K23" s="39">
        <v>14985759</v>
      </c>
      <c r="L23" s="39">
        <v>131</v>
      </c>
      <c r="M23" s="39">
        <v>0</v>
      </c>
      <c r="N23" s="35">
        <f t="shared" si="14"/>
        <v>15038124</v>
      </c>
      <c r="O23" s="39">
        <v>55199</v>
      </c>
      <c r="P23" s="39">
        <v>15008444</v>
      </c>
      <c r="Q23" s="39">
        <v>215</v>
      </c>
      <c r="R23" s="39">
        <v>0</v>
      </c>
      <c r="S23" s="35">
        <f t="shared" si="17"/>
        <v>15063858</v>
      </c>
      <c r="T23" s="36">
        <v>71414</v>
      </c>
      <c r="U23" s="39">
        <v>14567398</v>
      </c>
      <c r="V23" s="39">
        <v>117</v>
      </c>
      <c r="W23" s="39">
        <v>0</v>
      </c>
      <c r="X23" s="35">
        <f t="shared" si="4"/>
        <v>14638929</v>
      </c>
      <c r="Y23" s="36">
        <v>71573</v>
      </c>
      <c r="Z23" s="39">
        <v>15807991</v>
      </c>
      <c r="AA23" s="39">
        <v>328</v>
      </c>
      <c r="AB23" s="39">
        <v>0</v>
      </c>
      <c r="AC23" s="35">
        <f t="shared" si="5"/>
        <v>15879892</v>
      </c>
      <c r="AD23" s="36">
        <v>68321</v>
      </c>
      <c r="AE23" s="39">
        <v>15130117</v>
      </c>
      <c r="AF23" s="39">
        <v>241</v>
      </c>
      <c r="AG23" s="39">
        <v>0</v>
      </c>
      <c r="AH23" s="35">
        <f t="shared" si="6"/>
        <v>15198679</v>
      </c>
      <c r="AI23" s="36">
        <v>62641</v>
      </c>
      <c r="AJ23" s="39">
        <v>15194011</v>
      </c>
      <c r="AK23" s="39">
        <v>623</v>
      </c>
      <c r="AL23" s="39">
        <v>0</v>
      </c>
      <c r="AM23" s="35">
        <f t="shared" si="7"/>
        <v>15257275</v>
      </c>
      <c r="AN23" s="36">
        <v>66836</v>
      </c>
      <c r="AO23" s="39">
        <v>15440254</v>
      </c>
      <c r="AP23" s="39">
        <v>452</v>
      </c>
      <c r="AQ23" s="39">
        <v>0</v>
      </c>
      <c r="AR23" s="35">
        <f t="shared" si="1"/>
        <v>15507542</v>
      </c>
      <c r="AS23" s="36">
        <v>69086</v>
      </c>
      <c r="AT23" s="39">
        <v>15536262</v>
      </c>
      <c r="AU23" s="39">
        <v>292</v>
      </c>
      <c r="AV23" s="39">
        <v>0</v>
      </c>
      <c r="AW23" s="35">
        <f t="shared" si="8"/>
        <v>15605640</v>
      </c>
      <c r="AX23" s="36">
        <v>87995</v>
      </c>
      <c r="AY23" s="39">
        <v>15357143</v>
      </c>
      <c r="AZ23" s="39">
        <v>226</v>
      </c>
      <c r="BA23" s="39">
        <v>0</v>
      </c>
      <c r="BB23" s="35">
        <f t="shared" si="9"/>
        <v>15445364</v>
      </c>
      <c r="BC23" s="36">
        <v>71019</v>
      </c>
      <c r="BD23" s="39">
        <v>15488068</v>
      </c>
      <c r="BE23" s="39">
        <v>853</v>
      </c>
      <c r="BF23" s="39">
        <v>0</v>
      </c>
      <c r="BG23" s="35">
        <f t="shared" si="10"/>
        <v>15559940</v>
      </c>
      <c r="BH23" s="36">
        <v>72393</v>
      </c>
      <c r="BI23" s="39">
        <v>15180681</v>
      </c>
      <c r="BJ23" s="39">
        <v>5584</v>
      </c>
      <c r="BK23" s="39">
        <v>0</v>
      </c>
      <c r="BL23" s="35">
        <f t="shared" si="11"/>
        <v>15258658</v>
      </c>
      <c r="BM23" s="36">
        <f>120837+2612</f>
        <v>123449</v>
      </c>
      <c r="BN23" s="39">
        <f>758903+15417402+14609647+2056</f>
        <v>30788008</v>
      </c>
      <c r="BO23" s="39">
        <f>27266-2</f>
        <v>27264</v>
      </c>
      <c r="BP23" s="39">
        <v>0</v>
      </c>
      <c r="BQ23" s="35">
        <f t="shared" si="12"/>
        <v>30938721</v>
      </c>
      <c r="BR23" s="36">
        <f t="shared" si="16"/>
        <v>872160</v>
      </c>
      <c r="BS23" s="163">
        <f t="shared" si="13"/>
        <v>198484136</v>
      </c>
      <c r="BT23" s="39">
        <f t="shared" si="13"/>
        <v>36326</v>
      </c>
      <c r="BU23" s="39">
        <f t="shared" si="13"/>
        <v>0</v>
      </c>
      <c r="BV23" s="36">
        <f t="shared" si="2"/>
        <v>199392622</v>
      </c>
      <c r="BW23" s="8"/>
      <c r="BX23" s="165">
        <f t="shared" si="15"/>
        <v>107.94201677318603</v>
      </c>
    </row>
    <row r="24" spans="1:80" x14ac:dyDescent="0.2">
      <c r="A24" s="159">
        <v>18</v>
      </c>
      <c r="B24" s="160" t="s">
        <v>195</v>
      </c>
      <c r="D24" s="161"/>
      <c r="E24" s="162">
        <v>24053302</v>
      </c>
      <c r="F24" s="163">
        <v>596073</v>
      </c>
      <c r="G24" s="163">
        <v>667507</v>
      </c>
      <c r="H24" s="163">
        <v>0</v>
      </c>
      <c r="I24" s="35">
        <f t="shared" si="0"/>
        <v>25316882</v>
      </c>
      <c r="J24" s="36">
        <v>1539111</v>
      </c>
      <c r="K24" s="39">
        <v>44796</v>
      </c>
      <c r="L24" s="39">
        <v>31904</v>
      </c>
      <c r="M24" s="39">
        <v>599</v>
      </c>
      <c r="N24" s="35">
        <f t="shared" si="14"/>
        <v>1616410</v>
      </c>
      <c r="O24" s="39">
        <v>1840776</v>
      </c>
      <c r="P24" s="39">
        <v>49396</v>
      </c>
      <c r="Q24" s="39">
        <v>4802</v>
      </c>
      <c r="R24" s="39">
        <v>0</v>
      </c>
      <c r="S24" s="35">
        <f t="shared" si="17"/>
        <v>1894974</v>
      </c>
      <c r="T24" s="36">
        <v>1748453</v>
      </c>
      <c r="U24" s="39">
        <v>9065</v>
      </c>
      <c r="V24" s="39">
        <v>14344</v>
      </c>
      <c r="W24" s="39">
        <v>-599</v>
      </c>
      <c r="X24" s="35">
        <f t="shared" si="4"/>
        <v>1771263</v>
      </c>
      <c r="Y24" s="36">
        <v>1738280</v>
      </c>
      <c r="Z24" s="39">
        <v>52855</v>
      </c>
      <c r="AA24" s="39">
        <v>7422</v>
      </c>
      <c r="AB24" s="39">
        <v>0</v>
      </c>
      <c r="AC24" s="35">
        <f t="shared" si="5"/>
        <v>1798557</v>
      </c>
      <c r="AD24" s="36">
        <v>1929944</v>
      </c>
      <c r="AE24" s="39">
        <v>86830</v>
      </c>
      <c r="AF24" s="39">
        <v>22188</v>
      </c>
      <c r="AG24" s="39">
        <v>0</v>
      </c>
      <c r="AH24" s="35">
        <f t="shared" si="6"/>
        <v>2038962</v>
      </c>
      <c r="AI24" s="36">
        <v>2156686</v>
      </c>
      <c r="AJ24" s="39">
        <v>46091</v>
      </c>
      <c r="AK24" s="39">
        <v>61013</v>
      </c>
      <c r="AL24" s="39">
        <v>0</v>
      </c>
      <c r="AM24" s="35">
        <f t="shared" si="7"/>
        <v>2263790</v>
      </c>
      <c r="AN24" s="36">
        <v>1959084</v>
      </c>
      <c r="AO24" s="39">
        <v>54195</v>
      </c>
      <c r="AP24" s="39">
        <v>-26875</v>
      </c>
      <c r="AQ24" s="39">
        <v>0</v>
      </c>
      <c r="AR24" s="35">
        <f t="shared" si="1"/>
        <v>1986404</v>
      </c>
      <c r="AS24" s="36">
        <v>2158851</v>
      </c>
      <c r="AT24" s="39">
        <v>12826</v>
      </c>
      <c r="AU24" s="39">
        <v>23394</v>
      </c>
      <c r="AV24" s="39">
        <v>0</v>
      </c>
      <c r="AW24" s="35">
        <f t="shared" si="8"/>
        <v>2195071</v>
      </c>
      <c r="AX24" s="36">
        <v>1927133</v>
      </c>
      <c r="AY24" s="39">
        <v>81830</v>
      </c>
      <c r="AZ24" s="39">
        <v>221099</v>
      </c>
      <c r="BA24" s="39">
        <v>0</v>
      </c>
      <c r="BB24" s="35">
        <f t="shared" si="9"/>
        <v>2230062</v>
      </c>
      <c r="BC24" s="36">
        <v>1836620</v>
      </c>
      <c r="BD24" s="39">
        <v>52822</v>
      </c>
      <c r="BE24" s="39">
        <v>-9546</v>
      </c>
      <c r="BF24" s="39">
        <v>0</v>
      </c>
      <c r="BG24" s="35">
        <f t="shared" si="10"/>
        <v>1879896</v>
      </c>
      <c r="BH24" s="36">
        <v>2054316</v>
      </c>
      <c r="BI24" s="39">
        <v>80777</v>
      </c>
      <c r="BJ24" s="39">
        <v>66282</v>
      </c>
      <c r="BK24" s="39">
        <v>0</v>
      </c>
      <c r="BL24" s="35">
        <f t="shared" si="11"/>
        <v>2201375</v>
      </c>
      <c r="BM24" s="36">
        <v>2896061</v>
      </c>
      <c r="BN24" s="39">
        <v>306471</v>
      </c>
      <c r="BO24" s="39">
        <v>97590</v>
      </c>
      <c r="BP24" s="39">
        <v>8072</v>
      </c>
      <c r="BQ24" s="35">
        <f>SUM(BM24:BP24)</f>
        <v>3308194</v>
      </c>
      <c r="BR24" s="36">
        <f t="shared" si="16"/>
        <v>23785315</v>
      </c>
      <c r="BS24" s="163">
        <f t="shared" si="16"/>
        <v>877954</v>
      </c>
      <c r="BT24" s="39">
        <f t="shared" si="16"/>
        <v>513617</v>
      </c>
      <c r="BU24" s="39">
        <f t="shared" si="16"/>
        <v>8072</v>
      </c>
      <c r="BV24" s="36">
        <f t="shared" si="2"/>
        <v>25184958</v>
      </c>
      <c r="BW24" s="8"/>
      <c r="BX24" s="165">
        <f>(BV24/I24)*100</f>
        <v>99.478908974651787</v>
      </c>
    </row>
    <row r="25" spans="1:80" x14ac:dyDescent="0.2">
      <c r="A25" s="159">
        <v>19</v>
      </c>
      <c r="B25" s="160" t="s">
        <v>196</v>
      </c>
      <c r="D25" s="172"/>
      <c r="E25" s="162">
        <v>42126288</v>
      </c>
      <c r="F25" s="163">
        <v>7997491</v>
      </c>
      <c r="G25" s="163">
        <v>762778</v>
      </c>
      <c r="H25" s="163">
        <v>1575</v>
      </c>
      <c r="I25" s="35">
        <f t="shared" si="0"/>
        <v>50888132</v>
      </c>
      <c r="J25" s="36">
        <v>2735310</v>
      </c>
      <c r="K25" s="39">
        <v>342471</v>
      </c>
      <c r="L25" s="39">
        <v>43383</v>
      </c>
      <c r="M25" s="39">
        <v>0</v>
      </c>
      <c r="N25" s="35">
        <f t="shared" si="14"/>
        <v>3121164</v>
      </c>
      <c r="O25" s="39">
        <v>3565541</v>
      </c>
      <c r="P25" s="39">
        <v>831702</v>
      </c>
      <c r="Q25" s="39">
        <v>149417</v>
      </c>
      <c r="R25" s="39">
        <v>0</v>
      </c>
      <c r="S25" s="35">
        <f t="shared" si="17"/>
        <v>4546660</v>
      </c>
      <c r="T25" s="36">
        <v>3527797</v>
      </c>
      <c r="U25" s="39">
        <v>495850</v>
      </c>
      <c r="V25" s="39">
        <v>21837</v>
      </c>
      <c r="W25" s="39">
        <v>0</v>
      </c>
      <c r="X25" s="35">
        <f t="shared" si="4"/>
        <v>4045484</v>
      </c>
      <c r="Y25" s="36">
        <v>3692128</v>
      </c>
      <c r="Z25" s="39">
        <v>781446</v>
      </c>
      <c r="AA25" s="39">
        <v>48763</v>
      </c>
      <c r="AB25" s="39">
        <v>0</v>
      </c>
      <c r="AC25" s="35">
        <f t="shared" si="5"/>
        <v>4522337</v>
      </c>
      <c r="AD25" s="36">
        <v>3549026</v>
      </c>
      <c r="AE25" s="39">
        <v>454941</v>
      </c>
      <c r="AF25" s="39">
        <v>84076</v>
      </c>
      <c r="AG25" s="39">
        <v>0</v>
      </c>
      <c r="AH25" s="35">
        <f t="shared" si="6"/>
        <v>4088043</v>
      </c>
      <c r="AI25" s="36">
        <v>3337918</v>
      </c>
      <c r="AJ25" s="39">
        <v>485673</v>
      </c>
      <c r="AK25" s="39">
        <v>126998</v>
      </c>
      <c r="AL25" s="39">
        <v>0</v>
      </c>
      <c r="AM25" s="35">
        <f t="shared" si="7"/>
        <v>3950589</v>
      </c>
      <c r="AN25" s="36">
        <v>3977863</v>
      </c>
      <c r="AO25" s="39">
        <v>828489</v>
      </c>
      <c r="AP25" s="39">
        <v>31045</v>
      </c>
      <c r="AQ25" s="39">
        <v>0</v>
      </c>
      <c r="AR25" s="35">
        <f t="shared" si="1"/>
        <v>4837397</v>
      </c>
      <c r="AS25" s="36">
        <v>3404449</v>
      </c>
      <c r="AT25" s="39">
        <v>503949</v>
      </c>
      <c r="AU25" s="39">
        <v>73715</v>
      </c>
      <c r="AV25" s="39">
        <v>0</v>
      </c>
      <c r="AW25" s="35">
        <f t="shared" si="8"/>
        <v>3982113</v>
      </c>
      <c r="AX25" s="36">
        <v>2993100</v>
      </c>
      <c r="AY25" s="39">
        <v>602865</v>
      </c>
      <c r="AZ25" s="39">
        <v>147861</v>
      </c>
      <c r="BA25" s="39">
        <v>0</v>
      </c>
      <c r="BB25" s="35">
        <f t="shared" si="9"/>
        <v>3743826</v>
      </c>
      <c r="BC25" s="36">
        <v>3947413</v>
      </c>
      <c r="BD25" s="39">
        <v>942508</v>
      </c>
      <c r="BE25" s="39">
        <v>104728</v>
      </c>
      <c r="BF25" s="39">
        <v>0</v>
      </c>
      <c r="BG25" s="35">
        <f t="shared" si="10"/>
        <v>4994649</v>
      </c>
      <c r="BH25" s="36">
        <v>3804794</v>
      </c>
      <c r="BI25" s="39">
        <v>715909</v>
      </c>
      <c r="BJ25" s="39">
        <v>39319</v>
      </c>
      <c r="BK25" s="39">
        <v>0</v>
      </c>
      <c r="BL25" s="35">
        <f t="shared" si="11"/>
        <v>4560022</v>
      </c>
      <c r="BM25" s="36">
        <v>4250825</v>
      </c>
      <c r="BN25" s="39">
        <v>-324560</v>
      </c>
      <c r="BO25" s="39">
        <v>546415</v>
      </c>
      <c r="BP25" s="39">
        <v>0</v>
      </c>
      <c r="BQ25" s="35">
        <f t="shared" si="12"/>
        <v>4472680</v>
      </c>
      <c r="BR25" s="36">
        <f t="shared" si="16"/>
        <v>42786164</v>
      </c>
      <c r="BS25" s="163">
        <f t="shared" si="16"/>
        <v>6661243</v>
      </c>
      <c r="BT25" s="39">
        <f t="shared" si="16"/>
        <v>1417557</v>
      </c>
      <c r="BU25" s="39">
        <f t="shared" si="16"/>
        <v>0</v>
      </c>
      <c r="BV25" s="36">
        <f t="shared" si="2"/>
        <v>50864964</v>
      </c>
      <c r="BW25" s="8"/>
      <c r="BX25" s="165">
        <f t="shared" si="15"/>
        <v>99.95447268530117</v>
      </c>
    </row>
    <row r="26" spans="1:80" x14ac:dyDescent="0.2">
      <c r="A26" s="159">
        <v>20</v>
      </c>
      <c r="B26" s="160" t="s">
        <v>197</v>
      </c>
      <c r="D26" s="161"/>
      <c r="E26" s="162">
        <v>328583</v>
      </c>
      <c r="F26" s="163">
        <v>1157</v>
      </c>
      <c r="G26" s="163">
        <v>6913</v>
      </c>
      <c r="H26" s="163">
        <v>0</v>
      </c>
      <c r="I26" s="35">
        <f t="shared" si="0"/>
        <v>336653</v>
      </c>
      <c r="J26" s="36">
        <v>24834</v>
      </c>
      <c r="K26" s="39">
        <v>35</v>
      </c>
      <c r="L26" s="39">
        <v>24</v>
      </c>
      <c r="M26" s="39">
        <v>0</v>
      </c>
      <c r="N26" s="35">
        <f t="shared" si="14"/>
        <v>24893</v>
      </c>
      <c r="O26" s="39">
        <v>21484</v>
      </c>
      <c r="P26" s="39">
        <v>49</v>
      </c>
      <c r="Q26" s="39">
        <v>6</v>
      </c>
      <c r="R26" s="39">
        <v>0</v>
      </c>
      <c r="S26" s="35">
        <f t="shared" si="17"/>
        <v>21539</v>
      </c>
      <c r="T26" s="36">
        <v>21968</v>
      </c>
      <c r="U26" s="39">
        <v>1</v>
      </c>
      <c r="V26" s="39">
        <v>0</v>
      </c>
      <c r="W26" s="39">
        <v>0</v>
      </c>
      <c r="X26" s="35">
        <f t="shared" si="4"/>
        <v>21969</v>
      </c>
      <c r="Y26" s="36">
        <v>22983</v>
      </c>
      <c r="Z26" s="39">
        <v>162</v>
      </c>
      <c r="AA26" s="39">
        <v>0</v>
      </c>
      <c r="AB26" s="39">
        <v>0</v>
      </c>
      <c r="AC26" s="35">
        <f t="shared" si="5"/>
        <v>23145</v>
      </c>
      <c r="AD26" s="36">
        <v>24384</v>
      </c>
      <c r="AE26" s="39">
        <v>788</v>
      </c>
      <c r="AF26" s="39">
        <v>795</v>
      </c>
      <c r="AG26" s="39">
        <v>0</v>
      </c>
      <c r="AH26" s="35">
        <f t="shared" si="6"/>
        <v>25967</v>
      </c>
      <c r="AI26" s="36">
        <v>26851</v>
      </c>
      <c r="AJ26" s="39">
        <v>28</v>
      </c>
      <c r="AK26" s="39">
        <v>672</v>
      </c>
      <c r="AL26" s="39">
        <v>0</v>
      </c>
      <c r="AM26" s="35">
        <f t="shared" si="7"/>
        <v>27551</v>
      </c>
      <c r="AN26" s="36">
        <v>23826</v>
      </c>
      <c r="AO26" s="39">
        <v>46</v>
      </c>
      <c r="AP26" s="39">
        <v>37</v>
      </c>
      <c r="AQ26" s="39">
        <v>0</v>
      </c>
      <c r="AR26" s="35">
        <f t="shared" si="1"/>
        <v>23909</v>
      </c>
      <c r="AS26" s="36">
        <v>21510</v>
      </c>
      <c r="AT26" s="39">
        <v>9</v>
      </c>
      <c r="AU26" s="39">
        <v>0</v>
      </c>
      <c r="AV26" s="39">
        <v>0</v>
      </c>
      <c r="AW26" s="35">
        <f t="shared" si="8"/>
        <v>21519</v>
      </c>
      <c r="AX26" s="36">
        <v>22274</v>
      </c>
      <c r="AY26" s="39">
        <v>7</v>
      </c>
      <c r="AZ26" s="39">
        <v>0</v>
      </c>
      <c r="BA26" s="39">
        <v>0</v>
      </c>
      <c r="BB26" s="35">
        <f t="shared" si="9"/>
        <v>22281</v>
      </c>
      <c r="BC26" s="36">
        <v>21339</v>
      </c>
      <c r="BD26" s="39">
        <v>11</v>
      </c>
      <c r="BE26" s="39">
        <v>554</v>
      </c>
      <c r="BF26" s="39">
        <v>0</v>
      </c>
      <c r="BG26" s="35">
        <f t="shared" si="10"/>
        <v>21904</v>
      </c>
      <c r="BH26" s="36">
        <v>54163</v>
      </c>
      <c r="BI26" s="39">
        <v>437</v>
      </c>
      <c r="BJ26" s="39">
        <v>268</v>
      </c>
      <c r="BK26" s="39">
        <v>0</v>
      </c>
      <c r="BL26" s="35">
        <f t="shared" si="11"/>
        <v>54868</v>
      </c>
      <c r="BM26" s="36">
        <v>46965</v>
      </c>
      <c r="BN26" s="39">
        <v>97</v>
      </c>
      <c r="BO26" s="39">
        <v>0</v>
      </c>
      <c r="BP26" s="39">
        <v>0</v>
      </c>
      <c r="BQ26" s="35">
        <f t="shared" si="12"/>
        <v>47062</v>
      </c>
      <c r="BR26" s="36">
        <f t="shared" si="16"/>
        <v>332581</v>
      </c>
      <c r="BS26" s="163">
        <f t="shared" si="16"/>
        <v>1670</v>
      </c>
      <c r="BT26" s="39">
        <f t="shared" si="16"/>
        <v>2356</v>
      </c>
      <c r="BU26" s="39">
        <f t="shared" si="16"/>
        <v>0</v>
      </c>
      <c r="BV26" s="36">
        <f t="shared" si="2"/>
        <v>336607</v>
      </c>
      <c r="BW26" s="8"/>
      <c r="BX26" s="165">
        <f t="shared" si="15"/>
        <v>99.986336078989353</v>
      </c>
    </row>
    <row r="27" spans="1:80" x14ac:dyDescent="0.2">
      <c r="A27" s="159">
        <v>21</v>
      </c>
      <c r="B27" s="160" t="s">
        <v>198</v>
      </c>
      <c r="D27" s="161"/>
      <c r="E27" s="162">
        <v>15077215</v>
      </c>
      <c r="F27" s="163">
        <v>2941749</v>
      </c>
      <c r="G27" s="163">
        <v>762333</v>
      </c>
      <c r="H27" s="163">
        <v>209</v>
      </c>
      <c r="I27" s="35">
        <f t="shared" si="0"/>
        <v>18781506</v>
      </c>
      <c r="J27" s="36">
        <v>1047609</v>
      </c>
      <c r="K27" s="39">
        <v>246807</v>
      </c>
      <c r="L27" s="39">
        <v>58943</v>
      </c>
      <c r="M27" s="39">
        <v>20</v>
      </c>
      <c r="N27" s="35">
        <f t="shared" si="14"/>
        <v>1353379</v>
      </c>
      <c r="O27" s="39">
        <v>987834</v>
      </c>
      <c r="P27" s="39">
        <v>235842</v>
      </c>
      <c r="Q27" s="39">
        <v>17899</v>
      </c>
      <c r="R27" s="39">
        <v>0</v>
      </c>
      <c r="S27" s="35">
        <f t="shared" si="17"/>
        <v>1241575</v>
      </c>
      <c r="T27" s="36">
        <v>1108319</v>
      </c>
      <c r="U27" s="39">
        <v>238627</v>
      </c>
      <c r="V27" s="39">
        <v>31655</v>
      </c>
      <c r="W27" s="39">
        <v>282</v>
      </c>
      <c r="X27" s="35">
        <f t="shared" si="4"/>
        <v>1378883</v>
      </c>
      <c r="Y27" s="36">
        <v>1227956</v>
      </c>
      <c r="Z27" s="39">
        <v>264202</v>
      </c>
      <c r="AA27" s="39">
        <v>27987</v>
      </c>
      <c r="AB27" s="39">
        <v>-203</v>
      </c>
      <c r="AC27" s="35">
        <f t="shared" si="5"/>
        <v>1519942</v>
      </c>
      <c r="AD27" s="36">
        <v>1026461</v>
      </c>
      <c r="AE27" s="39">
        <v>245846</v>
      </c>
      <c r="AF27" s="39">
        <v>50761</v>
      </c>
      <c r="AG27" s="39">
        <v>109</v>
      </c>
      <c r="AH27" s="35">
        <f t="shared" si="6"/>
        <v>1323177</v>
      </c>
      <c r="AI27" s="36">
        <v>1249034</v>
      </c>
      <c r="AJ27" s="39">
        <v>244693</v>
      </c>
      <c r="AK27" s="39">
        <v>37295</v>
      </c>
      <c r="AL27" s="39">
        <v>892</v>
      </c>
      <c r="AM27" s="35">
        <f t="shared" si="7"/>
        <v>1531914</v>
      </c>
      <c r="AN27" s="36">
        <v>1050463</v>
      </c>
      <c r="AO27" s="39">
        <v>239708</v>
      </c>
      <c r="AP27" s="39">
        <v>33745</v>
      </c>
      <c r="AQ27" s="39">
        <v>144</v>
      </c>
      <c r="AR27" s="35">
        <f t="shared" si="1"/>
        <v>1324060</v>
      </c>
      <c r="AS27" s="36">
        <v>1215423</v>
      </c>
      <c r="AT27" s="39">
        <v>242797</v>
      </c>
      <c r="AU27" s="39">
        <v>59962</v>
      </c>
      <c r="AV27" s="39">
        <v>2092</v>
      </c>
      <c r="AW27" s="35">
        <f t="shared" si="8"/>
        <v>1520274</v>
      </c>
      <c r="AX27" s="36">
        <v>1320848</v>
      </c>
      <c r="AY27" s="39">
        <v>246613</v>
      </c>
      <c r="AZ27" s="39">
        <v>9587</v>
      </c>
      <c r="BA27" s="39">
        <v>21</v>
      </c>
      <c r="BB27" s="35">
        <f t="shared" si="9"/>
        <v>1577069</v>
      </c>
      <c r="BC27" s="36">
        <v>1057100</v>
      </c>
      <c r="BD27" s="39">
        <v>251217</v>
      </c>
      <c r="BE27" s="39">
        <v>81727</v>
      </c>
      <c r="BF27" s="39">
        <v>16</v>
      </c>
      <c r="BG27" s="35">
        <f t="shared" si="10"/>
        <v>1390060</v>
      </c>
      <c r="BH27" s="36">
        <v>1222001</v>
      </c>
      <c r="BI27" s="39">
        <v>248810</v>
      </c>
      <c r="BJ27" s="39">
        <v>36332</v>
      </c>
      <c r="BK27" s="39">
        <v>607</v>
      </c>
      <c r="BL27" s="35">
        <f t="shared" si="11"/>
        <v>1507750</v>
      </c>
      <c r="BM27" s="36">
        <v>2034064</v>
      </c>
      <c r="BN27" s="39">
        <v>264200</v>
      </c>
      <c r="BO27" s="39">
        <v>129501</v>
      </c>
      <c r="BP27" s="39">
        <v>6512</v>
      </c>
      <c r="BQ27" s="35">
        <f t="shared" si="12"/>
        <v>2434277</v>
      </c>
      <c r="BR27" s="36">
        <f t="shared" si="16"/>
        <v>14547112</v>
      </c>
      <c r="BS27" s="163">
        <f t="shared" si="16"/>
        <v>2969362</v>
      </c>
      <c r="BT27" s="39">
        <f t="shared" si="16"/>
        <v>575394</v>
      </c>
      <c r="BU27" s="39">
        <f t="shared" si="16"/>
        <v>10492</v>
      </c>
      <c r="BV27" s="36">
        <f t="shared" si="2"/>
        <v>18102360</v>
      </c>
      <c r="BW27" s="8"/>
      <c r="BX27" s="165">
        <f t="shared" si="15"/>
        <v>96.383964097447773</v>
      </c>
    </row>
    <row r="28" spans="1:80" x14ac:dyDescent="0.2">
      <c r="A28" s="159">
        <v>22</v>
      </c>
      <c r="B28" s="137" t="s">
        <v>199</v>
      </c>
      <c r="D28" s="161"/>
      <c r="E28" s="162">
        <v>1090616</v>
      </c>
      <c r="F28" s="163">
        <v>2531</v>
      </c>
      <c r="G28" s="163">
        <v>104545</v>
      </c>
      <c r="H28" s="163">
        <v>0</v>
      </c>
      <c r="I28" s="35">
        <f t="shared" si="0"/>
        <v>1197692</v>
      </c>
      <c r="J28" s="36">
        <v>68601</v>
      </c>
      <c r="K28" s="39">
        <v>302</v>
      </c>
      <c r="L28" s="39">
        <v>934</v>
      </c>
      <c r="M28" s="39">
        <v>0</v>
      </c>
      <c r="N28" s="35">
        <f t="shared" si="14"/>
        <v>69837</v>
      </c>
      <c r="O28" s="39">
        <v>73422</v>
      </c>
      <c r="P28" s="39">
        <v>38</v>
      </c>
      <c r="Q28" s="39">
        <v>623</v>
      </c>
      <c r="R28" s="39">
        <v>24</v>
      </c>
      <c r="S28" s="35">
        <f>SUM(O28:R28)</f>
        <v>74107</v>
      </c>
      <c r="T28" s="36">
        <v>79779</v>
      </c>
      <c r="U28" s="39">
        <v>44</v>
      </c>
      <c r="V28" s="39">
        <v>2601</v>
      </c>
      <c r="W28" s="39">
        <v>0</v>
      </c>
      <c r="X28" s="35">
        <f t="shared" si="4"/>
        <v>82424</v>
      </c>
      <c r="Y28" s="36">
        <v>82810</v>
      </c>
      <c r="Z28" s="39">
        <v>1478</v>
      </c>
      <c r="AA28" s="39">
        <v>5692</v>
      </c>
      <c r="AB28" s="39">
        <v>0</v>
      </c>
      <c r="AC28" s="35">
        <f t="shared" si="5"/>
        <v>89980</v>
      </c>
      <c r="AD28" s="36">
        <v>92608</v>
      </c>
      <c r="AE28" s="39">
        <v>-295</v>
      </c>
      <c r="AF28" s="39">
        <v>19853</v>
      </c>
      <c r="AG28" s="39">
        <v>0</v>
      </c>
      <c r="AH28" s="35">
        <f t="shared" si="6"/>
        <v>112166</v>
      </c>
      <c r="AI28" s="36">
        <v>82339</v>
      </c>
      <c r="AJ28" s="39">
        <v>48</v>
      </c>
      <c r="AK28" s="39">
        <v>6178</v>
      </c>
      <c r="AL28" s="39">
        <v>0</v>
      </c>
      <c r="AM28" s="35">
        <f t="shared" si="7"/>
        <v>88565</v>
      </c>
      <c r="AN28" s="36">
        <v>87425</v>
      </c>
      <c r="AO28" s="39">
        <v>231</v>
      </c>
      <c r="AP28" s="39">
        <v>9702</v>
      </c>
      <c r="AQ28" s="39">
        <v>0</v>
      </c>
      <c r="AR28" s="35">
        <f t="shared" si="1"/>
        <v>97358</v>
      </c>
      <c r="AS28" s="36">
        <v>79280</v>
      </c>
      <c r="AT28" s="39">
        <v>138</v>
      </c>
      <c r="AU28" s="39">
        <v>2628</v>
      </c>
      <c r="AV28" s="39">
        <v>0</v>
      </c>
      <c r="AW28" s="35">
        <f t="shared" si="8"/>
        <v>82046</v>
      </c>
      <c r="AX28" s="36">
        <v>80448</v>
      </c>
      <c r="AY28" s="39">
        <v>392</v>
      </c>
      <c r="AZ28" s="39">
        <v>6977</v>
      </c>
      <c r="BA28" s="39">
        <v>0</v>
      </c>
      <c r="BB28" s="35">
        <f t="shared" si="9"/>
        <v>87817</v>
      </c>
      <c r="BC28" s="36">
        <v>78691</v>
      </c>
      <c r="BD28" s="39">
        <v>77</v>
      </c>
      <c r="BE28" s="39">
        <v>5212</v>
      </c>
      <c r="BF28" s="39">
        <v>0</v>
      </c>
      <c r="BG28" s="35">
        <f t="shared" si="10"/>
        <v>83980</v>
      </c>
      <c r="BH28" s="36">
        <v>89355</v>
      </c>
      <c r="BI28" s="39">
        <v>549</v>
      </c>
      <c r="BJ28" s="39">
        <v>9336</v>
      </c>
      <c r="BK28" s="39">
        <v>0</v>
      </c>
      <c r="BL28" s="35">
        <f t="shared" si="11"/>
        <v>99240</v>
      </c>
      <c r="BM28" s="36">
        <v>123507</v>
      </c>
      <c r="BN28" s="39">
        <v>263</v>
      </c>
      <c r="BO28" s="39">
        <v>42551</v>
      </c>
      <c r="BP28" s="39">
        <v>0</v>
      </c>
      <c r="BQ28" s="35">
        <f t="shared" si="12"/>
        <v>166321</v>
      </c>
      <c r="BR28" s="36">
        <f t="shared" si="16"/>
        <v>1018265</v>
      </c>
      <c r="BS28" s="163">
        <f t="shared" si="16"/>
        <v>3265</v>
      </c>
      <c r="BT28" s="39">
        <f t="shared" si="16"/>
        <v>112287</v>
      </c>
      <c r="BU28" s="39">
        <f t="shared" si="16"/>
        <v>24</v>
      </c>
      <c r="BV28" s="36">
        <f t="shared" si="2"/>
        <v>1133841</v>
      </c>
      <c r="BW28" s="8"/>
      <c r="BX28" s="165">
        <f t="shared" si="15"/>
        <v>94.668829715820095</v>
      </c>
    </row>
    <row r="29" spans="1:80" x14ac:dyDescent="0.2">
      <c r="A29" s="159">
        <v>23</v>
      </c>
      <c r="B29" s="160" t="s">
        <v>200</v>
      </c>
      <c r="D29" s="161"/>
      <c r="E29" s="162">
        <v>92251926</v>
      </c>
      <c r="F29" s="163">
        <v>1207942</v>
      </c>
      <c r="G29" s="163">
        <v>3367393</v>
      </c>
      <c r="H29" s="163">
        <v>0</v>
      </c>
      <c r="I29" s="35">
        <f t="shared" si="0"/>
        <v>96827261</v>
      </c>
      <c r="J29" s="36">
        <v>7584822</v>
      </c>
      <c r="K29" s="39">
        <v>126582</v>
      </c>
      <c r="L29" s="39">
        <v>77961</v>
      </c>
      <c r="M29" s="39">
        <v>833</v>
      </c>
      <c r="N29" s="35">
        <f t="shared" si="14"/>
        <v>7790198</v>
      </c>
      <c r="O29" s="39">
        <v>7378437</v>
      </c>
      <c r="P29" s="39">
        <v>109950</v>
      </c>
      <c r="Q29" s="39">
        <v>62539</v>
      </c>
      <c r="R29" s="39">
        <v>1248</v>
      </c>
      <c r="S29" s="35">
        <f>SUM(O29:R29)</f>
        <v>7552174</v>
      </c>
      <c r="T29" s="36">
        <v>7722221</v>
      </c>
      <c r="U29" s="39">
        <v>75464</v>
      </c>
      <c r="V29" s="39">
        <v>165924</v>
      </c>
      <c r="W29" s="39">
        <v>154</v>
      </c>
      <c r="X29" s="36">
        <f t="shared" si="4"/>
        <v>7963763</v>
      </c>
      <c r="Y29" s="36">
        <v>7886220</v>
      </c>
      <c r="Z29" s="39">
        <v>148077</v>
      </c>
      <c r="AA29" s="39">
        <v>163921</v>
      </c>
      <c r="AB29" s="39">
        <v>1732</v>
      </c>
      <c r="AC29" s="35">
        <f t="shared" si="5"/>
        <v>8199950</v>
      </c>
      <c r="AD29" s="36">
        <v>7276739</v>
      </c>
      <c r="AE29" s="39">
        <v>105180</v>
      </c>
      <c r="AF29" s="39">
        <v>125595</v>
      </c>
      <c r="AG29" s="39">
        <v>881</v>
      </c>
      <c r="AH29" s="35">
        <f t="shared" si="6"/>
        <v>7508395</v>
      </c>
      <c r="AI29" s="36">
        <v>7181134</v>
      </c>
      <c r="AJ29" s="39">
        <v>102595</v>
      </c>
      <c r="AK29" s="39">
        <v>97674</v>
      </c>
      <c r="AL29" s="39">
        <v>534</v>
      </c>
      <c r="AM29" s="35">
        <f t="shared" si="7"/>
        <v>7381937</v>
      </c>
      <c r="AN29" s="36">
        <v>7767415</v>
      </c>
      <c r="AO29" s="39">
        <v>177789</v>
      </c>
      <c r="AP29" s="39">
        <v>193976</v>
      </c>
      <c r="AQ29" s="39">
        <v>1256</v>
      </c>
      <c r="AR29" s="35">
        <f t="shared" si="1"/>
        <v>8140436</v>
      </c>
      <c r="AS29" s="36">
        <v>7162635</v>
      </c>
      <c r="AT29" s="39">
        <v>103389</v>
      </c>
      <c r="AU29" s="39">
        <v>184574</v>
      </c>
      <c r="AV29" s="39">
        <v>8429</v>
      </c>
      <c r="AW29" s="35">
        <f t="shared" si="8"/>
        <v>7459027</v>
      </c>
      <c r="AX29" s="36">
        <v>7653704</v>
      </c>
      <c r="AY29" s="39">
        <v>115101</v>
      </c>
      <c r="AZ29" s="39">
        <v>349001</v>
      </c>
      <c r="BA29" s="39">
        <v>1353</v>
      </c>
      <c r="BB29" s="35">
        <f t="shared" si="9"/>
        <v>8119159</v>
      </c>
      <c r="BC29" s="36">
        <v>7632078</v>
      </c>
      <c r="BD29" s="39">
        <v>95367</v>
      </c>
      <c r="BE29" s="39">
        <v>312444</v>
      </c>
      <c r="BF29" s="39">
        <v>6848</v>
      </c>
      <c r="BG29" s="35">
        <f t="shared" si="10"/>
        <v>8046737</v>
      </c>
      <c r="BH29" s="36">
        <v>8040210</v>
      </c>
      <c r="BI29" s="39">
        <v>109212</v>
      </c>
      <c r="BJ29" s="39">
        <v>215520</v>
      </c>
      <c r="BK29" s="39">
        <v>6491</v>
      </c>
      <c r="BL29" s="35">
        <f t="shared" si="11"/>
        <v>8371433</v>
      </c>
      <c r="BM29" s="36">
        <v>8909666</v>
      </c>
      <c r="BN29" s="39">
        <v>141075</v>
      </c>
      <c r="BO29" s="39">
        <v>528303</v>
      </c>
      <c r="BP29" s="39">
        <v>2548</v>
      </c>
      <c r="BQ29" s="35">
        <f t="shared" si="12"/>
        <v>9581592</v>
      </c>
      <c r="BR29" s="36">
        <f t="shared" si="16"/>
        <v>92195281</v>
      </c>
      <c r="BS29" s="163">
        <f t="shared" si="16"/>
        <v>1409781</v>
      </c>
      <c r="BT29" s="39">
        <f t="shared" si="16"/>
        <v>2477432</v>
      </c>
      <c r="BU29" s="39">
        <f t="shared" si="16"/>
        <v>32307</v>
      </c>
      <c r="BV29" s="36">
        <f t="shared" si="2"/>
        <v>96114801</v>
      </c>
      <c r="BW29" s="8"/>
      <c r="BX29" s="165">
        <f t="shared" si="15"/>
        <v>99.264194822158601</v>
      </c>
    </row>
    <row r="30" spans="1:80" x14ac:dyDescent="0.2">
      <c r="A30" s="159">
        <v>24</v>
      </c>
      <c r="B30" s="160" t="s">
        <v>201</v>
      </c>
      <c r="D30" s="161"/>
      <c r="E30" s="162">
        <v>3271665</v>
      </c>
      <c r="F30" s="163">
        <v>4181503</v>
      </c>
      <c r="G30" s="163">
        <v>158921</v>
      </c>
      <c r="H30" s="163">
        <v>0</v>
      </c>
      <c r="I30" s="35">
        <f t="shared" si="0"/>
        <v>7612089</v>
      </c>
      <c r="J30" s="36">
        <v>309658</v>
      </c>
      <c r="K30" s="39">
        <v>549654</v>
      </c>
      <c r="L30" s="39">
        <v>8219</v>
      </c>
      <c r="M30" s="39">
        <v>0</v>
      </c>
      <c r="N30" s="35">
        <f t="shared" si="14"/>
        <v>867531</v>
      </c>
      <c r="O30" s="39">
        <v>270415</v>
      </c>
      <c r="P30" s="39">
        <v>369038</v>
      </c>
      <c r="Q30" s="39">
        <v>20066</v>
      </c>
      <c r="R30" s="39">
        <v>17</v>
      </c>
      <c r="S30" s="35">
        <f>SUM(O30:R30)</f>
        <v>659536</v>
      </c>
      <c r="T30" s="36">
        <v>257411</v>
      </c>
      <c r="U30" s="39">
        <v>157097</v>
      </c>
      <c r="V30" s="39">
        <v>12852</v>
      </c>
      <c r="W30" s="39">
        <v>14</v>
      </c>
      <c r="X30" s="35">
        <f t="shared" si="4"/>
        <v>427374</v>
      </c>
      <c r="Y30" s="36">
        <v>254616</v>
      </c>
      <c r="Z30" s="39">
        <v>127626</v>
      </c>
      <c r="AA30" s="39">
        <v>24567</v>
      </c>
      <c r="AB30" s="39">
        <v>3</v>
      </c>
      <c r="AC30" s="35">
        <f t="shared" si="5"/>
        <v>406812</v>
      </c>
      <c r="AD30" s="36">
        <v>261910</v>
      </c>
      <c r="AE30" s="39">
        <v>898028</v>
      </c>
      <c r="AF30" s="39">
        <v>19103</v>
      </c>
      <c r="AG30" s="39">
        <v>116</v>
      </c>
      <c r="AH30" s="35">
        <f t="shared" si="6"/>
        <v>1179157</v>
      </c>
      <c r="AI30" s="36">
        <v>238307</v>
      </c>
      <c r="AJ30" s="39">
        <v>90631</v>
      </c>
      <c r="AK30" s="39">
        <v>9568</v>
      </c>
      <c r="AL30" s="39">
        <v>23</v>
      </c>
      <c r="AM30" s="35">
        <f t="shared" si="7"/>
        <v>338529</v>
      </c>
      <c r="AN30" s="36">
        <v>219257</v>
      </c>
      <c r="AO30" s="39">
        <v>918239</v>
      </c>
      <c r="AP30" s="39">
        <v>29482</v>
      </c>
      <c r="AQ30" s="39">
        <v>27</v>
      </c>
      <c r="AR30" s="35">
        <f t="shared" si="1"/>
        <v>1167005</v>
      </c>
      <c r="AS30" s="36">
        <v>250456</v>
      </c>
      <c r="AT30" s="39">
        <v>89739</v>
      </c>
      <c r="AU30" s="39">
        <v>22610</v>
      </c>
      <c r="AV30" s="39">
        <v>20</v>
      </c>
      <c r="AW30" s="35">
        <f t="shared" si="8"/>
        <v>362825</v>
      </c>
      <c r="AX30" s="36">
        <v>249862</v>
      </c>
      <c r="AY30" s="39">
        <v>93770</v>
      </c>
      <c r="AZ30" s="39">
        <v>14433</v>
      </c>
      <c r="BA30" s="39">
        <v>31</v>
      </c>
      <c r="BB30" s="35">
        <f t="shared" si="9"/>
        <v>358096</v>
      </c>
      <c r="BC30" s="36">
        <v>229489</v>
      </c>
      <c r="BD30" s="39">
        <v>855251</v>
      </c>
      <c r="BE30" s="39">
        <v>10574</v>
      </c>
      <c r="BF30" s="39">
        <v>34</v>
      </c>
      <c r="BG30" s="35">
        <f t="shared" si="10"/>
        <v>1095348</v>
      </c>
      <c r="BH30" s="36">
        <v>142168</v>
      </c>
      <c r="BI30" s="39">
        <v>2002</v>
      </c>
      <c r="BJ30" s="39">
        <v>16706</v>
      </c>
      <c r="BK30" s="39">
        <v>14</v>
      </c>
      <c r="BL30" s="35">
        <f t="shared" si="11"/>
        <v>160890</v>
      </c>
      <c r="BM30" s="36">
        <v>368810</v>
      </c>
      <c r="BN30" s="39">
        <v>34416</v>
      </c>
      <c r="BO30" s="39">
        <v>14127</v>
      </c>
      <c r="BP30" s="39">
        <v>2532</v>
      </c>
      <c r="BQ30" s="35">
        <f t="shared" si="12"/>
        <v>419885</v>
      </c>
      <c r="BR30" s="36">
        <f t="shared" si="16"/>
        <v>3052359</v>
      </c>
      <c r="BS30" s="163">
        <f t="shared" si="16"/>
        <v>4185491</v>
      </c>
      <c r="BT30" s="39">
        <f t="shared" si="16"/>
        <v>202307</v>
      </c>
      <c r="BU30" s="39">
        <f t="shared" si="16"/>
        <v>2831</v>
      </c>
      <c r="BV30" s="36">
        <f t="shared" si="2"/>
        <v>7442988</v>
      </c>
      <c r="BW30" s="8"/>
      <c r="BX30" s="165">
        <f t="shared" si="15"/>
        <v>97.778520456079804</v>
      </c>
    </row>
    <row r="31" spans="1:80" x14ac:dyDescent="0.2">
      <c r="A31" s="159">
        <v>25</v>
      </c>
      <c r="B31" s="160" t="s">
        <v>202</v>
      </c>
      <c r="D31" s="161"/>
      <c r="E31" s="162">
        <v>140406</v>
      </c>
      <c r="F31" s="163">
        <v>848491</v>
      </c>
      <c r="G31" s="163">
        <v>746</v>
      </c>
      <c r="H31" s="163">
        <v>0</v>
      </c>
      <c r="I31" s="35">
        <f t="shared" si="0"/>
        <v>989643</v>
      </c>
      <c r="J31" s="36">
        <v>12577</v>
      </c>
      <c r="K31" s="39">
        <v>160603</v>
      </c>
      <c r="L31" s="39">
        <v>38</v>
      </c>
      <c r="M31" s="39">
        <v>0</v>
      </c>
      <c r="N31" s="35">
        <f t="shared" si="14"/>
        <v>173218</v>
      </c>
      <c r="O31" s="39">
        <v>8990</v>
      </c>
      <c r="P31" s="39">
        <v>72420</v>
      </c>
      <c r="Q31" s="39">
        <v>76</v>
      </c>
      <c r="R31" s="39">
        <v>0</v>
      </c>
      <c r="S31" s="35">
        <f>SUM(O31:R31)</f>
        <v>81486</v>
      </c>
      <c r="T31" s="36">
        <v>10450</v>
      </c>
      <c r="U31" s="39">
        <v>17500</v>
      </c>
      <c r="V31" s="39">
        <v>59</v>
      </c>
      <c r="W31" s="39">
        <v>0</v>
      </c>
      <c r="X31" s="35">
        <f t="shared" si="4"/>
        <v>28009</v>
      </c>
      <c r="Y31" s="36">
        <v>12028</v>
      </c>
      <c r="Z31" s="39">
        <v>100656</v>
      </c>
      <c r="AA31" s="39">
        <v>58</v>
      </c>
      <c r="AB31" s="39">
        <v>0</v>
      </c>
      <c r="AC31" s="35">
        <f t="shared" si="5"/>
        <v>112742</v>
      </c>
      <c r="AD31" s="36">
        <v>10832</v>
      </c>
      <c r="AE31" s="39">
        <v>113420</v>
      </c>
      <c r="AF31" s="39">
        <v>47</v>
      </c>
      <c r="AG31" s="39">
        <v>0</v>
      </c>
      <c r="AH31" s="35">
        <f t="shared" si="6"/>
        <v>124299</v>
      </c>
      <c r="AI31" s="36">
        <v>12479</v>
      </c>
      <c r="AJ31" s="39">
        <v>17504</v>
      </c>
      <c r="AK31" s="39">
        <v>65</v>
      </c>
      <c r="AL31" s="39">
        <v>0</v>
      </c>
      <c r="AM31" s="35">
        <f t="shared" si="7"/>
        <v>30048</v>
      </c>
      <c r="AN31" s="36">
        <v>8628</v>
      </c>
      <c r="AO31" s="39">
        <v>100592</v>
      </c>
      <c r="AP31" s="39">
        <v>53</v>
      </c>
      <c r="AQ31" s="39">
        <v>0</v>
      </c>
      <c r="AR31" s="35">
        <f t="shared" si="1"/>
        <v>109273</v>
      </c>
      <c r="AS31" s="36">
        <v>9780</v>
      </c>
      <c r="AT31" s="39">
        <v>92671</v>
      </c>
      <c r="AU31" s="39">
        <v>50</v>
      </c>
      <c r="AV31" s="39">
        <v>0</v>
      </c>
      <c r="AW31" s="35">
        <f t="shared" si="8"/>
        <v>102501</v>
      </c>
      <c r="AX31" s="36">
        <v>8874</v>
      </c>
      <c r="AY31" s="39">
        <v>0</v>
      </c>
      <c r="AZ31" s="39">
        <v>50</v>
      </c>
      <c r="BA31" s="39">
        <v>0</v>
      </c>
      <c r="BB31" s="35">
        <f t="shared" si="9"/>
        <v>8924</v>
      </c>
      <c r="BC31" s="36">
        <v>9465</v>
      </c>
      <c r="BD31" s="39">
        <v>105092</v>
      </c>
      <c r="BE31" s="39">
        <v>49</v>
      </c>
      <c r="BF31" s="39">
        <v>0</v>
      </c>
      <c r="BG31" s="35">
        <f t="shared" si="10"/>
        <v>114606</v>
      </c>
      <c r="BH31" s="36">
        <v>8319</v>
      </c>
      <c r="BI31" s="39">
        <v>60364</v>
      </c>
      <c r="BJ31" s="39">
        <v>50</v>
      </c>
      <c r="BK31" s="39">
        <v>0</v>
      </c>
      <c r="BL31" s="35">
        <f t="shared" si="11"/>
        <v>68733</v>
      </c>
      <c r="BM31" s="36">
        <v>12324</v>
      </c>
      <c r="BN31" s="39">
        <v>0</v>
      </c>
      <c r="BO31" s="39">
        <v>168</v>
      </c>
      <c r="BP31" s="39">
        <v>0</v>
      </c>
      <c r="BQ31" s="35">
        <f t="shared" si="12"/>
        <v>12492</v>
      </c>
      <c r="BR31" s="36">
        <f t="shared" si="16"/>
        <v>124746</v>
      </c>
      <c r="BS31" s="163">
        <f t="shared" si="16"/>
        <v>840822</v>
      </c>
      <c r="BT31" s="39">
        <f t="shared" si="16"/>
        <v>763</v>
      </c>
      <c r="BU31" s="39">
        <f t="shared" si="16"/>
        <v>0</v>
      </c>
      <c r="BV31" s="36">
        <f t="shared" si="2"/>
        <v>966331</v>
      </c>
      <c r="BW31" s="8"/>
      <c r="BX31" s="165">
        <f>(BV31/I31)*100</f>
        <v>97.64440308272782</v>
      </c>
    </row>
    <row r="32" spans="1:80" x14ac:dyDescent="0.2">
      <c r="A32" s="159">
        <v>26</v>
      </c>
      <c r="B32" s="160" t="s">
        <v>203</v>
      </c>
      <c r="D32" s="161"/>
      <c r="E32" s="162">
        <v>665361</v>
      </c>
      <c r="F32" s="163">
        <v>6513692</v>
      </c>
      <c r="G32" s="163">
        <v>4504</v>
      </c>
      <c r="H32" s="163">
        <v>0</v>
      </c>
      <c r="I32" s="35">
        <f t="shared" si="0"/>
        <v>7183557</v>
      </c>
      <c r="J32" s="36">
        <v>34656</v>
      </c>
      <c r="K32" s="39">
        <v>476094</v>
      </c>
      <c r="L32" s="39">
        <v>0</v>
      </c>
      <c r="M32" s="39">
        <v>0</v>
      </c>
      <c r="N32" s="35">
        <f t="shared" si="14"/>
        <v>510750</v>
      </c>
      <c r="O32" s="39">
        <v>41232</v>
      </c>
      <c r="P32" s="39">
        <v>613287</v>
      </c>
      <c r="Q32" s="39">
        <v>495</v>
      </c>
      <c r="R32" s="39">
        <v>0</v>
      </c>
      <c r="S32" s="35">
        <f>SUM(O32:R32)</f>
        <v>655014</v>
      </c>
      <c r="T32" s="36">
        <v>42340</v>
      </c>
      <c r="U32" s="39">
        <v>94049</v>
      </c>
      <c r="V32" s="39">
        <v>294</v>
      </c>
      <c r="W32" s="39">
        <v>0</v>
      </c>
      <c r="X32" s="35">
        <f t="shared" si="4"/>
        <v>136683</v>
      </c>
      <c r="Y32" s="36">
        <v>41777</v>
      </c>
      <c r="Z32" s="39">
        <v>740658</v>
      </c>
      <c r="AA32" s="39">
        <v>127</v>
      </c>
      <c r="AB32" s="39">
        <v>0</v>
      </c>
      <c r="AC32" s="35">
        <f t="shared" si="5"/>
        <v>782562</v>
      </c>
      <c r="AD32" s="36">
        <v>42470</v>
      </c>
      <c r="AE32" s="39">
        <v>793677</v>
      </c>
      <c r="AF32" s="39">
        <v>433</v>
      </c>
      <c r="AG32" s="39">
        <v>8</v>
      </c>
      <c r="AH32" s="35">
        <f>SUM(AD32:AG32)</f>
        <v>836588</v>
      </c>
      <c r="AI32" s="36">
        <v>63596</v>
      </c>
      <c r="AJ32" s="39">
        <v>110403</v>
      </c>
      <c r="AK32" s="39">
        <v>240</v>
      </c>
      <c r="AL32" s="39">
        <v>0</v>
      </c>
      <c r="AM32" s="35">
        <f t="shared" si="7"/>
        <v>174239</v>
      </c>
      <c r="AN32" s="36">
        <v>57457</v>
      </c>
      <c r="AO32" s="39">
        <v>982087</v>
      </c>
      <c r="AP32" s="39">
        <v>103</v>
      </c>
      <c r="AQ32" s="39">
        <v>0</v>
      </c>
      <c r="AR32" s="35">
        <f t="shared" si="1"/>
        <v>1039647</v>
      </c>
      <c r="AS32" s="36">
        <v>43483</v>
      </c>
      <c r="AT32" s="39">
        <v>677986</v>
      </c>
      <c r="AU32" s="39">
        <v>0</v>
      </c>
      <c r="AV32" s="39">
        <v>0</v>
      </c>
      <c r="AW32" s="35">
        <f t="shared" si="8"/>
        <v>721469</v>
      </c>
      <c r="AX32" s="36">
        <v>79933</v>
      </c>
      <c r="AY32" s="39">
        <v>850901</v>
      </c>
      <c r="AZ32" s="39">
        <v>328</v>
      </c>
      <c r="BA32" s="39">
        <v>0</v>
      </c>
      <c r="BB32" s="35">
        <f t="shared" si="9"/>
        <v>931162</v>
      </c>
      <c r="BC32" s="36">
        <v>35073</v>
      </c>
      <c r="BD32" s="39">
        <v>416</v>
      </c>
      <c r="BE32" s="39">
        <v>23</v>
      </c>
      <c r="BF32" s="39">
        <v>0</v>
      </c>
      <c r="BG32" s="35">
        <f t="shared" si="10"/>
        <v>35512</v>
      </c>
      <c r="BH32" s="36">
        <v>49298</v>
      </c>
      <c r="BI32" s="39">
        <v>653203</v>
      </c>
      <c r="BJ32" s="39">
        <v>36</v>
      </c>
      <c r="BK32" s="39">
        <v>0</v>
      </c>
      <c r="BL32" s="35">
        <f t="shared" si="11"/>
        <v>702537</v>
      </c>
      <c r="BM32" s="36">
        <v>83638</v>
      </c>
      <c r="BN32" s="39">
        <v>355882</v>
      </c>
      <c r="BO32" s="39">
        <v>158</v>
      </c>
      <c r="BP32" s="39">
        <v>3</v>
      </c>
      <c r="BQ32" s="35">
        <f t="shared" si="12"/>
        <v>439681</v>
      </c>
      <c r="BR32" s="36">
        <f t="shared" si="16"/>
        <v>614953</v>
      </c>
      <c r="BS32" s="163">
        <f t="shared" si="16"/>
        <v>6348643</v>
      </c>
      <c r="BT32" s="39">
        <f t="shared" si="16"/>
        <v>2237</v>
      </c>
      <c r="BU32" s="39">
        <f t="shared" si="16"/>
        <v>11</v>
      </c>
      <c r="BV32" s="36">
        <f t="shared" si="2"/>
        <v>6965844</v>
      </c>
      <c r="BW32" s="8"/>
      <c r="BX32" s="165">
        <f>(BV32/I32)*100</f>
        <v>96.96928694238801</v>
      </c>
    </row>
    <row r="33" spans="1:78" x14ac:dyDescent="0.2">
      <c r="A33" s="159">
        <v>27</v>
      </c>
      <c r="B33" s="168" t="s">
        <v>204</v>
      </c>
      <c r="D33" s="166"/>
      <c r="E33" s="162">
        <v>5954254</v>
      </c>
      <c r="F33" s="163">
        <v>1343294</v>
      </c>
      <c r="G33" s="163">
        <v>186123</v>
      </c>
      <c r="H33" s="163">
        <v>0</v>
      </c>
      <c r="I33" s="35">
        <f t="shared" si="0"/>
        <v>7483671</v>
      </c>
      <c r="J33" s="36">
        <v>152643</v>
      </c>
      <c r="K33" s="39">
        <v>126597</v>
      </c>
      <c r="L33" s="39">
        <v>69</v>
      </c>
      <c r="M33" s="39">
        <v>0</v>
      </c>
      <c r="N33" s="35">
        <f t="shared" si="14"/>
        <v>279309</v>
      </c>
      <c r="O33" s="39">
        <v>413177</v>
      </c>
      <c r="P33" s="39">
        <v>141813</v>
      </c>
      <c r="Q33" s="39">
        <v>1106</v>
      </c>
      <c r="R33" s="39">
        <v>0</v>
      </c>
      <c r="S33" s="35">
        <f t="shared" ref="S33:S46" si="18">SUM(O33:R33)</f>
        <v>556096</v>
      </c>
      <c r="T33" s="36">
        <v>303803</v>
      </c>
      <c r="U33" s="39">
        <v>64958</v>
      </c>
      <c r="V33" s="39">
        <v>26154</v>
      </c>
      <c r="W33" s="39">
        <v>0</v>
      </c>
      <c r="X33" s="35">
        <f t="shared" si="4"/>
        <v>394915</v>
      </c>
      <c r="Y33" s="36">
        <v>463602</v>
      </c>
      <c r="Z33" s="39">
        <v>110638</v>
      </c>
      <c r="AA33" s="39">
        <v>17527</v>
      </c>
      <c r="AB33" s="39">
        <v>0</v>
      </c>
      <c r="AC33" s="35">
        <f t="shared" si="5"/>
        <v>591767</v>
      </c>
      <c r="AD33" s="36">
        <v>276602</v>
      </c>
      <c r="AE33" s="39">
        <v>64335</v>
      </c>
      <c r="AF33" s="39">
        <v>18336</v>
      </c>
      <c r="AG33" s="39">
        <v>0</v>
      </c>
      <c r="AH33" s="35">
        <f t="shared" si="6"/>
        <v>359273</v>
      </c>
      <c r="AI33" s="36">
        <v>411961</v>
      </c>
      <c r="AJ33" s="39">
        <v>89756</v>
      </c>
      <c r="AK33" s="39">
        <v>26648</v>
      </c>
      <c r="AL33" s="39">
        <v>1534</v>
      </c>
      <c r="AM33" s="35">
        <f t="shared" si="7"/>
        <v>529899</v>
      </c>
      <c r="AN33" s="36">
        <v>572272</v>
      </c>
      <c r="AO33" s="39">
        <v>186771</v>
      </c>
      <c r="AP33" s="39">
        <v>17033</v>
      </c>
      <c r="AQ33" s="39">
        <v>0</v>
      </c>
      <c r="AR33" s="35">
        <f t="shared" si="1"/>
        <v>776076</v>
      </c>
      <c r="AS33" s="36">
        <v>294636</v>
      </c>
      <c r="AT33" s="39">
        <v>97982</v>
      </c>
      <c r="AU33" s="39">
        <v>16449</v>
      </c>
      <c r="AV33" s="39">
        <v>1</v>
      </c>
      <c r="AW33" s="35">
        <f t="shared" si="8"/>
        <v>409068</v>
      </c>
      <c r="AX33" s="36">
        <v>538931</v>
      </c>
      <c r="AY33" s="39">
        <v>320168</v>
      </c>
      <c r="AZ33" s="39">
        <v>13730</v>
      </c>
      <c r="BA33" s="39">
        <v>0</v>
      </c>
      <c r="BB33" s="35">
        <f t="shared" si="9"/>
        <v>872829</v>
      </c>
      <c r="BC33" s="36">
        <v>409919</v>
      </c>
      <c r="BD33" s="39">
        <v>257841</v>
      </c>
      <c r="BE33" s="39">
        <v>1188</v>
      </c>
      <c r="BF33" s="39">
        <v>0</v>
      </c>
      <c r="BG33" s="35">
        <f t="shared" si="10"/>
        <v>668948</v>
      </c>
      <c r="BH33" s="36">
        <v>477368</v>
      </c>
      <c r="BI33" s="39">
        <v>186566</v>
      </c>
      <c r="BJ33" s="39">
        <v>30874</v>
      </c>
      <c r="BK33" s="39">
        <v>8</v>
      </c>
      <c r="BL33" s="35">
        <f t="shared" si="11"/>
        <v>694816</v>
      </c>
      <c r="BM33" s="36">
        <v>740947</v>
      </c>
      <c r="BN33" s="39">
        <v>448373</v>
      </c>
      <c r="BO33" s="39">
        <v>35902</v>
      </c>
      <c r="BP33" s="39">
        <v>102</v>
      </c>
      <c r="BQ33" s="35">
        <f t="shared" si="12"/>
        <v>1225324</v>
      </c>
      <c r="BR33" s="36">
        <f t="shared" si="16"/>
        <v>5055861</v>
      </c>
      <c r="BS33" s="163">
        <f t="shared" si="16"/>
        <v>2095798</v>
      </c>
      <c r="BT33" s="39">
        <f t="shared" si="16"/>
        <v>205016</v>
      </c>
      <c r="BU33" s="39">
        <f t="shared" si="16"/>
        <v>1645</v>
      </c>
      <c r="BV33" s="36">
        <f t="shared" si="2"/>
        <v>7358320</v>
      </c>
      <c r="BW33" s="8"/>
      <c r="BX33" s="165">
        <f t="shared" si="15"/>
        <v>98.325006537566935</v>
      </c>
    </row>
    <row r="34" spans="1:78" x14ac:dyDescent="0.2">
      <c r="A34" s="159">
        <v>28</v>
      </c>
      <c r="B34" s="168" t="s">
        <v>205</v>
      </c>
      <c r="D34" s="161"/>
      <c r="E34" s="162">
        <v>2043811</v>
      </c>
      <c r="F34" s="163">
        <v>1329204</v>
      </c>
      <c r="G34" s="163">
        <v>60184</v>
      </c>
      <c r="H34" s="163">
        <v>0</v>
      </c>
      <c r="I34" s="35">
        <f t="shared" si="0"/>
        <v>3433199</v>
      </c>
      <c r="J34" s="36">
        <v>125523</v>
      </c>
      <c r="K34" s="39">
        <v>292413</v>
      </c>
      <c r="L34" s="39">
        <v>628</v>
      </c>
      <c r="M34" s="39">
        <v>1</v>
      </c>
      <c r="N34" s="35">
        <f t="shared" si="14"/>
        <v>418565</v>
      </c>
      <c r="O34" s="39">
        <v>149186</v>
      </c>
      <c r="P34" s="39">
        <v>2085</v>
      </c>
      <c r="Q34" s="39">
        <v>2847</v>
      </c>
      <c r="R34" s="39">
        <v>60</v>
      </c>
      <c r="S34" s="35">
        <f t="shared" si="18"/>
        <v>154178</v>
      </c>
      <c r="T34" s="36">
        <v>133260</v>
      </c>
      <c r="U34" s="39">
        <v>52148</v>
      </c>
      <c r="V34" s="39">
        <v>379</v>
      </c>
      <c r="W34" s="39">
        <v>114</v>
      </c>
      <c r="X34" s="35">
        <f t="shared" si="4"/>
        <v>185901</v>
      </c>
      <c r="Y34" s="36">
        <v>161126</v>
      </c>
      <c r="Z34" s="39">
        <v>2994</v>
      </c>
      <c r="AA34" s="39">
        <v>10417</v>
      </c>
      <c r="AB34" s="39">
        <v>-3</v>
      </c>
      <c r="AC34" s="35">
        <f t="shared" si="5"/>
        <v>174534</v>
      </c>
      <c r="AD34" s="36">
        <v>142292</v>
      </c>
      <c r="AE34" s="39">
        <v>296631</v>
      </c>
      <c r="AF34" s="39">
        <v>2945</v>
      </c>
      <c r="AG34" s="39">
        <v>43</v>
      </c>
      <c r="AH34" s="35">
        <f t="shared" si="6"/>
        <v>441911</v>
      </c>
      <c r="AI34" s="36">
        <v>153646</v>
      </c>
      <c r="AJ34" s="39">
        <v>5014</v>
      </c>
      <c r="AK34" s="39">
        <v>3527</v>
      </c>
      <c r="AL34" s="39">
        <v>12</v>
      </c>
      <c r="AM34" s="35">
        <f t="shared" si="7"/>
        <v>162199</v>
      </c>
      <c r="AN34" s="36">
        <v>150328</v>
      </c>
      <c r="AO34" s="39">
        <v>324248</v>
      </c>
      <c r="AP34" s="39">
        <v>5471</v>
      </c>
      <c r="AQ34" s="39">
        <v>25</v>
      </c>
      <c r="AR34" s="35">
        <f t="shared" si="1"/>
        <v>480072</v>
      </c>
      <c r="AS34" s="36">
        <v>155752</v>
      </c>
      <c r="AT34" s="39">
        <v>17774</v>
      </c>
      <c r="AU34" s="39">
        <v>1157</v>
      </c>
      <c r="AV34" s="39">
        <v>5</v>
      </c>
      <c r="AW34" s="35">
        <f t="shared" si="8"/>
        <v>174688</v>
      </c>
      <c r="AX34" s="36">
        <v>150059</v>
      </c>
      <c r="AY34" s="39">
        <v>24462</v>
      </c>
      <c r="AZ34" s="39">
        <v>819</v>
      </c>
      <c r="BA34" s="39">
        <v>3</v>
      </c>
      <c r="BB34" s="35">
        <f t="shared" si="9"/>
        <v>175343</v>
      </c>
      <c r="BC34" s="36">
        <v>138742</v>
      </c>
      <c r="BD34" s="39">
        <v>37393</v>
      </c>
      <c r="BE34" s="39">
        <v>764</v>
      </c>
      <c r="BF34" s="39">
        <v>2</v>
      </c>
      <c r="BG34" s="35">
        <f t="shared" si="10"/>
        <v>176901</v>
      </c>
      <c r="BH34" s="36">
        <v>161193</v>
      </c>
      <c r="BI34" s="39">
        <v>251978</v>
      </c>
      <c r="BJ34" s="39">
        <v>6054</v>
      </c>
      <c r="BK34" s="39">
        <v>2</v>
      </c>
      <c r="BL34" s="35">
        <f t="shared" si="11"/>
        <v>419227</v>
      </c>
      <c r="BM34" s="36">
        <v>207192</v>
      </c>
      <c r="BN34" s="39">
        <v>31161</v>
      </c>
      <c r="BO34" s="39">
        <v>8287</v>
      </c>
      <c r="BP34" s="39">
        <v>852</v>
      </c>
      <c r="BQ34" s="35">
        <f t="shared" si="12"/>
        <v>247492</v>
      </c>
      <c r="BR34" s="36">
        <f t="shared" si="16"/>
        <v>1828299</v>
      </c>
      <c r="BS34" s="163">
        <f t="shared" si="16"/>
        <v>1338301</v>
      </c>
      <c r="BT34" s="39">
        <f t="shared" si="16"/>
        <v>43295</v>
      </c>
      <c r="BU34" s="39">
        <f t="shared" si="16"/>
        <v>1116</v>
      </c>
      <c r="BV34" s="36">
        <f t="shared" si="2"/>
        <v>3211011</v>
      </c>
      <c r="BW34" s="8"/>
      <c r="BX34" s="165">
        <f t="shared" si="15"/>
        <v>93.528251639360263</v>
      </c>
    </row>
    <row r="35" spans="1:78" x14ac:dyDescent="0.2">
      <c r="A35" s="159">
        <v>29</v>
      </c>
      <c r="B35" s="160" t="s">
        <v>206</v>
      </c>
      <c r="D35" s="161"/>
      <c r="E35" s="162">
        <v>914158</v>
      </c>
      <c r="F35" s="163">
        <v>1075041</v>
      </c>
      <c r="G35" s="163">
        <v>13021</v>
      </c>
      <c r="H35" s="163">
        <v>0</v>
      </c>
      <c r="I35" s="35">
        <f t="shared" si="0"/>
        <v>2002220</v>
      </c>
      <c r="J35" s="36">
        <v>91734</v>
      </c>
      <c r="K35" s="39">
        <v>200010</v>
      </c>
      <c r="L35" s="39">
        <v>133</v>
      </c>
      <c r="M35" s="39">
        <v>0</v>
      </c>
      <c r="N35" s="35">
        <f t="shared" si="14"/>
        <v>291877</v>
      </c>
      <c r="O35" s="39">
        <v>71355</v>
      </c>
      <c r="P35" s="39">
        <v>76379</v>
      </c>
      <c r="Q35" s="39">
        <v>569</v>
      </c>
      <c r="R35" s="39">
        <v>0</v>
      </c>
      <c r="S35" s="35">
        <f t="shared" si="18"/>
        <v>148303</v>
      </c>
      <c r="T35" s="36">
        <v>81849</v>
      </c>
      <c r="U35" s="39">
        <v>64821</v>
      </c>
      <c r="V35" s="39">
        <v>0</v>
      </c>
      <c r="W35" s="39">
        <v>0</v>
      </c>
      <c r="X35" s="35">
        <f t="shared" si="4"/>
        <v>146670</v>
      </c>
      <c r="Y35" s="36">
        <v>81415</v>
      </c>
      <c r="Z35" s="39">
        <v>163708</v>
      </c>
      <c r="AA35" s="39">
        <v>268</v>
      </c>
      <c r="AB35" s="39">
        <v>0</v>
      </c>
      <c r="AC35" s="35">
        <f t="shared" si="5"/>
        <v>245391</v>
      </c>
      <c r="AD35" s="36">
        <v>70428</v>
      </c>
      <c r="AE35" s="39">
        <v>77762</v>
      </c>
      <c r="AF35" s="39">
        <v>34</v>
      </c>
      <c r="AG35" s="39">
        <v>0</v>
      </c>
      <c r="AH35" s="35">
        <f t="shared" si="6"/>
        <v>148224</v>
      </c>
      <c r="AI35" s="36">
        <v>72692</v>
      </c>
      <c r="AJ35" s="39">
        <v>62024</v>
      </c>
      <c r="AK35" s="39">
        <v>49</v>
      </c>
      <c r="AL35" s="39">
        <v>0</v>
      </c>
      <c r="AM35" s="35">
        <f t="shared" si="7"/>
        <v>134765</v>
      </c>
      <c r="AN35" s="36">
        <v>87051</v>
      </c>
      <c r="AO35" s="39">
        <v>62856</v>
      </c>
      <c r="AP35" s="39">
        <v>195</v>
      </c>
      <c r="AQ35" s="39">
        <v>3</v>
      </c>
      <c r="AR35" s="35">
        <f t="shared" si="1"/>
        <v>150105</v>
      </c>
      <c r="AS35" s="36">
        <v>73365</v>
      </c>
      <c r="AT35" s="39">
        <v>55587</v>
      </c>
      <c r="AU35" s="39">
        <v>267</v>
      </c>
      <c r="AV35" s="39">
        <v>70</v>
      </c>
      <c r="AW35" s="35">
        <f t="shared" si="8"/>
        <v>129289</v>
      </c>
      <c r="AX35" s="36">
        <v>84975</v>
      </c>
      <c r="AY35" s="39">
        <v>66619</v>
      </c>
      <c r="AZ35" s="39">
        <v>74</v>
      </c>
      <c r="BA35" s="39">
        <v>0</v>
      </c>
      <c r="BB35" s="35">
        <f t="shared" si="9"/>
        <v>151668</v>
      </c>
      <c r="BC35" s="36">
        <v>88293</v>
      </c>
      <c r="BD35" s="39">
        <v>72994</v>
      </c>
      <c r="BE35" s="39">
        <v>177</v>
      </c>
      <c r="BF35" s="39">
        <v>0</v>
      </c>
      <c r="BG35" s="35">
        <f t="shared" si="10"/>
        <v>161464</v>
      </c>
      <c r="BH35" s="36">
        <v>71273</v>
      </c>
      <c r="BI35" s="39">
        <v>75565</v>
      </c>
      <c r="BJ35" s="39">
        <v>433</v>
      </c>
      <c r="BK35" s="39">
        <v>0</v>
      </c>
      <c r="BL35" s="35">
        <f t="shared" si="11"/>
        <v>147271</v>
      </c>
      <c r="BM35" s="36">
        <v>62944</v>
      </c>
      <c r="BN35" s="39">
        <v>70325</v>
      </c>
      <c r="BO35" s="39">
        <v>-3</v>
      </c>
      <c r="BP35" s="39">
        <v>0</v>
      </c>
      <c r="BQ35" s="35">
        <f t="shared" si="12"/>
        <v>133266</v>
      </c>
      <c r="BR35" s="36">
        <f t="shared" si="16"/>
        <v>937374</v>
      </c>
      <c r="BS35" s="163">
        <f t="shared" si="16"/>
        <v>1048650</v>
      </c>
      <c r="BT35" s="39">
        <f t="shared" si="16"/>
        <v>2196</v>
      </c>
      <c r="BU35" s="39">
        <f t="shared" si="16"/>
        <v>73</v>
      </c>
      <c r="BV35" s="36">
        <f t="shared" si="2"/>
        <v>1988293</v>
      </c>
      <c r="BW35" s="8"/>
      <c r="BX35" s="165">
        <f t="shared" si="15"/>
        <v>99.304422091478457</v>
      </c>
      <c r="BY35" s="136"/>
      <c r="BZ35" s="136"/>
    </row>
    <row r="36" spans="1:78" x14ac:dyDescent="0.2">
      <c r="A36" s="159">
        <v>30</v>
      </c>
      <c r="B36" s="160" t="s">
        <v>207</v>
      </c>
      <c r="D36" s="161"/>
      <c r="E36" s="162">
        <v>620178</v>
      </c>
      <c r="F36" s="163">
        <v>7523325</v>
      </c>
      <c r="G36" s="163">
        <v>2673</v>
      </c>
      <c r="H36" s="163">
        <v>0</v>
      </c>
      <c r="I36" s="35">
        <f t="shared" si="0"/>
        <v>8146176</v>
      </c>
      <c r="J36" s="36">
        <v>34532</v>
      </c>
      <c r="K36" s="39">
        <v>842756</v>
      </c>
      <c r="L36" s="39">
        <v>3</v>
      </c>
      <c r="M36" s="39">
        <v>0</v>
      </c>
      <c r="N36" s="35">
        <f t="shared" si="14"/>
        <v>877291</v>
      </c>
      <c r="O36" s="39">
        <v>36142</v>
      </c>
      <c r="P36" s="39">
        <v>30668</v>
      </c>
      <c r="Q36" s="39">
        <v>373</v>
      </c>
      <c r="R36" s="39">
        <v>0</v>
      </c>
      <c r="S36" s="35">
        <f t="shared" si="18"/>
        <v>67183</v>
      </c>
      <c r="T36" s="36">
        <v>40271</v>
      </c>
      <c r="U36" s="39">
        <v>225000</v>
      </c>
      <c r="V36" s="39">
        <v>1296</v>
      </c>
      <c r="W36" s="39">
        <v>0</v>
      </c>
      <c r="X36" s="35">
        <f t="shared" si="4"/>
        <v>266567</v>
      </c>
      <c r="Y36" s="36">
        <v>40131</v>
      </c>
      <c r="Z36" s="39">
        <v>744276</v>
      </c>
      <c r="AA36" s="39">
        <v>1178</v>
      </c>
      <c r="AB36" s="39">
        <v>1</v>
      </c>
      <c r="AC36" s="35">
        <f t="shared" si="5"/>
        <v>785586</v>
      </c>
      <c r="AD36" s="36">
        <v>47254</v>
      </c>
      <c r="AE36" s="39">
        <v>1822059</v>
      </c>
      <c r="AF36" s="39">
        <v>2066</v>
      </c>
      <c r="AG36" s="39">
        <v>1</v>
      </c>
      <c r="AH36" s="35">
        <f>SUM(AD36:AG36)</f>
        <v>1871380</v>
      </c>
      <c r="AI36" s="36">
        <v>37249</v>
      </c>
      <c r="AJ36" s="39">
        <v>191665</v>
      </c>
      <c r="AK36" s="39">
        <v>1331</v>
      </c>
      <c r="AL36" s="39">
        <v>7</v>
      </c>
      <c r="AM36" s="35">
        <f t="shared" si="7"/>
        <v>230252</v>
      </c>
      <c r="AN36" s="36">
        <v>44257</v>
      </c>
      <c r="AO36" s="39">
        <v>989373</v>
      </c>
      <c r="AP36" s="39">
        <v>541</v>
      </c>
      <c r="AQ36" s="39">
        <v>0</v>
      </c>
      <c r="AR36" s="35">
        <f t="shared" si="1"/>
        <v>1034171</v>
      </c>
      <c r="AS36" s="36">
        <v>40090</v>
      </c>
      <c r="AT36" s="39">
        <v>934184</v>
      </c>
      <c r="AU36" s="39">
        <v>221</v>
      </c>
      <c r="AV36" s="39">
        <v>19</v>
      </c>
      <c r="AW36" s="35">
        <f t="shared" si="8"/>
        <v>974514</v>
      </c>
      <c r="AX36" s="36">
        <v>50402</v>
      </c>
      <c r="AY36" s="39">
        <v>268026</v>
      </c>
      <c r="AZ36" s="39">
        <v>407</v>
      </c>
      <c r="BA36" s="39">
        <v>3</v>
      </c>
      <c r="BB36" s="35">
        <f t="shared" si="9"/>
        <v>318838</v>
      </c>
      <c r="BC36" s="36">
        <v>60221</v>
      </c>
      <c r="BD36" s="39">
        <v>511200</v>
      </c>
      <c r="BE36" s="39">
        <v>-840</v>
      </c>
      <c r="BF36" s="39">
        <v>0</v>
      </c>
      <c r="BG36" s="35">
        <f t="shared" si="10"/>
        <v>570581</v>
      </c>
      <c r="BH36" s="36">
        <v>39125</v>
      </c>
      <c r="BI36" s="39">
        <v>113179</v>
      </c>
      <c r="BJ36" s="39">
        <v>187</v>
      </c>
      <c r="BK36" s="39">
        <v>55</v>
      </c>
      <c r="BL36" s="35">
        <f t="shared" si="11"/>
        <v>152546</v>
      </c>
      <c r="BM36" s="36">
        <v>61209</v>
      </c>
      <c r="BN36" s="39">
        <v>841544</v>
      </c>
      <c r="BO36" s="39">
        <v>779</v>
      </c>
      <c r="BP36" s="39">
        <v>4</v>
      </c>
      <c r="BQ36" s="35">
        <f t="shared" si="12"/>
        <v>903536</v>
      </c>
      <c r="BR36" s="36">
        <f t="shared" si="16"/>
        <v>530883</v>
      </c>
      <c r="BS36" s="163">
        <f t="shared" si="16"/>
        <v>7513930</v>
      </c>
      <c r="BT36" s="39">
        <f t="shared" si="16"/>
        <v>7542</v>
      </c>
      <c r="BU36" s="39">
        <f t="shared" si="16"/>
        <v>90</v>
      </c>
      <c r="BV36" s="36">
        <f t="shared" si="2"/>
        <v>8052445</v>
      </c>
      <c r="BW36" s="8"/>
      <c r="BX36" s="165">
        <f t="shared" si="15"/>
        <v>98.849386509694853</v>
      </c>
      <c r="BY36" s="136"/>
      <c r="BZ36" s="39"/>
    </row>
    <row r="37" spans="1:78" x14ac:dyDescent="0.2">
      <c r="A37" s="159">
        <v>31</v>
      </c>
      <c r="B37" s="137" t="s">
        <v>208</v>
      </c>
      <c r="D37" s="172"/>
      <c r="E37" s="162">
        <v>237356</v>
      </c>
      <c r="F37" s="163">
        <v>2026638</v>
      </c>
      <c r="G37" s="163">
        <v>4558</v>
      </c>
      <c r="H37" s="163">
        <v>0</v>
      </c>
      <c r="I37" s="35">
        <f t="shared" si="0"/>
        <v>2268552</v>
      </c>
      <c r="J37" s="36">
        <v>15388</v>
      </c>
      <c r="K37" s="39">
        <v>13938</v>
      </c>
      <c r="L37" s="39">
        <v>72</v>
      </c>
      <c r="M37" s="39">
        <v>0</v>
      </c>
      <c r="N37" s="35">
        <f t="shared" si="14"/>
        <v>29398</v>
      </c>
      <c r="O37" s="39">
        <v>16666</v>
      </c>
      <c r="P37" s="39">
        <v>219455</v>
      </c>
      <c r="Q37" s="39">
        <v>307</v>
      </c>
      <c r="R37" s="39">
        <v>0</v>
      </c>
      <c r="S37" s="35">
        <f t="shared" si="18"/>
        <v>236428</v>
      </c>
      <c r="T37" s="36">
        <v>15258</v>
      </c>
      <c r="U37" s="39">
        <v>105476</v>
      </c>
      <c r="V37" s="39">
        <v>221</v>
      </c>
      <c r="W37" s="39">
        <v>0</v>
      </c>
      <c r="X37" s="35">
        <f t="shared" si="4"/>
        <v>120955</v>
      </c>
      <c r="Y37" s="36">
        <v>16077</v>
      </c>
      <c r="Z37" s="39">
        <v>94055</v>
      </c>
      <c r="AA37" s="39">
        <v>258</v>
      </c>
      <c r="AB37" s="39">
        <v>0</v>
      </c>
      <c r="AC37" s="35">
        <f t="shared" si="5"/>
        <v>110390</v>
      </c>
      <c r="AD37" s="36">
        <v>16832</v>
      </c>
      <c r="AE37" s="39">
        <v>87256</v>
      </c>
      <c r="AF37" s="39">
        <v>236</v>
      </c>
      <c r="AG37" s="39">
        <v>0</v>
      </c>
      <c r="AH37" s="35">
        <f t="shared" si="6"/>
        <v>104324</v>
      </c>
      <c r="AI37" s="36">
        <v>17925</v>
      </c>
      <c r="AJ37" s="39">
        <v>286705</v>
      </c>
      <c r="AK37" s="39">
        <v>455</v>
      </c>
      <c r="AL37" s="39">
        <v>0</v>
      </c>
      <c r="AM37" s="35">
        <f t="shared" si="7"/>
        <v>305085</v>
      </c>
      <c r="AN37" s="36">
        <v>17846</v>
      </c>
      <c r="AO37" s="39">
        <v>109300</v>
      </c>
      <c r="AP37" s="39">
        <v>229</v>
      </c>
      <c r="AQ37" s="39">
        <v>0</v>
      </c>
      <c r="AR37" s="35">
        <f t="shared" si="1"/>
        <v>127375</v>
      </c>
      <c r="AS37" s="36">
        <v>16164</v>
      </c>
      <c r="AT37" s="39">
        <v>668565</v>
      </c>
      <c r="AU37" s="39">
        <v>299</v>
      </c>
      <c r="AV37" s="39">
        <v>0</v>
      </c>
      <c r="AW37" s="35">
        <f t="shared" si="8"/>
        <v>685028</v>
      </c>
      <c r="AX37" s="36">
        <v>16490</v>
      </c>
      <c r="AY37" s="39">
        <v>125650</v>
      </c>
      <c r="AZ37" s="39">
        <v>111</v>
      </c>
      <c r="BA37" s="39">
        <v>0</v>
      </c>
      <c r="BB37" s="35">
        <f t="shared" si="9"/>
        <v>142251</v>
      </c>
      <c r="BC37" s="36">
        <v>14092</v>
      </c>
      <c r="BD37" s="39">
        <v>90173</v>
      </c>
      <c r="BE37" s="39">
        <v>210</v>
      </c>
      <c r="BF37" s="39">
        <v>0</v>
      </c>
      <c r="BG37" s="35">
        <f t="shared" si="10"/>
        <v>104475</v>
      </c>
      <c r="BH37" s="36">
        <v>17159</v>
      </c>
      <c r="BI37" s="39">
        <v>53747</v>
      </c>
      <c r="BJ37" s="39">
        <v>577</v>
      </c>
      <c r="BK37" s="39">
        <v>0</v>
      </c>
      <c r="BL37" s="35">
        <f t="shared" si="11"/>
        <v>71483</v>
      </c>
      <c r="BM37" s="36">
        <v>18940</v>
      </c>
      <c r="BN37" s="39">
        <v>162453</v>
      </c>
      <c r="BO37" s="39">
        <v>1256</v>
      </c>
      <c r="BP37" s="39">
        <v>0</v>
      </c>
      <c r="BQ37" s="35">
        <f t="shared" si="12"/>
        <v>182649</v>
      </c>
      <c r="BR37" s="36">
        <f t="shared" si="16"/>
        <v>198837</v>
      </c>
      <c r="BS37" s="163">
        <f t="shared" si="16"/>
        <v>2016773</v>
      </c>
      <c r="BT37" s="39">
        <f t="shared" si="16"/>
        <v>4231</v>
      </c>
      <c r="BU37" s="39">
        <f t="shared" si="16"/>
        <v>0</v>
      </c>
      <c r="BV37" s="36">
        <f t="shared" si="2"/>
        <v>2219841</v>
      </c>
      <c r="BW37" s="8"/>
      <c r="BX37" s="165">
        <f t="shared" si="15"/>
        <v>97.852771283179749</v>
      </c>
      <c r="BY37" s="136"/>
      <c r="BZ37" s="39"/>
    </row>
    <row r="38" spans="1:78" x14ac:dyDescent="0.2">
      <c r="A38" s="159">
        <v>32</v>
      </c>
      <c r="B38" s="137" t="s">
        <v>209</v>
      </c>
      <c r="D38" s="161"/>
      <c r="E38" s="162">
        <v>610274</v>
      </c>
      <c r="F38" s="163">
        <v>1051094</v>
      </c>
      <c r="G38" s="163">
        <v>23206</v>
      </c>
      <c r="H38" s="163">
        <v>0</v>
      </c>
      <c r="I38" s="35">
        <f t="shared" si="0"/>
        <v>1684574</v>
      </c>
      <c r="J38" s="36">
        <v>27245</v>
      </c>
      <c r="K38" s="39">
        <v>218820</v>
      </c>
      <c r="L38" s="39">
        <v>944</v>
      </c>
      <c r="M38" s="39">
        <v>0</v>
      </c>
      <c r="N38" s="35">
        <f t="shared" si="14"/>
        <v>247009</v>
      </c>
      <c r="O38" s="39">
        <v>32341</v>
      </c>
      <c r="P38" s="39">
        <v>112743</v>
      </c>
      <c r="Q38" s="39">
        <v>204</v>
      </c>
      <c r="R38" s="39">
        <v>0</v>
      </c>
      <c r="S38" s="35">
        <f t="shared" si="18"/>
        <v>145288</v>
      </c>
      <c r="T38" s="36">
        <v>22715</v>
      </c>
      <c r="U38" s="39">
        <v>25790</v>
      </c>
      <c r="V38" s="39">
        <v>4</v>
      </c>
      <c r="W38" s="39">
        <v>0</v>
      </c>
      <c r="X38" s="35">
        <f t="shared" si="4"/>
        <v>48509</v>
      </c>
      <c r="Y38" s="36">
        <v>27493</v>
      </c>
      <c r="Z38" s="39">
        <v>241509</v>
      </c>
      <c r="AA38" s="39">
        <v>381</v>
      </c>
      <c r="AB38" s="39">
        <v>0</v>
      </c>
      <c r="AC38" s="35">
        <f t="shared" si="5"/>
        <v>269383</v>
      </c>
      <c r="AD38" s="36">
        <v>25967</v>
      </c>
      <c r="AE38" s="39">
        <v>342</v>
      </c>
      <c r="AF38" s="39">
        <v>84</v>
      </c>
      <c r="AG38" s="39">
        <v>0</v>
      </c>
      <c r="AH38" s="35">
        <f t="shared" si="6"/>
        <v>26393</v>
      </c>
      <c r="AI38" s="36">
        <v>24845</v>
      </c>
      <c r="AJ38" s="39">
        <v>247</v>
      </c>
      <c r="AK38" s="39">
        <v>148</v>
      </c>
      <c r="AL38" s="39">
        <v>0</v>
      </c>
      <c r="AM38" s="35">
        <f t="shared" si="7"/>
        <v>25240</v>
      </c>
      <c r="AN38" s="36">
        <v>26673</v>
      </c>
      <c r="AO38" s="39">
        <v>207509</v>
      </c>
      <c r="AP38" s="39">
        <v>361</v>
      </c>
      <c r="AQ38" s="39">
        <v>0</v>
      </c>
      <c r="AR38" s="35">
        <f t="shared" si="1"/>
        <v>234543</v>
      </c>
      <c r="AS38" s="36">
        <v>31686</v>
      </c>
      <c r="AT38" s="39">
        <v>88</v>
      </c>
      <c r="AU38" s="39">
        <v>82</v>
      </c>
      <c r="AV38" s="39">
        <v>1</v>
      </c>
      <c r="AW38" s="35">
        <f t="shared" si="8"/>
        <v>31857</v>
      </c>
      <c r="AX38" s="36">
        <v>25445</v>
      </c>
      <c r="AY38" s="39">
        <v>6687</v>
      </c>
      <c r="AZ38" s="39">
        <v>254</v>
      </c>
      <c r="BA38" s="39">
        <v>0</v>
      </c>
      <c r="BB38" s="35">
        <f t="shared" si="9"/>
        <v>32386</v>
      </c>
      <c r="BC38" s="36">
        <v>89340</v>
      </c>
      <c r="BD38" s="39">
        <v>214444</v>
      </c>
      <c r="BE38" s="39">
        <v>1142</v>
      </c>
      <c r="BF38" s="39">
        <v>0</v>
      </c>
      <c r="BG38" s="35">
        <f t="shared" si="10"/>
        <v>304926</v>
      </c>
      <c r="BH38" s="36">
        <v>33068</v>
      </c>
      <c r="BI38" s="39">
        <v>24067</v>
      </c>
      <c r="BJ38" s="39">
        <v>253</v>
      </c>
      <c r="BK38" s="39">
        <v>0</v>
      </c>
      <c r="BL38" s="35">
        <f t="shared" si="11"/>
        <v>57388</v>
      </c>
      <c r="BM38" s="36">
        <v>185595</v>
      </c>
      <c r="BN38" s="39">
        <v>427</v>
      </c>
      <c r="BO38" s="39">
        <v>3026</v>
      </c>
      <c r="BP38" s="39">
        <v>0</v>
      </c>
      <c r="BQ38" s="35">
        <f t="shared" si="12"/>
        <v>189048</v>
      </c>
      <c r="BR38" s="36">
        <f t="shared" si="16"/>
        <v>552413</v>
      </c>
      <c r="BS38" s="163">
        <f t="shared" si="16"/>
        <v>1052673</v>
      </c>
      <c r="BT38" s="39">
        <f t="shared" si="16"/>
        <v>6883</v>
      </c>
      <c r="BU38" s="39">
        <f t="shared" si="16"/>
        <v>1</v>
      </c>
      <c r="BV38" s="36">
        <f t="shared" si="2"/>
        <v>1611970</v>
      </c>
      <c r="BW38" s="8"/>
      <c r="BX38" s="165">
        <f>(BV38/I38)*100</f>
        <v>95.690067637278034</v>
      </c>
      <c r="BY38" s="136"/>
      <c r="BZ38" s="39"/>
    </row>
    <row r="39" spans="1:78" x14ac:dyDescent="0.2">
      <c r="A39" s="159">
        <v>33</v>
      </c>
      <c r="B39" s="160" t="s">
        <v>210</v>
      </c>
      <c r="D39" s="161"/>
      <c r="E39" s="162">
        <v>936851</v>
      </c>
      <c r="F39" s="163">
        <v>1434512</v>
      </c>
      <c r="G39" s="163">
        <v>21307</v>
      </c>
      <c r="H39" s="163">
        <v>0</v>
      </c>
      <c r="I39" s="35">
        <f t="shared" si="0"/>
        <v>2392670</v>
      </c>
      <c r="J39" s="36">
        <v>44361</v>
      </c>
      <c r="K39" s="39">
        <v>996606</v>
      </c>
      <c r="L39" s="39">
        <v>406</v>
      </c>
      <c r="M39" s="39">
        <v>7</v>
      </c>
      <c r="N39" s="35">
        <f>SUM(J39:M39)</f>
        <v>1041380</v>
      </c>
      <c r="O39" s="39">
        <v>64944</v>
      </c>
      <c r="P39" s="39">
        <v>14664</v>
      </c>
      <c r="Q39" s="39">
        <v>5626</v>
      </c>
      <c r="R39" s="39">
        <v>0</v>
      </c>
      <c r="S39" s="35">
        <f>SUM(O39:R39)</f>
        <v>85234</v>
      </c>
      <c r="T39" s="36">
        <v>37975</v>
      </c>
      <c r="U39" s="39">
        <v>11382</v>
      </c>
      <c r="V39" s="39">
        <v>-2692</v>
      </c>
      <c r="W39" s="39">
        <v>0</v>
      </c>
      <c r="X39" s="35">
        <f t="shared" si="4"/>
        <v>46665</v>
      </c>
      <c r="Y39" s="36">
        <v>92749</v>
      </c>
      <c r="Z39" s="39">
        <v>68112</v>
      </c>
      <c r="AA39" s="39">
        <v>751</v>
      </c>
      <c r="AB39" s="39">
        <v>84</v>
      </c>
      <c r="AC39" s="35">
        <f t="shared" si="5"/>
        <v>161696</v>
      </c>
      <c r="AD39" s="36">
        <v>73183</v>
      </c>
      <c r="AE39" s="39">
        <v>882</v>
      </c>
      <c r="AF39" s="39">
        <v>252</v>
      </c>
      <c r="AG39" s="39">
        <v>0</v>
      </c>
      <c r="AH39" s="35">
        <f>SUM(AD39:AG39)</f>
        <v>74317</v>
      </c>
      <c r="AI39" s="36">
        <v>69083</v>
      </c>
      <c r="AJ39" s="39">
        <v>5568</v>
      </c>
      <c r="AK39" s="39">
        <v>585</v>
      </c>
      <c r="AL39" s="39">
        <v>0</v>
      </c>
      <c r="AM39" s="35">
        <f t="shared" si="7"/>
        <v>75236</v>
      </c>
      <c r="AN39" s="36">
        <v>87047</v>
      </c>
      <c r="AO39" s="39">
        <v>86232</v>
      </c>
      <c r="AP39" s="39">
        <v>8938</v>
      </c>
      <c r="AQ39" s="39">
        <v>0</v>
      </c>
      <c r="AR39" s="35">
        <f t="shared" si="1"/>
        <v>182217</v>
      </c>
      <c r="AS39" s="36">
        <v>70269</v>
      </c>
      <c r="AT39" s="39">
        <v>16648</v>
      </c>
      <c r="AU39" s="39">
        <v>399</v>
      </c>
      <c r="AV39" s="39">
        <v>0</v>
      </c>
      <c r="AW39" s="35">
        <f t="shared" si="8"/>
        <v>87316</v>
      </c>
      <c r="AX39" s="36">
        <v>66781</v>
      </c>
      <c r="AY39" s="39">
        <v>40172</v>
      </c>
      <c r="AZ39" s="39">
        <v>637</v>
      </c>
      <c r="BA39" s="39">
        <v>0</v>
      </c>
      <c r="BB39" s="35">
        <f t="shared" si="9"/>
        <v>107590</v>
      </c>
      <c r="BC39" s="36">
        <v>37961</v>
      </c>
      <c r="BD39" s="39">
        <v>86572</v>
      </c>
      <c r="BE39" s="39">
        <v>599</v>
      </c>
      <c r="BF39" s="39">
        <v>0</v>
      </c>
      <c r="BG39" s="35">
        <f t="shared" si="10"/>
        <v>125132</v>
      </c>
      <c r="BH39" s="36">
        <v>77177</v>
      </c>
      <c r="BI39" s="39">
        <v>69718</v>
      </c>
      <c r="BJ39" s="39">
        <v>201</v>
      </c>
      <c r="BK39" s="39">
        <v>0</v>
      </c>
      <c r="BL39" s="35">
        <f t="shared" si="11"/>
        <v>147096</v>
      </c>
      <c r="BM39" s="36">
        <v>143220</v>
      </c>
      <c r="BN39" s="39">
        <v>102644</v>
      </c>
      <c r="BO39" s="39">
        <v>4301</v>
      </c>
      <c r="BP39" s="39">
        <v>173</v>
      </c>
      <c r="BQ39" s="35">
        <f t="shared" si="12"/>
        <v>250338</v>
      </c>
      <c r="BR39" s="36">
        <f t="shared" si="16"/>
        <v>864750</v>
      </c>
      <c r="BS39" s="163">
        <f t="shared" si="16"/>
        <v>1499200</v>
      </c>
      <c r="BT39" s="39">
        <f t="shared" si="16"/>
        <v>20003</v>
      </c>
      <c r="BU39" s="39">
        <f t="shared" si="16"/>
        <v>264</v>
      </c>
      <c r="BV39" s="36">
        <f>SUM(BR39:BU39)</f>
        <v>2384217</v>
      </c>
      <c r="BW39" s="8"/>
      <c r="BX39" s="165">
        <f>(BV39/I39)*100</f>
        <v>99.646712668274347</v>
      </c>
      <c r="BY39" s="136"/>
      <c r="BZ39" s="39"/>
    </row>
    <row r="40" spans="1:78" ht="12" customHeight="1" x14ac:dyDescent="0.2">
      <c r="A40" s="159">
        <v>34</v>
      </c>
      <c r="B40" s="137" t="s">
        <v>211</v>
      </c>
      <c r="D40" s="161"/>
      <c r="E40" s="162">
        <v>1820081</v>
      </c>
      <c r="F40" s="163">
        <v>8247208</v>
      </c>
      <c r="G40" s="163">
        <v>17435</v>
      </c>
      <c r="H40" s="163">
        <v>3</v>
      </c>
      <c r="I40" s="35">
        <f t="shared" si="0"/>
        <v>10084727</v>
      </c>
      <c r="J40" s="36">
        <v>114852</v>
      </c>
      <c r="K40" s="39">
        <v>1113915</v>
      </c>
      <c r="L40" s="39">
        <v>0</v>
      </c>
      <c r="M40" s="39">
        <v>0</v>
      </c>
      <c r="N40" s="35">
        <f t="shared" si="14"/>
        <v>1228767</v>
      </c>
      <c r="O40" s="39">
        <v>132340</v>
      </c>
      <c r="P40" s="39">
        <v>365422</v>
      </c>
      <c r="Q40" s="39">
        <v>509</v>
      </c>
      <c r="R40" s="39">
        <v>0</v>
      </c>
      <c r="S40" s="35">
        <f t="shared" si="18"/>
        <v>498271</v>
      </c>
      <c r="T40" s="36">
        <v>129816</v>
      </c>
      <c r="U40" s="39">
        <v>672401</v>
      </c>
      <c r="V40" s="39">
        <v>14</v>
      </c>
      <c r="W40" s="39">
        <v>3</v>
      </c>
      <c r="X40" s="35">
        <f t="shared" si="4"/>
        <v>802234</v>
      </c>
      <c r="Y40" s="36">
        <v>141324</v>
      </c>
      <c r="Z40" s="39">
        <v>705406</v>
      </c>
      <c r="AA40" s="39">
        <v>163</v>
      </c>
      <c r="AB40" s="39">
        <v>0</v>
      </c>
      <c r="AC40" s="35">
        <f t="shared" si="5"/>
        <v>846893</v>
      </c>
      <c r="AD40" s="36">
        <v>130851</v>
      </c>
      <c r="AE40" s="39">
        <v>328117</v>
      </c>
      <c r="AF40" s="39">
        <v>-52</v>
      </c>
      <c r="AG40" s="39">
        <v>0</v>
      </c>
      <c r="AH40" s="35">
        <f t="shared" si="6"/>
        <v>458916</v>
      </c>
      <c r="AI40" s="36">
        <v>123023</v>
      </c>
      <c r="AJ40" s="39">
        <v>399167</v>
      </c>
      <c r="AK40" s="39">
        <v>27</v>
      </c>
      <c r="AL40" s="39">
        <v>0</v>
      </c>
      <c r="AM40" s="35">
        <f t="shared" si="7"/>
        <v>522217</v>
      </c>
      <c r="AN40" s="36">
        <v>154894</v>
      </c>
      <c r="AO40" s="39">
        <v>202814</v>
      </c>
      <c r="AP40" s="39">
        <v>20</v>
      </c>
      <c r="AQ40" s="39">
        <v>0</v>
      </c>
      <c r="AR40" s="35">
        <f t="shared" si="1"/>
        <v>357728</v>
      </c>
      <c r="AS40" s="36">
        <v>150695</v>
      </c>
      <c r="AT40" s="39">
        <v>347296</v>
      </c>
      <c r="AU40" s="39">
        <v>8329</v>
      </c>
      <c r="AV40" s="39">
        <v>0</v>
      </c>
      <c r="AW40" s="35">
        <f t="shared" si="8"/>
        <v>506320</v>
      </c>
      <c r="AX40" s="36">
        <v>128092</v>
      </c>
      <c r="AY40" s="39">
        <v>830909</v>
      </c>
      <c r="AZ40" s="39">
        <v>884</v>
      </c>
      <c r="BA40" s="39">
        <v>0</v>
      </c>
      <c r="BB40" s="35">
        <f t="shared" si="9"/>
        <v>959885</v>
      </c>
      <c r="BC40" s="36">
        <v>136518</v>
      </c>
      <c r="BD40" s="39">
        <v>725871</v>
      </c>
      <c r="BE40" s="39">
        <v>362</v>
      </c>
      <c r="BF40" s="39">
        <v>0</v>
      </c>
      <c r="BG40" s="35">
        <f t="shared" si="10"/>
        <v>862751</v>
      </c>
      <c r="BH40" s="36">
        <v>145302</v>
      </c>
      <c r="BI40" s="39">
        <v>542577</v>
      </c>
      <c r="BJ40" s="39">
        <v>926</v>
      </c>
      <c r="BK40" s="39">
        <v>0</v>
      </c>
      <c r="BL40" s="35">
        <f t="shared" si="11"/>
        <v>688805</v>
      </c>
      <c r="BM40" s="36">
        <v>171056</v>
      </c>
      <c r="BN40" s="39">
        <v>2027577</v>
      </c>
      <c r="BO40" s="39">
        <v>631</v>
      </c>
      <c r="BP40" s="39">
        <v>0</v>
      </c>
      <c r="BQ40" s="35">
        <f t="shared" si="12"/>
        <v>2199264</v>
      </c>
      <c r="BR40" s="36">
        <f t="shared" si="16"/>
        <v>1658763</v>
      </c>
      <c r="BS40" s="163">
        <f t="shared" si="16"/>
        <v>8261472</v>
      </c>
      <c r="BT40" s="39">
        <f t="shared" si="16"/>
        <v>11813</v>
      </c>
      <c r="BU40" s="39">
        <f t="shared" si="16"/>
        <v>3</v>
      </c>
      <c r="BV40" s="36">
        <f t="shared" si="2"/>
        <v>9932051</v>
      </c>
      <c r="BW40" s="8"/>
      <c r="BX40" s="165">
        <f t="shared" si="15"/>
        <v>98.486067099287865</v>
      </c>
      <c r="BY40" s="136"/>
      <c r="BZ40" s="39"/>
    </row>
    <row r="41" spans="1:78" x14ac:dyDescent="0.2">
      <c r="A41" s="159">
        <v>35</v>
      </c>
      <c r="B41" s="160" t="s">
        <v>212</v>
      </c>
      <c r="D41" s="161"/>
      <c r="E41" s="162">
        <v>1414421</v>
      </c>
      <c r="F41" s="163">
        <v>62781700</v>
      </c>
      <c r="G41" s="163">
        <v>9010</v>
      </c>
      <c r="H41" s="163">
        <v>0</v>
      </c>
      <c r="I41" s="35">
        <f t="shared" si="0"/>
        <v>64205131</v>
      </c>
      <c r="J41" s="36">
        <v>51047</v>
      </c>
      <c r="K41" s="39">
        <v>2750093</v>
      </c>
      <c r="L41" s="39">
        <v>79</v>
      </c>
      <c r="M41" s="39">
        <v>0</v>
      </c>
      <c r="N41" s="35">
        <f t="shared" si="14"/>
        <v>2801219</v>
      </c>
      <c r="O41" s="39">
        <v>83842</v>
      </c>
      <c r="P41" s="39">
        <v>7264640</v>
      </c>
      <c r="Q41" s="39">
        <v>997</v>
      </c>
      <c r="R41" s="39">
        <v>25</v>
      </c>
      <c r="S41" s="35">
        <f t="shared" si="18"/>
        <v>7349504</v>
      </c>
      <c r="T41" s="36">
        <v>99081</v>
      </c>
      <c r="U41" s="39">
        <v>2940710</v>
      </c>
      <c r="V41" s="39">
        <v>294</v>
      </c>
      <c r="W41" s="39">
        <v>0</v>
      </c>
      <c r="X41" s="35">
        <f t="shared" si="4"/>
        <v>3040085</v>
      </c>
      <c r="Y41" s="36">
        <v>71867</v>
      </c>
      <c r="Z41" s="39">
        <v>8264971</v>
      </c>
      <c r="AA41" s="39">
        <v>1115</v>
      </c>
      <c r="AB41" s="39">
        <v>2</v>
      </c>
      <c r="AC41" s="35">
        <f t="shared" si="5"/>
        <v>8337955</v>
      </c>
      <c r="AD41" s="36">
        <v>105110</v>
      </c>
      <c r="AE41" s="39">
        <v>5682722</v>
      </c>
      <c r="AF41" s="39">
        <v>1352</v>
      </c>
      <c r="AG41" s="39">
        <v>8</v>
      </c>
      <c r="AH41" s="35">
        <f>SUM(AD41:AG41)</f>
        <v>5789192</v>
      </c>
      <c r="AI41" s="36">
        <v>66056</v>
      </c>
      <c r="AJ41" s="39">
        <v>2687767</v>
      </c>
      <c r="AK41" s="39">
        <v>1125</v>
      </c>
      <c r="AL41" s="39">
        <v>0</v>
      </c>
      <c r="AM41" s="35">
        <f t="shared" si="7"/>
        <v>2754948</v>
      </c>
      <c r="AN41" s="36">
        <v>79589</v>
      </c>
      <c r="AO41" s="39">
        <v>7792822</v>
      </c>
      <c r="AP41" s="39">
        <v>1162</v>
      </c>
      <c r="AQ41" s="39">
        <v>9</v>
      </c>
      <c r="AR41" s="35">
        <f t="shared" si="1"/>
        <v>7873582</v>
      </c>
      <c r="AS41" s="36">
        <v>106392</v>
      </c>
      <c r="AT41" s="39">
        <v>7469428</v>
      </c>
      <c r="AU41" s="39">
        <v>1000</v>
      </c>
      <c r="AV41" s="39">
        <v>0</v>
      </c>
      <c r="AW41" s="35">
        <f t="shared" si="8"/>
        <v>7576820</v>
      </c>
      <c r="AX41" s="36">
        <v>111324</v>
      </c>
      <c r="AY41" s="39">
        <v>2538602</v>
      </c>
      <c r="AZ41" s="39">
        <v>916</v>
      </c>
      <c r="BA41" s="39">
        <v>0</v>
      </c>
      <c r="BB41" s="35">
        <f t="shared" si="9"/>
        <v>2650842</v>
      </c>
      <c r="BC41" s="36">
        <v>47154</v>
      </c>
      <c r="BD41" s="39">
        <v>7997184</v>
      </c>
      <c r="BE41" s="39">
        <v>504</v>
      </c>
      <c r="BF41" s="39">
        <v>3</v>
      </c>
      <c r="BG41" s="35">
        <f t="shared" si="10"/>
        <v>8044845</v>
      </c>
      <c r="BH41" s="36">
        <v>273927</v>
      </c>
      <c r="BI41" s="39">
        <v>2693160</v>
      </c>
      <c r="BJ41" s="39">
        <v>686</v>
      </c>
      <c r="BK41" s="39">
        <v>6089</v>
      </c>
      <c r="BL41" s="35">
        <f t="shared" si="11"/>
        <v>2973862</v>
      </c>
      <c r="BM41" s="36">
        <v>182943</v>
      </c>
      <c r="BN41" s="39">
        <v>4330001</v>
      </c>
      <c r="BO41" s="39">
        <v>452</v>
      </c>
      <c r="BP41" s="39">
        <v>226</v>
      </c>
      <c r="BQ41" s="35">
        <f t="shared" si="12"/>
        <v>4513622</v>
      </c>
      <c r="BR41" s="36">
        <f t="shared" si="16"/>
        <v>1278332</v>
      </c>
      <c r="BS41" s="163">
        <f t="shared" si="16"/>
        <v>62412100</v>
      </c>
      <c r="BT41" s="39">
        <f t="shared" si="16"/>
        <v>9682</v>
      </c>
      <c r="BU41" s="39">
        <f t="shared" si="16"/>
        <v>6362</v>
      </c>
      <c r="BV41" s="36">
        <f t="shared" si="2"/>
        <v>63706476</v>
      </c>
      <c r="BW41" s="8"/>
      <c r="BX41" s="165">
        <f t="shared" si="15"/>
        <v>99.223340888440831</v>
      </c>
      <c r="BY41" s="136"/>
      <c r="BZ41" s="39"/>
    </row>
    <row r="42" spans="1:78" x14ac:dyDescent="0.2">
      <c r="A42" s="159">
        <v>36</v>
      </c>
      <c r="B42" s="160" t="s">
        <v>213</v>
      </c>
      <c r="D42" s="161"/>
      <c r="E42" s="162">
        <v>3486103</v>
      </c>
      <c r="F42" s="163">
        <v>9149516</v>
      </c>
      <c r="G42" s="163">
        <v>3830942</v>
      </c>
      <c r="H42" s="163">
        <v>738</v>
      </c>
      <c r="I42" s="35">
        <f t="shared" si="0"/>
        <v>16467299</v>
      </c>
      <c r="J42" s="36">
        <v>222359</v>
      </c>
      <c r="K42" s="39">
        <v>823699</v>
      </c>
      <c r="L42" s="39">
        <v>72483</v>
      </c>
      <c r="M42" s="39">
        <v>484</v>
      </c>
      <c r="N42" s="35">
        <f t="shared" si="14"/>
        <v>1119025</v>
      </c>
      <c r="O42" s="39">
        <v>259052</v>
      </c>
      <c r="P42" s="39">
        <v>10820</v>
      </c>
      <c r="Q42" s="39">
        <v>95915</v>
      </c>
      <c r="R42" s="39">
        <v>6</v>
      </c>
      <c r="S42" s="35">
        <f t="shared" si="18"/>
        <v>365793</v>
      </c>
      <c r="T42" s="36">
        <v>252724</v>
      </c>
      <c r="U42" s="39">
        <v>778268</v>
      </c>
      <c r="V42" s="39">
        <v>68287</v>
      </c>
      <c r="W42" s="39">
        <v>0</v>
      </c>
      <c r="X42" s="35">
        <f t="shared" si="4"/>
        <v>1099279</v>
      </c>
      <c r="Y42" s="36">
        <v>260129</v>
      </c>
      <c r="Z42" s="39">
        <v>8357</v>
      </c>
      <c r="AA42" s="39">
        <v>97860</v>
      </c>
      <c r="AB42" s="39">
        <v>248</v>
      </c>
      <c r="AC42" s="35">
        <f t="shared" si="5"/>
        <v>366594</v>
      </c>
      <c r="AD42" s="36">
        <v>180163</v>
      </c>
      <c r="AE42" s="39">
        <v>1327367</v>
      </c>
      <c r="AF42" s="39">
        <v>104408</v>
      </c>
      <c r="AG42" s="39">
        <v>0</v>
      </c>
      <c r="AH42" s="35">
        <f t="shared" si="6"/>
        <v>1611938</v>
      </c>
      <c r="AI42" s="36">
        <v>287128</v>
      </c>
      <c r="AJ42" s="39">
        <v>971322</v>
      </c>
      <c r="AK42" s="39">
        <v>299821</v>
      </c>
      <c r="AL42" s="39">
        <v>0</v>
      </c>
      <c r="AM42" s="35">
        <f t="shared" si="7"/>
        <v>1558271</v>
      </c>
      <c r="AN42" s="36">
        <v>300175</v>
      </c>
      <c r="AO42" s="39">
        <v>2542</v>
      </c>
      <c r="AP42" s="39">
        <v>85189</v>
      </c>
      <c r="AQ42" s="39">
        <v>0</v>
      </c>
      <c r="AR42" s="35">
        <f t="shared" si="1"/>
        <v>387906</v>
      </c>
      <c r="AS42" s="36">
        <v>225707</v>
      </c>
      <c r="AT42" s="39">
        <v>1418814</v>
      </c>
      <c r="AU42" s="39">
        <v>90390</v>
      </c>
      <c r="AV42" s="39">
        <v>0</v>
      </c>
      <c r="AW42" s="35">
        <f t="shared" si="8"/>
        <v>1734911</v>
      </c>
      <c r="AX42" s="36">
        <v>277464</v>
      </c>
      <c r="AY42" s="39">
        <v>930242</v>
      </c>
      <c r="AZ42" s="39">
        <v>287536</v>
      </c>
      <c r="BA42" s="39">
        <v>0</v>
      </c>
      <c r="BB42" s="35">
        <f t="shared" si="9"/>
        <v>1495242</v>
      </c>
      <c r="BC42" s="36">
        <v>301817</v>
      </c>
      <c r="BD42" s="39">
        <v>-42073</v>
      </c>
      <c r="BE42" s="39">
        <v>135285</v>
      </c>
      <c r="BF42" s="39">
        <v>0</v>
      </c>
      <c r="BG42" s="35">
        <f t="shared" si="10"/>
        <v>395029</v>
      </c>
      <c r="BH42" s="36">
        <v>273276</v>
      </c>
      <c r="BI42" s="39">
        <v>32982</v>
      </c>
      <c r="BJ42" s="39">
        <v>19624</v>
      </c>
      <c r="BK42" s="39">
        <v>0</v>
      </c>
      <c r="BL42" s="35">
        <f t="shared" si="11"/>
        <v>325882</v>
      </c>
      <c r="BM42" s="36">
        <v>501794</v>
      </c>
      <c r="BN42" s="39">
        <v>2925097</v>
      </c>
      <c r="BO42" s="39">
        <v>1068226</v>
      </c>
      <c r="BP42" s="39">
        <v>0</v>
      </c>
      <c r="BQ42" s="35">
        <f t="shared" si="12"/>
        <v>4495117</v>
      </c>
      <c r="BR42" s="36">
        <f t="shared" si="16"/>
        <v>3341788</v>
      </c>
      <c r="BS42" s="163">
        <f t="shared" si="16"/>
        <v>9187437</v>
      </c>
      <c r="BT42" s="39">
        <f t="shared" si="16"/>
        <v>2425024</v>
      </c>
      <c r="BU42" s="39">
        <f t="shared" si="16"/>
        <v>738</v>
      </c>
      <c r="BV42" s="36">
        <f t="shared" si="2"/>
        <v>14954987</v>
      </c>
      <c r="BW42" s="8"/>
      <c r="BX42" s="165">
        <f>(BV42/I42)*100</f>
        <v>90.816271690943367</v>
      </c>
      <c r="BY42" s="136"/>
      <c r="BZ42" s="39"/>
    </row>
    <row r="43" spans="1:78" x14ac:dyDescent="0.2">
      <c r="A43" s="159">
        <v>37</v>
      </c>
      <c r="B43" s="160" t="s">
        <v>214</v>
      </c>
      <c r="D43" s="161"/>
      <c r="E43" s="162">
        <v>670170</v>
      </c>
      <c r="F43" s="163">
        <v>3686643</v>
      </c>
      <c r="G43" s="163">
        <v>215272</v>
      </c>
      <c r="H43" s="163">
        <v>0</v>
      </c>
      <c r="I43" s="35">
        <f t="shared" si="0"/>
        <v>4572085</v>
      </c>
      <c r="J43" s="36">
        <v>52549</v>
      </c>
      <c r="K43" s="39">
        <v>686320</v>
      </c>
      <c r="L43" s="39">
        <v>370</v>
      </c>
      <c r="M43" s="39">
        <v>0</v>
      </c>
      <c r="N43" s="35">
        <f t="shared" si="14"/>
        <v>739239</v>
      </c>
      <c r="O43" s="39">
        <v>58639</v>
      </c>
      <c r="P43" s="39">
        <v>41198</v>
      </c>
      <c r="Q43" s="39">
        <v>23502</v>
      </c>
      <c r="R43" s="39">
        <v>0</v>
      </c>
      <c r="S43" s="35">
        <f t="shared" si="18"/>
        <v>123339</v>
      </c>
      <c r="T43" s="36">
        <v>55510</v>
      </c>
      <c r="U43" s="39">
        <v>23937</v>
      </c>
      <c r="V43" s="39">
        <v>1516</v>
      </c>
      <c r="W43" s="39">
        <v>0</v>
      </c>
      <c r="X43" s="35">
        <f t="shared" si="4"/>
        <v>80963</v>
      </c>
      <c r="Y43" s="36">
        <v>46245</v>
      </c>
      <c r="Z43" s="39">
        <v>652664</v>
      </c>
      <c r="AA43" s="39">
        <v>1730</v>
      </c>
      <c r="AB43" s="39">
        <v>0</v>
      </c>
      <c r="AC43" s="35">
        <f t="shared" si="5"/>
        <v>700639</v>
      </c>
      <c r="AD43" s="36">
        <v>50163</v>
      </c>
      <c r="AE43" s="39">
        <v>262113</v>
      </c>
      <c r="AF43" s="39">
        <v>2050</v>
      </c>
      <c r="AG43" s="39">
        <v>23</v>
      </c>
      <c r="AH43" s="35">
        <f t="shared" si="6"/>
        <v>314349</v>
      </c>
      <c r="AI43" s="36">
        <v>47288</v>
      </c>
      <c r="AJ43" s="39">
        <v>26454</v>
      </c>
      <c r="AK43" s="39">
        <v>157</v>
      </c>
      <c r="AL43" s="39">
        <v>7</v>
      </c>
      <c r="AM43" s="35">
        <f t="shared" si="7"/>
        <v>73906</v>
      </c>
      <c r="AN43" s="36">
        <v>48652</v>
      </c>
      <c r="AO43" s="39">
        <v>937143</v>
      </c>
      <c r="AP43" s="39">
        <v>8274</v>
      </c>
      <c r="AQ43" s="39">
        <v>25</v>
      </c>
      <c r="AR43" s="35">
        <f t="shared" si="1"/>
        <v>994094</v>
      </c>
      <c r="AS43" s="36">
        <v>51293</v>
      </c>
      <c r="AT43" s="39">
        <v>-1867</v>
      </c>
      <c r="AU43" s="39">
        <v>0</v>
      </c>
      <c r="AV43" s="39">
        <v>36</v>
      </c>
      <c r="AW43" s="35">
        <f t="shared" si="8"/>
        <v>49462</v>
      </c>
      <c r="AX43" s="36">
        <v>51534</v>
      </c>
      <c r="AY43" s="39">
        <v>47131</v>
      </c>
      <c r="AZ43" s="39">
        <v>3677</v>
      </c>
      <c r="BA43" s="39">
        <v>20</v>
      </c>
      <c r="BB43" s="35">
        <f t="shared" si="9"/>
        <v>102362</v>
      </c>
      <c r="BC43" s="36">
        <v>28534</v>
      </c>
      <c r="BD43" s="39">
        <v>696476</v>
      </c>
      <c r="BE43" s="39">
        <v>-333</v>
      </c>
      <c r="BF43" s="39">
        <v>500</v>
      </c>
      <c r="BG43" s="35">
        <f t="shared" si="10"/>
        <v>725177</v>
      </c>
      <c r="BH43" s="36">
        <v>45649</v>
      </c>
      <c r="BI43" s="39">
        <v>28284</v>
      </c>
      <c r="BJ43" s="39">
        <v>529</v>
      </c>
      <c r="BK43" s="39">
        <v>9</v>
      </c>
      <c r="BL43" s="35">
        <f t="shared" si="11"/>
        <v>74471</v>
      </c>
      <c r="BM43" s="36">
        <v>148747</v>
      </c>
      <c r="BN43" s="39">
        <v>224639</v>
      </c>
      <c r="BO43" s="39">
        <v>4334</v>
      </c>
      <c r="BP43" s="39">
        <v>129</v>
      </c>
      <c r="BQ43" s="35">
        <f>SUM(BM43:BP43)</f>
        <v>377849</v>
      </c>
      <c r="BR43" s="36">
        <f t="shared" si="16"/>
        <v>684803</v>
      </c>
      <c r="BS43" s="163">
        <f t="shared" si="16"/>
        <v>3624492</v>
      </c>
      <c r="BT43" s="39">
        <f t="shared" si="16"/>
        <v>45806</v>
      </c>
      <c r="BU43" s="39">
        <f t="shared" si="16"/>
        <v>749</v>
      </c>
      <c r="BV43" s="36">
        <f>SUM(BR43:BU43)</f>
        <v>4355850</v>
      </c>
      <c r="BW43" s="8"/>
      <c r="BX43" s="165">
        <f>(BV43/I43)*100</f>
        <v>95.27053849611282</v>
      </c>
      <c r="BY43" s="136"/>
      <c r="BZ43" s="39"/>
    </row>
    <row r="44" spans="1:78" x14ac:dyDescent="0.2">
      <c r="A44" s="159">
        <v>38</v>
      </c>
      <c r="B44" s="160" t="s">
        <v>215</v>
      </c>
      <c r="D44" s="161"/>
      <c r="E44" s="162">
        <v>812596</v>
      </c>
      <c r="F44" s="163">
        <v>32989219</v>
      </c>
      <c r="G44" s="163">
        <v>9865</v>
      </c>
      <c r="H44" s="163">
        <v>50234</v>
      </c>
      <c r="I44" s="35">
        <f t="shared" si="0"/>
        <v>33861914</v>
      </c>
      <c r="J44" s="36">
        <v>48090</v>
      </c>
      <c r="K44" s="39">
        <v>970151</v>
      </c>
      <c r="L44" s="39">
        <v>958</v>
      </c>
      <c r="M44" s="39">
        <v>0</v>
      </c>
      <c r="N44" s="35">
        <f t="shared" si="14"/>
        <v>1019199</v>
      </c>
      <c r="O44" s="39">
        <v>60539</v>
      </c>
      <c r="P44" s="39">
        <v>1909703</v>
      </c>
      <c r="Q44" s="39">
        <v>153</v>
      </c>
      <c r="R44" s="39">
        <v>50071</v>
      </c>
      <c r="S44" s="35">
        <f t="shared" si="18"/>
        <v>2020466</v>
      </c>
      <c r="T44" s="36">
        <v>49155</v>
      </c>
      <c r="U44" s="39">
        <v>2014353</v>
      </c>
      <c r="V44" s="39">
        <v>232</v>
      </c>
      <c r="W44" s="39">
        <v>0</v>
      </c>
      <c r="X44" s="35">
        <f t="shared" si="4"/>
        <v>2063740</v>
      </c>
      <c r="Y44" s="36">
        <v>57857</v>
      </c>
      <c r="Z44" s="39">
        <v>4310160</v>
      </c>
      <c r="AA44" s="39">
        <v>294</v>
      </c>
      <c r="AB44" s="39">
        <v>34</v>
      </c>
      <c r="AC44" s="35">
        <f t="shared" si="5"/>
        <v>4368345</v>
      </c>
      <c r="AD44" s="36">
        <v>50992</v>
      </c>
      <c r="AE44" s="39">
        <v>1653962</v>
      </c>
      <c r="AF44" s="39">
        <v>335</v>
      </c>
      <c r="AG44" s="39">
        <v>37</v>
      </c>
      <c r="AH44" s="35">
        <f t="shared" si="6"/>
        <v>1705326</v>
      </c>
      <c r="AI44" s="36">
        <v>53384</v>
      </c>
      <c r="AJ44" s="39">
        <v>1726776</v>
      </c>
      <c r="AK44" s="39">
        <v>637</v>
      </c>
      <c r="AL44" s="39">
        <v>0</v>
      </c>
      <c r="AM44" s="35">
        <f t="shared" si="7"/>
        <v>1780797</v>
      </c>
      <c r="AN44" s="36">
        <v>66299</v>
      </c>
      <c r="AO44" s="39">
        <v>1694115</v>
      </c>
      <c r="AP44" s="39">
        <v>461</v>
      </c>
      <c r="AQ44" s="39">
        <v>0</v>
      </c>
      <c r="AR44" s="35">
        <f t="shared" si="1"/>
        <v>1760875</v>
      </c>
      <c r="AS44" s="36">
        <v>62564</v>
      </c>
      <c r="AT44" s="39">
        <v>3795088</v>
      </c>
      <c r="AU44" s="39">
        <v>602</v>
      </c>
      <c r="AV44" s="39">
        <v>18</v>
      </c>
      <c r="AW44" s="35">
        <f t="shared" si="8"/>
        <v>3858272</v>
      </c>
      <c r="AX44" s="36">
        <v>63331</v>
      </c>
      <c r="AY44" s="39">
        <v>2384210</v>
      </c>
      <c r="AZ44" s="39">
        <v>204</v>
      </c>
      <c r="BA44" s="39">
        <v>0</v>
      </c>
      <c r="BB44" s="35">
        <f t="shared" si="9"/>
        <v>2447745</v>
      </c>
      <c r="BC44" s="36">
        <v>50149</v>
      </c>
      <c r="BD44" s="39">
        <v>1621300</v>
      </c>
      <c r="BE44" s="39">
        <v>437</v>
      </c>
      <c r="BF44" s="39">
        <v>2</v>
      </c>
      <c r="BG44" s="35">
        <f t="shared" si="10"/>
        <v>1671888</v>
      </c>
      <c r="BH44" s="36">
        <v>55642</v>
      </c>
      <c r="BI44" s="39">
        <v>3709885</v>
      </c>
      <c r="BJ44" s="39">
        <v>508</v>
      </c>
      <c r="BK44" s="39">
        <v>0</v>
      </c>
      <c r="BL44" s="35">
        <f t="shared" si="11"/>
        <v>3766035</v>
      </c>
      <c r="BM44" s="36">
        <v>103619</v>
      </c>
      <c r="BN44" s="39">
        <v>6770439</v>
      </c>
      <c r="BO44" s="39">
        <v>1038</v>
      </c>
      <c r="BP44" s="39">
        <v>0</v>
      </c>
      <c r="BQ44" s="35">
        <f>SUM(BM44:BP44)</f>
        <v>6875096</v>
      </c>
      <c r="BR44" s="36">
        <f t="shared" si="16"/>
        <v>721621</v>
      </c>
      <c r="BS44" s="163">
        <f t="shared" si="16"/>
        <v>32560142</v>
      </c>
      <c r="BT44" s="39">
        <f t="shared" si="16"/>
        <v>5859</v>
      </c>
      <c r="BU44" s="39">
        <f t="shared" si="16"/>
        <v>50162</v>
      </c>
      <c r="BV44" s="36">
        <f t="shared" si="2"/>
        <v>33337784</v>
      </c>
      <c r="BW44" s="8"/>
      <c r="BX44" s="165">
        <f>(BV44/I44)*100</f>
        <v>98.452154830940742</v>
      </c>
      <c r="BY44" s="136"/>
      <c r="BZ44" s="39"/>
    </row>
    <row r="45" spans="1:78" x14ac:dyDescent="0.2">
      <c r="A45" s="159">
        <v>39</v>
      </c>
      <c r="B45" s="160" t="s">
        <v>216</v>
      </c>
      <c r="D45" s="161"/>
      <c r="E45" s="162">
        <v>4901459</v>
      </c>
      <c r="F45" s="163">
        <v>5298791</v>
      </c>
      <c r="G45" s="163">
        <v>628664</v>
      </c>
      <c r="H45" s="163">
        <v>0</v>
      </c>
      <c r="I45" s="35">
        <f t="shared" si="0"/>
        <v>10828914</v>
      </c>
      <c r="J45" s="36">
        <v>295601</v>
      </c>
      <c r="K45" s="39">
        <v>816400</v>
      </c>
      <c r="L45" s="39">
        <v>19695</v>
      </c>
      <c r="M45" s="39">
        <v>0</v>
      </c>
      <c r="N45" s="35">
        <f t="shared" si="14"/>
        <v>1131696</v>
      </c>
      <c r="O45" s="39">
        <v>348996</v>
      </c>
      <c r="P45" s="39">
        <v>216624</v>
      </c>
      <c r="Q45" s="39">
        <v>31997</v>
      </c>
      <c r="R45" s="39">
        <v>0</v>
      </c>
      <c r="S45" s="35">
        <f t="shared" si="18"/>
        <v>597617</v>
      </c>
      <c r="T45" s="36">
        <v>295796</v>
      </c>
      <c r="U45" s="39">
        <v>141884</v>
      </c>
      <c r="V45" s="39">
        <v>38590</v>
      </c>
      <c r="W45" s="39">
        <v>0</v>
      </c>
      <c r="X45" s="35">
        <f t="shared" si="4"/>
        <v>476270</v>
      </c>
      <c r="Y45" s="36">
        <v>410097</v>
      </c>
      <c r="Z45" s="39">
        <v>606567</v>
      </c>
      <c r="AA45" s="39">
        <v>53873</v>
      </c>
      <c r="AB45" s="39">
        <v>0</v>
      </c>
      <c r="AC45" s="35">
        <f t="shared" si="5"/>
        <v>1070537</v>
      </c>
      <c r="AD45" s="36">
        <v>362701</v>
      </c>
      <c r="AE45" s="39">
        <v>220199</v>
      </c>
      <c r="AF45" s="39">
        <v>32348</v>
      </c>
      <c r="AG45" s="39">
        <v>53</v>
      </c>
      <c r="AH45" s="35">
        <f t="shared" si="6"/>
        <v>615301</v>
      </c>
      <c r="AI45" s="36">
        <v>372929</v>
      </c>
      <c r="AJ45" s="39">
        <v>76154</v>
      </c>
      <c r="AK45" s="39">
        <v>43177</v>
      </c>
      <c r="AL45" s="39">
        <v>0</v>
      </c>
      <c r="AM45" s="35">
        <f t="shared" si="7"/>
        <v>492260</v>
      </c>
      <c r="AN45" s="36">
        <v>417005</v>
      </c>
      <c r="AO45" s="39">
        <v>576839</v>
      </c>
      <c r="AP45" s="39">
        <v>51461</v>
      </c>
      <c r="AQ45" s="39">
        <v>-53</v>
      </c>
      <c r="AR45" s="35">
        <f t="shared" si="1"/>
        <v>1045252</v>
      </c>
      <c r="AS45" s="36">
        <v>363675</v>
      </c>
      <c r="AT45" s="39">
        <v>318348</v>
      </c>
      <c r="AU45" s="39">
        <v>53318</v>
      </c>
      <c r="AV45" s="39">
        <v>0</v>
      </c>
      <c r="AW45" s="35">
        <f t="shared" si="8"/>
        <v>735341</v>
      </c>
      <c r="AX45" s="36">
        <v>351868</v>
      </c>
      <c r="AY45" s="39">
        <v>758984</v>
      </c>
      <c r="AZ45" s="39">
        <v>150127</v>
      </c>
      <c r="BA45" s="39">
        <v>0</v>
      </c>
      <c r="BB45" s="35">
        <f t="shared" si="9"/>
        <v>1260979</v>
      </c>
      <c r="BC45" s="36">
        <v>368472</v>
      </c>
      <c r="BD45" s="39">
        <v>536133</v>
      </c>
      <c r="BE45" s="39">
        <v>4007</v>
      </c>
      <c r="BF45" s="39">
        <v>0</v>
      </c>
      <c r="BG45" s="35">
        <f t="shared" si="10"/>
        <v>908612</v>
      </c>
      <c r="BH45" s="36">
        <v>380669</v>
      </c>
      <c r="BI45" s="39">
        <v>386539</v>
      </c>
      <c r="BJ45" s="39">
        <v>40521</v>
      </c>
      <c r="BK45" s="39">
        <v>0</v>
      </c>
      <c r="BL45" s="35">
        <f t="shared" si="11"/>
        <v>807729</v>
      </c>
      <c r="BM45" s="36">
        <v>654015</v>
      </c>
      <c r="BN45" s="39">
        <v>854257</v>
      </c>
      <c r="BO45" s="39">
        <v>168962</v>
      </c>
      <c r="BP45" s="39">
        <v>7259</v>
      </c>
      <c r="BQ45" s="35">
        <f t="shared" si="12"/>
        <v>1684493</v>
      </c>
      <c r="BR45" s="36">
        <f t="shared" si="16"/>
        <v>4621824</v>
      </c>
      <c r="BS45" s="163">
        <f t="shared" si="16"/>
        <v>5508928</v>
      </c>
      <c r="BT45" s="39">
        <f t="shared" si="16"/>
        <v>688076</v>
      </c>
      <c r="BU45" s="39">
        <f t="shared" si="16"/>
        <v>7259</v>
      </c>
      <c r="BV45" s="36">
        <f t="shared" si="2"/>
        <v>10826087</v>
      </c>
      <c r="BW45" s="8"/>
      <c r="BX45" s="165">
        <f t="shared" si="15"/>
        <v>99.973893965729161</v>
      </c>
      <c r="BY45" s="136"/>
      <c r="BZ45" s="39"/>
    </row>
    <row r="46" spans="1:78" x14ac:dyDescent="0.2">
      <c r="A46" s="173">
        <v>40</v>
      </c>
      <c r="B46" s="174" t="s">
        <v>217</v>
      </c>
      <c r="C46" s="174"/>
      <c r="D46" s="175"/>
      <c r="E46" s="162">
        <v>288143</v>
      </c>
      <c r="F46" s="163">
        <v>860406</v>
      </c>
      <c r="G46" s="163">
        <v>2509</v>
      </c>
      <c r="H46" s="163">
        <v>0</v>
      </c>
      <c r="I46" s="35">
        <f t="shared" si="0"/>
        <v>1151058</v>
      </c>
      <c r="J46" s="36">
        <v>16922</v>
      </c>
      <c r="K46" s="39">
        <v>6459</v>
      </c>
      <c r="L46" s="39">
        <v>95</v>
      </c>
      <c r="M46" s="39">
        <v>0</v>
      </c>
      <c r="N46" s="35">
        <f t="shared" si="14"/>
        <v>23476</v>
      </c>
      <c r="O46" s="39">
        <v>19126</v>
      </c>
      <c r="P46" s="39">
        <v>196</v>
      </c>
      <c r="Q46" s="39">
        <v>26</v>
      </c>
      <c r="R46" s="39">
        <v>0</v>
      </c>
      <c r="S46" s="35">
        <f t="shared" si="18"/>
        <v>19348</v>
      </c>
      <c r="T46" s="36">
        <v>18356</v>
      </c>
      <c r="U46" s="39">
        <v>159594</v>
      </c>
      <c r="V46" s="39">
        <v>179</v>
      </c>
      <c r="W46" s="39">
        <v>0</v>
      </c>
      <c r="X46" s="35">
        <f t="shared" si="4"/>
        <v>178129</v>
      </c>
      <c r="Y46" s="36">
        <v>13452</v>
      </c>
      <c r="Z46" s="39">
        <v>208</v>
      </c>
      <c r="AA46" s="39">
        <v>44</v>
      </c>
      <c r="AB46" s="39">
        <v>0</v>
      </c>
      <c r="AC46" s="35">
        <f t="shared" si="5"/>
        <v>13704</v>
      </c>
      <c r="AD46" s="36">
        <v>34106</v>
      </c>
      <c r="AE46" s="39">
        <v>30178</v>
      </c>
      <c r="AF46" s="39">
        <v>3</v>
      </c>
      <c r="AG46" s="39">
        <v>0</v>
      </c>
      <c r="AH46" s="35">
        <f t="shared" si="6"/>
        <v>64287</v>
      </c>
      <c r="AI46" s="36">
        <v>12358</v>
      </c>
      <c r="AJ46" s="39">
        <v>191887</v>
      </c>
      <c r="AK46" s="39">
        <v>27</v>
      </c>
      <c r="AL46" s="39">
        <v>0</v>
      </c>
      <c r="AM46" s="35">
        <f t="shared" si="7"/>
        <v>204272</v>
      </c>
      <c r="AN46" s="36">
        <v>44994</v>
      </c>
      <c r="AO46" s="39">
        <v>69808</v>
      </c>
      <c r="AP46" s="39">
        <v>0</v>
      </c>
      <c r="AQ46" s="39">
        <v>0</v>
      </c>
      <c r="AR46" s="35">
        <f>SUM(AN46:AQ46)</f>
        <v>114802</v>
      </c>
      <c r="AS46" s="36">
        <v>37657</v>
      </c>
      <c r="AT46" s="39">
        <v>249515</v>
      </c>
      <c r="AU46" s="39">
        <v>490</v>
      </c>
      <c r="AV46" s="39">
        <v>0</v>
      </c>
      <c r="AW46" s="35">
        <f t="shared" si="8"/>
        <v>287662</v>
      </c>
      <c r="AX46" s="36">
        <v>24936</v>
      </c>
      <c r="AY46" s="39">
        <v>10398</v>
      </c>
      <c r="AZ46" s="39">
        <v>31</v>
      </c>
      <c r="BA46" s="39">
        <v>0</v>
      </c>
      <c r="BB46" s="35">
        <f t="shared" si="9"/>
        <v>35365</v>
      </c>
      <c r="BC46" s="36">
        <v>13234</v>
      </c>
      <c r="BD46" s="39">
        <v>38565</v>
      </c>
      <c r="BE46" s="39">
        <v>722</v>
      </c>
      <c r="BF46" s="39">
        <v>35</v>
      </c>
      <c r="BG46" s="35">
        <f t="shared" si="10"/>
        <v>52556</v>
      </c>
      <c r="BH46" s="36">
        <v>11081</v>
      </c>
      <c r="BI46" s="39">
        <v>25238</v>
      </c>
      <c r="BJ46" s="39">
        <v>1245</v>
      </c>
      <c r="BK46" s="39">
        <v>16</v>
      </c>
      <c r="BL46" s="35">
        <f t="shared" si="11"/>
        <v>37580</v>
      </c>
      <c r="BM46" s="36">
        <v>19063</v>
      </c>
      <c r="BN46" s="39">
        <v>73602</v>
      </c>
      <c r="BO46" s="176">
        <v>60</v>
      </c>
      <c r="BP46" s="39">
        <v>43</v>
      </c>
      <c r="BQ46" s="35">
        <f t="shared" si="12"/>
        <v>92768</v>
      </c>
      <c r="BR46" s="36">
        <f t="shared" si="16"/>
        <v>265285</v>
      </c>
      <c r="BS46" s="163">
        <f t="shared" si="16"/>
        <v>855648</v>
      </c>
      <c r="BT46" s="39">
        <f t="shared" si="16"/>
        <v>2922</v>
      </c>
      <c r="BU46" s="39">
        <f t="shared" si="16"/>
        <v>94</v>
      </c>
      <c r="BV46" s="36">
        <f t="shared" si="2"/>
        <v>1123949</v>
      </c>
      <c r="BW46" s="8"/>
      <c r="BX46" s="165">
        <f t="shared" si="15"/>
        <v>97.644862378785433</v>
      </c>
      <c r="BY46" s="136"/>
      <c r="BZ46" s="39"/>
    </row>
    <row r="47" spans="1:78" x14ac:dyDescent="0.2">
      <c r="A47" s="177" t="s">
        <v>218</v>
      </c>
      <c r="B47" s="160"/>
      <c r="D47" s="178"/>
      <c r="E47" s="14">
        <f t="shared" ref="E47:J47" si="19">SUM(E7:E46)</f>
        <v>246361750</v>
      </c>
      <c r="F47" s="31">
        <f t="shared" si="19"/>
        <v>615251333</v>
      </c>
      <c r="G47" s="31">
        <f t="shared" si="19"/>
        <v>14704380</v>
      </c>
      <c r="H47" s="31">
        <f t="shared" si="19"/>
        <v>64851039</v>
      </c>
      <c r="I47" s="13">
        <f t="shared" si="19"/>
        <v>941168502</v>
      </c>
      <c r="J47" s="14">
        <f t="shared" si="19"/>
        <v>17419897</v>
      </c>
      <c r="K47" s="31">
        <f>SUM(K7:K46)</f>
        <v>58376647</v>
      </c>
      <c r="L47" s="31">
        <f t="shared" ref="L47:AB47" si="20">SUM(L7:L46)</f>
        <v>362073</v>
      </c>
      <c r="M47" s="31">
        <f t="shared" si="20"/>
        <v>2125</v>
      </c>
      <c r="N47" s="13">
        <f>SUM(N7:N46)</f>
        <v>76160742</v>
      </c>
      <c r="O47" s="31">
        <f>SUM(O7:O46)</f>
        <v>18816680</v>
      </c>
      <c r="P47" s="31">
        <f t="shared" si="20"/>
        <v>46735572</v>
      </c>
      <c r="Q47" s="31">
        <f t="shared" si="20"/>
        <v>582691</v>
      </c>
      <c r="R47" s="31">
        <f t="shared" si="20"/>
        <v>51556</v>
      </c>
      <c r="S47" s="13">
        <f>SUM(S7:S46)</f>
        <v>66186499</v>
      </c>
      <c r="T47" s="14">
        <f t="shared" si="20"/>
        <v>18927123</v>
      </c>
      <c r="U47" s="31">
        <f t="shared" si="20"/>
        <v>40054108</v>
      </c>
      <c r="V47" s="31">
        <f t="shared" si="20"/>
        <v>553754</v>
      </c>
      <c r="W47" s="31">
        <f t="shared" si="20"/>
        <v>-30</v>
      </c>
      <c r="X47" s="13">
        <f>SUM(X7:X46)</f>
        <v>59534955</v>
      </c>
      <c r="Y47" s="14">
        <f t="shared" si="20"/>
        <v>20136950</v>
      </c>
      <c r="Z47" s="31">
        <f t="shared" si="20"/>
        <v>80697705</v>
      </c>
      <c r="AA47" s="31">
        <f t="shared" si="20"/>
        <v>714762</v>
      </c>
      <c r="AB47" s="31">
        <f t="shared" si="20"/>
        <v>2447</v>
      </c>
      <c r="AC47" s="13">
        <f>SUM(AC7:AC46)</f>
        <v>101551864</v>
      </c>
      <c r="AD47" s="14">
        <f t="shared" ref="AD47:AL47" si="21">SUM(AD7:AD46)</f>
        <v>19206769</v>
      </c>
      <c r="AE47" s="31">
        <f t="shared" si="21"/>
        <v>50967096</v>
      </c>
      <c r="AF47" s="31">
        <f t="shared" si="21"/>
        <v>844913</v>
      </c>
      <c r="AG47" s="31">
        <f t="shared" si="21"/>
        <v>2116</v>
      </c>
      <c r="AH47" s="13">
        <f>SUM(AH7:AH46)</f>
        <v>71020894</v>
      </c>
      <c r="AI47" s="14">
        <f t="shared" si="21"/>
        <v>19341077</v>
      </c>
      <c r="AJ47" s="31">
        <f t="shared" si="21"/>
        <v>33901185</v>
      </c>
      <c r="AK47" s="31">
        <f t="shared" si="21"/>
        <v>853464</v>
      </c>
      <c r="AL47" s="31">
        <f t="shared" si="21"/>
        <v>13502173</v>
      </c>
      <c r="AM47" s="13">
        <f t="shared" ref="AM47:AV47" si="22">SUM(AM7:AM46)</f>
        <v>67597899</v>
      </c>
      <c r="AN47" s="14">
        <f>SUM(AN7:AN46)</f>
        <v>20488885</v>
      </c>
      <c r="AO47" s="31">
        <f>SUM(AO7:AO46)</f>
        <v>54427618</v>
      </c>
      <c r="AP47" s="31">
        <f>SUM(AP7:AP46)</f>
        <v>670997</v>
      </c>
      <c r="AQ47" s="31">
        <f>SUM(AQ7:AQ46)</f>
        <v>1514</v>
      </c>
      <c r="AR47" s="13">
        <f>SUM(AR7:AR46)</f>
        <v>75589014</v>
      </c>
      <c r="AS47" s="14">
        <f t="shared" si="22"/>
        <v>19784022</v>
      </c>
      <c r="AT47" s="31">
        <f t="shared" si="22"/>
        <v>43850096</v>
      </c>
      <c r="AU47" s="31">
        <f t="shared" si="22"/>
        <v>737799</v>
      </c>
      <c r="AV47" s="31">
        <f t="shared" si="22"/>
        <v>10145</v>
      </c>
      <c r="AW47" s="13">
        <f t="shared" ref="AW47:BU47" si="23">SUM(AW7:AW46)</f>
        <v>64382062</v>
      </c>
      <c r="AX47" s="14">
        <f>SUM(AX7:AX46)</f>
        <v>19695531</v>
      </c>
      <c r="AY47" s="31">
        <f t="shared" si="23"/>
        <v>54421109</v>
      </c>
      <c r="AZ47" s="31">
        <f t="shared" si="23"/>
        <v>1572655</v>
      </c>
      <c r="BA47" s="31">
        <f t="shared" si="23"/>
        <v>17274933</v>
      </c>
      <c r="BB47" s="13">
        <f>SUM(BB7:BB46)</f>
        <v>92964228</v>
      </c>
      <c r="BC47" s="14">
        <f t="shared" si="23"/>
        <v>19481922</v>
      </c>
      <c r="BD47" s="31">
        <f t="shared" si="23"/>
        <v>45649125</v>
      </c>
      <c r="BE47" s="31">
        <f t="shared" si="23"/>
        <v>896488</v>
      </c>
      <c r="BF47" s="31">
        <f>SUM(BF7:BF46)</f>
        <v>9707626</v>
      </c>
      <c r="BG47" s="13">
        <f>SUM(BG7:BG46)</f>
        <v>75735161</v>
      </c>
      <c r="BH47" s="14">
        <f t="shared" si="23"/>
        <v>20982914</v>
      </c>
      <c r="BI47" s="31">
        <f t="shared" si="23"/>
        <v>34099491</v>
      </c>
      <c r="BJ47" s="31">
        <f t="shared" si="23"/>
        <v>685432</v>
      </c>
      <c r="BK47" s="31">
        <f t="shared" si="23"/>
        <v>13013794</v>
      </c>
      <c r="BL47" s="13">
        <f t="shared" si="23"/>
        <v>68781631</v>
      </c>
      <c r="BM47" s="14">
        <f t="shared" si="23"/>
        <v>27019886</v>
      </c>
      <c r="BN47" s="31">
        <f t="shared" si="23"/>
        <v>83434420</v>
      </c>
      <c r="BO47" s="31">
        <f t="shared" si="23"/>
        <v>3227155</v>
      </c>
      <c r="BP47" s="31">
        <f t="shared" si="23"/>
        <v>10644912</v>
      </c>
      <c r="BQ47" s="13">
        <f t="shared" si="23"/>
        <v>124326373</v>
      </c>
      <c r="BR47" s="14">
        <f t="shared" si="23"/>
        <v>241301656</v>
      </c>
      <c r="BS47" s="31">
        <f t="shared" si="23"/>
        <v>626614172</v>
      </c>
      <c r="BT47" s="31">
        <f t="shared" si="23"/>
        <v>11702183</v>
      </c>
      <c r="BU47" s="31">
        <f t="shared" si="23"/>
        <v>64213311</v>
      </c>
      <c r="BV47" s="13">
        <f>SUM(BV7:BV46)</f>
        <v>943831322</v>
      </c>
      <c r="BW47" s="8"/>
      <c r="BX47" s="165">
        <f t="shared" si="15"/>
        <v>100.28292702043697</v>
      </c>
      <c r="BY47" s="136"/>
      <c r="BZ47" s="39"/>
    </row>
    <row r="48" spans="1:78" x14ac:dyDescent="0.2">
      <c r="A48" s="179" t="s">
        <v>219</v>
      </c>
      <c r="B48" s="160"/>
      <c r="D48" s="178"/>
      <c r="E48" s="46"/>
      <c r="F48" s="17"/>
      <c r="G48" s="17"/>
      <c r="H48" s="17"/>
      <c r="I48" s="47"/>
      <c r="J48" s="46"/>
      <c r="K48" s="17"/>
      <c r="L48" s="17"/>
      <c r="M48" s="17"/>
      <c r="N48" s="47"/>
      <c r="O48" s="17"/>
      <c r="P48" s="17"/>
      <c r="Q48" s="17"/>
      <c r="R48" s="17"/>
      <c r="S48" s="47"/>
      <c r="T48" s="46"/>
      <c r="U48" s="17"/>
      <c r="V48" s="17"/>
      <c r="W48" s="17"/>
      <c r="X48" s="47"/>
      <c r="Y48" s="46"/>
      <c r="Z48" s="17"/>
      <c r="AA48" s="17"/>
      <c r="AB48" s="17"/>
      <c r="AC48" s="47"/>
      <c r="AD48" s="46"/>
      <c r="AE48" s="17"/>
      <c r="AF48" s="17"/>
      <c r="AG48" s="17"/>
      <c r="AH48" s="47"/>
      <c r="AI48" s="46"/>
      <c r="AJ48" s="17"/>
      <c r="AK48" s="17"/>
      <c r="AL48" s="17"/>
      <c r="AM48" s="47"/>
      <c r="AN48" s="46"/>
      <c r="AO48" s="17"/>
      <c r="AP48" s="17"/>
      <c r="AQ48" s="17"/>
      <c r="AR48" s="47"/>
      <c r="AS48" s="46"/>
      <c r="AT48" s="17"/>
      <c r="AU48" s="17"/>
      <c r="AV48" s="17"/>
      <c r="AW48" s="47"/>
      <c r="AX48" s="46"/>
      <c r="AY48" s="17"/>
      <c r="AZ48" s="17"/>
      <c r="BA48" s="17"/>
      <c r="BB48" s="47"/>
      <c r="BC48" s="46"/>
      <c r="BD48" s="17"/>
      <c r="BE48" s="17"/>
      <c r="BF48" s="17"/>
      <c r="BG48" s="47"/>
      <c r="BH48" s="46"/>
      <c r="BI48" s="17"/>
      <c r="BJ48" s="17"/>
      <c r="BK48" s="17"/>
      <c r="BL48" s="47"/>
      <c r="BM48" s="46"/>
      <c r="BN48" s="17"/>
      <c r="BO48" s="17"/>
      <c r="BP48" s="17"/>
      <c r="BQ48" s="47"/>
      <c r="BR48" s="46"/>
      <c r="BS48" s="17"/>
      <c r="BT48" s="17"/>
      <c r="BU48" s="17"/>
      <c r="BV48" s="47"/>
      <c r="BW48" s="8"/>
      <c r="BX48" s="165"/>
      <c r="BY48" s="136"/>
      <c r="BZ48" s="39"/>
    </row>
    <row r="49" spans="1:78" x14ac:dyDescent="0.2">
      <c r="A49" s="156" t="s">
        <v>220</v>
      </c>
      <c r="D49" s="180"/>
      <c r="E49" s="181"/>
      <c r="F49" s="182"/>
      <c r="G49" s="182"/>
      <c r="H49" s="182"/>
      <c r="I49" s="46"/>
      <c r="J49" s="181"/>
      <c r="K49" s="182"/>
      <c r="L49" s="182"/>
      <c r="M49" s="182"/>
      <c r="N49" s="47"/>
      <c r="O49" s="182"/>
      <c r="P49" s="182"/>
      <c r="Q49" s="182"/>
      <c r="R49" s="182"/>
      <c r="S49" s="46"/>
      <c r="T49" s="181"/>
      <c r="U49" s="182"/>
      <c r="V49" s="182"/>
      <c r="W49" s="182"/>
      <c r="X49" s="46"/>
      <c r="Y49" s="181"/>
      <c r="Z49" s="182"/>
      <c r="AA49" s="182"/>
      <c r="AB49" s="182"/>
      <c r="AC49" s="46"/>
      <c r="AD49" s="181"/>
      <c r="AE49" s="182"/>
      <c r="AF49" s="182"/>
      <c r="AG49" s="182"/>
      <c r="AH49" s="46"/>
      <c r="AI49" s="181"/>
      <c r="AJ49" s="182"/>
      <c r="AK49" s="182"/>
      <c r="AL49" s="182"/>
      <c r="AM49" s="46"/>
      <c r="AN49" s="181"/>
      <c r="AO49" s="182"/>
      <c r="AP49" s="182"/>
      <c r="AQ49" s="182"/>
      <c r="AR49" s="46"/>
      <c r="AS49" s="181"/>
      <c r="AT49" s="182"/>
      <c r="AU49" s="182"/>
      <c r="AV49" s="182"/>
      <c r="AW49" s="46"/>
      <c r="AX49" s="181"/>
      <c r="AY49" s="182"/>
      <c r="AZ49" s="182"/>
      <c r="BA49" s="182"/>
      <c r="BB49" s="46"/>
      <c r="BC49" s="181"/>
      <c r="BD49" s="182"/>
      <c r="BE49" s="182"/>
      <c r="BF49" s="182"/>
      <c r="BG49" s="46"/>
      <c r="BH49" s="181"/>
      <c r="BI49" s="182"/>
      <c r="BJ49" s="182"/>
      <c r="BK49" s="182"/>
      <c r="BL49" s="46"/>
      <c r="BM49" s="181"/>
      <c r="BN49" s="182"/>
      <c r="BO49" s="182"/>
      <c r="BP49" s="182"/>
      <c r="BQ49" s="46"/>
      <c r="BR49" s="181"/>
      <c r="BS49" s="182"/>
      <c r="BT49" s="182"/>
      <c r="BU49" s="182"/>
      <c r="BV49" s="46"/>
      <c r="BW49" s="183"/>
      <c r="BX49" s="165"/>
      <c r="BY49" s="136"/>
      <c r="BZ49" s="39"/>
    </row>
    <row r="50" spans="1:78" x14ac:dyDescent="0.2">
      <c r="A50" s="159" t="s">
        <v>221</v>
      </c>
      <c r="B50" s="184"/>
      <c r="C50" s="184"/>
      <c r="D50" s="180"/>
      <c r="E50" s="163">
        <v>7254</v>
      </c>
      <c r="F50" s="163">
        <v>0</v>
      </c>
      <c r="G50" s="163">
        <v>0</v>
      </c>
      <c r="H50" s="163">
        <v>0</v>
      </c>
      <c r="I50" s="35">
        <f t="shared" ref="I50:I56" si="24">SUM(E50:H50)</f>
        <v>7254</v>
      </c>
      <c r="J50" s="162">
        <v>475</v>
      </c>
      <c r="K50" s="163">
        <v>0</v>
      </c>
      <c r="L50" s="163">
        <v>0</v>
      </c>
      <c r="M50" s="163">
        <v>0</v>
      </c>
      <c r="N50" s="35">
        <f>SUM(J50:M50)</f>
        <v>475</v>
      </c>
      <c r="O50" s="163">
        <v>475</v>
      </c>
      <c r="P50" s="163">
        <v>0</v>
      </c>
      <c r="Q50" s="163">
        <v>0</v>
      </c>
      <c r="R50" s="163">
        <v>0</v>
      </c>
      <c r="S50" s="35">
        <f>SUM(O50:R50)</f>
        <v>475</v>
      </c>
      <c r="T50" s="163">
        <v>475</v>
      </c>
      <c r="U50" s="163">
        <v>0</v>
      </c>
      <c r="V50" s="163">
        <v>0</v>
      </c>
      <c r="W50" s="163">
        <v>0</v>
      </c>
      <c r="X50" s="35">
        <f>SUM(T50:W50)</f>
        <v>475</v>
      </c>
      <c r="Y50" s="163">
        <v>483</v>
      </c>
      <c r="Z50" s="163">
        <v>0</v>
      </c>
      <c r="AA50" s="163">
        <v>0</v>
      </c>
      <c r="AB50" s="163">
        <v>0</v>
      </c>
      <c r="AC50" s="35">
        <f>SUM(Y50:AB50)</f>
        <v>483</v>
      </c>
      <c r="AD50" s="163">
        <v>475</v>
      </c>
      <c r="AE50" s="163">
        <v>0</v>
      </c>
      <c r="AF50" s="163">
        <v>0</v>
      </c>
      <c r="AG50" s="163">
        <v>0</v>
      </c>
      <c r="AH50" s="35">
        <f>SUM(AD50:AG50)</f>
        <v>475</v>
      </c>
      <c r="AI50" s="163">
        <v>475</v>
      </c>
      <c r="AJ50" s="163">
        <v>0</v>
      </c>
      <c r="AK50" s="163">
        <v>0</v>
      </c>
      <c r="AL50" s="163">
        <v>0</v>
      </c>
      <c r="AM50" s="35">
        <f>SUM(AI50:AL50)</f>
        <v>475</v>
      </c>
      <c r="AN50" s="163">
        <v>499</v>
      </c>
      <c r="AO50" s="163">
        <v>0</v>
      </c>
      <c r="AP50" s="163">
        <v>0</v>
      </c>
      <c r="AQ50" s="163">
        <v>0</v>
      </c>
      <c r="AR50" s="35">
        <f>SUM(AN50:AQ50)</f>
        <v>499</v>
      </c>
      <c r="AS50" s="163">
        <v>475</v>
      </c>
      <c r="AT50" s="163">
        <v>0</v>
      </c>
      <c r="AU50" s="163">
        <v>0</v>
      </c>
      <c r="AV50" s="163">
        <v>0</v>
      </c>
      <c r="AW50" s="35">
        <f>SUM(AS50:AV50)</f>
        <v>475</v>
      </c>
      <c r="AX50" s="163">
        <v>475</v>
      </c>
      <c r="AY50" s="163">
        <v>0</v>
      </c>
      <c r="AZ50" s="163">
        <v>0</v>
      </c>
      <c r="BA50" s="163">
        <v>0</v>
      </c>
      <c r="BB50" s="35">
        <f>SUM(AX50:BA50)</f>
        <v>475</v>
      </c>
      <c r="BC50" s="163">
        <f>475-24</f>
        <v>451</v>
      </c>
      <c r="BD50" s="163">
        <v>0</v>
      </c>
      <c r="BE50" s="163">
        <v>0</v>
      </c>
      <c r="BF50" s="163">
        <v>0</v>
      </c>
      <c r="BG50" s="35">
        <f>SUM(BC50:BF50)</f>
        <v>451</v>
      </c>
      <c r="BH50" s="163">
        <v>475</v>
      </c>
      <c r="BI50" s="163">
        <v>0</v>
      </c>
      <c r="BJ50" s="163">
        <v>0</v>
      </c>
      <c r="BK50" s="163">
        <v>0</v>
      </c>
      <c r="BL50" s="35">
        <f>SUM(BH50:BK50)</f>
        <v>475</v>
      </c>
      <c r="BM50" s="163">
        <v>475</v>
      </c>
      <c r="BN50" s="163">
        <v>0</v>
      </c>
      <c r="BO50" s="163">
        <v>0</v>
      </c>
      <c r="BP50" s="163">
        <v>0</v>
      </c>
      <c r="BQ50" s="35">
        <f>SUM(BM50:BP50)</f>
        <v>475</v>
      </c>
      <c r="BR50" s="163">
        <f t="shared" ref="BR50:BT51" si="25">+J50+O50+T50+Y50+AD50+AI50+AN50+AS50+AX50+BC50+BH50+BM50</f>
        <v>5708</v>
      </c>
      <c r="BS50" s="163">
        <f t="shared" si="25"/>
        <v>0</v>
      </c>
      <c r="BT50" s="163">
        <f t="shared" si="25"/>
        <v>0</v>
      </c>
      <c r="BU50" s="163">
        <f>+M50+R50+W50+AB50+AG50+AL50+AQ50+AV50+BA50+BF50+BK50+BP50</f>
        <v>0</v>
      </c>
      <c r="BV50" s="35">
        <f>SUM(BR50:BU50)</f>
        <v>5708</v>
      </c>
      <c r="BW50" s="8"/>
      <c r="BX50" s="165">
        <f t="shared" si="15"/>
        <v>78.687620623104493</v>
      </c>
      <c r="BY50" s="136"/>
      <c r="BZ50" s="39"/>
    </row>
    <row r="51" spans="1:78" x14ac:dyDescent="0.2">
      <c r="A51" s="159" t="s">
        <v>222</v>
      </c>
      <c r="B51" s="184"/>
      <c r="C51" s="137"/>
      <c r="D51" s="178" t="s">
        <v>55</v>
      </c>
      <c r="E51" s="163">
        <v>600518</v>
      </c>
      <c r="F51" s="163">
        <v>0</v>
      </c>
      <c r="G51" s="163">
        <v>0</v>
      </c>
      <c r="H51" s="163">
        <v>0</v>
      </c>
      <c r="I51" s="35">
        <f t="shared" si="24"/>
        <v>600518</v>
      </c>
      <c r="J51" s="162">
        <v>43960</v>
      </c>
      <c r="K51" s="163">
        <v>0</v>
      </c>
      <c r="L51" s="163">
        <v>0</v>
      </c>
      <c r="M51" s="163">
        <v>0</v>
      </c>
      <c r="N51" s="35">
        <f>SUM(J51:M51)</f>
        <v>43960</v>
      </c>
      <c r="O51" s="163">
        <v>43960</v>
      </c>
      <c r="P51" s="163">
        <v>0</v>
      </c>
      <c r="Q51" s="163">
        <v>0</v>
      </c>
      <c r="R51" s="163">
        <v>0</v>
      </c>
      <c r="S51" s="35">
        <f>SUM(O51:R51)</f>
        <v>43960</v>
      </c>
      <c r="T51" s="163">
        <v>43960</v>
      </c>
      <c r="U51" s="163">
        <v>0</v>
      </c>
      <c r="V51" s="163">
        <v>0</v>
      </c>
      <c r="W51" s="163">
        <v>0</v>
      </c>
      <c r="X51" s="35">
        <f>SUM(T51:W51)</f>
        <v>43960</v>
      </c>
      <c r="Y51" s="163">
        <v>103960</v>
      </c>
      <c r="Z51" s="163">
        <v>0</v>
      </c>
      <c r="AA51" s="163">
        <v>0</v>
      </c>
      <c r="AB51" s="163">
        <v>0</v>
      </c>
      <c r="AC51" s="35">
        <f>SUM(Y51:AB51)</f>
        <v>103960</v>
      </c>
      <c r="AD51" s="163">
        <v>103960</v>
      </c>
      <c r="AE51" s="163">
        <v>0</v>
      </c>
      <c r="AF51" s="163">
        <v>0</v>
      </c>
      <c r="AG51" s="163">
        <v>0</v>
      </c>
      <c r="AH51" s="35">
        <f>SUM(AD51:AG51)</f>
        <v>103960</v>
      </c>
      <c r="AI51" s="163">
        <v>43960</v>
      </c>
      <c r="AJ51" s="163">
        <v>0</v>
      </c>
      <c r="AK51" s="163">
        <v>0</v>
      </c>
      <c r="AL51" s="163">
        <v>0</v>
      </c>
      <c r="AM51" s="35">
        <f>SUM(AI51:AL51)</f>
        <v>43960</v>
      </c>
      <c r="AN51" s="163">
        <v>43960</v>
      </c>
      <c r="AO51" s="163">
        <v>0</v>
      </c>
      <c r="AP51" s="163">
        <v>0</v>
      </c>
      <c r="AQ51" s="163">
        <v>0</v>
      </c>
      <c r="AR51" s="35">
        <f>SUM(AN51:AQ51)</f>
        <v>43960</v>
      </c>
      <c r="AS51" s="163">
        <v>43960</v>
      </c>
      <c r="AT51" s="163">
        <v>0</v>
      </c>
      <c r="AU51" s="163">
        <v>0</v>
      </c>
      <c r="AV51" s="163">
        <v>0</v>
      </c>
      <c r="AW51" s="35">
        <f>SUM(AS51:AV51)</f>
        <v>43960</v>
      </c>
      <c r="AX51" s="163">
        <v>43960</v>
      </c>
      <c r="AY51" s="163">
        <v>0</v>
      </c>
      <c r="AZ51" s="163">
        <v>0</v>
      </c>
      <c r="BA51" s="163">
        <v>0</v>
      </c>
      <c r="BB51" s="35">
        <f>SUM(AX51:BA51)</f>
        <v>43960</v>
      </c>
      <c r="BC51" s="163">
        <v>3960</v>
      </c>
      <c r="BD51" s="163">
        <v>0</v>
      </c>
      <c r="BE51" s="163">
        <v>0</v>
      </c>
      <c r="BF51" s="163">
        <v>0</v>
      </c>
      <c r="BG51" s="35">
        <f>SUM(BC51:BF51)</f>
        <v>3960</v>
      </c>
      <c r="BH51" s="163">
        <f>28960+25000</f>
        <v>53960</v>
      </c>
      <c r="BI51" s="163">
        <v>0</v>
      </c>
      <c r="BJ51" s="163">
        <v>0</v>
      </c>
      <c r="BK51" s="163">
        <v>0</v>
      </c>
      <c r="BL51" s="35">
        <f>SUM(BH51:BK51)</f>
        <v>53960</v>
      </c>
      <c r="BM51" s="163">
        <v>26958</v>
      </c>
      <c r="BN51" s="163">
        <v>0</v>
      </c>
      <c r="BO51" s="163">
        <v>0</v>
      </c>
      <c r="BP51" s="163">
        <v>0</v>
      </c>
      <c r="BQ51" s="35">
        <f>SUM(BM51:BP51)</f>
        <v>26958</v>
      </c>
      <c r="BR51" s="163">
        <f t="shared" si="25"/>
        <v>600518</v>
      </c>
      <c r="BS51" s="163">
        <f t="shared" si="25"/>
        <v>0</v>
      </c>
      <c r="BT51" s="163">
        <f t="shared" si="25"/>
        <v>0</v>
      </c>
      <c r="BU51" s="163">
        <f>+M51+R51+W51+AB51+AG51+AL51+AQ51+AV51+BA51+BF51+BK51+BP51</f>
        <v>0</v>
      </c>
      <c r="BV51" s="35">
        <f>SUM(BR51:BU51)</f>
        <v>600518</v>
      </c>
      <c r="BW51" s="8"/>
      <c r="BX51" s="165">
        <f t="shared" si="15"/>
        <v>100</v>
      </c>
      <c r="BY51" s="136"/>
      <c r="BZ51" s="39"/>
    </row>
    <row r="52" spans="1:78" x14ac:dyDescent="0.2">
      <c r="A52" s="159" t="s">
        <v>223</v>
      </c>
      <c r="B52" s="184"/>
      <c r="C52" s="137"/>
      <c r="D52" s="185"/>
      <c r="E52" s="163">
        <f>SUM(E53:E54)</f>
        <v>203730750</v>
      </c>
      <c r="F52" s="163">
        <f>SUM(F53:F54)</f>
        <v>0</v>
      </c>
      <c r="G52" s="163">
        <f>SUM(G53:G54)</f>
        <v>0</v>
      </c>
      <c r="H52" s="163">
        <f>SUM(H53:H54)</f>
        <v>0</v>
      </c>
      <c r="I52" s="35">
        <f>SUM(I53:I54)</f>
        <v>203730750</v>
      </c>
      <c r="J52" s="162">
        <f t="shared" ref="J52:BU52" si="26">SUM(J53:J54)</f>
        <v>3587887</v>
      </c>
      <c r="K52" s="163">
        <f t="shared" si="26"/>
        <v>0</v>
      </c>
      <c r="L52" s="163">
        <f t="shared" si="26"/>
        <v>0</v>
      </c>
      <c r="M52" s="163">
        <f t="shared" si="26"/>
        <v>0</v>
      </c>
      <c r="N52" s="35">
        <f t="shared" si="26"/>
        <v>3587887</v>
      </c>
      <c r="O52" s="163">
        <f t="shared" si="26"/>
        <v>4274259</v>
      </c>
      <c r="P52" s="163">
        <f t="shared" si="26"/>
        <v>0</v>
      </c>
      <c r="Q52" s="163">
        <f t="shared" si="26"/>
        <v>0</v>
      </c>
      <c r="R52" s="163">
        <f t="shared" si="26"/>
        <v>0</v>
      </c>
      <c r="S52" s="35">
        <f t="shared" si="26"/>
        <v>4274259</v>
      </c>
      <c r="T52" s="163">
        <f t="shared" si="26"/>
        <v>20232557</v>
      </c>
      <c r="U52" s="163">
        <f t="shared" si="26"/>
        <v>0</v>
      </c>
      <c r="V52" s="163">
        <f t="shared" si="26"/>
        <v>0</v>
      </c>
      <c r="W52" s="163">
        <f t="shared" si="26"/>
        <v>0</v>
      </c>
      <c r="X52" s="35">
        <f t="shared" si="26"/>
        <v>20232557</v>
      </c>
      <c r="Y52" s="163">
        <f t="shared" si="26"/>
        <v>27300430</v>
      </c>
      <c r="Z52" s="163">
        <f t="shared" si="26"/>
        <v>0</v>
      </c>
      <c r="AA52" s="163">
        <f t="shared" si="26"/>
        <v>0</v>
      </c>
      <c r="AB52" s="163">
        <f t="shared" si="26"/>
        <v>0</v>
      </c>
      <c r="AC52" s="35">
        <f t="shared" si="26"/>
        <v>27300430</v>
      </c>
      <c r="AD52" s="163">
        <f t="shared" si="26"/>
        <v>27624060</v>
      </c>
      <c r="AE52" s="163">
        <f t="shared" si="26"/>
        <v>0</v>
      </c>
      <c r="AF52" s="163">
        <f t="shared" si="26"/>
        <v>0</v>
      </c>
      <c r="AG52" s="163">
        <f t="shared" si="26"/>
        <v>0</v>
      </c>
      <c r="AH52" s="35">
        <f t="shared" si="26"/>
        <v>27624060</v>
      </c>
      <c r="AI52" s="163">
        <f t="shared" si="26"/>
        <v>16497519</v>
      </c>
      <c r="AJ52" s="163">
        <f t="shared" si="26"/>
        <v>0</v>
      </c>
      <c r="AK52" s="163">
        <f t="shared" si="26"/>
        <v>0</v>
      </c>
      <c r="AL52" s="163">
        <f t="shared" si="26"/>
        <v>0</v>
      </c>
      <c r="AM52" s="35">
        <f t="shared" si="26"/>
        <v>16497519</v>
      </c>
      <c r="AN52" s="163">
        <f t="shared" si="26"/>
        <v>4518363</v>
      </c>
      <c r="AO52" s="163">
        <f t="shared" si="26"/>
        <v>0</v>
      </c>
      <c r="AP52" s="163">
        <f t="shared" si="26"/>
        <v>0</v>
      </c>
      <c r="AQ52" s="163">
        <f t="shared" si="26"/>
        <v>0</v>
      </c>
      <c r="AR52" s="35">
        <f t="shared" si="26"/>
        <v>4518363</v>
      </c>
      <c r="AS52" s="163">
        <f t="shared" si="26"/>
        <v>2314875</v>
      </c>
      <c r="AT52" s="163">
        <f t="shared" si="26"/>
        <v>0</v>
      </c>
      <c r="AU52" s="163">
        <f t="shared" si="26"/>
        <v>0</v>
      </c>
      <c r="AV52" s="163">
        <f t="shared" si="26"/>
        <v>0</v>
      </c>
      <c r="AW52" s="35">
        <f t="shared" si="26"/>
        <v>2314875</v>
      </c>
      <c r="AX52" s="163">
        <f t="shared" si="26"/>
        <v>21145008</v>
      </c>
      <c r="AY52" s="163">
        <f t="shared" si="26"/>
        <v>0</v>
      </c>
      <c r="AZ52" s="163">
        <f t="shared" si="26"/>
        <v>0</v>
      </c>
      <c r="BA52" s="163">
        <f t="shared" si="26"/>
        <v>0</v>
      </c>
      <c r="BB52" s="35">
        <f t="shared" si="26"/>
        <v>21145008</v>
      </c>
      <c r="BC52" s="163">
        <f t="shared" si="26"/>
        <v>28808483</v>
      </c>
      <c r="BD52" s="163">
        <f t="shared" si="26"/>
        <v>0</v>
      </c>
      <c r="BE52" s="163">
        <f t="shared" si="26"/>
        <v>0</v>
      </c>
      <c r="BF52" s="163">
        <f t="shared" si="26"/>
        <v>0</v>
      </c>
      <c r="BG52" s="35">
        <f t="shared" si="26"/>
        <v>28808483</v>
      </c>
      <c r="BH52" s="163">
        <f t="shared" si="26"/>
        <v>29392738</v>
      </c>
      <c r="BI52" s="163">
        <f t="shared" si="26"/>
        <v>0</v>
      </c>
      <c r="BJ52" s="163">
        <f t="shared" si="26"/>
        <v>0</v>
      </c>
      <c r="BK52" s="163">
        <f t="shared" si="26"/>
        <v>0</v>
      </c>
      <c r="BL52" s="35">
        <f t="shared" si="26"/>
        <v>29392738</v>
      </c>
      <c r="BM52" s="163">
        <f t="shared" si="26"/>
        <v>19073170.699999999</v>
      </c>
      <c r="BN52" s="163">
        <f t="shared" si="26"/>
        <v>0</v>
      </c>
      <c r="BO52" s="163">
        <f t="shared" si="26"/>
        <v>0</v>
      </c>
      <c r="BP52" s="163">
        <f t="shared" si="26"/>
        <v>0</v>
      </c>
      <c r="BQ52" s="35">
        <f t="shared" si="26"/>
        <v>19073170.699999999</v>
      </c>
      <c r="BR52" s="163">
        <f t="shared" si="26"/>
        <v>204769349.69999999</v>
      </c>
      <c r="BS52" s="163">
        <f t="shared" si="26"/>
        <v>0</v>
      </c>
      <c r="BT52" s="163">
        <f t="shared" si="26"/>
        <v>0</v>
      </c>
      <c r="BU52" s="163">
        <f t="shared" si="26"/>
        <v>0</v>
      </c>
      <c r="BV52" s="35">
        <f>SUM(BV53:BV54)</f>
        <v>204769349.69999999</v>
      </c>
      <c r="BW52" s="8"/>
      <c r="BX52" s="165">
        <f>(BV52/I52)*100</f>
        <v>100.50979034829058</v>
      </c>
      <c r="BY52" s="136"/>
      <c r="BZ52" s="136"/>
    </row>
    <row r="53" spans="1:78" s="187" customFormat="1" x14ac:dyDescent="0.2">
      <c r="A53" s="186" t="s">
        <v>99</v>
      </c>
      <c r="C53" s="188"/>
      <c r="D53" s="185"/>
      <c r="E53" s="189">
        <f>203730750-135000</f>
        <v>203595750</v>
      </c>
      <c r="F53" s="189">
        <v>0</v>
      </c>
      <c r="G53" s="189">
        <v>0</v>
      </c>
      <c r="H53" s="189">
        <v>0</v>
      </c>
      <c r="I53" s="61">
        <f>SUM(E53:H53)</f>
        <v>203595750</v>
      </c>
      <c r="J53" s="190">
        <v>3587571</v>
      </c>
      <c r="K53" s="189">
        <v>0</v>
      </c>
      <c r="L53" s="189">
        <v>0</v>
      </c>
      <c r="M53" s="189">
        <v>0</v>
      </c>
      <c r="N53" s="61">
        <f t="shared" ref="N53:N67" si="27">SUM(J53:M53)</f>
        <v>3587571</v>
      </c>
      <c r="O53" s="189">
        <v>4257039</v>
      </c>
      <c r="P53" s="189">
        <v>0</v>
      </c>
      <c r="Q53" s="189">
        <v>0</v>
      </c>
      <c r="R53" s="189">
        <v>0</v>
      </c>
      <c r="S53" s="61">
        <f t="shared" ref="S53:S67" si="28">SUM(O53:R53)</f>
        <v>4257039</v>
      </c>
      <c r="T53" s="189">
        <v>20232306</v>
      </c>
      <c r="U53" s="189">
        <v>0</v>
      </c>
      <c r="V53" s="189">
        <v>0</v>
      </c>
      <c r="W53" s="189">
        <v>0</v>
      </c>
      <c r="X53" s="61">
        <f t="shared" ref="X53:X67" si="29">SUM(T53:W53)</f>
        <v>20232306</v>
      </c>
      <c r="Y53" s="191">
        <v>27299692.5</v>
      </c>
      <c r="Z53" s="189">
        <v>0</v>
      </c>
      <c r="AA53" s="189">
        <v>0</v>
      </c>
      <c r="AB53" s="189">
        <v>0</v>
      </c>
      <c r="AC53" s="61">
        <f t="shared" ref="AC53:AC67" si="30">SUM(Y53:AB53)</f>
        <v>27299692.5</v>
      </c>
      <c r="AD53" s="189">
        <v>27623391</v>
      </c>
      <c r="AE53" s="189">
        <v>0</v>
      </c>
      <c r="AF53" s="189">
        <v>0</v>
      </c>
      <c r="AG53" s="189">
        <v>0</v>
      </c>
      <c r="AH53" s="61">
        <f t="shared" ref="AH53:AH67" si="31">SUM(AD53:AG53)</f>
        <v>27623391</v>
      </c>
      <c r="AI53" s="189">
        <v>16497399</v>
      </c>
      <c r="AJ53" s="189">
        <v>0</v>
      </c>
      <c r="AK53" s="189">
        <v>0</v>
      </c>
      <c r="AL53" s="189">
        <v>0</v>
      </c>
      <c r="AM53" s="61">
        <f t="shared" ref="AM53:AM67" si="32">SUM(AI53:AL53)</f>
        <v>16497399</v>
      </c>
      <c r="AN53" s="189">
        <v>4417100</v>
      </c>
      <c r="AO53" s="189">
        <v>0</v>
      </c>
      <c r="AP53" s="189">
        <v>0</v>
      </c>
      <c r="AQ53" s="189">
        <v>0</v>
      </c>
      <c r="AR53" s="61">
        <f t="shared" ref="AR53:AR67" si="33">SUM(AN53:AQ53)</f>
        <v>4417100</v>
      </c>
      <c r="AS53" s="189">
        <v>2309095</v>
      </c>
      <c r="AT53" s="189">
        <v>0</v>
      </c>
      <c r="AU53" s="189">
        <v>0</v>
      </c>
      <c r="AV53" s="189">
        <v>0</v>
      </c>
      <c r="AW53" s="61">
        <f t="shared" ref="AW53:AW67" si="34">SUM(AS53:AV53)</f>
        <v>2309095</v>
      </c>
      <c r="AX53" s="189">
        <v>21144106</v>
      </c>
      <c r="AY53" s="189">
        <v>0</v>
      </c>
      <c r="AZ53" s="189">
        <v>0</v>
      </c>
      <c r="BA53" s="189">
        <v>0</v>
      </c>
      <c r="BB53" s="61">
        <f t="shared" ref="BB53:BB67" si="35">SUM(AX53:BA53)</f>
        <v>21144106</v>
      </c>
      <c r="BC53" s="189">
        <v>28808072</v>
      </c>
      <c r="BD53" s="189">
        <v>0</v>
      </c>
      <c r="BE53" s="189">
        <v>0</v>
      </c>
      <c r="BF53" s="189">
        <v>0</v>
      </c>
      <c r="BG53" s="61">
        <f t="shared" ref="BG53:BG67" si="36">SUM(BC53:BF53)</f>
        <v>28808072</v>
      </c>
      <c r="BH53" s="189">
        <v>29372279</v>
      </c>
      <c r="BI53" s="189">
        <v>0</v>
      </c>
      <c r="BJ53" s="189">
        <v>0</v>
      </c>
      <c r="BK53" s="189">
        <v>0</v>
      </c>
      <c r="BL53" s="61">
        <f t="shared" ref="BL53:BL67" si="37">SUM(BH53:BK53)</f>
        <v>29372279</v>
      </c>
      <c r="BM53" s="189">
        <v>19072502.75</v>
      </c>
      <c r="BN53" s="189">
        <v>0</v>
      </c>
      <c r="BO53" s="189">
        <v>0</v>
      </c>
      <c r="BP53" s="189">
        <v>0</v>
      </c>
      <c r="BQ53" s="61">
        <f t="shared" ref="BQ53:BQ67" si="38">SUM(BM53:BP53)</f>
        <v>19072502.75</v>
      </c>
      <c r="BR53" s="189">
        <f t="shared" ref="BR53:BU67" si="39">+J53+O53+T53+Y53+AD53+AI53+AN53+AS53+AX53+BC53+BH53+BM53</f>
        <v>204620553.25</v>
      </c>
      <c r="BS53" s="189">
        <f t="shared" si="39"/>
        <v>0</v>
      </c>
      <c r="BT53" s="189">
        <f t="shared" si="39"/>
        <v>0</v>
      </c>
      <c r="BU53" s="189">
        <f>+M53+R53+W53+AB53+AG53+AL53+AQ53+AV53+BA53+BF53+BK53+BP53</f>
        <v>0</v>
      </c>
      <c r="BV53" s="61">
        <f t="shared" ref="BV53:BV67" si="40">SUM(BR53:BU53)</f>
        <v>204620553.25</v>
      </c>
      <c r="BW53" s="40"/>
      <c r="BX53" s="192">
        <f t="shared" si="15"/>
        <v>100.50335198549085</v>
      </c>
      <c r="BY53" s="188"/>
      <c r="BZ53" s="188"/>
    </row>
    <row r="54" spans="1:78" s="187" customFormat="1" x14ac:dyDescent="0.2">
      <c r="A54" s="186" t="s">
        <v>224</v>
      </c>
      <c r="C54" s="188"/>
      <c r="D54" s="185"/>
      <c r="E54" s="189">
        <f>15000+120000</f>
        <v>135000</v>
      </c>
      <c r="F54" s="189">
        <v>0</v>
      </c>
      <c r="G54" s="189">
        <v>0</v>
      </c>
      <c r="H54" s="189">
        <v>0</v>
      </c>
      <c r="I54" s="61">
        <f>SUM(E54:H54)</f>
        <v>135000</v>
      </c>
      <c r="J54" s="190">
        <v>316</v>
      </c>
      <c r="K54" s="189">
        <v>0</v>
      </c>
      <c r="L54" s="189">
        <v>0</v>
      </c>
      <c r="M54" s="189">
        <v>0</v>
      </c>
      <c r="N54" s="61">
        <f t="shared" si="27"/>
        <v>316</v>
      </c>
      <c r="O54" s="189">
        <v>17220</v>
      </c>
      <c r="P54" s="189">
        <v>0</v>
      </c>
      <c r="Q54" s="189">
        <v>0</v>
      </c>
      <c r="R54" s="189">
        <v>0</v>
      </c>
      <c r="S54" s="61">
        <f t="shared" si="28"/>
        <v>17220</v>
      </c>
      <c r="T54" s="189">
        <v>251</v>
      </c>
      <c r="U54" s="189">
        <v>0</v>
      </c>
      <c r="V54" s="189">
        <v>0</v>
      </c>
      <c r="W54" s="189">
        <v>0</v>
      </c>
      <c r="X54" s="61">
        <f t="shared" si="29"/>
        <v>251</v>
      </c>
      <c r="Y54" s="191">
        <v>737.5</v>
      </c>
      <c r="Z54" s="189">
        <v>0</v>
      </c>
      <c r="AA54" s="189">
        <v>0</v>
      </c>
      <c r="AB54" s="189">
        <v>0</v>
      </c>
      <c r="AC54" s="61">
        <f t="shared" si="30"/>
        <v>737.5</v>
      </c>
      <c r="AD54" s="189">
        <v>669</v>
      </c>
      <c r="AE54" s="189">
        <v>0</v>
      </c>
      <c r="AF54" s="189">
        <v>0</v>
      </c>
      <c r="AG54" s="189">
        <v>0</v>
      </c>
      <c r="AH54" s="61">
        <f t="shared" si="31"/>
        <v>669</v>
      </c>
      <c r="AI54" s="189">
        <v>120</v>
      </c>
      <c r="AJ54" s="189">
        <v>0</v>
      </c>
      <c r="AK54" s="189">
        <v>0</v>
      </c>
      <c r="AL54" s="189">
        <v>0</v>
      </c>
      <c r="AM54" s="61">
        <f t="shared" si="32"/>
        <v>120</v>
      </c>
      <c r="AN54" s="189">
        <v>101263</v>
      </c>
      <c r="AO54" s="189">
        <v>0</v>
      </c>
      <c r="AP54" s="189">
        <v>0</v>
      </c>
      <c r="AQ54" s="189">
        <v>0</v>
      </c>
      <c r="AR54" s="61">
        <f t="shared" si="33"/>
        <v>101263</v>
      </c>
      <c r="AS54" s="189">
        <v>5780</v>
      </c>
      <c r="AT54" s="189">
        <v>0</v>
      </c>
      <c r="AU54" s="189">
        <v>0</v>
      </c>
      <c r="AV54" s="189">
        <v>0</v>
      </c>
      <c r="AW54" s="61">
        <f t="shared" si="34"/>
        <v>5780</v>
      </c>
      <c r="AX54" s="189">
        <v>902</v>
      </c>
      <c r="AY54" s="189">
        <v>0</v>
      </c>
      <c r="AZ54" s="189">
        <v>0</v>
      </c>
      <c r="BA54" s="189">
        <v>0</v>
      </c>
      <c r="BB54" s="61">
        <f t="shared" si="35"/>
        <v>902</v>
      </c>
      <c r="BC54" s="189">
        <v>411</v>
      </c>
      <c r="BD54" s="189">
        <v>0</v>
      </c>
      <c r="BE54" s="189">
        <v>0</v>
      </c>
      <c r="BF54" s="189">
        <v>0</v>
      </c>
      <c r="BG54" s="61">
        <f t="shared" si="36"/>
        <v>411</v>
      </c>
      <c r="BH54" s="189">
        <v>20459</v>
      </c>
      <c r="BI54" s="189">
        <v>0</v>
      </c>
      <c r="BJ54" s="189">
        <v>0</v>
      </c>
      <c r="BK54" s="189">
        <v>0</v>
      </c>
      <c r="BL54" s="61">
        <f t="shared" si="37"/>
        <v>20459</v>
      </c>
      <c r="BM54" s="189">
        <v>667.95</v>
      </c>
      <c r="BN54" s="189">
        <v>0</v>
      </c>
      <c r="BO54" s="189">
        <v>0</v>
      </c>
      <c r="BP54" s="189">
        <v>0</v>
      </c>
      <c r="BQ54" s="61">
        <f t="shared" si="38"/>
        <v>667.95</v>
      </c>
      <c r="BR54" s="189">
        <f t="shared" si="39"/>
        <v>148796.45000000001</v>
      </c>
      <c r="BS54" s="189">
        <f t="shared" si="39"/>
        <v>0</v>
      </c>
      <c r="BT54" s="189">
        <f t="shared" si="39"/>
        <v>0</v>
      </c>
      <c r="BU54" s="189">
        <f>+M54+R54+W54+AB54+AG54+AL54+AQ54+AV54+BA54+BF54+BK54+BP54</f>
        <v>0</v>
      </c>
      <c r="BV54" s="61">
        <f t="shared" si="40"/>
        <v>148796.45000000001</v>
      </c>
      <c r="BW54" s="40"/>
      <c r="BX54" s="192">
        <f>(BV54/I54)*100</f>
        <v>110.21959259259259</v>
      </c>
      <c r="BY54" s="188"/>
      <c r="BZ54" s="188"/>
    </row>
    <row r="55" spans="1:78" x14ac:dyDescent="0.2">
      <c r="A55" s="159" t="s">
        <v>225</v>
      </c>
      <c r="B55" s="184"/>
      <c r="C55" s="137"/>
      <c r="D55" s="178"/>
      <c r="E55" s="163">
        <v>0</v>
      </c>
      <c r="F55" s="163">
        <v>505553753</v>
      </c>
      <c r="G55" s="163">
        <v>0</v>
      </c>
      <c r="H55" s="163">
        <v>0</v>
      </c>
      <c r="I55" s="35">
        <f t="shared" si="24"/>
        <v>505553753</v>
      </c>
      <c r="J55" s="162">
        <v>0</v>
      </c>
      <c r="K55" s="163">
        <v>42129484</v>
      </c>
      <c r="L55" s="163">
        <v>0</v>
      </c>
      <c r="M55" s="163">
        <v>0</v>
      </c>
      <c r="N55" s="35">
        <f t="shared" si="27"/>
        <v>42129484</v>
      </c>
      <c r="O55" s="163">
        <v>0</v>
      </c>
      <c r="P55" s="163">
        <v>42129482</v>
      </c>
      <c r="Q55" s="163">
        <v>0</v>
      </c>
      <c r="R55" s="163">
        <v>0</v>
      </c>
      <c r="S55" s="35">
        <f t="shared" si="28"/>
        <v>42129482</v>
      </c>
      <c r="T55" s="163">
        <v>0</v>
      </c>
      <c r="U55" s="163">
        <v>42129482</v>
      </c>
      <c r="V55" s="163">
        <v>0</v>
      </c>
      <c r="W55" s="163">
        <v>0</v>
      </c>
      <c r="X55" s="35">
        <f t="shared" si="29"/>
        <v>42129482</v>
      </c>
      <c r="Y55" s="163">
        <v>0</v>
      </c>
      <c r="Z55" s="163">
        <v>42129482</v>
      </c>
      <c r="AA55" s="163">
        <v>0</v>
      </c>
      <c r="AB55" s="163">
        <v>0</v>
      </c>
      <c r="AC55" s="35">
        <f t="shared" si="30"/>
        <v>42129482</v>
      </c>
      <c r="AD55" s="163">
        <v>0</v>
      </c>
      <c r="AE55" s="163">
        <v>42129480</v>
      </c>
      <c r="AF55" s="163">
        <v>0</v>
      </c>
      <c r="AG55" s="163">
        <v>0</v>
      </c>
      <c r="AH55" s="35">
        <f t="shared" si="31"/>
        <v>42129480</v>
      </c>
      <c r="AI55" s="163">
        <v>0</v>
      </c>
      <c r="AJ55" s="163">
        <v>42129480</v>
      </c>
      <c r="AK55" s="163">
        <v>0</v>
      </c>
      <c r="AL55" s="163">
        <v>0</v>
      </c>
      <c r="AM55" s="35">
        <f t="shared" si="32"/>
        <v>42129480</v>
      </c>
      <c r="AN55" s="163">
        <v>0</v>
      </c>
      <c r="AO55" s="163">
        <v>42129479</v>
      </c>
      <c r="AP55" s="163">
        <v>0</v>
      </c>
      <c r="AQ55" s="163">
        <v>0</v>
      </c>
      <c r="AR55" s="35">
        <f t="shared" si="33"/>
        <v>42129479</v>
      </c>
      <c r="AS55" s="163">
        <v>0</v>
      </c>
      <c r="AT55" s="163">
        <v>42129479</v>
      </c>
      <c r="AU55" s="163">
        <v>0</v>
      </c>
      <c r="AV55" s="163">
        <v>0</v>
      </c>
      <c r="AW55" s="35">
        <f t="shared" si="34"/>
        <v>42129479</v>
      </c>
      <c r="AX55" s="163">
        <v>0</v>
      </c>
      <c r="AY55" s="163">
        <v>42129478</v>
      </c>
      <c r="AZ55" s="163">
        <v>0</v>
      </c>
      <c r="BA55" s="163">
        <v>0</v>
      </c>
      <c r="BB55" s="35">
        <f t="shared" si="35"/>
        <v>42129478</v>
      </c>
      <c r="BC55" s="163">
        <v>0</v>
      </c>
      <c r="BD55" s="163">
        <v>42129477</v>
      </c>
      <c r="BE55" s="163">
        <v>0</v>
      </c>
      <c r="BF55" s="163">
        <v>0</v>
      </c>
      <c r="BG55" s="35">
        <f t="shared" si="36"/>
        <v>42129477</v>
      </c>
      <c r="BH55" s="163">
        <v>0</v>
      </c>
      <c r="BI55" s="163">
        <v>42129475</v>
      </c>
      <c r="BJ55" s="163">
        <v>0</v>
      </c>
      <c r="BK55" s="163">
        <v>0</v>
      </c>
      <c r="BL55" s="35">
        <f t="shared" si="37"/>
        <v>42129475</v>
      </c>
      <c r="BM55" s="163">
        <v>0</v>
      </c>
      <c r="BN55" s="163">
        <v>42129475</v>
      </c>
      <c r="BO55" s="163">
        <v>0</v>
      </c>
      <c r="BP55" s="163">
        <v>0</v>
      </c>
      <c r="BQ55" s="35">
        <f>SUM(BM55:BP55)</f>
        <v>42129475</v>
      </c>
      <c r="BR55" s="163">
        <f t="shared" si="39"/>
        <v>0</v>
      </c>
      <c r="BS55" s="163">
        <f t="shared" si="39"/>
        <v>505553753</v>
      </c>
      <c r="BT55" s="163">
        <f t="shared" si="39"/>
        <v>0</v>
      </c>
      <c r="BU55" s="163">
        <f>+M55+R55+W55+AB55+AG55+AL55+AQ55+AV55+BA55+BF55+BK55+BP55</f>
        <v>0</v>
      </c>
      <c r="BV55" s="35">
        <f t="shared" si="40"/>
        <v>505553753</v>
      </c>
      <c r="BW55" s="8"/>
      <c r="BX55" s="165">
        <f t="shared" si="15"/>
        <v>100</v>
      </c>
      <c r="BY55" s="1"/>
    </row>
    <row r="56" spans="1:78" x14ac:dyDescent="0.2">
      <c r="A56" s="159" t="s">
        <v>226</v>
      </c>
      <c r="B56" s="184"/>
      <c r="C56" s="137"/>
      <c r="D56" s="180"/>
      <c r="E56" s="163">
        <v>0</v>
      </c>
      <c r="F56" s="163">
        <v>13166793</v>
      </c>
      <c r="G56" s="163">
        <v>0</v>
      </c>
      <c r="H56" s="163">
        <v>0</v>
      </c>
      <c r="I56" s="35">
        <f t="shared" si="24"/>
        <v>13166793</v>
      </c>
      <c r="J56" s="162">
        <v>0</v>
      </c>
      <c r="K56" s="163">
        <v>0</v>
      </c>
      <c r="L56" s="163">
        <v>0</v>
      </c>
      <c r="M56" s="163">
        <v>0</v>
      </c>
      <c r="N56" s="35">
        <f t="shared" si="27"/>
        <v>0</v>
      </c>
      <c r="O56" s="163">
        <v>0</v>
      </c>
      <c r="P56" s="163">
        <v>0</v>
      </c>
      <c r="Q56" s="163">
        <v>0</v>
      </c>
      <c r="R56" s="163">
        <v>0</v>
      </c>
      <c r="S56" s="35">
        <f t="shared" si="28"/>
        <v>0</v>
      </c>
      <c r="T56" s="163">
        <v>0</v>
      </c>
      <c r="U56" s="163">
        <v>0</v>
      </c>
      <c r="V56" s="163">
        <v>0</v>
      </c>
      <c r="W56" s="163">
        <v>0</v>
      </c>
      <c r="X56" s="35">
        <f t="shared" si="29"/>
        <v>0</v>
      </c>
      <c r="Y56" s="163">
        <v>0</v>
      </c>
      <c r="Z56" s="163">
        <v>0</v>
      </c>
      <c r="AA56" s="163">
        <v>0</v>
      </c>
      <c r="AB56" s="163">
        <v>0</v>
      </c>
      <c r="AC56" s="35">
        <f t="shared" si="30"/>
        <v>0</v>
      </c>
      <c r="AD56" s="163">
        <v>0</v>
      </c>
      <c r="AE56" s="163">
        <v>4388928</v>
      </c>
      <c r="AF56" s="163">
        <v>0</v>
      </c>
      <c r="AG56" s="163">
        <v>0</v>
      </c>
      <c r="AH56" s="35">
        <f t="shared" si="31"/>
        <v>4388928</v>
      </c>
      <c r="AI56" s="163">
        <v>0</v>
      </c>
      <c r="AJ56" s="163">
        <v>0</v>
      </c>
      <c r="AK56" s="163">
        <v>0</v>
      </c>
      <c r="AL56" s="163">
        <v>0</v>
      </c>
      <c r="AM56" s="35">
        <f t="shared" si="32"/>
        <v>0</v>
      </c>
      <c r="AN56" s="163">
        <v>0</v>
      </c>
      <c r="AO56" s="163">
        <v>0</v>
      </c>
      <c r="AP56" s="163">
        <v>0</v>
      </c>
      <c r="AQ56" s="163">
        <v>0</v>
      </c>
      <c r="AR56" s="35">
        <f t="shared" si="33"/>
        <v>0</v>
      </c>
      <c r="AS56" s="163">
        <v>0</v>
      </c>
      <c r="AT56" s="163">
        <v>0</v>
      </c>
      <c r="AU56" s="163">
        <v>0</v>
      </c>
      <c r="AV56" s="163">
        <v>0</v>
      </c>
      <c r="AW56" s="35">
        <f t="shared" si="34"/>
        <v>0</v>
      </c>
      <c r="AX56" s="163">
        <v>0</v>
      </c>
      <c r="AY56" s="163">
        <v>4388931</v>
      </c>
      <c r="AZ56" s="163">
        <v>0</v>
      </c>
      <c r="BA56" s="163">
        <v>0</v>
      </c>
      <c r="BB56" s="35">
        <f t="shared" si="35"/>
        <v>4388931</v>
      </c>
      <c r="BC56" s="163">
        <v>0</v>
      </c>
      <c r="BD56" s="163">
        <v>0</v>
      </c>
      <c r="BE56" s="163">
        <v>0</v>
      </c>
      <c r="BF56" s="163">
        <v>0</v>
      </c>
      <c r="BG56" s="35">
        <f t="shared" si="36"/>
        <v>0</v>
      </c>
      <c r="BH56" s="163">
        <v>0</v>
      </c>
      <c r="BI56" s="163">
        <v>0</v>
      </c>
      <c r="BJ56" s="163">
        <v>0</v>
      </c>
      <c r="BK56" s="163">
        <v>0</v>
      </c>
      <c r="BL56" s="35">
        <f t="shared" si="37"/>
        <v>0</v>
      </c>
      <c r="BM56" s="163">
        <v>0</v>
      </c>
      <c r="BN56" s="163">
        <v>4388934</v>
      </c>
      <c r="BO56" s="163">
        <v>0</v>
      </c>
      <c r="BP56" s="163">
        <v>0</v>
      </c>
      <c r="BQ56" s="35">
        <f t="shared" si="38"/>
        <v>4388934</v>
      </c>
      <c r="BR56" s="163">
        <f t="shared" si="39"/>
        <v>0</v>
      </c>
      <c r="BS56" s="163">
        <f t="shared" si="39"/>
        <v>13166793</v>
      </c>
      <c r="BT56" s="163">
        <f t="shared" si="39"/>
        <v>0</v>
      </c>
      <c r="BU56" s="163">
        <f>+M56+R56+W56+AB56+AG56+AL56+AQ56+AV56+BA56+BF56+BK56+BP56</f>
        <v>0</v>
      </c>
      <c r="BV56" s="35">
        <f t="shared" si="40"/>
        <v>13166793</v>
      </c>
      <c r="BW56" s="8"/>
      <c r="BX56" s="165">
        <f t="shared" si="15"/>
        <v>100</v>
      </c>
    </row>
    <row r="57" spans="1:78" ht="12" customHeight="1" x14ac:dyDescent="0.2">
      <c r="A57" s="159" t="s">
        <v>227</v>
      </c>
      <c r="B57" s="184"/>
      <c r="C57" s="137"/>
      <c r="D57" s="178" t="s">
        <v>84</v>
      </c>
      <c r="E57" s="163">
        <v>0</v>
      </c>
      <c r="F57" s="163">
        <v>0</v>
      </c>
      <c r="G57" s="163">
        <v>0</v>
      </c>
      <c r="H57" s="163">
        <v>359535</v>
      </c>
      <c r="I57" s="35">
        <f t="shared" ref="I57:I67" si="41">SUM(E57:H57)</f>
        <v>359535</v>
      </c>
      <c r="J57" s="162">
        <v>0</v>
      </c>
      <c r="K57" s="163">
        <v>0</v>
      </c>
      <c r="L57" s="163">
        <v>0</v>
      </c>
      <c r="M57" s="163">
        <f>-[48]original!$G$40</f>
        <v>131872</v>
      </c>
      <c r="N57" s="35">
        <f t="shared" si="27"/>
        <v>131872</v>
      </c>
      <c r="O57" s="163">
        <v>0</v>
      </c>
      <c r="P57" s="163">
        <v>0</v>
      </c>
      <c r="Q57" s="163">
        <v>0</v>
      </c>
      <c r="R57" s="163">
        <f>-[49]original!$H$40</f>
        <v>83878</v>
      </c>
      <c r="S57" s="35">
        <f>SUM(O57:R57)</f>
        <v>83878</v>
      </c>
      <c r="T57" s="163">
        <v>0</v>
      </c>
      <c r="U57" s="163">
        <v>0</v>
      </c>
      <c r="V57" s="163">
        <v>0</v>
      </c>
      <c r="W57" s="163">
        <f>-[50]original!$I$40</f>
        <v>23306</v>
      </c>
      <c r="X57" s="35">
        <f t="shared" si="29"/>
        <v>23306</v>
      </c>
      <c r="Y57" s="163">
        <v>0</v>
      </c>
      <c r="Z57" s="163">
        <v>0</v>
      </c>
      <c r="AA57" s="163">
        <v>0</v>
      </c>
      <c r="AB57" s="163">
        <f>-[51]original!$J$40</f>
        <v>119906</v>
      </c>
      <c r="AC57" s="35">
        <f t="shared" si="30"/>
        <v>119906</v>
      </c>
      <c r="AD57" s="163">
        <v>0</v>
      </c>
      <c r="AE57" s="163">
        <v>0</v>
      </c>
      <c r="AF57" s="163">
        <v>0</v>
      </c>
      <c r="AG57" s="163">
        <f>-[52]original!$K$40</f>
        <v>230</v>
      </c>
      <c r="AH57" s="35">
        <f t="shared" ref="AH57:AH64" si="42">SUM(AD57:AG57)</f>
        <v>230</v>
      </c>
      <c r="AI57" s="163">
        <v>0</v>
      </c>
      <c r="AJ57" s="163">
        <v>0</v>
      </c>
      <c r="AK57" s="163">
        <v>0</v>
      </c>
      <c r="AL57" s="163">
        <f>-[53]original!$L$40</f>
        <v>21</v>
      </c>
      <c r="AM57" s="35">
        <f>SUM(AI57:AL57)</f>
        <v>21</v>
      </c>
      <c r="AN57" s="163">
        <v>0</v>
      </c>
      <c r="AO57" s="163">
        <v>0</v>
      </c>
      <c r="AP57" s="163">
        <v>0</v>
      </c>
      <c r="AQ57" s="163">
        <f>-[54]original!$M$40</f>
        <v>30</v>
      </c>
      <c r="AR57" s="35">
        <f t="shared" si="33"/>
        <v>30</v>
      </c>
      <c r="AS57" s="163">
        <v>0</v>
      </c>
      <c r="AT57" s="163">
        <v>0</v>
      </c>
      <c r="AU57" s="163">
        <v>0</v>
      </c>
      <c r="AV57" s="163">
        <f>-[55]original!$N$40</f>
        <v>1363</v>
      </c>
      <c r="AW57" s="35">
        <f t="shared" si="34"/>
        <v>1363</v>
      </c>
      <c r="AX57" s="163">
        <v>0</v>
      </c>
      <c r="AY57" s="163">
        <v>0</v>
      </c>
      <c r="AZ57" s="163">
        <v>0</v>
      </c>
      <c r="BA57" s="163">
        <f>-[44]original!$O$40</f>
        <v>107525</v>
      </c>
      <c r="BB57" s="35">
        <f>SUM(AX57:BA57)</f>
        <v>107525</v>
      </c>
      <c r="BC57" s="163">
        <v>0</v>
      </c>
      <c r="BD57" s="163">
        <v>0</v>
      </c>
      <c r="BE57" s="163">
        <v>0</v>
      </c>
      <c r="BF57" s="163">
        <f>-[45]original!$P$40</f>
        <v>298</v>
      </c>
      <c r="BG57" s="35">
        <f t="shared" si="36"/>
        <v>298</v>
      </c>
      <c r="BH57" s="163">
        <v>0</v>
      </c>
      <c r="BI57" s="163">
        <v>0</v>
      </c>
      <c r="BJ57" s="163">
        <v>0</v>
      </c>
      <c r="BK57" s="163">
        <f>-[46]original!$Q$40</f>
        <v>0</v>
      </c>
      <c r="BL57" s="35">
        <f t="shared" si="37"/>
        <v>0</v>
      </c>
      <c r="BM57" s="163">
        <f>SUM(BI57:BL57)</f>
        <v>0</v>
      </c>
      <c r="BN57" s="163">
        <f>SUM(BJ57:BM57)</f>
        <v>0</v>
      </c>
      <c r="BO57" s="163">
        <f>SUM(BK57:BN57)</f>
        <v>0</v>
      </c>
      <c r="BP57" s="163">
        <f>-[47]original!$R$40</f>
        <v>39</v>
      </c>
      <c r="BQ57" s="35">
        <f t="shared" si="38"/>
        <v>39</v>
      </c>
      <c r="BR57" s="163">
        <f t="shared" si="39"/>
        <v>0</v>
      </c>
      <c r="BS57" s="163">
        <f t="shared" si="39"/>
        <v>0</v>
      </c>
      <c r="BT57" s="163">
        <f t="shared" si="39"/>
        <v>0</v>
      </c>
      <c r="BU57" s="163">
        <f>+M57+R57+W57+AB57+AG57+AL57+AQ57+AV57+BA57+BF57+BK57+BP57</f>
        <v>468468</v>
      </c>
      <c r="BV57" s="35">
        <f t="shared" si="40"/>
        <v>468468</v>
      </c>
      <c r="BW57" s="8"/>
      <c r="BX57" s="165">
        <f>(BV57/I57)*100</f>
        <v>130.29830197338228</v>
      </c>
    </row>
    <row r="58" spans="1:78" hidden="1" x14ac:dyDescent="0.2">
      <c r="A58" s="159" t="s">
        <v>228</v>
      </c>
      <c r="B58" s="184"/>
      <c r="C58" s="137"/>
      <c r="D58" s="178" t="s">
        <v>84</v>
      </c>
      <c r="E58" s="163">
        <v>0</v>
      </c>
      <c r="F58" s="163">
        <v>0</v>
      </c>
      <c r="G58" s="163">
        <v>0</v>
      </c>
      <c r="H58" s="163">
        <v>0</v>
      </c>
      <c r="I58" s="35">
        <f t="shared" si="41"/>
        <v>0</v>
      </c>
      <c r="J58" s="162">
        <v>0</v>
      </c>
      <c r="K58" s="163">
        <v>0</v>
      </c>
      <c r="L58" s="163">
        <v>0</v>
      </c>
      <c r="M58" s="163">
        <v>13500000</v>
      </c>
      <c r="N58" s="35">
        <f t="shared" si="27"/>
        <v>13500000</v>
      </c>
      <c r="O58" s="163">
        <v>0</v>
      </c>
      <c r="P58" s="163">
        <v>0</v>
      </c>
      <c r="Q58" s="163">
        <v>0</v>
      </c>
      <c r="R58" s="163">
        <v>0</v>
      </c>
      <c r="S58" s="35">
        <f t="shared" si="28"/>
        <v>0</v>
      </c>
      <c r="T58" s="163">
        <v>0</v>
      </c>
      <c r="U58" s="163">
        <v>0</v>
      </c>
      <c r="V58" s="163">
        <v>0</v>
      </c>
      <c r="W58" s="163">
        <v>0</v>
      </c>
      <c r="X58" s="35">
        <f t="shared" si="29"/>
        <v>0</v>
      </c>
      <c r="Y58" s="163">
        <v>0</v>
      </c>
      <c r="Z58" s="163">
        <v>0</v>
      </c>
      <c r="AA58" s="163">
        <v>0</v>
      </c>
      <c r="AB58" s="163">
        <v>0</v>
      </c>
      <c r="AC58" s="35">
        <f t="shared" si="30"/>
        <v>0</v>
      </c>
      <c r="AD58" s="163">
        <v>0</v>
      </c>
      <c r="AE58" s="163">
        <v>0</v>
      </c>
      <c r="AF58" s="163">
        <v>0</v>
      </c>
      <c r="AG58" s="163">
        <v>0</v>
      </c>
      <c r="AH58" s="35">
        <f t="shared" si="42"/>
        <v>0</v>
      </c>
      <c r="AI58" s="163">
        <v>0</v>
      </c>
      <c r="AJ58" s="163">
        <v>0</v>
      </c>
      <c r="AK58" s="163">
        <v>0</v>
      </c>
      <c r="AL58" s="163">
        <v>-13500000</v>
      </c>
      <c r="AM58" s="35">
        <f t="shared" si="32"/>
        <v>-13500000</v>
      </c>
      <c r="AN58" s="163">
        <v>0</v>
      </c>
      <c r="AO58" s="163">
        <v>0</v>
      </c>
      <c r="AP58" s="163">
        <v>0</v>
      </c>
      <c r="AQ58" s="163">
        <v>0</v>
      </c>
      <c r="AR58" s="35">
        <f t="shared" si="33"/>
        <v>0</v>
      </c>
      <c r="AS58" s="163">
        <f>SUM(AO58:AR58)</f>
        <v>0</v>
      </c>
      <c r="AT58" s="163">
        <v>0</v>
      </c>
      <c r="AU58" s="163">
        <v>0</v>
      </c>
      <c r="AV58" s="163">
        <v>0</v>
      </c>
      <c r="AW58" s="35">
        <f t="shared" si="34"/>
        <v>0</v>
      </c>
      <c r="AX58" s="163"/>
      <c r="AY58" s="163"/>
      <c r="AZ58" s="163"/>
      <c r="BA58" s="163"/>
      <c r="BB58" s="35">
        <f t="shared" si="35"/>
        <v>0</v>
      </c>
      <c r="BC58" s="163">
        <v>0</v>
      </c>
      <c r="BD58" s="163">
        <v>0</v>
      </c>
      <c r="BE58" s="163">
        <v>0</v>
      </c>
      <c r="BF58" s="163">
        <v>0</v>
      </c>
      <c r="BG58" s="35">
        <f t="shared" si="36"/>
        <v>0</v>
      </c>
      <c r="BH58" s="163">
        <v>0</v>
      </c>
      <c r="BI58" s="163">
        <v>0</v>
      </c>
      <c r="BJ58" s="163">
        <v>0</v>
      </c>
      <c r="BK58" s="163">
        <v>0</v>
      </c>
      <c r="BL58" s="35">
        <f t="shared" si="37"/>
        <v>0</v>
      </c>
      <c r="BM58" s="163">
        <v>0</v>
      </c>
      <c r="BN58" s="163">
        <v>0</v>
      </c>
      <c r="BO58" s="163">
        <v>0</v>
      </c>
      <c r="BP58" s="163">
        <v>0</v>
      </c>
      <c r="BQ58" s="35">
        <f t="shared" si="38"/>
        <v>0</v>
      </c>
      <c r="BR58" s="163">
        <f t="shared" si="39"/>
        <v>0</v>
      </c>
      <c r="BS58" s="163">
        <f t="shared" si="39"/>
        <v>0</v>
      </c>
      <c r="BT58" s="163">
        <f t="shared" si="39"/>
        <v>0</v>
      </c>
      <c r="BU58" s="163">
        <f t="shared" si="39"/>
        <v>0</v>
      </c>
      <c r="BV58" s="35">
        <f t="shared" ref="BV58:BV63" si="43">SUM(BR58:BU58)</f>
        <v>0</v>
      </c>
      <c r="BW58" s="8"/>
      <c r="BX58" s="165">
        <v>0</v>
      </c>
    </row>
    <row r="59" spans="1:78" hidden="1" x14ac:dyDescent="0.2">
      <c r="A59" s="159" t="s">
        <v>229</v>
      </c>
      <c r="B59" s="184"/>
      <c r="C59" s="137"/>
      <c r="D59" s="178" t="s">
        <v>84</v>
      </c>
      <c r="E59" s="163">
        <v>0</v>
      </c>
      <c r="F59" s="163">
        <v>0</v>
      </c>
      <c r="G59" s="163">
        <v>0</v>
      </c>
      <c r="H59" s="163">
        <v>0</v>
      </c>
      <c r="I59" s="35">
        <f t="shared" si="41"/>
        <v>0</v>
      </c>
      <c r="J59" s="162">
        <v>0</v>
      </c>
      <c r="K59" s="163">
        <v>0</v>
      </c>
      <c r="L59" s="163">
        <v>0</v>
      </c>
      <c r="M59" s="163">
        <v>0</v>
      </c>
      <c r="N59" s="35">
        <f t="shared" si="27"/>
        <v>0</v>
      </c>
      <c r="O59" s="163">
        <v>0</v>
      </c>
      <c r="P59" s="163">
        <v>0</v>
      </c>
      <c r="Q59" s="163">
        <v>0</v>
      </c>
      <c r="R59" s="163">
        <v>0</v>
      </c>
      <c r="S59" s="35">
        <f>SUM(O59:R59)</f>
        <v>0</v>
      </c>
      <c r="T59" s="163">
        <v>0</v>
      </c>
      <c r="U59" s="163">
        <v>0</v>
      </c>
      <c r="V59" s="163">
        <v>0</v>
      </c>
      <c r="W59" s="163">
        <v>0</v>
      </c>
      <c r="X59" s="35">
        <f t="shared" si="29"/>
        <v>0</v>
      </c>
      <c r="Y59" s="163">
        <v>0</v>
      </c>
      <c r="Z59" s="163">
        <v>0</v>
      </c>
      <c r="AA59" s="163">
        <v>0</v>
      </c>
      <c r="AB59" s="163">
        <v>0</v>
      </c>
      <c r="AC59" s="35">
        <f>SUM(Y59:AB59)</f>
        <v>0</v>
      </c>
      <c r="AD59" s="163">
        <f>SUM(AD60:AD63)</f>
        <v>0</v>
      </c>
      <c r="AE59" s="163">
        <f>SUM(AE60:AE63)</f>
        <v>0</v>
      </c>
      <c r="AF59" s="163">
        <f>SUM(AF60:AF63)</f>
        <v>0</v>
      </c>
      <c r="AG59" s="163">
        <f>SUM(AG60:AG63)</f>
        <v>3800000</v>
      </c>
      <c r="AH59" s="35">
        <f t="shared" si="42"/>
        <v>3800000</v>
      </c>
      <c r="AI59" s="163">
        <f>SUM(AI60:AI63)</f>
        <v>0</v>
      </c>
      <c r="AJ59" s="163">
        <f>SUM(AJ60:AJ63)</f>
        <v>0</v>
      </c>
      <c r="AK59" s="163">
        <f>SUM(AK60:AK63)</f>
        <v>0</v>
      </c>
      <c r="AL59" s="163">
        <f>SUM(AL60:AL63)</f>
        <v>3800000</v>
      </c>
      <c r="AM59" s="35">
        <f>SUM(AI59:AL59)</f>
        <v>3800000</v>
      </c>
      <c r="AN59" s="163">
        <f>SUM(AN60:AN63)</f>
        <v>0</v>
      </c>
      <c r="AO59" s="163">
        <f>SUM(AO60:AO63)</f>
        <v>0</v>
      </c>
      <c r="AP59" s="163">
        <f>SUM(AP60:AP63)</f>
        <v>0</v>
      </c>
      <c r="AQ59" s="163">
        <f>SUM(AQ60:AQ63)</f>
        <v>2100000</v>
      </c>
      <c r="AR59" s="35">
        <f t="shared" si="33"/>
        <v>2100000</v>
      </c>
      <c r="AS59" s="163">
        <f>SUM(AS60:AS63)</f>
        <v>0</v>
      </c>
      <c r="AT59" s="163">
        <f>SUM(AT60:AT63)</f>
        <v>0</v>
      </c>
      <c r="AU59" s="163">
        <f>SUM(AU60:AU63)</f>
        <v>0</v>
      </c>
      <c r="AV59" s="163">
        <f>SUM(AV60:AV63)</f>
        <v>0</v>
      </c>
      <c r="AW59" s="35">
        <f t="shared" si="34"/>
        <v>0</v>
      </c>
      <c r="AX59" s="163">
        <f>SUM(AX60:AX63)</f>
        <v>0</v>
      </c>
      <c r="AY59" s="163">
        <f>SUM(AY60:AY63)</f>
        <v>0</v>
      </c>
      <c r="AZ59" s="163">
        <f>SUM(AZ60:AZ63)</f>
        <v>0</v>
      </c>
      <c r="BA59" s="163">
        <f>SUM(BA60:BA63)</f>
        <v>0</v>
      </c>
      <c r="BB59" s="35">
        <f t="shared" si="35"/>
        <v>0</v>
      </c>
      <c r="BC59" s="163">
        <f>SUM(BC60:BC63)</f>
        <v>0</v>
      </c>
      <c r="BD59" s="163">
        <f>SUM(BD60:BD63)</f>
        <v>0</v>
      </c>
      <c r="BE59" s="163">
        <f>SUM(BE60:BE63)</f>
        <v>0</v>
      </c>
      <c r="BF59" s="163">
        <f>SUM(BF60:BF63)</f>
        <v>-9700000</v>
      </c>
      <c r="BG59" s="35">
        <f t="shared" si="36"/>
        <v>-9700000</v>
      </c>
      <c r="BH59" s="163">
        <f>SUM(BH60:BH63)</f>
        <v>0</v>
      </c>
      <c r="BI59" s="163">
        <f>SUM(BI60:BI63)</f>
        <v>0</v>
      </c>
      <c r="BJ59" s="163">
        <f>SUM(BJ60:BJ63)</f>
        <v>0</v>
      </c>
      <c r="BK59" s="163">
        <f>SUM(BK60:BK63)</f>
        <v>0</v>
      </c>
      <c r="BL59" s="35">
        <f t="shared" si="37"/>
        <v>0</v>
      </c>
      <c r="BM59" s="163">
        <f>SUM(BM60:BM63)</f>
        <v>0</v>
      </c>
      <c r="BN59" s="163">
        <f>SUM(BN60:BN63)</f>
        <v>0</v>
      </c>
      <c r="BO59" s="163">
        <f>SUM(BO60:BO63)</f>
        <v>0</v>
      </c>
      <c r="BP59" s="163">
        <f>SUM(BP60:BP63)</f>
        <v>0</v>
      </c>
      <c r="BQ59" s="35">
        <f t="shared" si="38"/>
        <v>0</v>
      </c>
      <c r="BR59" s="163">
        <f t="shared" si="39"/>
        <v>0</v>
      </c>
      <c r="BS59" s="163">
        <f t="shared" si="39"/>
        <v>0</v>
      </c>
      <c r="BT59" s="163">
        <f t="shared" si="39"/>
        <v>0</v>
      </c>
      <c r="BU59" s="163">
        <f t="shared" si="39"/>
        <v>0</v>
      </c>
      <c r="BV59" s="35">
        <f t="shared" si="43"/>
        <v>0</v>
      </c>
      <c r="BW59" s="8"/>
      <c r="BX59" s="165">
        <v>0</v>
      </c>
    </row>
    <row r="60" spans="1:78" hidden="1" x14ac:dyDescent="0.2">
      <c r="A60" s="186" t="s">
        <v>230</v>
      </c>
      <c r="B60" s="184"/>
      <c r="C60" s="137"/>
      <c r="D60" s="178"/>
      <c r="E60" s="163">
        <v>0</v>
      </c>
      <c r="F60" s="163">
        <v>0</v>
      </c>
      <c r="G60" s="163">
        <v>0</v>
      </c>
      <c r="H60" s="163">
        <v>0</v>
      </c>
      <c r="I60" s="35">
        <f>SUM(E60:H60)</f>
        <v>0</v>
      </c>
      <c r="J60" s="162">
        <v>0</v>
      </c>
      <c r="K60" s="163">
        <v>0</v>
      </c>
      <c r="L60" s="163">
        <v>0</v>
      </c>
      <c r="M60" s="163">
        <v>0</v>
      </c>
      <c r="N60" s="35">
        <f t="shared" si="27"/>
        <v>0</v>
      </c>
      <c r="O60" s="163">
        <v>0</v>
      </c>
      <c r="P60" s="163">
        <v>0</v>
      </c>
      <c r="Q60" s="163">
        <v>0</v>
      </c>
      <c r="R60" s="163">
        <v>0</v>
      </c>
      <c r="S60" s="35">
        <f>SUM(O60:R60)</f>
        <v>0</v>
      </c>
      <c r="T60" s="163">
        <v>0</v>
      </c>
      <c r="U60" s="163">
        <v>0</v>
      </c>
      <c r="V60" s="163">
        <v>0</v>
      </c>
      <c r="W60" s="163">
        <v>0</v>
      </c>
      <c r="X60" s="35">
        <f t="shared" si="29"/>
        <v>0</v>
      </c>
      <c r="Y60" s="163">
        <v>0</v>
      </c>
      <c r="Z60" s="163">
        <v>0</v>
      </c>
      <c r="AA60" s="163">
        <v>0</v>
      </c>
      <c r="AB60" s="163">
        <v>0</v>
      </c>
      <c r="AC60" s="35">
        <f>SUM(Y60:AB60)</f>
        <v>0</v>
      </c>
      <c r="AD60" s="189">
        <v>0</v>
      </c>
      <c r="AE60" s="189">
        <v>0</v>
      </c>
      <c r="AF60" s="189">
        <v>0</v>
      </c>
      <c r="AG60" s="189">
        <v>2000000</v>
      </c>
      <c r="AH60" s="61">
        <f t="shared" si="42"/>
        <v>2000000</v>
      </c>
      <c r="AI60" s="163">
        <v>0</v>
      </c>
      <c r="AJ60" s="163">
        <v>0</v>
      </c>
      <c r="AK60" s="163">
        <v>0</v>
      </c>
      <c r="AL60" s="189">
        <v>3500000</v>
      </c>
      <c r="AM60" s="61">
        <f>SUM(AI60:AL60)</f>
        <v>3500000</v>
      </c>
      <c r="AN60" s="163">
        <v>0</v>
      </c>
      <c r="AO60" s="163">
        <v>0</v>
      </c>
      <c r="AP60" s="163">
        <v>0</v>
      </c>
      <c r="AQ60" s="163">
        <v>0</v>
      </c>
      <c r="AR60" s="35">
        <f t="shared" si="33"/>
        <v>0</v>
      </c>
      <c r="AS60" s="163">
        <f>SUM(AO60:AR60)</f>
        <v>0</v>
      </c>
      <c r="AT60" s="163">
        <v>0</v>
      </c>
      <c r="AU60" s="163">
        <v>0</v>
      </c>
      <c r="AV60" s="163">
        <v>0</v>
      </c>
      <c r="AW60" s="35">
        <f t="shared" si="34"/>
        <v>0</v>
      </c>
      <c r="AX60" s="163">
        <v>0</v>
      </c>
      <c r="AY60" s="163">
        <v>0</v>
      </c>
      <c r="AZ60" s="163">
        <v>0</v>
      </c>
      <c r="BA60" s="163">
        <v>0</v>
      </c>
      <c r="BB60" s="35">
        <f t="shared" si="35"/>
        <v>0</v>
      </c>
      <c r="BC60" s="163">
        <v>0</v>
      </c>
      <c r="BD60" s="163">
        <v>0</v>
      </c>
      <c r="BE60" s="163">
        <v>0</v>
      </c>
      <c r="BF60" s="163">
        <v>-5500000</v>
      </c>
      <c r="BG60" s="35">
        <f t="shared" si="36"/>
        <v>-5500000</v>
      </c>
      <c r="BH60" s="163">
        <v>0</v>
      </c>
      <c r="BI60" s="163">
        <v>0</v>
      </c>
      <c r="BJ60" s="163">
        <v>0</v>
      </c>
      <c r="BK60" s="163">
        <v>0</v>
      </c>
      <c r="BL60" s="35">
        <f t="shared" si="37"/>
        <v>0</v>
      </c>
      <c r="BM60" s="163">
        <v>0</v>
      </c>
      <c r="BN60" s="163">
        <v>0</v>
      </c>
      <c r="BO60" s="163">
        <v>0</v>
      </c>
      <c r="BP60" s="163">
        <v>0</v>
      </c>
      <c r="BQ60" s="35">
        <f t="shared" si="38"/>
        <v>0</v>
      </c>
      <c r="BR60" s="189">
        <f t="shared" si="39"/>
        <v>0</v>
      </c>
      <c r="BS60" s="189">
        <f t="shared" si="39"/>
        <v>0</v>
      </c>
      <c r="BT60" s="189">
        <f t="shared" si="39"/>
        <v>0</v>
      </c>
      <c r="BU60" s="189">
        <f>+M60+R60+W60+AB60+AG60+AL60+AQ60+AV60+BA60+BF60+BK60+BP60</f>
        <v>0</v>
      </c>
      <c r="BV60" s="61">
        <f t="shared" si="43"/>
        <v>0</v>
      </c>
      <c r="BW60" s="8"/>
      <c r="BX60" s="165">
        <v>0</v>
      </c>
    </row>
    <row r="61" spans="1:78" hidden="1" x14ac:dyDescent="0.2">
      <c r="A61" s="186" t="s">
        <v>231</v>
      </c>
      <c r="B61" s="184"/>
      <c r="C61" s="137"/>
      <c r="D61" s="178"/>
      <c r="E61" s="163">
        <v>0</v>
      </c>
      <c r="F61" s="163">
        <v>0</v>
      </c>
      <c r="G61" s="163">
        <v>0</v>
      </c>
      <c r="H61" s="163">
        <v>0</v>
      </c>
      <c r="I61" s="35">
        <f>SUM(E61:H61)</f>
        <v>0</v>
      </c>
      <c r="J61" s="162">
        <v>0</v>
      </c>
      <c r="K61" s="163">
        <v>0</v>
      </c>
      <c r="L61" s="163">
        <v>0</v>
      </c>
      <c r="M61" s="163">
        <v>0</v>
      </c>
      <c r="N61" s="35">
        <f t="shared" si="27"/>
        <v>0</v>
      </c>
      <c r="O61" s="163">
        <v>0</v>
      </c>
      <c r="P61" s="163">
        <v>0</v>
      </c>
      <c r="Q61" s="163">
        <v>0</v>
      </c>
      <c r="R61" s="163">
        <v>0</v>
      </c>
      <c r="S61" s="35">
        <f>SUM(O61:R61)</f>
        <v>0</v>
      </c>
      <c r="T61" s="163">
        <v>0</v>
      </c>
      <c r="U61" s="163">
        <v>0</v>
      </c>
      <c r="V61" s="163">
        <v>0</v>
      </c>
      <c r="W61" s="163">
        <v>0</v>
      </c>
      <c r="X61" s="35">
        <f t="shared" si="29"/>
        <v>0</v>
      </c>
      <c r="Y61" s="163">
        <v>0</v>
      </c>
      <c r="Z61" s="163">
        <v>0</v>
      </c>
      <c r="AA61" s="163">
        <v>0</v>
      </c>
      <c r="AB61" s="163">
        <v>0</v>
      </c>
      <c r="AC61" s="35">
        <f>SUM(Y61:AB61)</f>
        <v>0</v>
      </c>
      <c r="AD61" s="189">
        <v>0</v>
      </c>
      <c r="AE61" s="189">
        <v>0</v>
      </c>
      <c r="AF61" s="189">
        <v>0</v>
      </c>
      <c r="AG61" s="189">
        <v>0</v>
      </c>
      <c r="AH61" s="61">
        <f t="shared" si="42"/>
        <v>0</v>
      </c>
      <c r="AI61" s="163">
        <v>0</v>
      </c>
      <c r="AJ61" s="163">
        <v>0</v>
      </c>
      <c r="AK61" s="163">
        <v>0</v>
      </c>
      <c r="AL61" s="163">
        <v>300000</v>
      </c>
      <c r="AM61" s="35">
        <f>SUM(AI61:AL61)</f>
        <v>300000</v>
      </c>
      <c r="AN61" s="163">
        <v>0</v>
      </c>
      <c r="AO61" s="163">
        <v>0</v>
      </c>
      <c r="AP61" s="163">
        <v>0</v>
      </c>
      <c r="AQ61" s="163">
        <v>0</v>
      </c>
      <c r="AR61" s="35">
        <f t="shared" si="33"/>
        <v>0</v>
      </c>
      <c r="AS61" s="163">
        <f>SUM(AO61:AR61)</f>
        <v>0</v>
      </c>
      <c r="AT61" s="163">
        <v>0</v>
      </c>
      <c r="AU61" s="163">
        <v>0</v>
      </c>
      <c r="AV61" s="163">
        <v>0</v>
      </c>
      <c r="AW61" s="35">
        <f t="shared" si="34"/>
        <v>0</v>
      </c>
      <c r="AX61" s="163">
        <v>0</v>
      </c>
      <c r="AY61" s="163">
        <v>0</v>
      </c>
      <c r="AZ61" s="163">
        <v>0</v>
      </c>
      <c r="BA61" s="163">
        <v>0</v>
      </c>
      <c r="BB61" s="35">
        <f t="shared" si="35"/>
        <v>0</v>
      </c>
      <c r="BC61" s="163">
        <v>0</v>
      </c>
      <c r="BD61" s="163">
        <v>0</v>
      </c>
      <c r="BE61" s="163">
        <v>0</v>
      </c>
      <c r="BF61" s="163">
        <v>-300000</v>
      </c>
      <c r="BG61" s="35">
        <f t="shared" si="36"/>
        <v>-300000</v>
      </c>
      <c r="BH61" s="163">
        <v>0</v>
      </c>
      <c r="BI61" s="163">
        <v>0</v>
      </c>
      <c r="BJ61" s="163">
        <v>0</v>
      </c>
      <c r="BK61" s="163">
        <v>0</v>
      </c>
      <c r="BL61" s="35">
        <f t="shared" si="37"/>
        <v>0</v>
      </c>
      <c r="BM61" s="163">
        <v>0</v>
      </c>
      <c r="BN61" s="163">
        <v>0</v>
      </c>
      <c r="BO61" s="163">
        <v>0</v>
      </c>
      <c r="BP61" s="163">
        <v>0</v>
      </c>
      <c r="BQ61" s="35">
        <f t="shared" si="38"/>
        <v>0</v>
      </c>
      <c r="BR61" s="189">
        <f t="shared" si="39"/>
        <v>0</v>
      </c>
      <c r="BS61" s="189">
        <f t="shared" si="39"/>
        <v>0</v>
      </c>
      <c r="BT61" s="189">
        <f t="shared" si="39"/>
        <v>0</v>
      </c>
      <c r="BU61" s="189">
        <f t="shared" si="39"/>
        <v>0</v>
      </c>
      <c r="BV61" s="61">
        <f t="shared" si="43"/>
        <v>0</v>
      </c>
      <c r="BW61" s="8"/>
      <c r="BX61" s="165">
        <v>0</v>
      </c>
    </row>
    <row r="62" spans="1:78" hidden="1" x14ac:dyDescent="0.2">
      <c r="A62" s="186" t="s">
        <v>232</v>
      </c>
      <c r="B62" s="184"/>
      <c r="C62" s="137"/>
      <c r="D62" s="178"/>
      <c r="E62" s="163">
        <v>0</v>
      </c>
      <c r="F62" s="163">
        <v>0</v>
      </c>
      <c r="G62" s="163">
        <v>0</v>
      </c>
      <c r="H62" s="163">
        <v>0</v>
      </c>
      <c r="I62" s="35">
        <f>SUM(E62:H62)</f>
        <v>0</v>
      </c>
      <c r="J62" s="162"/>
      <c r="K62" s="163"/>
      <c r="L62" s="163"/>
      <c r="M62" s="163"/>
      <c r="N62" s="35"/>
      <c r="O62" s="163"/>
      <c r="P62" s="163"/>
      <c r="Q62" s="163"/>
      <c r="R62" s="163"/>
      <c r="S62" s="35"/>
      <c r="T62" s="163"/>
      <c r="U62" s="163"/>
      <c r="V62" s="163"/>
      <c r="W62" s="163"/>
      <c r="X62" s="35"/>
      <c r="Y62" s="163"/>
      <c r="Z62" s="163"/>
      <c r="AA62" s="163"/>
      <c r="AB62" s="163"/>
      <c r="AC62" s="35"/>
      <c r="AD62" s="189">
        <v>0</v>
      </c>
      <c r="AE62" s="189">
        <v>0</v>
      </c>
      <c r="AF62" s="189">
        <v>0</v>
      </c>
      <c r="AG62" s="189">
        <v>1800000</v>
      </c>
      <c r="AH62" s="61">
        <f t="shared" si="42"/>
        <v>1800000</v>
      </c>
      <c r="AI62" s="163">
        <v>0</v>
      </c>
      <c r="AJ62" s="163">
        <v>0</v>
      </c>
      <c r="AK62" s="163">
        <v>0</v>
      </c>
      <c r="AL62" s="163">
        <v>0</v>
      </c>
      <c r="AM62" s="35">
        <f>SUM(AI62:AL62)</f>
        <v>0</v>
      </c>
      <c r="AN62" s="163">
        <v>0</v>
      </c>
      <c r="AO62" s="163">
        <v>0</v>
      </c>
      <c r="AP62" s="163">
        <v>0</v>
      </c>
      <c r="AQ62" s="163">
        <v>0</v>
      </c>
      <c r="AR62" s="35">
        <f t="shared" si="33"/>
        <v>0</v>
      </c>
      <c r="AS62" s="163">
        <f>SUM(AO62:AR62)</f>
        <v>0</v>
      </c>
      <c r="AT62" s="163">
        <v>0</v>
      </c>
      <c r="AU62" s="163">
        <v>0</v>
      </c>
      <c r="AV62" s="163">
        <v>0</v>
      </c>
      <c r="AW62" s="35">
        <f t="shared" si="34"/>
        <v>0</v>
      </c>
      <c r="AX62" s="163">
        <v>0</v>
      </c>
      <c r="AY62" s="163">
        <v>0</v>
      </c>
      <c r="AZ62" s="163">
        <v>0</v>
      </c>
      <c r="BA62" s="163">
        <v>0</v>
      </c>
      <c r="BB62" s="35">
        <f t="shared" si="35"/>
        <v>0</v>
      </c>
      <c r="BC62" s="163">
        <v>0</v>
      </c>
      <c r="BD62" s="163">
        <v>0</v>
      </c>
      <c r="BE62" s="163">
        <v>0</v>
      </c>
      <c r="BF62" s="163">
        <v>-1800000</v>
      </c>
      <c r="BG62" s="35">
        <f t="shared" si="36"/>
        <v>-1800000</v>
      </c>
      <c r="BH62" s="163">
        <v>0</v>
      </c>
      <c r="BI62" s="163">
        <v>0</v>
      </c>
      <c r="BJ62" s="163">
        <v>0</v>
      </c>
      <c r="BK62" s="163">
        <v>0</v>
      </c>
      <c r="BL62" s="35">
        <f t="shared" si="37"/>
        <v>0</v>
      </c>
      <c r="BM62" s="163">
        <v>0</v>
      </c>
      <c r="BN62" s="163">
        <v>0</v>
      </c>
      <c r="BO62" s="163">
        <v>0</v>
      </c>
      <c r="BP62" s="163">
        <v>0</v>
      </c>
      <c r="BQ62" s="35">
        <f t="shared" si="38"/>
        <v>0</v>
      </c>
      <c r="BR62" s="189">
        <f t="shared" si="39"/>
        <v>0</v>
      </c>
      <c r="BS62" s="189">
        <f t="shared" si="39"/>
        <v>0</v>
      </c>
      <c r="BT62" s="189">
        <f t="shared" si="39"/>
        <v>0</v>
      </c>
      <c r="BU62" s="189">
        <f t="shared" si="39"/>
        <v>0</v>
      </c>
      <c r="BV62" s="61">
        <f t="shared" si="43"/>
        <v>0</v>
      </c>
      <c r="BW62" s="8"/>
      <c r="BX62" s="165">
        <v>0</v>
      </c>
    </row>
    <row r="63" spans="1:78" hidden="1" x14ac:dyDescent="0.2">
      <c r="A63" s="186" t="s">
        <v>233</v>
      </c>
      <c r="B63" s="184"/>
      <c r="C63" s="137"/>
      <c r="D63" s="178"/>
      <c r="E63" s="163">
        <v>0</v>
      </c>
      <c r="F63" s="163">
        <v>0</v>
      </c>
      <c r="G63" s="163">
        <v>0</v>
      </c>
      <c r="H63" s="163">
        <v>0</v>
      </c>
      <c r="I63" s="35">
        <f>SUM(E63:H63)</f>
        <v>0</v>
      </c>
      <c r="J63" s="162">
        <v>0</v>
      </c>
      <c r="K63" s="163">
        <v>0</v>
      </c>
      <c r="L63" s="163">
        <v>0</v>
      </c>
      <c r="M63" s="163">
        <v>0</v>
      </c>
      <c r="N63" s="35">
        <f t="shared" si="27"/>
        <v>0</v>
      </c>
      <c r="O63" s="163">
        <v>0</v>
      </c>
      <c r="P63" s="163">
        <v>0</v>
      </c>
      <c r="Q63" s="163">
        <v>0</v>
      </c>
      <c r="R63" s="163">
        <v>0</v>
      </c>
      <c r="S63" s="35">
        <f>SUM(O63:R63)</f>
        <v>0</v>
      </c>
      <c r="T63" s="163">
        <v>0</v>
      </c>
      <c r="U63" s="163">
        <v>0</v>
      </c>
      <c r="V63" s="163">
        <v>0</v>
      </c>
      <c r="W63" s="163">
        <v>0</v>
      </c>
      <c r="X63" s="35">
        <f t="shared" si="29"/>
        <v>0</v>
      </c>
      <c r="Y63" s="163">
        <v>0</v>
      </c>
      <c r="Z63" s="163">
        <v>0</v>
      </c>
      <c r="AA63" s="163">
        <v>0</v>
      </c>
      <c r="AB63" s="163">
        <v>0</v>
      </c>
      <c r="AC63" s="35">
        <f>SUM(Y63:AB63)</f>
        <v>0</v>
      </c>
      <c r="AD63" s="189">
        <v>0</v>
      </c>
      <c r="AE63" s="189">
        <v>0</v>
      </c>
      <c r="AF63" s="189">
        <v>0</v>
      </c>
      <c r="AG63" s="189">
        <v>0</v>
      </c>
      <c r="AH63" s="61">
        <f t="shared" si="42"/>
        <v>0</v>
      </c>
      <c r="AI63" s="163">
        <v>0</v>
      </c>
      <c r="AJ63" s="163">
        <v>0</v>
      </c>
      <c r="AK63" s="163">
        <v>0</v>
      </c>
      <c r="AL63" s="163">
        <v>0</v>
      </c>
      <c r="AM63" s="35">
        <f t="shared" si="32"/>
        <v>0</v>
      </c>
      <c r="AN63" s="163"/>
      <c r="AO63" s="163">
        <v>0</v>
      </c>
      <c r="AP63" s="163">
        <v>0</v>
      </c>
      <c r="AQ63" s="163">
        <v>2100000</v>
      </c>
      <c r="AR63" s="35">
        <f t="shared" si="33"/>
        <v>2100000</v>
      </c>
      <c r="AS63" s="163">
        <v>0</v>
      </c>
      <c r="AT63" s="163">
        <v>0</v>
      </c>
      <c r="AU63" s="163">
        <v>0</v>
      </c>
      <c r="AV63" s="163">
        <v>0</v>
      </c>
      <c r="AW63" s="35">
        <f t="shared" si="34"/>
        <v>0</v>
      </c>
      <c r="AX63" s="163">
        <v>0</v>
      </c>
      <c r="AY63" s="163">
        <v>0</v>
      </c>
      <c r="AZ63" s="163">
        <v>0</v>
      </c>
      <c r="BA63" s="163">
        <v>0</v>
      </c>
      <c r="BB63" s="35">
        <f t="shared" si="35"/>
        <v>0</v>
      </c>
      <c r="BC63" s="163">
        <v>0</v>
      </c>
      <c r="BD63" s="163">
        <v>0</v>
      </c>
      <c r="BE63" s="163">
        <v>0</v>
      </c>
      <c r="BF63" s="163">
        <v>-2100000</v>
      </c>
      <c r="BG63" s="35">
        <f t="shared" si="36"/>
        <v>-2100000</v>
      </c>
      <c r="BH63" s="163"/>
      <c r="BI63" s="163"/>
      <c r="BJ63" s="163"/>
      <c r="BK63" s="163"/>
      <c r="BL63" s="35">
        <f t="shared" si="37"/>
        <v>0</v>
      </c>
      <c r="BM63" s="163"/>
      <c r="BN63" s="163"/>
      <c r="BO63" s="163"/>
      <c r="BP63" s="163"/>
      <c r="BQ63" s="35">
        <f t="shared" si="38"/>
        <v>0</v>
      </c>
      <c r="BR63" s="189">
        <f t="shared" si="39"/>
        <v>0</v>
      </c>
      <c r="BS63" s="189">
        <f t="shared" si="39"/>
        <v>0</v>
      </c>
      <c r="BT63" s="189">
        <f t="shared" si="39"/>
        <v>0</v>
      </c>
      <c r="BU63" s="189">
        <f t="shared" si="39"/>
        <v>0</v>
      </c>
      <c r="BV63" s="61">
        <f t="shared" si="43"/>
        <v>0</v>
      </c>
      <c r="BW63" s="8"/>
      <c r="BX63" s="165">
        <v>0</v>
      </c>
    </row>
    <row r="64" spans="1:78" x14ac:dyDescent="0.2">
      <c r="A64" s="159" t="s">
        <v>234</v>
      </c>
      <c r="B64" s="184"/>
      <c r="C64" s="184"/>
      <c r="D64" s="180"/>
      <c r="E64" s="163">
        <v>0</v>
      </c>
      <c r="F64" s="163">
        <v>18576305</v>
      </c>
      <c r="G64" s="163">
        <v>0</v>
      </c>
      <c r="H64" s="163">
        <v>0</v>
      </c>
      <c r="I64" s="35">
        <f t="shared" si="41"/>
        <v>18576305</v>
      </c>
      <c r="J64" s="162">
        <v>0</v>
      </c>
      <c r="K64" s="163">
        <v>1549593</v>
      </c>
      <c r="L64" s="163">
        <v>0</v>
      </c>
      <c r="M64" s="163">
        <v>0</v>
      </c>
      <c r="N64" s="35">
        <f t="shared" si="27"/>
        <v>1549593</v>
      </c>
      <c r="O64" s="163">
        <v>0</v>
      </c>
      <c r="P64" s="163">
        <v>1486615</v>
      </c>
      <c r="Q64" s="163">
        <v>0</v>
      </c>
      <c r="R64" s="163">
        <v>0</v>
      </c>
      <c r="S64" s="35">
        <f t="shared" si="28"/>
        <v>1486615</v>
      </c>
      <c r="T64" s="163">
        <v>0</v>
      </c>
      <c r="U64" s="163">
        <v>1412283</v>
      </c>
      <c r="V64" s="163">
        <v>0</v>
      </c>
      <c r="W64" s="163">
        <v>0</v>
      </c>
      <c r="X64" s="35">
        <f t="shared" si="29"/>
        <v>1412283</v>
      </c>
      <c r="Y64" s="163">
        <v>0</v>
      </c>
      <c r="Z64" s="163">
        <v>1388691</v>
      </c>
      <c r="AA64" s="163">
        <v>0</v>
      </c>
      <c r="AB64" s="163">
        <v>0</v>
      </c>
      <c r="AC64" s="35">
        <f t="shared" si="30"/>
        <v>1388691</v>
      </c>
      <c r="AD64" s="163">
        <v>0</v>
      </c>
      <c r="AE64" s="163">
        <v>1443945</v>
      </c>
      <c r="AF64" s="163">
        <v>0</v>
      </c>
      <c r="AG64" s="163">
        <v>0</v>
      </c>
      <c r="AH64" s="35">
        <f t="shared" si="42"/>
        <v>1443945</v>
      </c>
      <c r="AI64" s="163">
        <v>0</v>
      </c>
      <c r="AJ64" s="163">
        <v>1524417</v>
      </c>
      <c r="AK64" s="163">
        <v>0</v>
      </c>
      <c r="AL64" s="163">
        <v>0</v>
      </c>
      <c r="AM64" s="35">
        <f t="shared" si="32"/>
        <v>1524417</v>
      </c>
      <c r="AN64" s="163">
        <v>0</v>
      </c>
      <c r="AO64" s="163">
        <v>1497621</v>
      </c>
      <c r="AP64" s="163">
        <v>0</v>
      </c>
      <c r="AQ64" s="163">
        <v>0</v>
      </c>
      <c r="AR64" s="35">
        <f t="shared" si="33"/>
        <v>1497621</v>
      </c>
      <c r="AS64" s="163">
        <v>0</v>
      </c>
      <c r="AT64" s="163">
        <v>1535042</v>
      </c>
      <c r="AU64" s="163">
        <v>0</v>
      </c>
      <c r="AV64" s="163">
        <v>0</v>
      </c>
      <c r="AW64" s="35">
        <f t="shared" si="34"/>
        <v>1535042</v>
      </c>
      <c r="AX64" s="163">
        <v>0</v>
      </c>
      <c r="AY64" s="163">
        <v>1484863</v>
      </c>
      <c r="AZ64" s="163">
        <v>0</v>
      </c>
      <c r="BA64" s="163">
        <v>0</v>
      </c>
      <c r="BB64" s="35">
        <f t="shared" si="35"/>
        <v>1484863</v>
      </c>
      <c r="BC64" s="163">
        <v>0</v>
      </c>
      <c r="BD64" s="163">
        <v>1682694</v>
      </c>
      <c r="BE64" s="163">
        <v>0</v>
      </c>
      <c r="BF64" s="163">
        <v>0</v>
      </c>
      <c r="BG64" s="35">
        <f t="shared" si="36"/>
        <v>1682694</v>
      </c>
      <c r="BH64" s="163">
        <v>0</v>
      </c>
      <c r="BI64" s="163">
        <v>1703401</v>
      </c>
      <c r="BJ64" s="163">
        <v>0</v>
      </c>
      <c r="BK64" s="163">
        <v>0</v>
      </c>
      <c r="BL64" s="35">
        <f t="shared" si="37"/>
        <v>1703401</v>
      </c>
      <c r="BM64" s="163">
        <v>0</v>
      </c>
      <c r="BN64" s="163">
        <v>1574678</v>
      </c>
      <c r="BO64" s="163">
        <v>0</v>
      </c>
      <c r="BP64" s="163">
        <v>0</v>
      </c>
      <c r="BQ64" s="35">
        <f t="shared" si="38"/>
        <v>1574678</v>
      </c>
      <c r="BR64" s="163">
        <f t="shared" si="39"/>
        <v>0</v>
      </c>
      <c r="BS64" s="163">
        <f t="shared" si="39"/>
        <v>18283843</v>
      </c>
      <c r="BT64" s="163">
        <f t="shared" si="39"/>
        <v>0</v>
      </c>
      <c r="BU64" s="163">
        <f>+M64+R64+W64+AB64+AG64+AL64+AQ64+AV64+BA64+BF64+BK64+BP64</f>
        <v>0</v>
      </c>
      <c r="BV64" s="35">
        <f t="shared" si="40"/>
        <v>18283843</v>
      </c>
      <c r="BW64" s="8"/>
      <c r="BX64" s="165">
        <f>(BV64/I64)*100</f>
        <v>98.425618011762836</v>
      </c>
    </row>
    <row r="65" spans="1:76" x14ac:dyDescent="0.2">
      <c r="A65" s="159" t="s">
        <v>235</v>
      </c>
      <c r="B65" s="184"/>
      <c r="C65" s="137"/>
      <c r="D65" s="180"/>
      <c r="E65" s="163">
        <v>2219628</v>
      </c>
      <c r="F65" s="163">
        <v>44067</v>
      </c>
      <c r="G65" s="163">
        <v>0</v>
      </c>
      <c r="H65" s="163">
        <v>0</v>
      </c>
      <c r="I65" s="35">
        <f t="shared" si="41"/>
        <v>2263695</v>
      </c>
      <c r="J65" s="162">
        <v>169724</v>
      </c>
      <c r="K65" s="163">
        <v>936</v>
      </c>
      <c r="L65" s="163">
        <v>0</v>
      </c>
      <c r="M65" s="163">
        <v>0</v>
      </c>
      <c r="N65" s="35">
        <f t="shared" si="27"/>
        <v>170660</v>
      </c>
      <c r="O65" s="163">
        <v>170631</v>
      </c>
      <c r="P65" s="163">
        <v>1218</v>
      </c>
      <c r="Q65" s="163">
        <v>0</v>
      </c>
      <c r="R65" s="163">
        <v>0</v>
      </c>
      <c r="S65" s="35">
        <f t="shared" si="28"/>
        <v>171849</v>
      </c>
      <c r="T65" s="163">
        <v>168573</v>
      </c>
      <c r="U65" s="163">
        <v>369</v>
      </c>
      <c r="V65" s="163">
        <v>0</v>
      </c>
      <c r="W65" s="163">
        <v>0</v>
      </c>
      <c r="X65" s="35">
        <f t="shared" si="29"/>
        <v>168942</v>
      </c>
      <c r="Y65" s="163">
        <v>168429</v>
      </c>
      <c r="Z65" s="163">
        <v>4165</v>
      </c>
      <c r="AA65" s="163">
        <v>0</v>
      </c>
      <c r="AB65" s="163">
        <v>0</v>
      </c>
      <c r="AC65" s="35">
        <f t="shared" si="30"/>
        <v>172594</v>
      </c>
      <c r="AD65" s="163">
        <v>167158</v>
      </c>
      <c r="AE65" s="163">
        <v>2578</v>
      </c>
      <c r="AF65" s="163">
        <v>0</v>
      </c>
      <c r="AG65" s="163">
        <v>0</v>
      </c>
      <c r="AH65" s="35">
        <f t="shared" si="31"/>
        <v>169736</v>
      </c>
      <c r="AI65" s="163">
        <v>167552</v>
      </c>
      <c r="AJ65" s="163">
        <v>4228</v>
      </c>
      <c r="AK65" s="163">
        <v>0</v>
      </c>
      <c r="AL65" s="163">
        <v>0</v>
      </c>
      <c r="AM65" s="35">
        <f t="shared" si="32"/>
        <v>171780</v>
      </c>
      <c r="AN65" s="163">
        <v>166146</v>
      </c>
      <c r="AO65" s="163">
        <v>2534</v>
      </c>
      <c r="AP65" s="163">
        <v>0</v>
      </c>
      <c r="AQ65" s="163">
        <v>0</v>
      </c>
      <c r="AR65" s="35">
        <f t="shared" si="33"/>
        <v>168680</v>
      </c>
      <c r="AS65" s="163">
        <v>166179</v>
      </c>
      <c r="AT65" s="163">
        <v>807</v>
      </c>
      <c r="AU65" s="163">
        <v>0</v>
      </c>
      <c r="AV65" s="163">
        <v>0</v>
      </c>
      <c r="AW65" s="35">
        <f t="shared" si="34"/>
        <v>166986</v>
      </c>
      <c r="AX65" s="163">
        <v>164386</v>
      </c>
      <c r="AY65" s="163">
        <v>2475</v>
      </c>
      <c r="AZ65" s="163">
        <v>0</v>
      </c>
      <c r="BA65" s="163">
        <v>0</v>
      </c>
      <c r="BB65" s="35">
        <f t="shared" si="35"/>
        <v>166861</v>
      </c>
      <c r="BC65" s="163">
        <v>163747</v>
      </c>
      <c r="BD65" s="163">
        <v>1602</v>
      </c>
      <c r="BE65" s="163">
        <v>0</v>
      </c>
      <c r="BF65" s="163">
        <v>0</v>
      </c>
      <c r="BG65" s="35">
        <f t="shared" si="36"/>
        <v>165349</v>
      </c>
      <c r="BH65" s="163">
        <v>169900</v>
      </c>
      <c r="BI65" s="163">
        <v>690</v>
      </c>
      <c r="BJ65" s="163">
        <v>0</v>
      </c>
      <c r="BK65" s="163">
        <v>0</v>
      </c>
      <c r="BL65" s="35">
        <f t="shared" si="37"/>
        <v>170590</v>
      </c>
      <c r="BM65" s="163">
        <v>232391</v>
      </c>
      <c r="BN65" s="163">
        <v>1843</v>
      </c>
      <c r="BO65" s="163">
        <v>0</v>
      </c>
      <c r="BP65" s="163">
        <v>0</v>
      </c>
      <c r="BQ65" s="35">
        <f>SUM(BM65:BP65)</f>
        <v>234234</v>
      </c>
      <c r="BR65" s="163">
        <f t="shared" si="39"/>
        <v>2074816</v>
      </c>
      <c r="BS65" s="163">
        <f t="shared" si="39"/>
        <v>23445</v>
      </c>
      <c r="BT65" s="163">
        <f t="shared" si="39"/>
        <v>0</v>
      </c>
      <c r="BU65" s="163">
        <f>+M65+R65+W65+AB65+AG65+AL65+AQ65+AV65+BA65+BF65+BK65+BP65</f>
        <v>0</v>
      </c>
      <c r="BV65" s="35">
        <f t="shared" si="40"/>
        <v>2098261</v>
      </c>
      <c r="BW65" s="8"/>
      <c r="BX65" s="165">
        <f t="shared" si="15"/>
        <v>92.691859989972144</v>
      </c>
    </row>
    <row r="66" spans="1:76" x14ac:dyDescent="0.2">
      <c r="A66" s="193" t="s">
        <v>236</v>
      </c>
      <c r="B66" s="194"/>
      <c r="C66" s="137"/>
      <c r="D66" s="180"/>
      <c r="E66" s="163">
        <v>1004096</v>
      </c>
      <c r="F66" s="163">
        <v>94450</v>
      </c>
      <c r="G66" s="163">
        <v>0</v>
      </c>
      <c r="H66" s="163">
        <v>0</v>
      </c>
      <c r="I66" s="35">
        <f t="shared" si="41"/>
        <v>1098546</v>
      </c>
      <c r="J66" s="162">
        <v>77886</v>
      </c>
      <c r="K66" s="163">
        <v>1909</v>
      </c>
      <c r="L66" s="163">
        <v>0</v>
      </c>
      <c r="M66" s="163">
        <v>0</v>
      </c>
      <c r="N66" s="35">
        <f t="shared" si="27"/>
        <v>79795</v>
      </c>
      <c r="O66" s="163">
        <v>83988</v>
      </c>
      <c r="P66" s="163">
        <v>281</v>
      </c>
      <c r="Q66" s="163">
        <v>0</v>
      </c>
      <c r="R66" s="163">
        <v>0</v>
      </c>
      <c r="S66" s="35">
        <f t="shared" si="28"/>
        <v>84269</v>
      </c>
      <c r="T66" s="163">
        <v>81016</v>
      </c>
      <c r="U66" s="163">
        <v>8494</v>
      </c>
      <c r="V66" s="163">
        <v>0</v>
      </c>
      <c r="W66" s="163">
        <v>0</v>
      </c>
      <c r="X66" s="35">
        <f t="shared" si="29"/>
        <v>89510</v>
      </c>
      <c r="Y66" s="163">
        <v>75207</v>
      </c>
      <c r="Z66" s="163">
        <v>11172</v>
      </c>
      <c r="AA66" s="163">
        <v>0</v>
      </c>
      <c r="AB66" s="163">
        <v>0</v>
      </c>
      <c r="AC66" s="35">
        <f t="shared" si="30"/>
        <v>86379</v>
      </c>
      <c r="AD66" s="163">
        <v>83773</v>
      </c>
      <c r="AE66" s="163">
        <v>6792</v>
      </c>
      <c r="AF66" s="163">
        <v>0</v>
      </c>
      <c r="AG66" s="163">
        <v>0</v>
      </c>
      <c r="AH66" s="35">
        <f t="shared" si="31"/>
        <v>90565</v>
      </c>
      <c r="AI66" s="163">
        <v>84167</v>
      </c>
      <c r="AJ66" s="163">
        <v>13658</v>
      </c>
      <c r="AK66" s="163">
        <v>0</v>
      </c>
      <c r="AL66" s="163">
        <v>0</v>
      </c>
      <c r="AM66" s="35">
        <f t="shared" si="32"/>
        <v>97825</v>
      </c>
      <c r="AN66" s="163">
        <v>79328</v>
      </c>
      <c r="AO66" s="163">
        <v>3471</v>
      </c>
      <c r="AP66" s="163">
        <v>0</v>
      </c>
      <c r="AQ66" s="163">
        <v>0</v>
      </c>
      <c r="AR66" s="35">
        <f t="shared" si="33"/>
        <v>82799</v>
      </c>
      <c r="AS66" s="163">
        <v>81677</v>
      </c>
      <c r="AT66" s="163">
        <v>5974</v>
      </c>
      <c r="AU66" s="163">
        <v>0</v>
      </c>
      <c r="AV66" s="163">
        <v>0</v>
      </c>
      <c r="AW66" s="35">
        <f t="shared" si="34"/>
        <v>87651</v>
      </c>
      <c r="AX66" s="163">
        <v>79584</v>
      </c>
      <c r="AY66" s="163">
        <v>7820</v>
      </c>
      <c r="AZ66" s="163">
        <v>0</v>
      </c>
      <c r="BA66" s="163">
        <v>0</v>
      </c>
      <c r="BB66" s="35">
        <f t="shared" si="35"/>
        <v>87404</v>
      </c>
      <c r="BC66" s="163">
        <v>79453</v>
      </c>
      <c r="BD66" s="163">
        <v>-2393</v>
      </c>
      <c r="BE66" s="163">
        <v>0</v>
      </c>
      <c r="BF66" s="163">
        <v>0</v>
      </c>
      <c r="BG66" s="35">
        <f t="shared" si="36"/>
        <v>77060</v>
      </c>
      <c r="BH66" s="163">
        <v>82532</v>
      </c>
      <c r="BI66" s="163">
        <v>8554</v>
      </c>
      <c r="BJ66" s="163">
        <v>0</v>
      </c>
      <c r="BK66" s="163">
        <v>0</v>
      </c>
      <c r="BL66" s="35">
        <f t="shared" si="37"/>
        <v>91086</v>
      </c>
      <c r="BM66" s="163">
        <v>91436</v>
      </c>
      <c r="BN66" s="163">
        <v>6006</v>
      </c>
      <c r="BO66" s="163">
        <v>0</v>
      </c>
      <c r="BP66" s="163">
        <v>0</v>
      </c>
      <c r="BQ66" s="35">
        <f>SUM(BM66:BP66)</f>
        <v>97442</v>
      </c>
      <c r="BR66" s="163">
        <f t="shared" si="39"/>
        <v>980047</v>
      </c>
      <c r="BS66" s="163">
        <f t="shared" si="39"/>
        <v>71738</v>
      </c>
      <c r="BT66" s="163">
        <f t="shared" si="39"/>
        <v>0</v>
      </c>
      <c r="BU66" s="163">
        <f>+M66+R66+W66+AB66+AG66+AL66+AQ66+AV66+BA66+BF66+BK66+BP66</f>
        <v>0</v>
      </c>
      <c r="BV66" s="35">
        <f>SUM(BR66:BU66)</f>
        <v>1051785</v>
      </c>
      <c r="BW66" s="8"/>
      <c r="BX66" s="165">
        <f t="shared" si="15"/>
        <v>95.743373513717216</v>
      </c>
    </row>
    <row r="67" spans="1:76" s="136" customFormat="1" x14ac:dyDescent="0.2">
      <c r="A67" s="173" t="s">
        <v>237</v>
      </c>
      <c r="B67" s="195"/>
      <c r="C67" s="196"/>
      <c r="D67" s="175"/>
      <c r="E67" s="163">
        <v>0</v>
      </c>
      <c r="F67" s="163">
        <v>10424</v>
      </c>
      <c r="G67" s="163">
        <v>0</v>
      </c>
      <c r="H67" s="163">
        <v>0</v>
      </c>
      <c r="I67" s="35">
        <f t="shared" si="41"/>
        <v>10424</v>
      </c>
      <c r="J67" s="162">
        <v>0</v>
      </c>
      <c r="K67" s="163">
        <v>0</v>
      </c>
      <c r="L67" s="163">
        <v>0</v>
      </c>
      <c r="M67" s="163">
        <v>0</v>
      </c>
      <c r="N67" s="35">
        <f t="shared" si="27"/>
        <v>0</v>
      </c>
      <c r="O67" s="163">
        <v>0</v>
      </c>
      <c r="P67" s="163">
        <v>0</v>
      </c>
      <c r="Q67" s="163">
        <v>0</v>
      </c>
      <c r="R67" s="163">
        <v>0</v>
      </c>
      <c r="S67" s="35">
        <f t="shared" si="28"/>
        <v>0</v>
      </c>
      <c r="T67" s="163">
        <v>0</v>
      </c>
      <c r="U67" s="163">
        <v>0</v>
      </c>
      <c r="V67" s="163">
        <v>0</v>
      </c>
      <c r="W67" s="163">
        <v>0</v>
      </c>
      <c r="X67" s="35">
        <f t="shared" si="29"/>
        <v>0</v>
      </c>
      <c r="Y67" s="163">
        <v>0</v>
      </c>
      <c r="Z67" s="163">
        <v>0</v>
      </c>
      <c r="AA67" s="163">
        <v>0</v>
      </c>
      <c r="AB67" s="163">
        <v>0</v>
      </c>
      <c r="AC67" s="35">
        <f t="shared" si="30"/>
        <v>0</v>
      </c>
      <c r="AD67" s="163">
        <v>0</v>
      </c>
      <c r="AE67" s="163">
        <v>0</v>
      </c>
      <c r="AF67" s="163">
        <v>0</v>
      </c>
      <c r="AG67" s="163">
        <v>0</v>
      </c>
      <c r="AH67" s="35">
        <f t="shared" si="31"/>
        <v>0</v>
      </c>
      <c r="AI67" s="163">
        <v>0</v>
      </c>
      <c r="AJ67" s="163">
        <v>0</v>
      </c>
      <c r="AK67" s="163">
        <v>0</v>
      </c>
      <c r="AL67" s="163">
        <v>0</v>
      </c>
      <c r="AM67" s="35">
        <f t="shared" si="32"/>
        <v>0</v>
      </c>
      <c r="AN67" s="163">
        <v>0</v>
      </c>
      <c r="AO67" s="163">
        <v>0</v>
      </c>
      <c r="AP67" s="163">
        <v>0</v>
      </c>
      <c r="AQ67" s="163">
        <v>0</v>
      </c>
      <c r="AR67" s="35">
        <f t="shared" si="33"/>
        <v>0</v>
      </c>
      <c r="AS67" s="163">
        <v>0</v>
      </c>
      <c r="AT67" s="163">
        <v>0</v>
      </c>
      <c r="AU67" s="163">
        <v>0</v>
      </c>
      <c r="AV67" s="163">
        <v>0</v>
      </c>
      <c r="AW67" s="35">
        <f t="shared" si="34"/>
        <v>0</v>
      </c>
      <c r="AX67" s="163">
        <v>0</v>
      </c>
      <c r="AY67" s="163">
        <v>0</v>
      </c>
      <c r="AZ67" s="163">
        <v>0</v>
      </c>
      <c r="BA67" s="163">
        <v>0</v>
      </c>
      <c r="BB67" s="35">
        <f t="shared" si="35"/>
        <v>0</v>
      </c>
      <c r="BC67" s="163">
        <v>0</v>
      </c>
      <c r="BD67" s="163">
        <v>0</v>
      </c>
      <c r="BE67" s="163">
        <v>0</v>
      </c>
      <c r="BF67" s="163">
        <v>0</v>
      </c>
      <c r="BG67" s="35">
        <f t="shared" si="36"/>
        <v>0</v>
      </c>
      <c r="BH67" s="163">
        <v>0</v>
      </c>
      <c r="BI67" s="163">
        <v>2614</v>
      </c>
      <c r="BJ67" s="163">
        <v>0</v>
      </c>
      <c r="BK67" s="163">
        <v>0</v>
      </c>
      <c r="BL67" s="35">
        <f t="shared" si="37"/>
        <v>2614</v>
      </c>
      <c r="BM67" s="163">
        <v>0</v>
      </c>
      <c r="BN67" s="163">
        <v>0</v>
      </c>
      <c r="BO67" s="163">
        <v>0</v>
      </c>
      <c r="BP67" s="163">
        <v>0</v>
      </c>
      <c r="BQ67" s="35">
        <f t="shared" si="38"/>
        <v>0</v>
      </c>
      <c r="BR67" s="163">
        <f t="shared" si="39"/>
        <v>0</v>
      </c>
      <c r="BS67" s="163">
        <f t="shared" si="39"/>
        <v>2614</v>
      </c>
      <c r="BT67" s="163">
        <f t="shared" si="39"/>
        <v>0</v>
      </c>
      <c r="BU67" s="163">
        <f>+M67+R67+W67+AB67+AG67+AL67+AQ67+AV67+BA67+BF67+BK67+BP67</f>
        <v>0</v>
      </c>
      <c r="BV67" s="35">
        <f t="shared" si="40"/>
        <v>2614</v>
      </c>
      <c r="BW67" s="8"/>
      <c r="BX67" s="165">
        <f>(BV67/I67)*100</f>
        <v>25.076745970836534</v>
      </c>
    </row>
    <row r="68" spans="1:76" x14ac:dyDescent="0.2">
      <c r="A68" s="156" t="s">
        <v>238</v>
      </c>
      <c r="B68" s="160"/>
      <c r="D68" s="180"/>
      <c r="E68" s="14">
        <f t="shared" ref="E68:AD68" si="44">SUM(E50:E67)-E52</f>
        <v>207562246</v>
      </c>
      <c r="F68" s="31">
        <f t="shared" si="44"/>
        <v>537445792</v>
      </c>
      <c r="G68" s="31">
        <f t="shared" si="44"/>
        <v>0</v>
      </c>
      <c r="H68" s="31">
        <f t="shared" si="44"/>
        <v>359535</v>
      </c>
      <c r="I68" s="13">
        <f t="shared" si="44"/>
        <v>745367573</v>
      </c>
      <c r="J68" s="14">
        <f t="shared" si="44"/>
        <v>3879932</v>
      </c>
      <c r="K68" s="31">
        <f t="shared" si="44"/>
        <v>43681922</v>
      </c>
      <c r="L68" s="31">
        <f t="shared" si="44"/>
        <v>0</v>
      </c>
      <c r="M68" s="31">
        <f t="shared" si="44"/>
        <v>13631872</v>
      </c>
      <c r="N68" s="13">
        <f t="shared" si="44"/>
        <v>61193726</v>
      </c>
      <c r="O68" s="31">
        <f t="shared" si="44"/>
        <v>4573313</v>
      </c>
      <c r="P68" s="31">
        <f t="shared" si="44"/>
        <v>43617596</v>
      </c>
      <c r="Q68" s="31">
        <f t="shared" si="44"/>
        <v>0</v>
      </c>
      <c r="R68" s="31">
        <f t="shared" si="44"/>
        <v>83878</v>
      </c>
      <c r="S68" s="13">
        <f t="shared" si="44"/>
        <v>48274787</v>
      </c>
      <c r="T68" s="14">
        <f t="shared" si="44"/>
        <v>20526581</v>
      </c>
      <c r="U68" s="31">
        <f t="shared" si="44"/>
        <v>43550628</v>
      </c>
      <c r="V68" s="31">
        <f t="shared" si="44"/>
        <v>0</v>
      </c>
      <c r="W68" s="31">
        <f t="shared" si="44"/>
        <v>23306</v>
      </c>
      <c r="X68" s="13">
        <f t="shared" si="44"/>
        <v>64100515</v>
      </c>
      <c r="Y68" s="14">
        <f t="shared" si="44"/>
        <v>27648509</v>
      </c>
      <c r="Z68" s="31">
        <f t="shared" si="44"/>
        <v>43533510</v>
      </c>
      <c r="AA68" s="31">
        <f t="shared" si="44"/>
        <v>0</v>
      </c>
      <c r="AB68" s="31">
        <f t="shared" si="44"/>
        <v>119906</v>
      </c>
      <c r="AC68" s="13">
        <f t="shared" si="44"/>
        <v>71301925</v>
      </c>
      <c r="AD68" s="14">
        <f t="shared" si="44"/>
        <v>27979426</v>
      </c>
      <c r="AE68" s="31">
        <f t="shared" ref="AE68:AM68" si="45">SUM(AE50:AE67)-AE52-AE59</f>
        <v>47971723</v>
      </c>
      <c r="AF68" s="31">
        <f t="shared" si="45"/>
        <v>0</v>
      </c>
      <c r="AG68" s="31">
        <f t="shared" si="45"/>
        <v>3800230</v>
      </c>
      <c r="AH68" s="13">
        <f t="shared" si="45"/>
        <v>79751379</v>
      </c>
      <c r="AI68" s="14">
        <f t="shared" si="45"/>
        <v>16793673</v>
      </c>
      <c r="AJ68" s="31">
        <f t="shared" si="45"/>
        <v>43671783</v>
      </c>
      <c r="AK68" s="31">
        <f t="shared" si="45"/>
        <v>0</v>
      </c>
      <c r="AL68" s="31">
        <f t="shared" si="45"/>
        <v>-9699979</v>
      </c>
      <c r="AM68" s="13">
        <f t="shared" si="45"/>
        <v>50765477</v>
      </c>
      <c r="AN68" s="14">
        <f>SUM(AN50:AN67)-AN52-AN59</f>
        <v>4808296</v>
      </c>
      <c r="AO68" s="31">
        <f>SUM(AO50:AO67)-AO52-AO59</f>
        <v>43633105</v>
      </c>
      <c r="AP68" s="31">
        <f>SUM(AP50:AP67)-AP52-AP55</f>
        <v>0</v>
      </c>
      <c r="AQ68" s="31">
        <f>SUM(AQ50:AQ67)-AQ52-AQ59</f>
        <v>2100030</v>
      </c>
      <c r="AR68" s="13">
        <f>SUM(AR50:AR67)-AR52-AR59</f>
        <v>50541431</v>
      </c>
      <c r="AS68" s="14">
        <f t="shared" ref="AS68:BQ68" si="46">SUM(AS50:AS67)-AS52</f>
        <v>2607166</v>
      </c>
      <c r="AT68" s="31">
        <f t="shared" si="46"/>
        <v>43671302</v>
      </c>
      <c r="AU68" s="31">
        <f t="shared" si="46"/>
        <v>0</v>
      </c>
      <c r="AV68" s="31">
        <f t="shared" si="46"/>
        <v>1363</v>
      </c>
      <c r="AW68" s="13">
        <f>SUM(AW50:AW67)-AW52</f>
        <v>46279831</v>
      </c>
      <c r="AX68" s="14">
        <f t="shared" si="46"/>
        <v>21433413</v>
      </c>
      <c r="AY68" s="31">
        <f t="shared" si="46"/>
        <v>48013567</v>
      </c>
      <c r="AZ68" s="31">
        <f t="shared" si="46"/>
        <v>0</v>
      </c>
      <c r="BA68" s="31">
        <f t="shared" si="46"/>
        <v>107525</v>
      </c>
      <c r="BB68" s="13">
        <f t="shared" si="46"/>
        <v>69554505</v>
      </c>
      <c r="BC68" s="14">
        <f t="shared" si="46"/>
        <v>29056094</v>
      </c>
      <c r="BD68" s="31">
        <f t="shared" si="46"/>
        <v>43811380</v>
      </c>
      <c r="BE68" s="31">
        <f t="shared" si="46"/>
        <v>0</v>
      </c>
      <c r="BF68" s="31">
        <f>SUM(BF50:BF67)-BF52-BF59</f>
        <v>-9699702</v>
      </c>
      <c r="BG68" s="13">
        <f>SUM(BG50:BG67)-BG52-BG59</f>
        <v>63167772</v>
      </c>
      <c r="BH68" s="14">
        <f t="shared" si="46"/>
        <v>29699605</v>
      </c>
      <c r="BI68" s="31">
        <f t="shared" si="46"/>
        <v>43844734</v>
      </c>
      <c r="BJ68" s="31">
        <f t="shared" si="46"/>
        <v>0</v>
      </c>
      <c r="BK68" s="31">
        <f t="shared" si="46"/>
        <v>0</v>
      </c>
      <c r="BL68" s="13">
        <f t="shared" si="46"/>
        <v>73544339</v>
      </c>
      <c r="BM68" s="14">
        <f t="shared" si="46"/>
        <v>19424430.700000007</v>
      </c>
      <c r="BN68" s="31">
        <f t="shared" si="46"/>
        <v>48100936</v>
      </c>
      <c r="BO68" s="31">
        <f t="shared" si="46"/>
        <v>0</v>
      </c>
      <c r="BP68" s="31">
        <f t="shared" si="46"/>
        <v>39</v>
      </c>
      <c r="BQ68" s="13">
        <f t="shared" si="46"/>
        <v>67525405.700000003</v>
      </c>
      <c r="BR68" s="14">
        <f>SUM(BR50:BR67)-BR52-BR59</f>
        <v>208430438.69999999</v>
      </c>
      <c r="BS68" s="31">
        <f>SUM(BS50:BS67)-BS52-BS59</f>
        <v>537102186</v>
      </c>
      <c r="BT68" s="31">
        <f>SUM(BT50:BT67)-BT52-BT59</f>
        <v>0</v>
      </c>
      <c r="BU68" s="31">
        <f>SUM(BU50:BU67)-BU52-BU59</f>
        <v>468468</v>
      </c>
      <c r="BV68" s="15">
        <f>SUM(BV50:BV67)-BV52-BV59</f>
        <v>746001092.70000005</v>
      </c>
      <c r="BW68" s="9"/>
      <c r="BX68" s="165">
        <f t="shared" si="15"/>
        <v>100.08499426631215</v>
      </c>
    </row>
    <row r="69" spans="1:76" hidden="1" x14ac:dyDescent="0.2">
      <c r="A69" s="179" t="s">
        <v>239</v>
      </c>
      <c r="B69" s="160"/>
      <c r="D69" s="180"/>
      <c r="E69" s="39">
        <v>0</v>
      </c>
      <c r="F69" s="39">
        <v>0</v>
      </c>
      <c r="G69" s="39">
        <v>0</v>
      </c>
      <c r="H69" s="39">
        <v>0</v>
      </c>
      <c r="I69" s="35"/>
      <c r="J69" s="36">
        <v>0</v>
      </c>
      <c r="K69" s="39">
        <v>0</v>
      </c>
      <c r="L69" s="39">
        <v>0</v>
      </c>
      <c r="M69" s="39">
        <v>0</v>
      </c>
      <c r="N69" s="35">
        <v>0</v>
      </c>
      <c r="O69" s="39">
        <v>0</v>
      </c>
      <c r="P69" s="39">
        <v>0</v>
      </c>
      <c r="Q69" s="39">
        <v>0</v>
      </c>
      <c r="R69" s="39">
        <v>0</v>
      </c>
      <c r="S69" s="35">
        <v>0</v>
      </c>
      <c r="T69" s="39">
        <v>0</v>
      </c>
      <c r="U69" s="39">
        <v>0</v>
      </c>
      <c r="V69" s="39">
        <v>0</v>
      </c>
      <c r="W69" s="39">
        <v>0</v>
      </c>
      <c r="X69" s="35">
        <v>0</v>
      </c>
      <c r="Y69" s="39">
        <v>0</v>
      </c>
      <c r="Z69" s="39">
        <v>0</v>
      </c>
      <c r="AA69" s="39">
        <v>0</v>
      </c>
      <c r="AB69" s="39">
        <v>0</v>
      </c>
      <c r="AC69" s="35">
        <v>0</v>
      </c>
      <c r="AD69" s="39">
        <v>0</v>
      </c>
      <c r="AE69" s="39">
        <v>0</v>
      </c>
      <c r="AF69" s="39">
        <v>0</v>
      </c>
      <c r="AG69" s="39">
        <v>0</v>
      </c>
      <c r="AH69" s="35">
        <v>0</v>
      </c>
      <c r="AI69" s="39">
        <v>0</v>
      </c>
      <c r="AJ69" s="39">
        <v>0</v>
      </c>
      <c r="AK69" s="39">
        <v>0</v>
      </c>
      <c r="AL69" s="39">
        <v>0</v>
      </c>
      <c r="AM69" s="35">
        <v>0</v>
      </c>
      <c r="AN69" s="39">
        <v>0</v>
      </c>
      <c r="AO69" s="39">
        <v>0</v>
      </c>
      <c r="AP69" s="39">
        <v>0</v>
      </c>
      <c r="AQ69" s="39">
        <v>0</v>
      </c>
      <c r="AR69" s="35">
        <v>0</v>
      </c>
      <c r="AS69" s="39">
        <v>0</v>
      </c>
      <c r="AT69" s="39">
        <v>0</v>
      </c>
      <c r="AU69" s="39">
        <v>0</v>
      </c>
      <c r="AV69" s="39">
        <v>0</v>
      </c>
      <c r="AW69" s="35">
        <v>0</v>
      </c>
      <c r="AX69" s="39">
        <v>0</v>
      </c>
      <c r="AY69" s="39">
        <v>0</v>
      </c>
      <c r="AZ69" s="39">
        <v>0</v>
      </c>
      <c r="BA69" s="39">
        <v>0</v>
      </c>
      <c r="BB69" s="35">
        <v>0</v>
      </c>
      <c r="BC69" s="39">
        <v>0</v>
      </c>
      <c r="BD69" s="39">
        <v>0</v>
      </c>
      <c r="BE69" s="39">
        <v>0</v>
      </c>
      <c r="BF69" s="39">
        <v>0</v>
      </c>
      <c r="BG69" s="35">
        <v>0</v>
      </c>
      <c r="BH69" s="39">
        <v>0</v>
      </c>
      <c r="BI69" s="39">
        <v>0</v>
      </c>
      <c r="BJ69" s="39">
        <v>0</v>
      </c>
      <c r="BK69" s="39">
        <v>0</v>
      </c>
      <c r="BL69" s="35">
        <v>0</v>
      </c>
      <c r="BM69" s="39">
        <v>0</v>
      </c>
      <c r="BN69" s="39">
        <v>0</v>
      </c>
      <c r="BO69" s="39">
        <v>0</v>
      </c>
      <c r="BP69" s="39">
        <v>0</v>
      </c>
      <c r="BQ69" s="35">
        <v>0</v>
      </c>
      <c r="BR69" s="39">
        <v>0</v>
      </c>
      <c r="BS69" s="39">
        <v>0</v>
      </c>
      <c r="BT69" s="39">
        <v>0</v>
      </c>
      <c r="BU69" s="39">
        <v>0</v>
      </c>
      <c r="BV69" s="37">
        <v>0</v>
      </c>
      <c r="BW69" s="2"/>
      <c r="BX69" s="165" t="e">
        <f t="shared" si="15"/>
        <v>#DIV/0!</v>
      </c>
    </row>
    <row r="70" spans="1:76" hidden="1" x14ac:dyDescent="0.2">
      <c r="A70" s="179" t="s">
        <v>240</v>
      </c>
      <c r="B70" s="160"/>
      <c r="D70" s="180"/>
      <c r="E70" s="39">
        <v>0</v>
      </c>
      <c r="F70" s="39">
        <v>0</v>
      </c>
      <c r="G70" s="39">
        <v>0</v>
      </c>
      <c r="H70" s="39">
        <v>0</v>
      </c>
      <c r="I70" s="35"/>
      <c r="J70" s="36">
        <v>0</v>
      </c>
      <c r="K70" s="39">
        <v>0</v>
      </c>
      <c r="L70" s="39">
        <v>0</v>
      </c>
      <c r="M70" s="39">
        <v>0</v>
      </c>
      <c r="N70" s="35">
        <v>0</v>
      </c>
      <c r="O70" s="39">
        <v>0</v>
      </c>
      <c r="P70" s="39">
        <v>0</v>
      </c>
      <c r="Q70" s="39">
        <v>0</v>
      </c>
      <c r="R70" s="39">
        <v>0</v>
      </c>
      <c r="S70" s="35">
        <v>0</v>
      </c>
      <c r="T70" s="39">
        <v>0</v>
      </c>
      <c r="U70" s="39">
        <v>0</v>
      </c>
      <c r="V70" s="39">
        <v>0</v>
      </c>
      <c r="W70" s="39">
        <v>0</v>
      </c>
      <c r="X70" s="35">
        <v>0</v>
      </c>
      <c r="Y70" s="39">
        <v>0</v>
      </c>
      <c r="Z70" s="39">
        <v>0</v>
      </c>
      <c r="AA70" s="39">
        <v>0</v>
      </c>
      <c r="AB70" s="39">
        <v>0</v>
      </c>
      <c r="AC70" s="35">
        <v>0</v>
      </c>
      <c r="AD70" s="39">
        <v>0</v>
      </c>
      <c r="AE70" s="39">
        <v>0</v>
      </c>
      <c r="AF70" s="39">
        <v>0</v>
      </c>
      <c r="AG70" s="39">
        <v>0</v>
      </c>
      <c r="AH70" s="35">
        <v>0</v>
      </c>
      <c r="AI70" s="39">
        <v>0</v>
      </c>
      <c r="AJ70" s="39">
        <v>0</v>
      </c>
      <c r="AK70" s="39">
        <v>0</v>
      </c>
      <c r="AL70" s="39">
        <v>0</v>
      </c>
      <c r="AM70" s="35">
        <v>0</v>
      </c>
      <c r="AN70" s="39">
        <v>0</v>
      </c>
      <c r="AO70" s="39">
        <v>0</v>
      </c>
      <c r="AP70" s="39">
        <v>0</v>
      </c>
      <c r="AQ70" s="39">
        <v>0</v>
      </c>
      <c r="AR70" s="35">
        <v>0</v>
      </c>
      <c r="AS70" s="39">
        <v>0</v>
      </c>
      <c r="AT70" s="39">
        <v>0</v>
      </c>
      <c r="AU70" s="39">
        <v>0</v>
      </c>
      <c r="AV70" s="39">
        <v>0</v>
      </c>
      <c r="AW70" s="35">
        <v>0</v>
      </c>
      <c r="AX70" s="39"/>
      <c r="AY70" s="39"/>
      <c r="AZ70" s="39"/>
      <c r="BA70" s="39"/>
      <c r="BB70" s="35"/>
      <c r="BC70" s="39"/>
      <c r="BD70" s="39"/>
      <c r="BE70" s="39"/>
      <c r="BF70" s="39"/>
      <c r="BG70" s="35"/>
      <c r="BH70" s="39"/>
      <c r="BI70" s="39"/>
      <c r="BJ70" s="39"/>
      <c r="BK70" s="39"/>
      <c r="BL70" s="35"/>
      <c r="BM70" s="39"/>
      <c r="BN70" s="39"/>
      <c r="BO70" s="39"/>
      <c r="BP70" s="39"/>
      <c r="BQ70" s="35"/>
      <c r="BR70" s="39">
        <v>0</v>
      </c>
      <c r="BS70" s="39">
        <v>0</v>
      </c>
      <c r="BT70" s="39">
        <v>0</v>
      </c>
      <c r="BU70" s="39">
        <v>0</v>
      </c>
      <c r="BV70" s="37">
        <v>0</v>
      </c>
      <c r="BW70" s="2"/>
      <c r="BX70" s="165" t="e">
        <f t="shared" si="15"/>
        <v>#DIV/0!</v>
      </c>
    </row>
    <row r="71" spans="1:76" hidden="1" x14ac:dyDescent="0.2">
      <c r="A71" s="179" t="s">
        <v>241</v>
      </c>
      <c r="B71" s="160"/>
      <c r="D71" s="180"/>
      <c r="E71" s="39">
        <v>0</v>
      </c>
      <c r="F71" s="39">
        <v>0</v>
      </c>
      <c r="G71" s="39">
        <v>0</v>
      </c>
      <c r="H71" s="39">
        <v>0</v>
      </c>
      <c r="I71" s="35"/>
      <c r="J71" s="36">
        <v>0</v>
      </c>
      <c r="K71" s="39">
        <v>0</v>
      </c>
      <c r="L71" s="39">
        <v>0</v>
      </c>
      <c r="M71" s="39">
        <v>0</v>
      </c>
      <c r="N71" s="35">
        <f>SUM(J71:M71)</f>
        <v>0</v>
      </c>
      <c r="O71" s="39">
        <v>0</v>
      </c>
      <c r="P71" s="39">
        <v>0</v>
      </c>
      <c r="Q71" s="39">
        <v>0</v>
      </c>
      <c r="R71" s="39">
        <v>0</v>
      </c>
      <c r="S71" s="35">
        <v>0</v>
      </c>
      <c r="T71" s="39">
        <v>0</v>
      </c>
      <c r="U71" s="39">
        <v>0</v>
      </c>
      <c r="V71" s="39">
        <v>0</v>
      </c>
      <c r="W71" s="39">
        <v>0</v>
      </c>
      <c r="X71" s="35">
        <v>0</v>
      </c>
      <c r="Y71" s="39">
        <v>0</v>
      </c>
      <c r="Z71" s="39">
        <v>0</v>
      </c>
      <c r="AA71" s="39">
        <v>0</v>
      </c>
      <c r="AB71" s="39">
        <v>0</v>
      </c>
      <c r="AC71" s="35">
        <v>0</v>
      </c>
      <c r="AD71" s="39">
        <v>0</v>
      </c>
      <c r="AE71" s="39">
        <v>0</v>
      </c>
      <c r="AF71" s="39">
        <v>0</v>
      </c>
      <c r="AG71" s="39">
        <v>0</v>
      </c>
      <c r="AH71" s="35">
        <v>0</v>
      </c>
      <c r="AI71" s="39">
        <v>0</v>
      </c>
      <c r="AJ71" s="39">
        <v>0</v>
      </c>
      <c r="AK71" s="39">
        <v>0</v>
      </c>
      <c r="AL71" s="39">
        <v>0</v>
      </c>
      <c r="AM71" s="35">
        <v>0</v>
      </c>
      <c r="AN71" s="39">
        <v>0</v>
      </c>
      <c r="AO71" s="39">
        <v>0</v>
      </c>
      <c r="AP71" s="39">
        <v>0</v>
      </c>
      <c r="AQ71" s="39">
        <v>0</v>
      </c>
      <c r="AR71" s="35">
        <v>0</v>
      </c>
      <c r="AS71" s="39">
        <v>0</v>
      </c>
      <c r="AT71" s="39">
        <v>0</v>
      </c>
      <c r="AU71" s="39">
        <v>0</v>
      </c>
      <c r="AV71" s="39">
        <v>0</v>
      </c>
      <c r="AW71" s="35">
        <v>0</v>
      </c>
      <c r="AX71" s="39"/>
      <c r="AY71" s="39"/>
      <c r="AZ71" s="39"/>
      <c r="BA71" s="39"/>
      <c r="BB71" s="35"/>
      <c r="BC71" s="39"/>
      <c r="BD71" s="39"/>
      <c r="BE71" s="39"/>
      <c r="BF71" s="39"/>
      <c r="BG71" s="35"/>
      <c r="BH71" s="39"/>
      <c r="BI71" s="39"/>
      <c r="BJ71" s="39"/>
      <c r="BK71" s="39"/>
      <c r="BL71" s="35"/>
      <c r="BM71" s="39"/>
      <c r="BN71" s="39"/>
      <c r="BO71" s="39"/>
      <c r="BP71" s="39"/>
      <c r="BQ71" s="35"/>
      <c r="BR71" s="39">
        <f>+J71+O71+T71+Y71+AD71+AI71+AN71+AS71+AX71+BC71+BH71+BM71</f>
        <v>0</v>
      </c>
      <c r="BS71" s="39">
        <f>+K71+P71+U71+Z71+AE71+AJ71+AO71+AT71+AY71+BD71+BI71+BN71</f>
        <v>0</v>
      </c>
      <c r="BT71" s="39">
        <f>+L71+Q71+V71+AA71+AF71+AK71+AP71+AU71+AZ71+BE71+BJ71+BO71</f>
        <v>0</v>
      </c>
      <c r="BU71" s="39">
        <f>+M71+R71+W71+AB71+AG71+AL71+AQ71+AV71+BA71+BF71+BK71+BP71</f>
        <v>0</v>
      </c>
      <c r="BV71" s="37">
        <f>SUM(BR71:BU71)</f>
        <v>0</v>
      </c>
      <c r="BW71" s="2"/>
      <c r="BX71" s="165" t="e">
        <f t="shared" si="15"/>
        <v>#DIV/0!</v>
      </c>
    </row>
    <row r="72" spans="1:76" hidden="1" x14ac:dyDescent="0.2">
      <c r="A72" s="179" t="s">
        <v>242</v>
      </c>
      <c r="B72" s="160"/>
      <c r="D72" s="180"/>
      <c r="E72" s="39">
        <v>0</v>
      </c>
      <c r="F72" s="39">
        <v>0</v>
      </c>
      <c r="G72" s="39">
        <v>0</v>
      </c>
      <c r="H72" s="39">
        <v>0</v>
      </c>
      <c r="I72" s="35"/>
      <c r="J72" s="36">
        <v>0</v>
      </c>
      <c r="K72" s="39">
        <v>0</v>
      </c>
      <c r="L72" s="39">
        <v>0</v>
      </c>
      <c r="M72" s="39">
        <v>0</v>
      </c>
      <c r="N72" s="35">
        <v>0</v>
      </c>
      <c r="O72" s="39">
        <v>0</v>
      </c>
      <c r="P72" s="39">
        <v>0</v>
      </c>
      <c r="Q72" s="39">
        <v>0</v>
      </c>
      <c r="R72" s="39">
        <v>0</v>
      </c>
      <c r="S72" s="35">
        <v>0</v>
      </c>
      <c r="T72" s="39">
        <v>0</v>
      </c>
      <c r="U72" s="39">
        <v>0</v>
      </c>
      <c r="V72" s="39">
        <v>0</v>
      </c>
      <c r="W72" s="39">
        <v>0</v>
      </c>
      <c r="X72" s="35">
        <v>0</v>
      </c>
      <c r="Y72" s="39">
        <v>0</v>
      </c>
      <c r="Z72" s="39">
        <v>0</v>
      </c>
      <c r="AA72" s="39">
        <v>0</v>
      </c>
      <c r="AB72" s="39">
        <v>0</v>
      </c>
      <c r="AC72" s="35">
        <v>0</v>
      </c>
      <c r="AD72" s="39">
        <v>0</v>
      </c>
      <c r="AE72" s="39">
        <v>0</v>
      </c>
      <c r="AF72" s="39">
        <v>0</v>
      </c>
      <c r="AG72" s="39">
        <v>0</v>
      </c>
      <c r="AH72" s="35">
        <v>0</v>
      </c>
      <c r="AI72" s="39">
        <v>0</v>
      </c>
      <c r="AJ72" s="39">
        <v>0</v>
      </c>
      <c r="AK72" s="39">
        <v>0</v>
      </c>
      <c r="AL72" s="39">
        <v>0</v>
      </c>
      <c r="AM72" s="35">
        <v>0</v>
      </c>
      <c r="AN72" s="39">
        <v>0</v>
      </c>
      <c r="AO72" s="39">
        <v>0</v>
      </c>
      <c r="AP72" s="39">
        <v>0</v>
      </c>
      <c r="AQ72" s="39">
        <v>0</v>
      </c>
      <c r="AR72" s="35">
        <v>0</v>
      </c>
      <c r="AS72" s="39">
        <v>0</v>
      </c>
      <c r="AT72" s="39">
        <v>0</v>
      </c>
      <c r="AU72" s="39">
        <v>0</v>
      </c>
      <c r="AV72" s="39">
        <v>0</v>
      </c>
      <c r="AW72" s="35">
        <v>0</v>
      </c>
      <c r="AX72" s="39"/>
      <c r="AY72" s="39"/>
      <c r="AZ72" s="39"/>
      <c r="BA72" s="39"/>
      <c r="BB72" s="35"/>
      <c r="BC72" s="39"/>
      <c r="BD72" s="39"/>
      <c r="BE72" s="39"/>
      <c r="BF72" s="39"/>
      <c r="BG72" s="35"/>
      <c r="BH72" s="39"/>
      <c r="BI72" s="39"/>
      <c r="BJ72" s="39"/>
      <c r="BK72" s="39"/>
      <c r="BL72" s="35"/>
      <c r="BM72" s="39"/>
      <c r="BN72" s="39"/>
      <c r="BO72" s="39"/>
      <c r="BP72" s="39"/>
      <c r="BQ72" s="35"/>
      <c r="BR72" s="39">
        <v>0</v>
      </c>
      <c r="BS72" s="39">
        <v>0</v>
      </c>
      <c r="BT72" s="39">
        <v>0</v>
      </c>
      <c r="BU72" s="39">
        <v>0</v>
      </c>
      <c r="BV72" s="37">
        <v>0</v>
      </c>
      <c r="BW72" s="2"/>
      <c r="BX72" s="165" t="e">
        <f t="shared" si="15"/>
        <v>#DIV/0!</v>
      </c>
    </row>
    <row r="73" spans="1:76" ht="13.5" customHeight="1" x14ac:dyDescent="0.2">
      <c r="A73" s="197" t="s">
        <v>172</v>
      </c>
      <c r="B73" s="198"/>
      <c r="C73" s="198"/>
      <c r="D73" s="199"/>
      <c r="E73" s="200">
        <f t="shared" ref="E73:BP73" si="47">+E47+E68+E69+E70+E71+E72</f>
        <v>453923996</v>
      </c>
      <c r="F73" s="201">
        <f t="shared" si="47"/>
        <v>1152697125</v>
      </c>
      <c r="G73" s="201">
        <f t="shared" si="47"/>
        <v>14704380</v>
      </c>
      <c r="H73" s="201">
        <f t="shared" si="47"/>
        <v>65210574</v>
      </c>
      <c r="I73" s="202">
        <f>+I47+I68</f>
        <v>1686536075</v>
      </c>
      <c r="J73" s="200">
        <f t="shared" si="47"/>
        <v>21299829</v>
      </c>
      <c r="K73" s="201">
        <f t="shared" si="47"/>
        <v>102058569</v>
      </c>
      <c r="L73" s="201">
        <f t="shared" si="47"/>
        <v>362073</v>
      </c>
      <c r="M73" s="201">
        <f t="shared" si="47"/>
        <v>13633997</v>
      </c>
      <c r="N73" s="202">
        <f t="shared" si="47"/>
        <v>137354468</v>
      </c>
      <c r="O73" s="201">
        <f t="shared" si="47"/>
        <v>23389993</v>
      </c>
      <c r="P73" s="201">
        <f t="shared" si="47"/>
        <v>90353168</v>
      </c>
      <c r="Q73" s="201">
        <f t="shared" si="47"/>
        <v>582691</v>
      </c>
      <c r="R73" s="201">
        <f t="shared" si="47"/>
        <v>135434</v>
      </c>
      <c r="S73" s="202">
        <f t="shared" si="47"/>
        <v>114461286</v>
      </c>
      <c r="T73" s="200">
        <f t="shared" si="47"/>
        <v>39453704</v>
      </c>
      <c r="U73" s="201">
        <f t="shared" si="47"/>
        <v>83604736</v>
      </c>
      <c r="V73" s="201">
        <f t="shared" si="47"/>
        <v>553754</v>
      </c>
      <c r="W73" s="201">
        <f t="shared" si="47"/>
        <v>23276</v>
      </c>
      <c r="X73" s="202">
        <f t="shared" si="47"/>
        <v>123635470</v>
      </c>
      <c r="Y73" s="200">
        <f t="shared" si="47"/>
        <v>47785459</v>
      </c>
      <c r="Z73" s="201">
        <f t="shared" si="47"/>
        <v>124231215</v>
      </c>
      <c r="AA73" s="201">
        <f t="shared" si="47"/>
        <v>714762</v>
      </c>
      <c r="AB73" s="201">
        <f t="shared" si="47"/>
        <v>122353</v>
      </c>
      <c r="AC73" s="202">
        <f t="shared" si="47"/>
        <v>172853789</v>
      </c>
      <c r="AD73" s="200">
        <f t="shared" si="47"/>
        <v>47186195</v>
      </c>
      <c r="AE73" s="201">
        <f t="shared" si="47"/>
        <v>98938819</v>
      </c>
      <c r="AF73" s="201">
        <f t="shared" si="47"/>
        <v>844913</v>
      </c>
      <c r="AG73" s="201">
        <f t="shared" si="47"/>
        <v>3802346</v>
      </c>
      <c r="AH73" s="202">
        <f t="shared" si="47"/>
        <v>150772273</v>
      </c>
      <c r="AI73" s="200">
        <f t="shared" si="47"/>
        <v>36134750</v>
      </c>
      <c r="AJ73" s="201">
        <f t="shared" si="47"/>
        <v>77572968</v>
      </c>
      <c r="AK73" s="201">
        <f t="shared" si="47"/>
        <v>853464</v>
      </c>
      <c r="AL73" s="201">
        <f t="shared" si="47"/>
        <v>3802194</v>
      </c>
      <c r="AM73" s="202">
        <f t="shared" si="47"/>
        <v>118363376</v>
      </c>
      <c r="AN73" s="200">
        <f>+AN47+AN68+AN69+AN70+AN71+AN72</f>
        <v>25297181</v>
      </c>
      <c r="AO73" s="201">
        <f t="shared" si="47"/>
        <v>98060723</v>
      </c>
      <c r="AP73" s="201">
        <f t="shared" si="47"/>
        <v>670997</v>
      </c>
      <c r="AQ73" s="201">
        <f>+AQ47+AQ68+AQ69+AQ70+AQ71+AQ72</f>
        <v>2101544</v>
      </c>
      <c r="AR73" s="202">
        <f>+AR47+AR68+AR69+AR70+AR71+AR72</f>
        <v>126130445</v>
      </c>
      <c r="AS73" s="200">
        <f t="shared" si="47"/>
        <v>22391188</v>
      </c>
      <c r="AT73" s="201">
        <f t="shared" si="47"/>
        <v>87521398</v>
      </c>
      <c r="AU73" s="201">
        <f t="shared" si="47"/>
        <v>737799</v>
      </c>
      <c r="AV73" s="201">
        <f t="shared" si="47"/>
        <v>11508</v>
      </c>
      <c r="AW73" s="202">
        <f t="shared" si="47"/>
        <v>110661893</v>
      </c>
      <c r="AX73" s="200">
        <f t="shared" si="47"/>
        <v>41128944</v>
      </c>
      <c r="AY73" s="201">
        <f t="shared" si="47"/>
        <v>102434676</v>
      </c>
      <c r="AZ73" s="201">
        <f t="shared" si="47"/>
        <v>1572655</v>
      </c>
      <c r="BA73" s="201">
        <f t="shared" si="47"/>
        <v>17382458</v>
      </c>
      <c r="BB73" s="202">
        <f t="shared" si="47"/>
        <v>162518733</v>
      </c>
      <c r="BC73" s="200">
        <f t="shared" si="47"/>
        <v>48538016</v>
      </c>
      <c r="BD73" s="201">
        <f t="shared" si="47"/>
        <v>89460505</v>
      </c>
      <c r="BE73" s="201">
        <f t="shared" si="47"/>
        <v>896488</v>
      </c>
      <c r="BF73" s="201">
        <f t="shared" si="47"/>
        <v>7924</v>
      </c>
      <c r="BG73" s="202">
        <f t="shared" si="47"/>
        <v>138902933</v>
      </c>
      <c r="BH73" s="200">
        <f t="shared" si="47"/>
        <v>50682519</v>
      </c>
      <c r="BI73" s="201">
        <f t="shared" si="47"/>
        <v>77944225</v>
      </c>
      <c r="BJ73" s="201">
        <f t="shared" si="47"/>
        <v>685432</v>
      </c>
      <c r="BK73" s="201">
        <f t="shared" si="47"/>
        <v>13013794</v>
      </c>
      <c r="BL73" s="202">
        <f t="shared" si="47"/>
        <v>142325970</v>
      </c>
      <c r="BM73" s="200">
        <f t="shared" si="47"/>
        <v>46444316.700000003</v>
      </c>
      <c r="BN73" s="201">
        <f t="shared" si="47"/>
        <v>131535356</v>
      </c>
      <c r="BO73" s="201">
        <f t="shared" si="47"/>
        <v>3227155</v>
      </c>
      <c r="BP73" s="201">
        <f t="shared" si="47"/>
        <v>10644951</v>
      </c>
      <c r="BQ73" s="202">
        <f t="shared" ref="BQ73:BV73" si="48">+BQ47+BQ68+BQ69+BQ70+BQ71+BQ72</f>
        <v>191851778.69999999</v>
      </c>
      <c r="BR73" s="200">
        <f t="shared" si="48"/>
        <v>449732094.69999999</v>
      </c>
      <c r="BS73" s="201">
        <f t="shared" si="48"/>
        <v>1163716358</v>
      </c>
      <c r="BT73" s="201">
        <f t="shared" si="48"/>
        <v>11702183</v>
      </c>
      <c r="BU73" s="201">
        <f t="shared" si="48"/>
        <v>64681779</v>
      </c>
      <c r="BV73" s="203">
        <f t="shared" si="48"/>
        <v>1689832414.7</v>
      </c>
      <c r="BW73" s="2"/>
      <c r="BX73" s="165">
        <f>(BV73/I73)*100</f>
        <v>100.19545029299182</v>
      </c>
    </row>
    <row r="74" spans="1:76" ht="13.5" hidden="1" customHeight="1" x14ac:dyDescent="0.2">
      <c r="A74" s="179"/>
      <c r="B74" s="136"/>
      <c r="D74" s="178" t="s">
        <v>122</v>
      </c>
      <c r="E74" s="162">
        <v>0</v>
      </c>
      <c r="F74" s="163">
        <v>0</v>
      </c>
      <c r="G74" s="163">
        <v>0</v>
      </c>
      <c r="H74" s="204">
        <v>0</v>
      </c>
      <c r="I74" s="34">
        <v>0</v>
      </c>
      <c r="J74" s="162">
        <v>0</v>
      </c>
      <c r="K74" s="163">
        <v>0</v>
      </c>
      <c r="L74" s="163">
        <v>0</v>
      </c>
      <c r="M74" s="204">
        <v>0</v>
      </c>
      <c r="N74" s="35">
        <v>0</v>
      </c>
      <c r="O74" s="163">
        <v>0</v>
      </c>
      <c r="P74" s="163">
        <v>0</v>
      </c>
      <c r="Q74" s="163">
        <v>0</v>
      </c>
      <c r="R74" s="204">
        <v>0</v>
      </c>
      <c r="S74" s="34">
        <v>0</v>
      </c>
      <c r="T74" s="162">
        <v>0</v>
      </c>
      <c r="U74" s="163">
        <v>0</v>
      </c>
      <c r="V74" s="163">
        <v>0</v>
      </c>
      <c r="W74" s="204">
        <v>0</v>
      </c>
      <c r="X74" s="34">
        <v>0</v>
      </c>
      <c r="Y74" s="162">
        <v>0</v>
      </c>
      <c r="Z74" s="163">
        <v>0</v>
      </c>
      <c r="AA74" s="163">
        <v>0</v>
      </c>
      <c r="AB74" s="163">
        <v>0</v>
      </c>
      <c r="AC74" s="205">
        <f>SUM(Y74:AB74)</f>
        <v>0</v>
      </c>
      <c r="AD74" s="162">
        <v>0</v>
      </c>
      <c r="AE74" s="163">
        <v>0</v>
      </c>
      <c r="AF74" s="163">
        <v>0</v>
      </c>
      <c r="AG74" s="204">
        <v>0</v>
      </c>
      <c r="AH74" s="34">
        <f>SUM(AD74:AG74)</f>
        <v>0</v>
      </c>
      <c r="AI74" s="162">
        <v>0</v>
      </c>
      <c r="AJ74" s="163">
        <v>0</v>
      </c>
      <c r="AK74" s="163">
        <v>0</v>
      </c>
      <c r="AL74" s="204">
        <v>0</v>
      </c>
      <c r="AM74" s="34">
        <f>SUM(AI74:AL74)</f>
        <v>0</v>
      </c>
      <c r="AN74" s="162">
        <v>0</v>
      </c>
      <c r="AO74" s="163">
        <v>0</v>
      </c>
      <c r="AP74" s="163">
        <v>0</v>
      </c>
      <c r="AQ74" s="204">
        <v>0</v>
      </c>
      <c r="AR74" s="34">
        <f>SUM(AN74:AQ74)</f>
        <v>0</v>
      </c>
      <c r="AS74" s="162">
        <v>0</v>
      </c>
      <c r="AT74" s="163">
        <v>0</v>
      </c>
      <c r="AU74" s="163">
        <v>0</v>
      </c>
      <c r="AV74" s="204">
        <v>0</v>
      </c>
      <c r="AW74" s="34">
        <f>SUM(AS74:AV74)</f>
        <v>0</v>
      </c>
      <c r="AX74" s="162">
        <v>0</v>
      </c>
      <c r="AY74" s="163">
        <v>0</v>
      </c>
      <c r="AZ74" s="163">
        <v>0</v>
      </c>
      <c r="BA74" s="204">
        <v>0</v>
      </c>
      <c r="BB74" s="34">
        <f>SUM(AX74:BA74)</f>
        <v>0</v>
      </c>
      <c r="BC74" s="162">
        <v>0</v>
      </c>
      <c r="BD74" s="163">
        <v>0</v>
      </c>
      <c r="BE74" s="163">
        <v>0</v>
      </c>
      <c r="BF74" s="204">
        <v>0</v>
      </c>
      <c r="BG74" s="34">
        <f>SUM(BC74:BF74)</f>
        <v>0</v>
      </c>
      <c r="BH74" s="162">
        <v>0</v>
      </c>
      <c r="BI74" s="163">
        <v>0</v>
      </c>
      <c r="BJ74" s="163">
        <v>0</v>
      </c>
      <c r="BK74" s="204">
        <v>0</v>
      </c>
      <c r="BL74" s="34">
        <f>SUM(BH74:BK74)</f>
        <v>0</v>
      </c>
      <c r="BM74" s="162">
        <v>0</v>
      </c>
      <c r="BN74" s="163">
        <v>0</v>
      </c>
      <c r="BO74" s="163">
        <v>0</v>
      </c>
      <c r="BP74" s="204">
        <v>0</v>
      </c>
      <c r="BQ74" s="34">
        <f>SUM(BM74:BP74)</f>
        <v>0</v>
      </c>
      <c r="BR74" s="162">
        <v>0</v>
      </c>
      <c r="BS74" s="163">
        <v>0</v>
      </c>
      <c r="BT74" s="163">
        <v>0</v>
      </c>
      <c r="BU74" s="204">
        <v>0</v>
      </c>
      <c r="BV74" s="37">
        <f>SUM(BR74:BU74)</f>
        <v>0</v>
      </c>
      <c r="BW74" s="2"/>
      <c r="BX74" s="165" t="e">
        <f t="shared" si="15"/>
        <v>#DIV/0!</v>
      </c>
    </row>
    <row r="75" spans="1:76" ht="13.5" customHeight="1" x14ac:dyDescent="0.2">
      <c r="A75" s="179" t="s">
        <v>243</v>
      </c>
      <c r="B75" s="136"/>
      <c r="D75" s="180"/>
      <c r="E75" s="163">
        <v>0</v>
      </c>
      <c r="F75" s="163">
        <v>0</v>
      </c>
      <c r="G75" s="163">
        <v>0</v>
      </c>
      <c r="H75" s="163">
        <v>0</v>
      </c>
      <c r="I75" s="35">
        <v>-4231974</v>
      </c>
      <c r="J75" s="162">
        <v>0</v>
      </c>
      <c r="K75" s="163">
        <v>0</v>
      </c>
      <c r="L75" s="163">
        <v>0</v>
      </c>
      <c r="M75" s="163">
        <v>0</v>
      </c>
      <c r="N75" s="35">
        <v>0</v>
      </c>
      <c r="O75" s="163">
        <v>0</v>
      </c>
      <c r="P75" s="163">
        <v>0</v>
      </c>
      <c r="Q75" s="163">
        <v>0</v>
      </c>
      <c r="R75" s="163">
        <v>0</v>
      </c>
      <c r="S75" s="35">
        <v>0</v>
      </c>
      <c r="T75" s="163">
        <v>0</v>
      </c>
      <c r="U75" s="163">
        <v>0</v>
      </c>
      <c r="V75" s="163">
        <v>0</v>
      </c>
      <c r="W75" s="163">
        <v>0</v>
      </c>
      <c r="X75" s="35">
        <v>0</v>
      </c>
      <c r="Y75" s="163">
        <v>0</v>
      </c>
      <c r="Z75" s="163">
        <v>0</v>
      </c>
      <c r="AA75" s="163">
        <v>0</v>
      </c>
      <c r="AB75" s="163">
        <v>0</v>
      </c>
      <c r="AC75" s="35">
        <f>SUM(Y75:AB75)</f>
        <v>0</v>
      </c>
      <c r="AD75" s="163">
        <v>0</v>
      </c>
      <c r="AE75" s="163">
        <v>0</v>
      </c>
      <c r="AF75" s="163">
        <v>0</v>
      </c>
      <c r="AG75" s="163">
        <v>0</v>
      </c>
      <c r="AH75" s="35">
        <f>SUM(AD75:AG75)</f>
        <v>0</v>
      </c>
      <c r="AI75" s="163">
        <v>0</v>
      </c>
      <c r="AJ75" s="163">
        <v>0</v>
      </c>
      <c r="AK75" s="163">
        <v>0</v>
      </c>
      <c r="AL75" s="163">
        <v>0</v>
      </c>
      <c r="AM75" s="35">
        <f>SUM(AI75:AL75)</f>
        <v>0</v>
      </c>
      <c r="AN75" s="163">
        <v>0</v>
      </c>
      <c r="AO75" s="163">
        <v>0</v>
      </c>
      <c r="AP75" s="163">
        <v>0</v>
      </c>
      <c r="AQ75" s="163">
        <v>0</v>
      </c>
      <c r="AR75" s="35">
        <f>SUM(AN75:AQ75)</f>
        <v>0</v>
      </c>
      <c r="AS75" s="163">
        <v>0</v>
      </c>
      <c r="AT75" s="163">
        <v>0</v>
      </c>
      <c r="AU75" s="163">
        <v>0</v>
      </c>
      <c r="AV75" s="163">
        <v>0</v>
      </c>
      <c r="AW75" s="35">
        <f>SUM(AS75:AV75)</f>
        <v>0</v>
      </c>
      <c r="AX75" s="163">
        <v>0</v>
      </c>
      <c r="AY75" s="163">
        <v>0</v>
      </c>
      <c r="AZ75" s="163">
        <v>0</v>
      </c>
      <c r="BA75" s="163">
        <v>0</v>
      </c>
      <c r="BB75" s="35">
        <f>SUM(AX75:BA75)</f>
        <v>0</v>
      </c>
      <c r="BC75" s="163">
        <v>0</v>
      </c>
      <c r="BD75" s="163">
        <v>0</v>
      </c>
      <c r="BE75" s="163">
        <v>0</v>
      </c>
      <c r="BF75" s="163">
        <v>0</v>
      </c>
      <c r="BG75" s="35">
        <f>SUM(BC75:BF75)</f>
        <v>0</v>
      </c>
      <c r="BH75" s="163">
        <v>0</v>
      </c>
      <c r="BI75" s="163">
        <v>0</v>
      </c>
      <c r="BJ75" s="163">
        <v>0</v>
      </c>
      <c r="BK75" s="163">
        <v>0</v>
      </c>
      <c r="BL75" s="35">
        <f>SUM(BH75:BK75)</f>
        <v>0</v>
      </c>
      <c r="BM75" s="163">
        <v>0</v>
      </c>
      <c r="BN75" s="163">
        <v>0</v>
      </c>
      <c r="BO75" s="163">
        <v>0</v>
      </c>
      <c r="BP75" s="163">
        <v>0</v>
      </c>
      <c r="BQ75" s="35">
        <f>SUM(BM75:BP75)</f>
        <v>0</v>
      </c>
      <c r="BR75" s="163">
        <v>0</v>
      </c>
      <c r="BS75" s="163">
        <v>0</v>
      </c>
      <c r="BT75" s="163">
        <v>0</v>
      </c>
      <c r="BU75" s="163">
        <v>0</v>
      </c>
      <c r="BV75" s="37">
        <f>SUM(BR75:BU75)</f>
        <v>0</v>
      </c>
      <c r="BW75" s="2"/>
      <c r="BX75" s="165">
        <f t="shared" si="15"/>
        <v>0</v>
      </c>
    </row>
    <row r="76" spans="1:76" ht="13.5" hidden="1" customHeight="1" x14ac:dyDescent="0.2">
      <c r="A76" s="179"/>
      <c r="B76" s="136"/>
      <c r="D76" s="180"/>
      <c r="E76" s="163">
        <v>0</v>
      </c>
      <c r="F76" s="163">
        <v>0</v>
      </c>
      <c r="G76" s="163">
        <v>0</v>
      </c>
      <c r="H76" s="163">
        <v>0</v>
      </c>
      <c r="I76" s="35">
        <v>0</v>
      </c>
      <c r="J76" s="162">
        <v>0</v>
      </c>
      <c r="K76" s="163">
        <v>0</v>
      </c>
      <c r="L76" s="163">
        <v>0</v>
      </c>
      <c r="M76" s="163">
        <v>0</v>
      </c>
      <c r="N76" s="35">
        <v>0</v>
      </c>
      <c r="O76" s="163">
        <v>0</v>
      </c>
      <c r="P76" s="163">
        <v>0</v>
      </c>
      <c r="Q76" s="163">
        <v>0</v>
      </c>
      <c r="R76" s="163">
        <v>0</v>
      </c>
      <c r="S76" s="35">
        <v>0</v>
      </c>
      <c r="T76" s="163">
        <v>0</v>
      </c>
      <c r="U76" s="163">
        <v>0</v>
      </c>
      <c r="V76" s="163">
        <v>0</v>
      </c>
      <c r="W76" s="163">
        <v>0</v>
      </c>
      <c r="X76" s="35">
        <v>0</v>
      </c>
      <c r="Y76" s="163">
        <v>0</v>
      </c>
      <c r="Z76" s="163">
        <v>0</v>
      </c>
      <c r="AA76" s="163">
        <v>0</v>
      </c>
      <c r="AB76" s="163">
        <v>0</v>
      </c>
      <c r="AC76" s="126">
        <f>SUM(Y76:AB76)</f>
        <v>0</v>
      </c>
      <c r="AD76" s="163">
        <v>0</v>
      </c>
      <c r="AE76" s="163">
        <v>0</v>
      </c>
      <c r="AF76" s="163">
        <v>0</v>
      </c>
      <c r="AG76" s="163">
        <v>0</v>
      </c>
      <c r="AH76" s="35">
        <f>SUM(AD76:AG76)</f>
        <v>0</v>
      </c>
      <c r="AI76" s="163">
        <v>0</v>
      </c>
      <c r="AJ76" s="163">
        <v>0</v>
      </c>
      <c r="AK76" s="163">
        <v>0</v>
      </c>
      <c r="AL76" s="163">
        <v>0</v>
      </c>
      <c r="AM76" s="35">
        <f>SUM(AI76:AL76)</f>
        <v>0</v>
      </c>
      <c r="AN76" s="163">
        <v>0</v>
      </c>
      <c r="AO76" s="163">
        <v>0</v>
      </c>
      <c r="AP76" s="163">
        <v>0</v>
      </c>
      <c r="AQ76" s="163">
        <v>0</v>
      </c>
      <c r="AR76" s="35">
        <f>SUM(AN76:AQ76)</f>
        <v>0</v>
      </c>
      <c r="AS76" s="163">
        <v>0</v>
      </c>
      <c r="AT76" s="163">
        <v>0</v>
      </c>
      <c r="AU76" s="163">
        <v>0</v>
      </c>
      <c r="AV76" s="163">
        <v>0</v>
      </c>
      <c r="AW76" s="35">
        <f>SUM(AS76:AV76)</f>
        <v>0</v>
      </c>
      <c r="AX76" s="163">
        <v>0</v>
      </c>
      <c r="AY76" s="163">
        <v>0</v>
      </c>
      <c r="AZ76" s="163">
        <v>0</v>
      </c>
      <c r="BA76" s="163">
        <v>0</v>
      </c>
      <c r="BB76" s="35">
        <f>SUM(AX76:BA76)</f>
        <v>0</v>
      </c>
      <c r="BC76" s="163">
        <v>0</v>
      </c>
      <c r="BD76" s="163">
        <v>0</v>
      </c>
      <c r="BE76" s="163">
        <v>0</v>
      </c>
      <c r="BF76" s="163">
        <v>0</v>
      </c>
      <c r="BG76" s="35">
        <f>SUM(BC76:BF76)</f>
        <v>0</v>
      </c>
      <c r="BH76" s="163">
        <v>0</v>
      </c>
      <c r="BI76" s="163">
        <v>0</v>
      </c>
      <c r="BJ76" s="163">
        <v>0</v>
      </c>
      <c r="BK76" s="163">
        <v>0</v>
      </c>
      <c r="BL76" s="35">
        <f>SUM(BH76:BK76)</f>
        <v>0</v>
      </c>
      <c r="BM76" s="163">
        <v>0</v>
      </c>
      <c r="BN76" s="163">
        <v>0</v>
      </c>
      <c r="BO76" s="163">
        <v>0</v>
      </c>
      <c r="BP76" s="163">
        <v>0</v>
      </c>
      <c r="BQ76" s="35">
        <f>SUM(BM76:BP76)</f>
        <v>0</v>
      </c>
      <c r="BR76" s="163">
        <v>0</v>
      </c>
      <c r="BS76" s="163">
        <v>0</v>
      </c>
      <c r="BT76" s="163">
        <v>0</v>
      </c>
      <c r="BU76" s="163">
        <v>0</v>
      </c>
      <c r="BV76" s="37">
        <f>SUM(BR76:BU76)</f>
        <v>0</v>
      </c>
      <c r="BW76" s="2"/>
      <c r="BX76" s="165"/>
    </row>
    <row r="77" spans="1:76" x14ac:dyDescent="0.2">
      <c r="A77" s="197" t="s">
        <v>244</v>
      </c>
      <c r="B77" s="206"/>
      <c r="C77" s="198"/>
      <c r="D77" s="207"/>
      <c r="E77" s="208">
        <f>+E73+E74+E75</f>
        <v>453923996</v>
      </c>
      <c r="F77" s="208">
        <f>+F73+F74+F75</f>
        <v>1152697125</v>
      </c>
      <c r="G77" s="208">
        <f>+G73+G74+G75</f>
        <v>14704380</v>
      </c>
      <c r="H77" s="208">
        <f>+H73+H74+H75</f>
        <v>65210574</v>
      </c>
      <c r="I77" s="209">
        <f>+I73+I74+I75</f>
        <v>1682304101</v>
      </c>
      <c r="J77" s="210">
        <f t="shared" ref="J77:BU77" si="49">+J73+J74+J75</f>
        <v>21299829</v>
      </c>
      <c r="K77" s="208">
        <f t="shared" si="49"/>
        <v>102058569</v>
      </c>
      <c r="L77" s="208">
        <f t="shared" si="49"/>
        <v>362073</v>
      </c>
      <c r="M77" s="208">
        <f t="shared" si="49"/>
        <v>13633997</v>
      </c>
      <c r="N77" s="209">
        <f t="shared" si="49"/>
        <v>137354468</v>
      </c>
      <c r="O77" s="208">
        <f t="shared" si="49"/>
        <v>23389993</v>
      </c>
      <c r="P77" s="208">
        <f t="shared" si="49"/>
        <v>90353168</v>
      </c>
      <c r="Q77" s="208">
        <f t="shared" si="49"/>
        <v>582691</v>
      </c>
      <c r="R77" s="208">
        <f t="shared" si="49"/>
        <v>135434</v>
      </c>
      <c r="S77" s="209">
        <f t="shared" si="49"/>
        <v>114461286</v>
      </c>
      <c r="T77" s="208">
        <f t="shared" si="49"/>
        <v>39453704</v>
      </c>
      <c r="U77" s="208">
        <f t="shared" si="49"/>
        <v>83604736</v>
      </c>
      <c r="V77" s="208">
        <f t="shared" si="49"/>
        <v>553754</v>
      </c>
      <c r="W77" s="208">
        <f t="shared" si="49"/>
        <v>23276</v>
      </c>
      <c r="X77" s="209">
        <f t="shared" si="49"/>
        <v>123635470</v>
      </c>
      <c r="Y77" s="208">
        <f t="shared" si="49"/>
        <v>47785459</v>
      </c>
      <c r="Z77" s="208">
        <f t="shared" si="49"/>
        <v>124231215</v>
      </c>
      <c r="AA77" s="208">
        <f t="shared" si="49"/>
        <v>714762</v>
      </c>
      <c r="AB77" s="208">
        <f t="shared" si="49"/>
        <v>122353</v>
      </c>
      <c r="AC77" s="209">
        <f t="shared" si="49"/>
        <v>172853789</v>
      </c>
      <c r="AD77" s="208">
        <f t="shared" si="49"/>
        <v>47186195</v>
      </c>
      <c r="AE77" s="208">
        <f t="shared" si="49"/>
        <v>98938819</v>
      </c>
      <c r="AF77" s="208">
        <f t="shared" si="49"/>
        <v>844913</v>
      </c>
      <c r="AG77" s="208">
        <f t="shared" si="49"/>
        <v>3802346</v>
      </c>
      <c r="AH77" s="209">
        <f t="shared" si="49"/>
        <v>150772273</v>
      </c>
      <c r="AI77" s="208">
        <f t="shared" si="49"/>
        <v>36134750</v>
      </c>
      <c r="AJ77" s="208">
        <f t="shared" si="49"/>
        <v>77572968</v>
      </c>
      <c r="AK77" s="208">
        <f t="shared" si="49"/>
        <v>853464</v>
      </c>
      <c r="AL77" s="208">
        <f t="shared" si="49"/>
        <v>3802194</v>
      </c>
      <c r="AM77" s="209">
        <f t="shared" si="49"/>
        <v>118363376</v>
      </c>
      <c r="AN77" s="208">
        <f t="shared" si="49"/>
        <v>25297181</v>
      </c>
      <c r="AO77" s="208">
        <f t="shared" si="49"/>
        <v>98060723</v>
      </c>
      <c r="AP77" s="208">
        <f t="shared" si="49"/>
        <v>670997</v>
      </c>
      <c r="AQ77" s="208">
        <f t="shared" si="49"/>
        <v>2101544</v>
      </c>
      <c r="AR77" s="209">
        <f t="shared" si="49"/>
        <v>126130445</v>
      </c>
      <c r="AS77" s="208">
        <f t="shared" si="49"/>
        <v>22391188</v>
      </c>
      <c r="AT77" s="208">
        <f t="shared" si="49"/>
        <v>87521398</v>
      </c>
      <c r="AU77" s="208">
        <f t="shared" si="49"/>
        <v>737799</v>
      </c>
      <c r="AV77" s="208">
        <f t="shared" si="49"/>
        <v>11508</v>
      </c>
      <c r="AW77" s="209">
        <f t="shared" si="49"/>
        <v>110661893</v>
      </c>
      <c r="AX77" s="208">
        <f t="shared" si="49"/>
        <v>41128944</v>
      </c>
      <c r="AY77" s="208">
        <f t="shared" si="49"/>
        <v>102434676</v>
      </c>
      <c r="AZ77" s="208">
        <f t="shared" si="49"/>
        <v>1572655</v>
      </c>
      <c r="BA77" s="208">
        <f t="shared" si="49"/>
        <v>17382458</v>
      </c>
      <c r="BB77" s="209">
        <f t="shared" si="49"/>
        <v>162518733</v>
      </c>
      <c r="BC77" s="208">
        <f t="shared" si="49"/>
        <v>48538016</v>
      </c>
      <c r="BD77" s="208">
        <f t="shared" si="49"/>
        <v>89460505</v>
      </c>
      <c r="BE77" s="208">
        <f t="shared" si="49"/>
        <v>896488</v>
      </c>
      <c r="BF77" s="208">
        <f t="shared" si="49"/>
        <v>7924</v>
      </c>
      <c r="BG77" s="209">
        <f t="shared" si="49"/>
        <v>138902933</v>
      </c>
      <c r="BH77" s="208">
        <f t="shared" si="49"/>
        <v>50682519</v>
      </c>
      <c r="BI77" s="208">
        <f t="shared" si="49"/>
        <v>77944225</v>
      </c>
      <c r="BJ77" s="208">
        <f t="shared" si="49"/>
        <v>685432</v>
      </c>
      <c r="BK77" s="208">
        <f t="shared" si="49"/>
        <v>13013794</v>
      </c>
      <c r="BL77" s="209">
        <f t="shared" si="49"/>
        <v>142325970</v>
      </c>
      <c r="BM77" s="208">
        <f t="shared" si="49"/>
        <v>46444316.700000003</v>
      </c>
      <c r="BN77" s="208">
        <f t="shared" si="49"/>
        <v>131535356</v>
      </c>
      <c r="BO77" s="208">
        <f t="shared" si="49"/>
        <v>3227155</v>
      </c>
      <c r="BP77" s="208">
        <f t="shared" si="49"/>
        <v>10644951</v>
      </c>
      <c r="BQ77" s="209">
        <f t="shared" si="49"/>
        <v>191851778.69999999</v>
      </c>
      <c r="BR77" s="208">
        <f t="shared" si="49"/>
        <v>449732094.69999999</v>
      </c>
      <c r="BS77" s="208">
        <f t="shared" si="49"/>
        <v>1163716358</v>
      </c>
      <c r="BT77" s="208">
        <f t="shared" si="49"/>
        <v>11702183</v>
      </c>
      <c r="BU77" s="208">
        <f t="shared" si="49"/>
        <v>64681779</v>
      </c>
      <c r="BV77" s="211">
        <f t="shared" ref="BV77" si="50">+BV73+BV74+BV75</f>
        <v>1689832414.7</v>
      </c>
      <c r="BW77" s="212"/>
      <c r="BX77" s="165">
        <f>(BV77/I77)*100</f>
        <v>100.44750016929311</v>
      </c>
    </row>
    <row r="78" spans="1:76" ht="12" customHeight="1" x14ac:dyDescent="0.2">
      <c r="A78" s="213" t="s">
        <v>245</v>
      </c>
      <c r="B78" s="214"/>
      <c r="C78" s="214"/>
      <c r="D78" s="160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</row>
    <row r="79" spans="1:76" x14ac:dyDescent="0.2">
      <c r="A79" s="187" t="s">
        <v>246</v>
      </c>
      <c r="B79" s="217"/>
      <c r="C79" s="217"/>
      <c r="D79" s="217"/>
      <c r="E79" s="217"/>
      <c r="F79" s="217"/>
      <c r="G79" s="217"/>
      <c r="H79" s="217"/>
      <c r="I79" s="217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</row>
    <row r="80" spans="1:76" x14ac:dyDescent="0.2">
      <c r="A80" s="187" t="s">
        <v>247</v>
      </c>
      <c r="B80" s="217"/>
      <c r="C80" s="217"/>
      <c r="D80" s="217"/>
      <c r="E80" s="217"/>
      <c r="F80" s="217"/>
      <c r="G80" s="217"/>
      <c r="H80" s="217"/>
      <c r="I80" s="54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</row>
    <row r="81" spans="1:75" x14ac:dyDescent="0.2">
      <c r="A81" s="188" t="s">
        <v>248</v>
      </c>
      <c r="B81" s="188"/>
      <c r="C81" s="188"/>
      <c r="D81" s="188"/>
      <c r="E81" s="188"/>
      <c r="F81" s="188"/>
      <c r="G81" s="188"/>
      <c r="H81" s="188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</row>
    <row r="82" spans="1:75" x14ac:dyDescent="0.2">
      <c r="A82" s="187"/>
      <c r="B82" s="217"/>
      <c r="C82" s="217"/>
      <c r="D82" s="217"/>
      <c r="E82" s="217"/>
      <c r="F82" s="217"/>
      <c r="G82" s="217"/>
      <c r="H82" s="217"/>
      <c r="I82" s="54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</row>
    <row r="85" spans="1:75" x14ac:dyDescent="0.2">
      <c r="B85" s="168"/>
      <c r="C85" s="160"/>
      <c r="D85" s="160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136"/>
    </row>
    <row r="86" spans="1:75" x14ac:dyDescent="0.2">
      <c r="B86" s="168"/>
      <c r="C86" s="160"/>
      <c r="D86" s="160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136"/>
    </row>
    <row r="87" spans="1:75" x14ac:dyDescent="0.2">
      <c r="B87" s="168"/>
      <c r="C87" s="160"/>
      <c r="D87" s="160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136"/>
    </row>
    <row r="88" spans="1:75" x14ac:dyDescent="0.2">
      <c r="B88" s="168"/>
      <c r="C88" s="160"/>
      <c r="D88" s="160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136"/>
    </row>
    <row r="89" spans="1:75" x14ac:dyDescent="0.2">
      <c r="B89" s="168"/>
      <c r="C89" s="160"/>
      <c r="D89" s="160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136"/>
    </row>
    <row r="90" spans="1:75" x14ac:dyDescent="0.2">
      <c r="B90" s="168"/>
      <c r="C90" s="160"/>
      <c r="D90" s="160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136"/>
    </row>
    <row r="91" spans="1:75" x14ac:dyDescent="0.2">
      <c r="B91" s="168"/>
      <c r="C91" s="160"/>
      <c r="D91" s="160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</row>
    <row r="92" spans="1:75" x14ac:dyDescent="0.2">
      <c r="B92" s="168"/>
      <c r="C92" s="160"/>
      <c r="D92" s="160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</row>
    <row r="93" spans="1:75" x14ac:dyDescent="0.2">
      <c r="B93" s="168"/>
      <c r="C93" s="160"/>
      <c r="D93" s="160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</row>
    <row r="94" spans="1:75" x14ac:dyDescent="0.2">
      <c r="B94" s="168"/>
      <c r="C94" s="160"/>
      <c r="D94" s="160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</row>
    <row r="95" spans="1:75" x14ac:dyDescent="0.2">
      <c r="B95" s="168"/>
      <c r="C95" s="160"/>
      <c r="D95" s="160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</row>
    <row r="96" spans="1:75" x14ac:dyDescent="0.2">
      <c r="B96" s="168"/>
      <c r="C96" s="160"/>
      <c r="D96" s="160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</row>
    <row r="97" spans="2:74" x14ac:dyDescent="0.2">
      <c r="B97" s="168"/>
      <c r="C97" s="160"/>
      <c r="D97" s="160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</row>
    <row r="98" spans="2:74" x14ac:dyDescent="0.2">
      <c r="B98" s="168"/>
      <c r="C98" s="160"/>
      <c r="D98" s="160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</row>
    <row r="99" spans="2:74" x14ac:dyDescent="0.2">
      <c r="B99" s="168"/>
      <c r="C99" s="160"/>
      <c r="D99" s="160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</row>
    <row r="100" spans="2:74" x14ac:dyDescent="0.2">
      <c r="B100" s="168"/>
      <c r="C100" s="160"/>
      <c r="D100" s="160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</row>
    <row r="101" spans="2:74" x14ac:dyDescent="0.2">
      <c r="B101" s="168"/>
      <c r="C101" s="160"/>
      <c r="D101" s="160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</row>
    <row r="102" spans="2:74" x14ac:dyDescent="0.2">
      <c r="B102" s="168"/>
      <c r="C102" s="160"/>
      <c r="D102" s="160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</row>
    <row r="103" spans="2:74" x14ac:dyDescent="0.2">
      <c r="B103" s="168"/>
      <c r="C103" s="160"/>
      <c r="D103" s="160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</row>
    <row r="104" spans="2:74" x14ac:dyDescent="0.2">
      <c r="B104" s="168"/>
      <c r="C104" s="160"/>
      <c r="D104" s="160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</row>
    <row r="105" spans="2:74" x14ac:dyDescent="0.2">
      <c r="B105" s="168"/>
      <c r="C105" s="160"/>
      <c r="D105" s="160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</row>
    <row r="106" spans="2:74" x14ac:dyDescent="0.2">
      <c r="B106" s="168"/>
      <c r="C106" s="160"/>
      <c r="D106" s="160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</row>
    <row r="107" spans="2:74" x14ac:dyDescent="0.2">
      <c r="B107" s="168"/>
      <c r="C107" s="160"/>
      <c r="D107" s="160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</row>
    <row r="108" spans="2:74" x14ac:dyDescent="0.2">
      <c r="B108" s="168"/>
      <c r="C108" s="160"/>
      <c r="D108" s="160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</row>
    <row r="109" spans="2:74" x14ac:dyDescent="0.2">
      <c r="B109" s="168"/>
      <c r="C109" s="160"/>
      <c r="D109" s="160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</row>
    <row r="110" spans="2:74" x14ac:dyDescent="0.2">
      <c r="B110" s="168"/>
      <c r="C110" s="160"/>
      <c r="D110" s="160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</row>
    <row r="111" spans="2:74" x14ac:dyDescent="0.2">
      <c r="B111" s="136"/>
      <c r="D111" s="13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2:74" x14ac:dyDescent="0.2">
      <c r="B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</row>
    <row r="113" spans="2:74" x14ac:dyDescent="0.2">
      <c r="B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</row>
    <row r="114" spans="2:74" x14ac:dyDescent="0.2">
      <c r="B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</row>
    <row r="115" spans="2:74" x14ac:dyDescent="0.2">
      <c r="B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</row>
    <row r="116" spans="2:74" x14ac:dyDescent="0.2">
      <c r="B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</row>
    <row r="117" spans="2:74" x14ac:dyDescent="0.2">
      <c r="B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</row>
    <row r="118" spans="2:74" x14ac:dyDescent="0.2">
      <c r="B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</row>
    <row r="119" spans="2:74" x14ac:dyDescent="0.2">
      <c r="B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</row>
    <row r="120" spans="2:74" x14ac:dyDescent="0.2">
      <c r="B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</row>
    <row r="121" spans="2:74" x14ac:dyDescent="0.2">
      <c r="B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</row>
    <row r="122" spans="2:74" x14ac:dyDescent="0.2">
      <c r="B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</row>
    <row r="123" spans="2:74" x14ac:dyDescent="0.2">
      <c r="B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</row>
    <row r="124" spans="2:74" x14ac:dyDescent="0.2">
      <c r="B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</row>
    <row r="125" spans="2:74" x14ac:dyDescent="0.2">
      <c r="B125" s="136"/>
      <c r="D125" s="136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</row>
    <row r="126" spans="2:74" x14ac:dyDescent="0.2">
      <c r="B126" s="136"/>
      <c r="D126" s="136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</row>
    <row r="127" spans="2:74" x14ac:dyDescent="0.2">
      <c r="B127" s="168"/>
      <c r="C127" s="160"/>
      <c r="D127" s="160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</row>
    <row r="128" spans="2:74" x14ac:dyDescent="0.2">
      <c r="B128" s="168"/>
      <c r="C128" s="168"/>
      <c r="D128" s="168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</row>
    <row r="129" spans="2:74" x14ac:dyDescent="0.2">
      <c r="B129" s="168"/>
      <c r="C129" s="160"/>
      <c r="D129" s="160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</row>
    <row r="130" spans="2:74" x14ac:dyDescent="0.2">
      <c r="B130" s="219"/>
      <c r="C130" s="160"/>
      <c r="D130" s="160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</row>
    <row r="131" spans="2:74" x14ac:dyDescent="0.2">
      <c r="B131" s="168"/>
      <c r="C131" s="160"/>
      <c r="D131" s="160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</row>
    <row r="132" spans="2:74" x14ac:dyDescent="0.2">
      <c r="B132" s="168"/>
      <c r="C132" s="160"/>
      <c r="D132" s="160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</row>
    <row r="133" spans="2:74" x14ac:dyDescent="0.2">
      <c r="B133" s="168"/>
      <c r="C133" s="160"/>
      <c r="D133" s="160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</row>
    <row r="134" spans="2:74" x14ac:dyDescent="0.2">
      <c r="B134" s="168"/>
      <c r="C134" s="160"/>
      <c r="D134" s="160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</row>
    <row r="135" spans="2:74" x14ac:dyDescent="0.2">
      <c r="B135" s="168"/>
      <c r="C135" s="160"/>
      <c r="D135" s="160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</row>
    <row r="136" spans="2:74" x14ac:dyDescent="0.2">
      <c r="B136" s="168"/>
      <c r="C136" s="160"/>
      <c r="D136" s="160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</row>
    <row r="137" spans="2:74" x14ac:dyDescent="0.2">
      <c r="B137" s="168"/>
      <c r="C137" s="160"/>
      <c r="D137" s="160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</row>
    <row r="138" spans="2:74" x14ac:dyDescent="0.2">
      <c r="B138" s="168"/>
      <c r="C138" s="160"/>
      <c r="D138" s="160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</row>
    <row r="139" spans="2:74" x14ac:dyDescent="0.2">
      <c r="B139" s="168"/>
      <c r="C139" s="160"/>
      <c r="D139" s="160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</row>
    <row r="140" spans="2:74" x14ac:dyDescent="0.2">
      <c r="B140" s="168"/>
      <c r="C140" s="168"/>
      <c r="D140" s="168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</row>
    <row r="141" spans="2:74" x14ac:dyDescent="0.2">
      <c r="B141" s="168"/>
      <c r="C141" s="160"/>
      <c r="D141" s="160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</row>
    <row r="142" spans="2:74" x14ac:dyDescent="0.2">
      <c r="B142" s="168"/>
      <c r="C142" s="160"/>
      <c r="D142" s="160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</row>
    <row r="143" spans="2:74" x14ac:dyDescent="0.2">
      <c r="B143" s="168"/>
      <c r="C143" s="160"/>
      <c r="D143" s="160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</row>
    <row r="144" spans="2:74" x14ac:dyDescent="0.2">
      <c r="B144" s="168"/>
      <c r="C144" s="160"/>
      <c r="D144" s="160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</row>
    <row r="145" spans="2:74" x14ac:dyDescent="0.2">
      <c r="B145" s="168"/>
      <c r="C145" s="160"/>
      <c r="D145" s="160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</row>
    <row r="146" spans="2:74" x14ac:dyDescent="0.2">
      <c r="B146" s="168"/>
      <c r="C146" s="160"/>
      <c r="D146" s="160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</row>
    <row r="147" spans="2:74" x14ac:dyDescent="0.2">
      <c r="B147" s="168"/>
      <c r="C147" s="160"/>
      <c r="D147" s="160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</row>
    <row r="148" spans="2:74" x14ac:dyDescent="0.2">
      <c r="B148" s="168"/>
      <c r="C148" s="160"/>
      <c r="D148" s="160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</row>
    <row r="149" spans="2:74" x14ac:dyDescent="0.2">
      <c r="B149" s="168"/>
      <c r="C149" s="160"/>
      <c r="D149" s="160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</row>
    <row r="150" spans="2:74" x14ac:dyDescent="0.2">
      <c r="B150" s="168"/>
      <c r="C150" s="160"/>
      <c r="D150" s="160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</row>
    <row r="151" spans="2:74" x14ac:dyDescent="0.2">
      <c r="B151" s="168"/>
      <c r="C151" s="160"/>
      <c r="D151" s="160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</row>
    <row r="152" spans="2:74" x14ac:dyDescent="0.2">
      <c r="B152" s="168"/>
      <c r="C152" s="160"/>
      <c r="D152" s="160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</row>
    <row r="153" spans="2:74" x14ac:dyDescent="0.2">
      <c r="B153" s="168"/>
      <c r="C153" s="168"/>
      <c r="D153" s="168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</row>
    <row r="154" spans="2:74" x14ac:dyDescent="0.2">
      <c r="B154" s="168"/>
      <c r="C154" s="160"/>
      <c r="D154" s="160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</row>
    <row r="155" spans="2:74" x14ac:dyDescent="0.2">
      <c r="B155" s="168"/>
      <c r="C155" s="160"/>
      <c r="D155" s="160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</row>
    <row r="156" spans="2:74" x14ac:dyDescent="0.2">
      <c r="B156" s="136"/>
      <c r="D156" s="13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:74" x14ac:dyDescent="0.2">
      <c r="B157" s="168"/>
      <c r="C157" s="160"/>
      <c r="D157" s="160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</row>
    <row r="158" spans="2:74" x14ac:dyDescent="0.2">
      <c r="B158" s="168"/>
      <c r="C158" s="160"/>
      <c r="D158" s="160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</row>
    <row r="159" spans="2:74" x14ac:dyDescent="0.2">
      <c r="B159" s="168"/>
      <c r="C159" s="160"/>
      <c r="D159" s="160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</row>
    <row r="160" spans="2:74" x14ac:dyDescent="0.2">
      <c r="B160" s="168"/>
      <c r="C160" s="160"/>
      <c r="D160" s="160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</row>
    <row r="161" spans="2:74" x14ac:dyDescent="0.2">
      <c r="B161" s="168"/>
      <c r="C161" s="160"/>
      <c r="D161" s="160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</row>
    <row r="162" spans="2:74" x14ac:dyDescent="0.2">
      <c r="B162" s="168"/>
      <c r="C162" s="160"/>
      <c r="D162" s="160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</row>
    <row r="163" spans="2:74" x14ac:dyDescent="0.2">
      <c r="B163" s="168"/>
      <c r="C163" s="160"/>
      <c r="D163" s="160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</row>
    <row r="164" spans="2:74" x14ac:dyDescent="0.2">
      <c r="B164" s="168"/>
      <c r="C164" s="160"/>
      <c r="D164" s="160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</row>
    <row r="165" spans="2:74" x14ac:dyDescent="0.2">
      <c r="B165" s="168"/>
      <c r="C165" s="160"/>
      <c r="D165" s="160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</row>
    <row r="166" spans="2:74" x14ac:dyDescent="0.2">
      <c r="B166" s="168"/>
      <c r="C166" s="160"/>
      <c r="D166" s="160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</row>
    <row r="167" spans="2:74" x14ac:dyDescent="0.2">
      <c r="B167" s="168"/>
      <c r="C167" s="160"/>
      <c r="D167" s="160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</row>
    <row r="168" spans="2:74" x14ac:dyDescent="0.2">
      <c r="B168" s="168"/>
      <c r="C168" s="160"/>
      <c r="D168" s="160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</row>
    <row r="169" spans="2:74" x14ac:dyDescent="0.2">
      <c r="B169" s="168"/>
      <c r="C169" s="160"/>
      <c r="D169" s="160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</row>
    <row r="170" spans="2:74" x14ac:dyDescent="0.2">
      <c r="B170" s="168"/>
      <c r="C170" s="160"/>
      <c r="D170" s="160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</row>
    <row r="171" spans="2:74" x14ac:dyDescent="0.2">
      <c r="B171" s="168"/>
      <c r="C171" s="160"/>
      <c r="D171" s="160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</row>
    <row r="172" spans="2:74" x14ac:dyDescent="0.2">
      <c r="B172" s="168"/>
      <c r="C172" s="160"/>
      <c r="D172" s="160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</row>
    <row r="173" spans="2:74" x14ac:dyDescent="0.2">
      <c r="B173" s="168"/>
      <c r="C173" s="160"/>
      <c r="D173" s="160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</row>
    <row r="174" spans="2:74" x14ac:dyDescent="0.2">
      <c r="B174" s="168"/>
      <c r="C174" s="160"/>
      <c r="D174" s="160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</row>
    <row r="175" spans="2:74" x14ac:dyDescent="0.2">
      <c r="B175" s="168"/>
      <c r="C175" s="160"/>
      <c r="D175" s="160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</row>
    <row r="176" spans="2:74" x14ac:dyDescent="0.2">
      <c r="B176" s="168"/>
      <c r="C176" s="168"/>
      <c r="D176" s="168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</row>
    <row r="177" spans="2:74" x14ac:dyDescent="0.2">
      <c r="B177" s="168"/>
      <c r="C177" s="160"/>
      <c r="D177" s="160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</row>
    <row r="178" spans="2:74" x14ac:dyDescent="0.2">
      <c r="B178" s="219"/>
      <c r="C178" s="160"/>
      <c r="D178" s="160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</row>
    <row r="179" spans="2:74" x14ac:dyDescent="0.2">
      <c r="B179" s="168"/>
      <c r="C179" s="160"/>
      <c r="D179" s="160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</row>
    <row r="180" spans="2:74" x14ac:dyDescent="0.2">
      <c r="B180" s="168"/>
      <c r="C180" s="160"/>
      <c r="D180" s="160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</row>
    <row r="181" spans="2:74" x14ac:dyDescent="0.2">
      <c r="B181" s="168"/>
      <c r="C181" s="160"/>
      <c r="D181" s="160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</row>
    <row r="182" spans="2:74" x14ac:dyDescent="0.2">
      <c r="B182" s="168"/>
      <c r="C182" s="160"/>
      <c r="D182" s="160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</row>
    <row r="183" spans="2:74" x14ac:dyDescent="0.2">
      <c r="B183" s="168"/>
      <c r="C183" s="160"/>
      <c r="D183" s="160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</row>
    <row r="184" spans="2:74" x14ac:dyDescent="0.2">
      <c r="B184" s="168"/>
      <c r="C184" s="160"/>
      <c r="D184" s="160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</row>
    <row r="185" spans="2:74" x14ac:dyDescent="0.2">
      <c r="B185" s="168"/>
      <c r="C185" s="160"/>
      <c r="D185" s="160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</row>
    <row r="186" spans="2:74" x14ac:dyDescent="0.2">
      <c r="B186" s="168"/>
      <c r="C186" s="160"/>
      <c r="D186" s="160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</row>
    <row r="187" spans="2:74" x14ac:dyDescent="0.2">
      <c r="B187" s="168"/>
      <c r="C187" s="160"/>
      <c r="D187" s="160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</row>
    <row r="188" spans="2:74" x14ac:dyDescent="0.2">
      <c r="B188" s="168"/>
      <c r="C188" s="168"/>
      <c r="D188" s="168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</row>
    <row r="189" spans="2:74" x14ac:dyDescent="0.2">
      <c r="B189" s="168"/>
      <c r="C189" s="160"/>
      <c r="D189" s="160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</row>
    <row r="190" spans="2:74" x14ac:dyDescent="0.2">
      <c r="B190" s="168"/>
      <c r="C190" s="160"/>
      <c r="D190" s="160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</row>
    <row r="191" spans="2:74" x14ac:dyDescent="0.2">
      <c r="B191" s="168"/>
      <c r="C191" s="160"/>
      <c r="D191" s="160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</row>
    <row r="192" spans="2:74" x14ac:dyDescent="0.2">
      <c r="B192" s="168"/>
      <c r="C192" s="160"/>
      <c r="D192" s="160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</row>
    <row r="193" spans="2:74" x14ac:dyDescent="0.2">
      <c r="B193" s="168"/>
      <c r="C193" s="160"/>
      <c r="D193" s="160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</row>
    <row r="194" spans="2:74" x14ac:dyDescent="0.2">
      <c r="B194" s="168"/>
      <c r="C194" s="160"/>
      <c r="D194" s="160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</row>
    <row r="195" spans="2:74" x14ac:dyDescent="0.2">
      <c r="B195" s="168"/>
      <c r="C195" s="160"/>
      <c r="D195" s="160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</row>
    <row r="196" spans="2:74" x14ac:dyDescent="0.2">
      <c r="B196" s="168"/>
      <c r="C196" s="160"/>
      <c r="D196" s="160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</row>
    <row r="197" spans="2:74" x14ac:dyDescent="0.2">
      <c r="B197" s="168"/>
      <c r="C197" s="160"/>
      <c r="D197" s="160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</row>
    <row r="198" spans="2:74" x14ac:dyDescent="0.2">
      <c r="B198" s="168"/>
      <c r="C198" s="160"/>
      <c r="D198" s="160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</row>
    <row r="199" spans="2:74" x14ac:dyDescent="0.2">
      <c r="B199" s="168"/>
      <c r="C199" s="160"/>
      <c r="D199" s="160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</row>
    <row r="200" spans="2:74" x14ac:dyDescent="0.2">
      <c r="B200" s="168"/>
      <c r="C200" s="160"/>
      <c r="D200" s="160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</row>
    <row r="201" spans="2:74" x14ac:dyDescent="0.2">
      <c r="B201" s="168"/>
      <c r="C201" s="168"/>
      <c r="D201" s="168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</row>
    <row r="202" spans="2:74" x14ac:dyDescent="0.2">
      <c r="B202" s="168"/>
      <c r="C202" s="168"/>
      <c r="D202" s="168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</row>
    <row r="203" spans="2:74" x14ac:dyDescent="0.2">
      <c r="B203" s="168"/>
      <c r="C203" s="160"/>
      <c r="D203" s="160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</row>
    <row r="204" spans="2:74" x14ac:dyDescent="0.2">
      <c r="B204" s="168"/>
      <c r="C204" s="160"/>
      <c r="D204" s="160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</row>
    <row r="205" spans="2:74" x14ac:dyDescent="0.2">
      <c r="B205" s="168"/>
      <c r="C205" s="160"/>
      <c r="D205" s="160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</row>
    <row r="206" spans="2:74" x14ac:dyDescent="0.2">
      <c r="B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</row>
    <row r="207" spans="2:74" x14ac:dyDescent="0.2">
      <c r="B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</row>
    <row r="208" spans="2:74" x14ac:dyDescent="0.2">
      <c r="B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</row>
    <row r="209" spans="2:74" x14ac:dyDescent="0.2">
      <c r="B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</row>
    <row r="210" spans="2:74" x14ac:dyDescent="0.2">
      <c r="B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</row>
    <row r="211" spans="2:74" x14ac:dyDescent="0.2">
      <c r="B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</row>
    <row r="212" spans="2:74" x14ac:dyDescent="0.2">
      <c r="B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</row>
    <row r="213" spans="2:74" x14ac:dyDescent="0.2">
      <c r="B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</row>
    <row r="214" spans="2:74" x14ac:dyDescent="0.2">
      <c r="B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</row>
    <row r="215" spans="2:74" x14ac:dyDescent="0.2">
      <c r="B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</row>
    <row r="216" spans="2:74" x14ac:dyDescent="0.2">
      <c r="B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</row>
    <row r="217" spans="2:74" x14ac:dyDescent="0.2">
      <c r="B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</row>
    <row r="218" spans="2:74" x14ac:dyDescent="0.2">
      <c r="B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</row>
    <row r="219" spans="2:74" x14ac:dyDescent="0.2">
      <c r="B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</row>
    <row r="220" spans="2:74" x14ac:dyDescent="0.2">
      <c r="B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</row>
    <row r="221" spans="2:74" x14ac:dyDescent="0.2">
      <c r="B221" s="136"/>
      <c r="D221" s="136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</row>
    <row r="222" spans="2:74" x14ac:dyDescent="0.2">
      <c r="B222" s="168"/>
      <c r="C222" s="160"/>
      <c r="D222" s="160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</row>
    <row r="223" spans="2:74" x14ac:dyDescent="0.2">
      <c r="B223" s="168"/>
      <c r="C223" s="160"/>
      <c r="D223" s="160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</row>
    <row r="224" spans="2:74" x14ac:dyDescent="0.2">
      <c r="B224" s="168"/>
      <c r="C224" s="160"/>
      <c r="D224" s="160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</row>
    <row r="225" spans="2:74" x14ac:dyDescent="0.2">
      <c r="B225" s="168"/>
      <c r="C225" s="160"/>
      <c r="D225" s="160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</row>
    <row r="226" spans="2:74" x14ac:dyDescent="0.2">
      <c r="B226" s="168"/>
      <c r="C226" s="160"/>
      <c r="D226" s="160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</row>
    <row r="227" spans="2:74" x14ac:dyDescent="0.2">
      <c r="B227" s="168"/>
      <c r="C227" s="160"/>
      <c r="D227" s="160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</row>
    <row r="228" spans="2:74" x14ac:dyDescent="0.2">
      <c r="B228" s="168"/>
      <c r="C228" s="160"/>
      <c r="D228" s="160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</row>
    <row r="229" spans="2:74" x14ac:dyDescent="0.2">
      <c r="B229" s="168"/>
      <c r="C229" s="160"/>
      <c r="D229" s="160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</row>
    <row r="230" spans="2:74" x14ac:dyDescent="0.2">
      <c r="B230" s="168"/>
      <c r="C230" s="160"/>
      <c r="D230" s="160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</row>
    <row r="231" spans="2:74" x14ac:dyDescent="0.2">
      <c r="B231" s="168"/>
      <c r="C231" s="160"/>
      <c r="D231" s="160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</row>
    <row r="232" spans="2:74" x14ac:dyDescent="0.2">
      <c r="B232" s="168"/>
      <c r="C232" s="160"/>
      <c r="D232" s="160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</row>
    <row r="233" spans="2:74" x14ac:dyDescent="0.2">
      <c r="B233" s="168"/>
      <c r="C233" s="160"/>
      <c r="D233" s="160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</row>
    <row r="234" spans="2:74" x14ac:dyDescent="0.2">
      <c r="B234" s="168"/>
      <c r="C234" s="160"/>
      <c r="D234" s="160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</row>
    <row r="235" spans="2:74" x14ac:dyDescent="0.2">
      <c r="B235" s="168"/>
      <c r="C235" s="160"/>
      <c r="D235" s="160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</row>
    <row r="236" spans="2:74" x14ac:dyDescent="0.2">
      <c r="B236" s="168"/>
      <c r="C236" s="160"/>
      <c r="D236" s="160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</row>
    <row r="237" spans="2:74" x14ac:dyDescent="0.2">
      <c r="B237" s="168"/>
      <c r="C237" s="160"/>
      <c r="D237" s="160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</row>
    <row r="238" spans="2:74" x14ac:dyDescent="0.2">
      <c r="B238" s="168"/>
      <c r="C238" s="160"/>
      <c r="D238" s="160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</row>
    <row r="239" spans="2:74" x14ac:dyDescent="0.2">
      <c r="B239" s="168"/>
      <c r="C239" s="160"/>
      <c r="D239" s="160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</row>
    <row r="240" spans="2:74" x14ac:dyDescent="0.2">
      <c r="B240" s="168"/>
      <c r="C240" s="160"/>
      <c r="D240" s="160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</row>
    <row r="241" spans="2:74" x14ac:dyDescent="0.2">
      <c r="B241" s="168"/>
      <c r="C241" s="160"/>
      <c r="D241" s="160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</row>
    <row r="242" spans="2:74" x14ac:dyDescent="0.2">
      <c r="B242" s="168"/>
      <c r="C242" s="160"/>
      <c r="D242" s="160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</row>
    <row r="243" spans="2:74" x14ac:dyDescent="0.2">
      <c r="B243" s="168"/>
      <c r="C243" s="160"/>
      <c r="D243" s="160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</row>
    <row r="244" spans="2:74" x14ac:dyDescent="0.2">
      <c r="B244" s="168"/>
      <c r="C244" s="160"/>
      <c r="D244" s="160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</row>
    <row r="245" spans="2:74" x14ac:dyDescent="0.2">
      <c r="B245" s="168"/>
      <c r="C245" s="160"/>
      <c r="D245" s="160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</row>
    <row r="246" spans="2:74" x14ac:dyDescent="0.2">
      <c r="B246" s="168"/>
      <c r="C246" s="160"/>
      <c r="D246" s="160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</row>
    <row r="247" spans="2:74" x14ac:dyDescent="0.2">
      <c r="B247" s="168"/>
      <c r="C247" s="160"/>
      <c r="D247" s="160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</row>
    <row r="248" spans="2:74" x14ac:dyDescent="0.2">
      <c r="B248" s="168"/>
      <c r="C248" s="160"/>
      <c r="D248" s="160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</row>
    <row r="249" spans="2:74" x14ac:dyDescent="0.2">
      <c r="B249" s="168"/>
      <c r="C249" s="160"/>
      <c r="D249" s="160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</row>
    <row r="250" spans="2:74" x14ac:dyDescent="0.2">
      <c r="B250" s="168"/>
      <c r="C250" s="160"/>
      <c r="D250" s="160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</row>
    <row r="251" spans="2:74" x14ac:dyDescent="0.2">
      <c r="B251" s="168"/>
      <c r="C251" s="160"/>
      <c r="D251" s="160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</row>
    <row r="252" spans="2:74" x14ac:dyDescent="0.2">
      <c r="B252" s="168"/>
      <c r="C252" s="160"/>
      <c r="D252" s="160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</row>
    <row r="253" spans="2:74" x14ac:dyDescent="0.2">
      <c r="B253" s="168"/>
      <c r="C253" s="160"/>
      <c r="D253" s="160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</row>
    <row r="254" spans="2:74" x14ac:dyDescent="0.2">
      <c r="B254" s="168"/>
      <c r="C254" s="160"/>
      <c r="D254" s="160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</row>
    <row r="255" spans="2:74" x14ac:dyDescent="0.2">
      <c r="B255" s="168"/>
      <c r="C255" s="160"/>
      <c r="D255" s="160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</row>
    <row r="256" spans="2:74" x14ac:dyDescent="0.2">
      <c r="B256" s="168"/>
      <c r="C256" s="160"/>
      <c r="D256" s="160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</row>
    <row r="257" spans="2:74" x14ac:dyDescent="0.2">
      <c r="B257" s="168"/>
      <c r="C257" s="160"/>
      <c r="D257" s="160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</row>
    <row r="258" spans="2:74" x14ac:dyDescent="0.2">
      <c r="B258" s="168"/>
      <c r="C258" s="160"/>
      <c r="D258" s="160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</row>
    <row r="259" spans="2:74" x14ac:dyDescent="0.2">
      <c r="B259" s="168"/>
      <c r="C259" s="160"/>
      <c r="D259" s="160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</row>
    <row r="260" spans="2:74" x14ac:dyDescent="0.2">
      <c r="B260" s="168"/>
      <c r="C260" s="168"/>
      <c r="D260" s="168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</row>
    <row r="261" spans="2:74" x14ac:dyDescent="0.2">
      <c r="B261" s="168"/>
      <c r="C261" s="160"/>
      <c r="D261" s="160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</row>
    <row r="262" spans="2:74" x14ac:dyDescent="0.2">
      <c r="B262" s="219"/>
      <c r="C262" s="160"/>
      <c r="D262" s="160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</row>
    <row r="263" spans="2:74" x14ac:dyDescent="0.2">
      <c r="B263" s="168"/>
      <c r="C263" s="160"/>
      <c r="D263" s="160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</row>
    <row r="264" spans="2:74" x14ac:dyDescent="0.2">
      <c r="B264" s="168"/>
      <c r="C264" s="160"/>
      <c r="D264" s="160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</row>
    <row r="265" spans="2:74" x14ac:dyDescent="0.2">
      <c r="B265" s="168"/>
      <c r="C265" s="160"/>
      <c r="D265" s="160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</row>
    <row r="266" spans="2:74" x14ac:dyDescent="0.2">
      <c r="B266" s="168"/>
      <c r="C266" s="160"/>
      <c r="D266" s="160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</row>
    <row r="267" spans="2:74" x14ac:dyDescent="0.2">
      <c r="B267" s="168"/>
      <c r="C267" s="160"/>
      <c r="D267" s="160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</row>
    <row r="268" spans="2:74" x14ac:dyDescent="0.2">
      <c r="B268" s="168"/>
      <c r="C268" s="160"/>
      <c r="D268" s="160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</row>
    <row r="269" spans="2:74" x14ac:dyDescent="0.2">
      <c r="B269" s="168"/>
      <c r="C269" s="160"/>
      <c r="D269" s="160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</row>
    <row r="270" spans="2:74" x14ac:dyDescent="0.2">
      <c r="B270" s="168"/>
      <c r="C270" s="160"/>
      <c r="D270" s="160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</row>
    <row r="271" spans="2:74" x14ac:dyDescent="0.2">
      <c r="B271" s="168"/>
      <c r="C271" s="160"/>
      <c r="D271" s="160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</row>
    <row r="272" spans="2:74" x14ac:dyDescent="0.2">
      <c r="B272" s="168"/>
      <c r="C272" s="168"/>
      <c r="D272" s="168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</row>
    <row r="273" spans="2:74" x14ac:dyDescent="0.2">
      <c r="B273" s="168"/>
      <c r="C273" s="160"/>
      <c r="D273" s="160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</row>
    <row r="274" spans="2:74" x14ac:dyDescent="0.2">
      <c r="B274" s="168"/>
      <c r="C274" s="160"/>
      <c r="D274" s="160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</row>
    <row r="275" spans="2:74" x14ac:dyDescent="0.2">
      <c r="B275" s="168"/>
      <c r="C275" s="160"/>
      <c r="D275" s="160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</row>
    <row r="276" spans="2:74" x14ac:dyDescent="0.2">
      <c r="B276" s="168"/>
      <c r="C276" s="160"/>
      <c r="D276" s="160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</row>
    <row r="277" spans="2:74" x14ac:dyDescent="0.2">
      <c r="B277" s="168"/>
      <c r="C277" s="160"/>
      <c r="D277" s="160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</row>
    <row r="278" spans="2:74" x14ac:dyDescent="0.2">
      <c r="B278" s="168"/>
      <c r="C278" s="160"/>
      <c r="D278" s="160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</row>
    <row r="279" spans="2:74" x14ac:dyDescent="0.2">
      <c r="B279" s="168"/>
      <c r="C279" s="160"/>
      <c r="D279" s="160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</row>
    <row r="280" spans="2:74" x14ac:dyDescent="0.2">
      <c r="B280" s="168"/>
      <c r="C280" s="160"/>
      <c r="D280" s="160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</row>
    <row r="281" spans="2:74" x14ac:dyDescent="0.2">
      <c r="B281" s="168"/>
      <c r="C281" s="160"/>
      <c r="D281" s="160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</row>
    <row r="282" spans="2:74" x14ac:dyDescent="0.2">
      <c r="B282" s="168"/>
      <c r="C282" s="160"/>
      <c r="D282" s="160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</row>
    <row r="283" spans="2:74" x14ac:dyDescent="0.2">
      <c r="B283" s="168"/>
      <c r="C283" s="160"/>
      <c r="D283" s="160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</row>
    <row r="284" spans="2:74" x14ac:dyDescent="0.2">
      <c r="B284" s="168"/>
      <c r="C284" s="160"/>
      <c r="D284" s="160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</row>
    <row r="285" spans="2:74" x14ac:dyDescent="0.2">
      <c r="B285" s="168"/>
      <c r="C285" s="168"/>
      <c r="D285" s="168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</row>
    <row r="286" spans="2:74" x14ac:dyDescent="0.2">
      <c r="B286" s="168"/>
      <c r="C286" s="168"/>
      <c r="D286" s="168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</row>
    <row r="287" spans="2:74" x14ac:dyDescent="0.2">
      <c r="B287" s="168"/>
      <c r="C287" s="160"/>
      <c r="D287" s="160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</row>
    <row r="288" spans="2:74" x14ac:dyDescent="0.2">
      <c r="B288" s="168"/>
      <c r="C288" s="160"/>
      <c r="D288" s="160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</row>
    <row r="289" spans="2:74" x14ac:dyDescent="0.2">
      <c r="B289" s="168"/>
      <c r="C289" s="160"/>
      <c r="D289" s="160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</row>
    <row r="290" spans="2:74" x14ac:dyDescent="0.2">
      <c r="B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</row>
    <row r="291" spans="2:74" x14ac:dyDescent="0.2">
      <c r="B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</row>
    <row r="292" spans="2:74" x14ac:dyDescent="0.2">
      <c r="B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</row>
    <row r="293" spans="2:74" x14ac:dyDescent="0.2">
      <c r="B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</row>
    <row r="294" spans="2:74" x14ac:dyDescent="0.2">
      <c r="B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</row>
    <row r="295" spans="2:74" x14ac:dyDescent="0.2">
      <c r="B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</row>
    <row r="296" spans="2:74" x14ac:dyDescent="0.2">
      <c r="B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</row>
    <row r="297" spans="2:74" x14ac:dyDescent="0.2">
      <c r="B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</row>
    <row r="298" spans="2:74" x14ac:dyDescent="0.2">
      <c r="B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</row>
    <row r="299" spans="2:74" x14ac:dyDescent="0.2">
      <c r="B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</row>
    <row r="300" spans="2:74" x14ac:dyDescent="0.2">
      <c r="B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</row>
    <row r="301" spans="2:74" x14ac:dyDescent="0.2">
      <c r="B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</row>
    <row r="302" spans="2:74" x14ac:dyDescent="0.2">
      <c r="B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</row>
    <row r="303" spans="2:74" x14ac:dyDescent="0.2">
      <c r="B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</row>
    <row r="304" spans="2:74" x14ac:dyDescent="0.2">
      <c r="B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</row>
    <row r="305" spans="2:74" x14ac:dyDescent="0.2">
      <c r="B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</row>
    <row r="306" spans="2:74" x14ac:dyDescent="0.2">
      <c r="B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</row>
    <row r="307" spans="2:74" x14ac:dyDescent="0.2">
      <c r="B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</row>
    <row r="308" spans="2:74" x14ac:dyDescent="0.2">
      <c r="B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</row>
    <row r="309" spans="2:74" x14ac:dyDescent="0.2">
      <c r="B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</row>
    <row r="310" spans="2:74" x14ac:dyDescent="0.2">
      <c r="B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</row>
    <row r="311" spans="2:74" x14ac:dyDescent="0.2">
      <c r="B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</row>
    <row r="312" spans="2:74" x14ac:dyDescent="0.2">
      <c r="B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</row>
    <row r="313" spans="2:74" x14ac:dyDescent="0.2">
      <c r="B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</row>
    <row r="314" spans="2:74" x14ac:dyDescent="0.2">
      <c r="B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</row>
    <row r="315" spans="2:74" x14ac:dyDescent="0.2">
      <c r="B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</row>
    <row r="316" spans="2:74" x14ac:dyDescent="0.2">
      <c r="B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</row>
    <row r="317" spans="2:74" x14ac:dyDescent="0.2">
      <c r="B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</row>
    <row r="318" spans="2:74" x14ac:dyDescent="0.2">
      <c r="B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</row>
    <row r="319" spans="2:74" x14ac:dyDescent="0.2">
      <c r="B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</row>
    <row r="320" spans="2:74" x14ac:dyDescent="0.2">
      <c r="B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</row>
    <row r="321" spans="2:74" x14ac:dyDescent="0.2">
      <c r="B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</row>
    <row r="322" spans="2:74" x14ac:dyDescent="0.2">
      <c r="B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</row>
    <row r="323" spans="2:74" x14ac:dyDescent="0.2">
      <c r="B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</row>
    <row r="324" spans="2:74" x14ac:dyDescent="0.2">
      <c r="B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</row>
    <row r="325" spans="2:74" x14ac:dyDescent="0.2">
      <c r="B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</row>
    <row r="326" spans="2:74" x14ac:dyDescent="0.2">
      <c r="B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</row>
    <row r="327" spans="2:74" x14ac:dyDescent="0.2">
      <c r="B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</row>
    <row r="328" spans="2:74" x14ac:dyDescent="0.2">
      <c r="B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</row>
    <row r="329" spans="2:74" x14ac:dyDescent="0.2">
      <c r="B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</row>
    <row r="330" spans="2:74" x14ac:dyDescent="0.2">
      <c r="B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</row>
    <row r="331" spans="2:74" x14ac:dyDescent="0.2">
      <c r="B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</row>
    <row r="332" spans="2:74" x14ac:dyDescent="0.2">
      <c r="B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</row>
    <row r="333" spans="2:74" x14ac:dyDescent="0.2">
      <c r="B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</row>
    <row r="334" spans="2:74" x14ac:dyDescent="0.2">
      <c r="B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</row>
    <row r="335" spans="2:74" x14ac:dyDescent="0.2">
      <c r="B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</row>
    <row r="336" spans="2:74" x14ac:dyDescent="0.2">
      <c r="B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</row>
    <row r="337" spans="2:74" x14ac:dyDescent="0.2">
      <c r="B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</row>
    <row r="338" spans="2:74" x14ac:dyDescent="0.2">
      <c r="B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</row>
    <row r="339" spans="2:74" x14ac:dyDescent="0.2">
      <c r="B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</row>
    <row r="340" spans="2:74" x14ac:dyDescent="0.2">
      <c r="B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</row>
    <row r="341" spans="2:74" x14ac:dyDescent="0.2">
      <c r="B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</row>
    <row r="342" spans="2:74" x14ac:dyDescent="0.2">
      <c r="B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</row>
    <row r="343" spans="2:74" x14ac:dyDescent="0.2">
      <c r="B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</row>
    <row r="344" spans="2:74" x14ac:dyDescent="0.2">
      <c r="B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</row>
    <row r="345" spans="2:74" x14ac:dyDescent="0.2">
      <c r="B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</row>
    <row r="346" spans="2:74" x14ac:dyDescent="0.2">
      <c r="B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</row>
    <row r="347" spans="2:74" x14ac:dyDescent="0.2">
      <c r="B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</row>
    <row r="348" spans="2:74" x14ac:dyDescent="0.2">
      <c r="B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</row>
    <row r="349" spans="2:74" x14ac:dyDescent="0.2">
      <c r="B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</row>
    <row r="350" spans="2:74" x14ac:dyDescent="0.2">
      <c r="B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</row>
    <row r="351" spans="2:74" x14ac:dyDescent="0.2">
      <c r="B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</row>
    <row r="352" spans="2:74" x14ac:dyDescent="0.2">
      <c r="B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</row>
    <row r="353" spans="2:74" x14ac:dyDescent="0.2">
      <c r="B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</row>
    <row r="354" spans="2:74" x14ac:dyDescent="0.2">
      <c r="B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</row>
    <row r="355" spans="2:74" x14ac:dyDescent="0.2">
      <c r="B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</row>
    <row r="356" spans="2:74" x14ac:dyDescent="0.2">
      <c r="B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</row>
    <row r="357" spans="2:74" x14ac:dyDescent="0.2">
      <c r="B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</row>
    <row r="358" spans="2:74" x14ac:dyDescent="0.2">
      <c r="B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</row>
    <row r="359" spans="2:74" x14ac:dyDescent="0.2">
      <c r="B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</row>
    <row r="360" spans="2:74" x14ac:dyDescent="0.2">
      <c r="B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</row>
    <row r="361" spans="2:74" x14ac:dyDescent="0.2">
      <c r="B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</row>
    <row r="362" spans="2:74" x14ac:dyDescent="0.2">
      <c r="B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</row>
    <row r="363" spans="2:74" x14ac:dyDescent="0.2">
      <c r="B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</row>
    <row r="364" spans="2:74" x14ac:dyDescent="0.2">
      <c r="B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</row>
    <row r="365" spans="2:74" x14ac:dyDescent="0.2">
      <c r="B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</row>
    <row r="366" spans="2:74" x14ac:dyDescent="0.2">
      <c r="B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</row>
    <row r="367" spans="2:74" x14ac:dyDescent="0.2">
      <c r="B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</row>
    <row r="368" spans="2:74" x14ac:dyDescent="0.2">
      <c r="B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</row>
    <row r="369" spans="2:74" x14ac:dyDescent="0.2">
      <c r="B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</row>
    <row r="370" spans="2:74" x14ac:dyDescent="0.2">
      <c r="B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</row>
    <row r="371" spans="2:74" x14ac:dyDescent="0.2">
      <c r="B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</row>
    <row r="372" spans="2:74" x14ac:dyDescent="0.2">
      <c r="B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</row>
    <row r="373" spans="2:74" x14ac:dyDescent="0.2">
      <c r="B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</row>
    <row r="374" spans="2:74" x14ac:dyDescent="0.2">
      <c r="B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</row>
    <row r="375" spans="2:74" x14ac:dyDescent="0.2">
      <c r="B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</row>
    <row r="376" spans="2:74" x14ac:dyDescent="0.2">
      <c r="B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</row>
    <row r="377" spans="2:74" x14ac:dyDescent="0.2">
      <c r="B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</row>
    <row r="378" spans="2:74" x14ac:dyDescent="0.2">
      <c r="B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</row>
    <row r="379" spans="2:74" x14ac:dyDescent="0.2">
      <c r="B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</row>
    <row r="380" spans="2:74" x14ac:dyDescent="0.2">
      <c r="B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</row>
    <row r="381" spans="2:74" x14ac:dyDescent="0.2">
      <c r="B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</row>
    <row r="382" spans="2:74" x14ac:dyDescent="0.2">
      <c r="B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</row>
    <row r="383" spans="2:74" x14ac:dyDescent="0.2">
      <c r="B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</row>
    <row r="384" spans="2:74" x14ac:dyDescent="0.2">
      <c r="B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</row>
    <row r="385" spans="2:74" x14ac:dyDescent="0.2">
      <c r="B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</row>
    <row r="386" spans="2:74" x14ac:dyDescent="0.2">
      <c r="B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</row>
    <row r="387" spans="2:74" x14ac:dyDescent="0.2">
      <c r="B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</row>
    <row r="388" spans="2:74" x14ac:dyDescent="0.2">
      <c r="B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</row>
    <row r="389" spans="2:74" x14ac:dyDescent="0.2">
      <c r="B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</row>
    <row r="390" spans="2:74" x14ac:dyDescent="0.2">
      <c r="B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</row>
    <row r="391" spans="2:74" x14ac:dyDescent="0.2">
      <c r="B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</row>
    <row r="392" spans="2:74" x14ac:dyDescent="0.2">
      <c r="B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</row>
    <row r="393" spans="2:74" x14ac:dyDescent="0.2">
      <c r="B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</row>
    <row r="394" spans="2:74" x14ac:dyDescent="0.2">
      <c r="B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</row>
    <row r="395" spans="2:74" x14ac:dyDescent="0.2">
      <c r="B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</row>
    <row r="396" spans="2:74" x14ac:dyDescent="0.2">
      <c r="B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</row>
    <row r="397" spans="2:74" x14ac:dyDescent="0.2">
      <c r="B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</row>
    <row r="398" spans="2:74" x14ac:dyDescent="0.2">
      <c r="B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</row>
    <row r="399" spans="2:74" x14ac:dyDescent="0.2">
      <c r="B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</row>
    <row r="400" spans="2:74" x14ac:dyDescent="0.2">
      <c r="B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</row>
    <row r="401" spans="2:74" x14ac:dyDescent="0.2">
      <c r="B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</row>
    <row r="402" spans="2:74" x14ac:dyDescent="0.2">
      <c r="B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</row>
    <row r="403" spans="2:74" x14ac:dyDescent="0.2">
      <c r="B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</row>
    <row r="404" spans="2:74" x14ac:dyDescent="0.2">
      <c r="B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</row>
    <row r="405" spans="2:74" x14ac:dyDescent="0.2">
      <c r="B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</row>
    <row r="406" spans="2:74" x14ac:dyDescent="0.2">
      <c r="B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</row>
    <row r="407" spans="2:74" x14ac:dyDescent="0.2">
      <c r="B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</row>
    <row r="408" spans="2:74" x14ac:dyDescent="0.2">
      <c r="B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</row>
    <row r="409" spans="2:74" x14ac:dyDescent="0.2">
      <c r="B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</row>
    <row r="410" spans="2:74" x14ac:dyDescent="0.2">
      <c r="B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</row>
    <row r="411" spans="2:74" x14ac:dyDescent="0.2">
      <c r="B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</row>
    <row r="412" spans="2:74" x14ac:dyDescent="0.2">
      <c r="B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</row>
    <row r="413" spans="2:74" x14ac:dyDescent="0.2">
      <c r="B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</row>
    <row r="414" spans="2:74" x14ac:dyDescent="0.2">
      <c r="B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</row>
    <row r="415" spans="2:74" x14ac:dyDescent="0.2">
      <c r="B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</row>
    <row r="416" spans="2:74" x14ac:dyDescent="0.2">
      <c r="B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</row>
    <row r="417" spans="2:74" x14ac:dyDescent="0.2">
      <c r="B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</row>
    <row r="418" spans="2:74" x14ac:dyDescent="0.2">
      <c r="B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</row>
    <row r="419" spans="2:74" x14ac:dyDescent="0.2">
      <c r="B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</row>
    <row r="420" spans="2:74" x14ac:dyDescent="0.2">
      <c r="B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</row>
    <row r="421" spans="2:74" x14ac:dyDescent="0.2">
      <c r="B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</row>
    <row r="422" spans="2:74" x14ac:dyDescent="0.2">
      <c r="B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  <c r="BQ422" s="136"/>
      <c r="BR422" s="136"/>
      <c r="BS422" s="136"/>
      <c r="BT422" s="136"/>
      <c r="BU422" s="136"/>
      <c r="BV422" s="136"/>
    </row>
    <row r="423" spans="2:74" x14ac:dyDescent="0.2">
      <c r="B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</row>
    <row r="424" spans="2:74" x14ac:dyDescent="0.2">
      <c r="B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  <c r="BQ424" s="136"/>
      <c r="BR424" s="136"/>
      <c r="BS424" s="136"/>
      <c r="BT424" s="136"/>
      <c r="BU424" s="136"/>
      <c r="BV424" s="136"/>
    </row>
    <row r="425" spans="2:74" x14ac:dyDescent="0.2">
      <c r="B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6"/>
      <c r="BM425" s="136"/>
      <c r="BN425" s="136"/>
      <c r="BO425" s="136"/>
      <c r="BP425" s="136"/>
      <c r="BQ425" s="136"/>
      <c r="BR425" s="136"/>
      <c r="BS425" s="136"/>
      <c r="BT425" s="136"/>
      <c r="BU425" s="136"/>
      <c r="BV425" s="136"/>
    </row>
    <row r="426" spans="2:74" x14ac:dyDescent="0.2">
      <c r="B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  <c r="BQ426" s="136"/>
      <c r="BR426" s="136"/>
      <c r="BS426" s="136"/>
      <c r="BT426" s="136"/>
      <c r="BU426" s="136"/>
      <c r="BV426" s="136"/>
    </row>
    <row r="427" spans="2:74" x14ac:dyDescent="0.2">
      <c r="B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6"/>
      <c r="BM427" s="136"/>
      <c r="BN427" s="136"/>
      <c r="BO427" s="136"/>
      <c r="BP427" s="136"/>
      <c r="BQ427" s="136"/>
      <c r="BR427" s="136"/>
      <c r="BS427" s="136"/>
      <c r="BT427" s="136"/>
      <c r="BU427" s="136"/>
      <c r="BV427" s="136"/>
    </row>
    <row r="428" spans="2:74" x14ac:dyDescent="0.2">
      <c r="B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6"/>
      <c r="BM428" s="136"/>
      <c r="BN428" s="136"/>
      <c r="BO428" s="136"/>
      <c r="BP428" s="136"/>
      <c r="BQ428" s="136"/>
      <c r="BR428" s="136"/>
      <c r="BS428" s="136"/>
      <c r="BT428" s="136"/>
      <c r="BU428" s="136"/>
      <c r="BV428" s="136"/>
    </row>
    <row r="429" spans="2:74" x14ac:dyDescent="0.2">
      <c r="B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  <c r="BQ429" s="136"/>
      <c r="BR429" s="136"/>
      <c r="BS429" s="136"/>
      <c r="BT429" s="136"/>
      <c r="BU429" s="136"/>
      <c r="BV429" s="136"/>
    </row>
    <row r="430" spans="2:74" x14ac:dyDescent="0.2">
      <c r="B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  <c r="BJ430" s="136"/>
      <c r="BK430" s="136"/>
      <c r="BL430" s="136"/>
      <c r="BM430" s="136"/>
      <c r="BN430" s="136"/>
      <c r="BO430" s="136"/>
      <c r="BP430" s="136"/>
      <c r="BQ430" s="136"/>
      <c r="BR430" s="136"/>
      <c r="BS430" s="136"/>
      <c r="BT430" s="136"/>
      <c r="BU430" s="136"/>
      <c r="BV430" s="136"/>
    </row>
    <row r="431" spans="2:74" x14ac:dyDescent="0.2">
      <c r="B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36"/>
      <c r="BM431" s="136"/>
      <c r="BN431" s="136"/>
      <c r="BO431" s="136"/>
      <c r="BP431" s="136"/>
      <c r="BQ431" s="136"/>
      <c r="BR431" s="136"/>
      <c r="BS431" s="136"/>
      <c r="BT431" s="136"/>
      <c r="BU431" s="136"/>
      <c r="BV431" s="136"/>
    </row>
    <row r="432" spans="2:74" x14ac:dyDescent="0.2">
      <c r="B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36"/>
      <c r="BM432" s="136"/>
      <c r="BN432" s="136"/>
      <c r="BO432" s="136"/>
      <c r="BP432" s="136"/>
      <c r="BQ432" s="136"/>
      <c r="BR432" s="136"/>
      <c r="BS432" s="136"/>
      <c r="BT432" s="136"/>
      <c r="BU432" s="136"/>
      <c r="BV432" s="136"/>
    </row>
    <row r="433" spans="2:74" x14ac:dyDescent="0.2">
      <c r="B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36"/>
      <c r="BM433" s="136"/>
      <c r="BN433" s="136"/>
      <c r="BO433" s="136"/>
      <c r="BP433" s="136"/>
      <c r="BQ433" s="136"/>
      <c r="BR433" s="136"/>
      <c r="BS433" s="136"/>
      <c r="BT433" s="136"/>
      <c r="BU433" s="136"/>
      <c r="BV433" s="136"/>
    </row>
    <row r="434" spans="2:74" x14ac:dyDescent="0.2">
      <c r="B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36"/>
      <c r="BM434" s="136"/>
      <c r="BN434" s="136"/>
      <c r="BO434" s="136"/>
      <c r="BP434" s="136"/>
      <c r="BQ434" s="136"/>
      <c r="BR434" s="136"/>
      <c r="BS434" s="136"/>
      <c r="BT434" s="136"/>
      <c r="BU434" s="136"/>
      <c r="BV434" s="136"/>
    </row>
    <row r="435" spans="2:74" x14ac:dyDescent="0.2">
      <c r="B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6"/>
      <c r="BM435" s="136"/>
      <c r="BN435" s="136"/>
      <c r="BO435" s="136"/>
      <c r="BP435" s="136"/>
      <c r="BQ435" s="136"/>
      <c r="BR435" s="136"/>
      <c r="BS435" s="136"/>
      <c r="BT435" s="136"/>
      <c r="BU435" s="136"/>
      <c r="BV435" s="136"/>
    </row>
    <row r="436" spans="2:74" x14ac:dyDescent="0.2">
      <c r="B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6"/>
      <c r="BS436" s="136"/>
      <c r="BT436" s="136"/>
      <c r="BU436" s="136"/>
      <c r="BV436" s="136"/>
    </row>
    <row r="437" spans="2:74" x14ac:dyDescent="0.2">
      <c r="B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</row>
    <row r="438" spans="2:74" x14ac:dyDescent="0.2">
      <c r="B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6"/>
      <c r="BU438" s="136"/>
      <c r="BV438" s="136"/>
    </row>
    <row r="439" spans="2:74" x14ac:dyDescent="0.2">
      <c r="B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6"/>
      <c r="BU439" s="136"/>
      <c r="BV439" s="136"/>
    </row>
    <row r="440" spans="2:74" x14ac:dyDescent="0.2">
      <c r="B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  <c r="BQ440" s="136"/>
      <c r="BR440" s="136"/>
      <c r="BS440" s="136"/>
      <c r="BT440" s="136"/>
      <c r="BU440" s="136"/>
      <c r="BV440" s="136"/>
    </row>
    <row r="441" spans="2:74" x14ac:dyDescent="0.2">
      <c r="B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6"/>
      <c r="BU441" s="136"/>
      <c r="BV441" s="136"/>
    </row>
    <row r="442" spans="2:74" x14ac:dyDescent="0.2">
      <c r="B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36"/>
      <c r="BM442" s="136"/>
      <c r="BN442" s="136"/>
      <c r="BO442" s="136"/>
      <c r="BP442" s="136"/>
      <c r="BQ442" s="136"/>
      <c r="BR442" s="136"/>
      <c r="BS442" s="136"/>
      <c r="BT442" s="136"/>
      <c r="BU442" s="136"/>
      <c r="BV442" s="136"/>
    </row>
    <row r="443" spans="2:74" x14ac:dyDescent="0.2">
      <c r="B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36"/>
      <c r="BM443" s="136"/>
      <c r="BN443" s="136"/>
      <c r="BO443" s="136"/>
      <c r="BP443" s="136"/>
      <c r="BQ443" s="136"/>
      <c r="BR443" s="136"/>
      <c r="BS443" s="136"/>
      <c r="BT443" s="136"/>
      <c r="BU443" s="136"/>
      <c r="BV443" s="136"/>
    </row>
    <row r="444" spans="2:74" x14ac:dyDescent="0.2">
      <c r="B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6"/>
      <c r="BM444" s="136"/>
      <c r="BN444" s="136"/>
      <c r="BO444" s="136"/>
      <c r="BP444" s="136"/>
      <c r="BQ444" s="136"/>
      <c r="BR444" s="136"/>
      <c r="BS444" s="136"/>
      <c r="BT444" s="136"/>
      <c r="BU444" s="136"/>
      <c r="BV444" s="136"/>
    </row>
    <row r="445" spans="2:74" x14ac:dyDescent="0.2">
      <c r="B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36"/>
      <c r="BM445" s="136"/>
      <c r="BN445" s="136"/>
      <c r="BO445" s="136"/>
      <c r="BP445" s="136"/>
      <c r="BQ445" s="136"/>
      <c r="BR445" s="136"/>
      <c r="BS445" s="136"/>
      <c r="BT445" s="136"/>
      <c r="BU445" s="136"/>
      <c r="BV445" s="136"/>
    </row>
    <row r="446" spans="2:74" x14ac:dyDescent="0.2">
      <c r="B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36"/>
      <c r="BM446" s="136"/>
      <c r="BN446" s="136"/>
      <c r="BO446" s="136"/>
      <c r="BP446" s="136"/>
      <c r="BQ446" s="136"/>
      <c r="BR446" s="136"/>
      <c r="BS446" s="136"/>
      <c r="BT446" s="136"/>
      <c r="BU446" s="136"/>
      <c r="BV446" s="136"/>
    </row>
    <row r="447" spans="2:74" x14ac:dyDescent="0.2">
      <c r="B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36"/>
      <c r="BM447" s="136"/>
      <c r="BN447" s="136"/>
      <c r="BO447" s="136"/>
      <c r="BP447" s="136"/>
      <c r="BQ447" s="136"/>
      <c r="BR447" s="136"/>
      <c r="BS447" s="136"/>
      <c r="BT447" s="136"/>
      <c r="BU447" s="136"/>
      <c r="BV447" s="136"/>
    </row>
    <row r="448" spans="2:74" x14ac:dyDescent="0.2">
      <c r="B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36"/>
      <c r="BM448" s="136"/>
      <c r="BN448" s="136"/>
      <c r="BO448" s="136"/>
      <c r="BP448" s="136"/>
      <c r="BQ448" s="136"/>
      <c r="BR448" s="136"/>
      <c r="BS448" s="136"/>
      <c r="BT448" s="136"/>
      <c r="BU448" s="136"/>
      <c r="BV448" s="136"/>
    </row>
    <row r="449" spans="2:74" x14ac:dyDescent="0.2">
      <c r="B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36"/>
      <c r="BM449" s="136"/>
      <c r="BN449" s="136"/>
      <c r="BO449" s="136"/>
      <c r="BP449" s="136"/>
      <c r="BQ449" s="136"/>
      <c r="BR449" s="136"/>
      <c r="BS449" s="136"/>
      <c r="BT449" s="136"/>
      <c r="BU449" s="136"/>
      <c r="BV449" s="136"/>
    </row>
    <row r="450" spans="2:74" x14ac:dyDescent="0.2">
      <c r="B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  <c r="BJ450" s="136"/>
      <c r="BK450" s="136"/>
      <c r="BL450" s="136"/>
      <c r="BM450" s="136"/>
      <c r="BN450" s="136"/>
      <c r="BO450" s="136"/>
      <c r="BP450" s="136"/>
      <c r="BQ450" s="136"/>
      <c r="BR450" s="136"/>
      <c r="BS450" s="136"/>
      <c r="BT450" s="136"/>
      <c r="BU450" s="136"/>
      <c r="BV450" s="136"/>
    </row>
    <row r="451" spans="2:74" x14ac:dyDescent="0.2">
      <c r="B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36"/>
      <c r="BM451" s="136"/>
      <c r="BN451" s="136"/>
      <c r="BO451" s="136"/>
      <c r="BP451" s="136"/>
      <c r="BQ451" s="136"/>
      <c r="BR451" s="136"/>
      <c r="BS451" s="136"/>
      <c r="BT451" s="136"/>
      <c r="BU451" s="136"/>
      <c r="BV451" s="136"/>
    </row>
    <row r="452" spans="2:74" x14ac:dyDescent="0.2">
      <c r="B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36"/>
      <c r="BM452" s="136"/>
      <c r="BN452" s="136"/>
      <c r="BO452" s="136"/>
      <c r="BP452" s="136"/>
      <c r="BQ452" s="136"/>
      <c r="BR452" s="136"/>
      <c r="BS452" s="136"/>
      <c r="BT452" s="136"/>
      <c r="BU452" s="136"/>
      <c r="BV452" s="136"/>
    </row>
    <row r="453" spans="2:74" x14ac:dyDescent="0.2">
      <c r="B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  <c r="BJ453" s="136"/>
      <c r="BK453" s="136"/>
      <c r="BL453" s="136"/>
      <c r="BM453" s="136"/>
      <c r="BN453" s="136"/>
      <c r="BO453" s="136"/>
      <c r="BP453" s="136"/>
      <c r="BQ453" s="136"/>
      <c r="BR453" s="136"/>
      <c r="BS453" s="136"/>
      <c r="BT453" s="136"/>
      <c r="BU453" s="136"/>
      <c r="BV453" s="136"/>
    </row>
    <row r="454" spans="2:74" x14ac:dyDescent="0.2">
      <c r="B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6"/>
      <c r="BM454" s="136"/>
      <c r="BN454" s="136"/>
      <c r="BO454" s="136"/>
      <c r="BP454" s="136"/>
      <c r="BQ454" s="136"/>
      <c r="BR454" s="136"/>
      <c r="BS454" s="136"/>
      <c r="BT454" s="136"/>
      <c r="BU454" s="136"/>
      <c r="BV454" s="136"/>
    </row>
    <row r="455" spans="2:74" x14ac:dyDescent="0.2">
      <c r="B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</row>
    <row r="456" spans="2:74" x14ac:dyDescent="0.2">
      <c r="B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</row>
    <row r="457" spans="2:74" x14ac:dyDescent="0.2">
      <c r="B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6"/>
      <c r="BU457" s="136"/>
      <c r="BV457" s="136"/>
    </row>
    <row r="458" spans="2:74" x14ac:dyDescent="0.2">
      <c r="B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6"/>
      <c r="BU458" s="136"/>
      <c r="BV458" s="136"/>
    </row>
    <row r="459" spans="2:74" x14ac:dyDescent="0.2">
      <c r="B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6"/>
      <c r="BM459" s="136"/>
      <c r="BN459" s="136"/>
      <c r="BO459" s="136"/>
      <c r="BP459" s="136"/>
      <c r="BQ459" s="136"/>
      <c r="BR459" s="136"/>
      <c r="BS459" s="136"/>
      <c r="BT459" s="136"/>
      <c r="BU459" s="136"/>
      <c r="BV459" s="136"/>
    </row>
    <row r="460" spans="2:74" x14ac:dyDescent="0.2">
      <c r="B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36"/>
      <c r="BM460" s="136"/>
      <c r="BN460" s="136"/>
      <c r="BO460" s="136"/>
      <c r="BP460" s="136"/>
      <c r="BQ460" s="136"/>
      <c r="BR460" s="136"/>
      <c r="BS460" s="136"/>
      <c r="BT460" s="136"/>
      <c r="BU460" s="136"/>
      <c r="BV460" s="136"/>
    </row>
    <row r="461" spans="2:74" x14ac:dyDescent="0.2">
      <c r="B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36"/>
      <c r="BM461" s="136"/>
      <c r="BN461" s="136"/>
      <c r="BO461" s="136"/>
      <c r="BP461" s="136"/>
      <c r="BQ461" s="136"/>
      <c r="BR461" s="136"/>
      <c r="BS461" s="136"/>
      <c r="BT461" s="136"/>
      <c r="BU461" s="136"/>
      <c r="BV461" s="136"/>
    </row>
    <row r="462" spans="2:74" x14ac:dyDescent="0.2">
      <c r="B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36"/>
      <c r="BM462" s="136"/>
      <c r="BN462" s="136"/>
      <c r="BO462" s="136"/>
      <c r="BP462" s="136"/>
      <c r="BQ462" s="136"/>
      <c r="BR462" s="136"/>
      <c r="BS462" s="136"/>
      <c r="BT462" s="136"/>
      <c r="BU462" s="136"/>
      <c r="BV462" s="136"/>
    </row>
    <row r="463" spans="2:74" x14ac:dyDescent="0.2">
      <c r="B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36"/>
      <c r="BM463" s="136"/>
      <c r="BN463" s="136"/>
      <c r="BO463" s="136"/>
      <c r="BP463" s="136"/>
      <c r="BQ463" s="136"/>
      <c r="BR463" s="136"/>
      <c r="BS463" s="136"/>
      <c r="BT463" s="136"/>
      <c r="BU463" s="136"/>
      <c r="BV463" s="136"/>
    </row>
    <row r="464" spans="2:74" x14ac:dyDescent="0.2">
      <c r="B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36"/>
      <c r="BM464" s="136"/>
      <c r="BN464" s="136"/>
      <c r="BO464" s="136"/>
      <c r="BP464" s="136"/>
      <c r="BQ464" s="136"/>
      <c r="BR464" s="136"/>
      <c r="BS464" s="136"/>
      <c r="BT464" s="136"/>
      <c r="BU464" s="136"/>
      <c r="BV464" s="136"/>
    </row>
    <row r="465" spans="2:74" x14ac:dyDescent="0.2">
      <c r="B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36"/>
      <c r="BM465" s="136"/>
      <c r="BN465" s="136"/>
      <c r="BO465" s="136"/>
      <c r="BP465" s="136"/>
      <c r="BQ465" s="136"/>
      <c r="BR465" s="136"/>
      <c r="BS465" s="136"/>
      <c r="BT465" s="136"/>
      <c r="BU465" s="136"/>
      <c r="BV465" s="136"/>
    </row>
    <row r="466" spans="2:74" x14ac:dyDescent="0.2">
      <c r="B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136"/>
      <c r="BN466" s="136"/>
      <c r="BO466" s="136"/>
      <c r="BP466" s="136"/>
      <c r="BQ466" s="136"/>
      <c r="BR466" s="136"/>
      <c r="BS466" s="136"/>
      <c r="BT466" s="136"/>
      <c r="BU466" s="136"/>
      <c r="BV466" s="136"/>
    </row>
    <row r="467" spans="2:74" x14ac:dyDescent="0.2">
      <c r="B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6"/>
      <c r="BU467" s="136"/>
      <c r="BV467" s="136"/>
    </row>
    <row r="468" spans="2:74" x14ac:dyDescent="0.2">
      <c r="B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6"/>
      <c r="BU468" s="136"/>
      <c r="BV468" s="136"/>
    </row>
    <row r="469" spans="2:74" x14ac:dyDescent="0.2">
      <c r="B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36"/>
      <c r="BM469" s="136"/>
      <c r="BN469" s="136"/>
      <c r="BO469" s="136"/>
      <c r="BP469" s="136"/>
      <c r="BQ469" s="136"/>
      <c r="BR469" s="136"/>
      <c r="BS469" s="136"/>
      <c r="BT469" s="136"/>
      <c r="BU469" s="136"/>
      <c r="BV469" s="136"/>
    </row>
    <row r="470" spans="2:74" x14ac:dyDescent="0.2">
      <c r="B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36"/>
      <c r="BM470" s="136"/>
      <c r="BN470" s="136"/>
      <c r="BO470" s="136"/>
      <c r="BP470" s="136"/>
      <c r="BQ470" s="136"/>
      <c r="BR470" s="136"/>
      <c r="BS470" s="136"/>
      <c r="BT470" s="136"/>
      <c r="BU470" s="136"/>
      <c r="BV470" s="136"/>
    </row>
    <row r="471" spans="2:74" x14ac:dyDescent="0.2">
      <c r="B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6"/>
      <c r="BM471" s="136"/>
      <c r="BN471" s="136"/>
      <c r="BO471" s="136"/>
      <c r="BP471" s="136"/>
      <c r="BQ471" s="136"/>
      <c r="BR471" s="136"/>
      <c r="BS471" s="136"/>
      <c r="BT471" s="136"/>
      <c r="BU471" s="136"/>
      <c r="BV471" s="136"/>
    </row>
    <row r="472" spans="2:74" x14ac:dyDescent="0.2">
      <c r="B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6"/>
      <c r="BM472" s="136"/>
      <c r="BN472" s="136"/>
      <c r="BO472" s="136"/>
      <c r="BP472" s="136"/>
      <c r="BQ472" s="136"/>
      <c r="BR472" s="136"/>
      <c r="BS472" s="136"/>
      <c r="BT472" s="136"/>
      <c r="BU472" s="136"/>
      <c r="BV472" s="136"/>
    </row>
    <row r="473" spans="2:74" x14ac:dyDescent="0.2">
      <c r="B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</row>
    <row r="474" spans="2:74" x14ac:dyDescent="0.2">
      <c r="B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6"/>
      <c r="BM474" s="136"/>
      <c r="BN474" s="136"/>
      <c r="BO474" s="136"/>
      <c r="BP474" s="136"/>
      <c r="BQ474" s="136"/>
      <c r="BR474" s="136"/>
      <c r="BS474" s="136"/>
      <c r="BT474" s="136"/>
      <c r="BU474" s="136"/>
      <c r="BV474" s="136"/>
    </row>
    <row r="475" spans="2:74" x14ac:dyDescent="0.2">
      <c r="B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6"/>
      <c r="BM475" s="136"/>
      <c r="BN475" s="136"/>
      <c r="BO475" s="136"/>
      <c r="BP475" s="136"/>
      <c r="BQ475" s="136"/>
      <c r="BR475" s="136"/>
      <c r="BS475" s="136"/>
      <c r="BT475" s="136"/>
      <c r="BU475" s="136"/>
      <c r="BV475" s="136"/>
    </row>
    <row r="476" spans="2:74" x14ac:dyDescent="0.2">
      <c r="B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6"/>
      <c r="BM476" s="136"/>
      <c r="BN476" s="136"/>
      <c r="BO476" s="136"/>
      <c r="BP476" s="136"/>
      <c r="BQ476" s="136"/>
      <c r="BR476" s="136"/>
      <c r="BS476" s="136"/>
      <c r="BT476" s="136"/>
      <c r="BU476" s="136"/>
      <c r="BV476" s="136"/>
    </row>
    <row r="477" spans="2:74" x14ac:dyDescent="0.2">
      <c r="B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36"/>
      <c r="BM477" s="136"/>
      <c r="BN477" s="136"/>
      <c r="BO477" s="136"/>
      <c r="BP477" s="136"/>
      <c r="BQ477" s="136"/>
      <c r="BR477" s="136"/>
      <c r="BS477" s="136"/>
      <c r="BT477" s="136"/>
      <c r="BU477" s="136"/>
      <c r="BV477" s="136"/>
    </row>
    <row r="478" spans="2:74" x14ac:dyDescent="0.2">
      <c r="B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36"/>
      <c r="BM478" s="136"/>
      <c r="BN478" s="136"/>
      <c r="BO478" s="136"/>
      <c r="BP478" s="136"/>
      <c r="BQ478" s="136"/>
      <c r="BR478" s="136"/>
      <c r="BS478" s="136"/>
      <c r="BT478" s="136"/>
      <c r="BU478" s="136"/>
      <c r="BV478" s="136"/>
    </row>
    <row r="479" spans="2:74" x14ac:dyDescent="0.2">
      <c r="B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36"/>
      <c r="BM479" s="136"/>
      <c r="BN479" s="136"/>
      <c r="BO479" s="136"/>
      <c r="BP479" s="136"/>
      <c r="BQ479" s="136"/>
      <c r="BR479" s="136"/>
      <c r="BS479" s="136"/>
      <c r="BT479" s="136"/>
      <c r="BU479" s="136"/>
      <c r="BV479" s="136"/>
    </row>
    <row r="480" spans="2:74" x14ac:dyDescent="0.2">
      <c r="B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36"/>
      <c r="BM480" s="136"/>
      <c r="BN480" s="136"/>
      <c r="BO480" s="136"/>
      <c r="BP480" s="136"/>
      <c r="BQ480" s="136"/>
      <c r="BR480" s="136"/>
      <c r="BS480" s="136"/>
      <c r="BT480" s="136"/>
      <c r="BU480" s="136"/>
      <c r="BV480" s="136"/>
    </row>
    <row r="481" spans="2:74" x14ac:dyDescent="0.2">
      <c r="B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  <c r="BJ481" s="136"/>
      <c r="BK481" s="136"/>
      <c r="BL481" s="136"/>
      <c r="BM481" s="136"/>
      <c r="BN481" s="136"/>
      <c r="BO481" s="136"/>
      <c r="BP481" s="136"/>
      <c r="BQ481" s="136"/>
      <c r="BR481" s="136"/>
      <c r="BS481" s="136"/>
      <c r="BT481" s="136"/>
      <c r="BU481" s="136"/>
      <c r="BV481" s="136"/>
    </row>
    <row r="482" spans="2:74" x14ac:dyDescent="0.2">
      <c r="B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  <c r="BJ482" s="136"/>
      <c r="BK482" s="136"/>
      <c r="BL482" s="136"/>
      <c r="BM482" s="136"/>
      <c r="BN482" s="136"/>
      <c r="BO482" s="136"/>
      <c r="BP482" s="136"/>
      <c r="BQ482" s="136"/>
      <c r="BR482" s="136"/>
      <c r="BS482" s="136"/>
      <c r="BT482" s="136"/>
      <c r="BU482" s="136"/>
      <c r="BV482" s="136"/>
    </row>
    <row r="483" spans="2:74" x14ac:dyDescent="0.2">
      <c r="B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  <c r="BJ483" s="136"/>
      <c r="BK483" s="136"/>
      <c r="BL483" s="136"/>
      <c r="BM483" s="136"/>
      <c r="BN483" s="136"/>
      <c r="BO483" s="136"/>
      <c r="BP483" s="136"/>
      <c r="BQ483" s="136"/>
      <c r="BR483" s="136"/>
      <c r="BS483" s="136"/>
      <c r="BT483" s="136"/>
      <c r="BU483" s="136"/>
      <c r="BV483" s="136"/>
    </row>
    <row r="484" spans="2:74" x14ac:dyDescent="0.2">
      <c r="B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  <c r="BJ484" s="136"/>
      <c r="BK484" s="136"/>
      <c r="BL484" s="136"/>
      <c r="BM484" s="136"/>
      <c r="BN484" s="136"/>
      <c r="BO484" s="136"/>
      <c r="BP484" s="136"/>
      <c r="BQ484" s="136"/>
      <c r="BR484" s="136"/>
      <c r="BS484" s="136"/>
      <c r="BT484" s="136"/>
      <c r="BU484" s="136"/>
      <c r="BV484" s="136"/>
    </row>
    <row r="485" spans="2:74" x14ac:dyDescent="0.2">
      <c r="B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  <c r="BJ485" s="136"/>
      <c r="BK485" s="136"/>
      <c r="BL485" s="136"/>
      <c r="BM485" s="136"/>
      <c r="BN485" s="136"/>
      <c r="BO485" s="136"/>
      <c r="BP485" s="136"/>
      <c r="BQ485" s="136"/>
      <c r="BR485" s="136"/>
      <c r="BS485" s="136"/>
      <c r="BT485" s="136"/>
      <c r="BU485" s="136"/>
      <c r="BV485" s="136"/>
    </row>
    <row r="486" spans="2:74" x14ac:dyDescent="0.2">
      <c r="B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36"/>
      <c r="BM486" s="136"/>
      <c r="BN486" s="136"/>
      <c r="BO486" s="136"/>
      <c r="BP486" s="136"/>
      <c r="BQ486" s="136"/>
      <c r="BR486" s="136"/>
      <c r="BS486" s="136"/>
      <c r="BT486" s="136"/>
      <c r="BU486" s="136"/>
      <c r="BV486" s="136"/>
    </row>
    <row r="487" spans="2:74" x14ac:dyDescent="0.2">
      <c r="B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36"/>
      <c r="BM487" s="136"/>
      <c r="BN487" s="136"/>
      <c r="BO487" s="136"/>
      <c r="BP487" s="136"/>
      <c r="BQ487" s="136"/>
      <c r="BR487" s="136"/>
      <c r="BS487" s="136"/>
      <c r="BT487" s="136"/>
      <c r="BU487" s="136"/>
      <c r="BV487" s="136"/>
    </row>
    <row r="488" spans="2:74" x14ac:dyDescent="0.2">
      <c r="B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36"/>
      <c r="BM488" s="136"/>
      <c r="BN488" s="136"/>
      <c r="BO488" s="136"/>
      <c r="BP488" s="136"/>
      <c r="BQ488" s="136"/>
      <c r="BR488" s="136"/>
      <c r="BS488" s="136"/>
      <c r="BT488" s="136"/>
      <c r="BU488" s="136"/>
      <c r="BV488" s="136"/>
    </row>
    <row r="489" spans="2:74" x14ac:dyDescent="0.2">
      <c r="B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36"/>
      <c r="BM489" s="136"/>
      <c r="BN489" s="136"/>
      <c r="BO489" s="136"/>
      <c r="BP489" s="136"/>
      <c r="BQ489" s="136"/>
      <c r="BR489" s="136"/>
      <c r="BS489" s="136"/>
      <c r="BT489" s="136"/>
      <c r="BU489" s="136"/>
      <c r="BV489" s="136"/>
    </row>
    <row r="490" spans="2:74" x14ac:dyDescent="0.2">
      <c r="B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6"/>
      <c r="BU490" s="136"/>
      <c r="BV490" s="136"/>
    </row>
    <row r="491" spans="2:74" x14ac:dyDescent="0.2">
      <c r="B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6"/>
      <c r="BU491" s="136"/>
      <c r="BV491" s="136"/>
    </row>
    <row r="492" spans="2:74" x14ac:dyDescent="0.2">
      <c r="B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6"/>
      <c r="BU492" s="136"/>
      <c r="BV492" s="136"/>
    </row>
    <row r="493" spans="2:74" x14ac:dyDescent="0.2">
      <c r="B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</row>
    <row r="494" spans="2:74" x14ac:dyDescent="0.2">
      <c r="B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6"/>
      <c r="BU494" s="136"/>
      <c r="BV494" s="136"/>
    </row>
    <row r="495" spans="2:74" x14ac:dyDescent="0.2">
      <c r="B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6"/>
      <c r="BU495" s="136"/>
      <c r="BV495" s="136"/>
    </row>
    <row r="496" spans="2:74" x14ac:dyDescent="0.2">
      <c r="B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</row>
    <row r="497" spans="2:74" x14ac:dyDescent="0.2">
      <c r="B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6"/>
      <c r="BM497" s="136"/>
      <c r="BN497" s="136"/>
      <c r="BO497" s="136"/>
      <c r="BP497" s="136"/>
      <c r="BQ497" s="136"/>
      <c r="BR497" s="136"/>
      <c r="BS497" s="136"/>
      <c r="BT497" s="136"/>
      <c r="BU497" s="136"/>
      <c r="BV497" s="136"/>
    </row>
    <row r="498" spans="2:74" x14ac:dyDescent="0.2">
      <c r="B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36"/>
      <c r="BM498" s="136"/>
      <c r="BN498" s="136"/>
      <c r="BO498" s="136"/>
      <c r="BP498" s="136"/>
      <c r="BQ498" s="136"/>
      <c r="BR498" s="136"/>
      <c r="BS498" s="136"/>
      <c r="BT498" s="136"/>
      <c r="BU498" s="136"/>
      <c r="BV498" s="136"/>
    </row>
    <row r="499" spans="2:74" x14ac:dyDescent="0.2">
      <c r="B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</row>
    <row r="500" spans="2:74" x14ac:dyDescent="0.2">
      <c r="B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</row>
    <row r="501" spans="2:74" x14ac:dyDescent="0.2">
      <c r="B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6"/>
      <c r="BM501" s="136"/>
      <c r="BN501" s="136"/>
      <c r="BO501" s="136"/>
      <c r="BP501" s="136"/>
      <c r="BQ501" s="136"/>
      <c r="BR501" s="136"/>
      <c r="BS501" s="136"/>
      <c r="BT501" s="136"/>
      <c r="BU501" s="136"/>
      <c r="BV501" s="136"/>
    </row>
    <row r="502" spans="2:74" x14ac:dyDescent="0.2">
      <c r="B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6"/>
      <c r="BM502" s="136"/>
      <c r="BN502" s="136"/>
      <c r="BO502" s="136"/>
      <c r="BP502" s="136"/>
      <c r="BQ502" s="136"/>
      <c r="BR502" s="136"/>
      <c r="BS502" s="136"/>
      <c r="BT502" s="136"/>
      <c r="BU502" s="136"/>
      <c r="BV502" s="136"/>
    </row>
    <row r="503" spans="2:74" x14ac:dyDescent="0.2">
      <c r="B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</row>
    <row r="504" spans="2:74" x14ac:dyDescent="0.2">
      <c r="B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</row>
    <row r="505" spans="2:74" x14ac:dyDescent="0.2">
      <c r="B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136"/>
      <c r="BM505" s="136"/>
      <c r="BN505" s="136"/>
      <c r="BO505" s="136"/>
      <c r="BP505" s="136"/>
      <c r="BQ505" s="136"/>
      <c r="BR505" s="136"/>
      <c r="BS505" s="136"/>
      <c r="BT505" s="136"/>
      <c r="BU505" s="136"/>
      <c r="BV505" s="136"/>
    </row>
    <row r="506" spans="2:74" x14ac:dyDescent="0.2">
      <c r="B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  <c r="BJ506" s="136"/>
      <c r="BK506" s="136"/>
      <c r="BL506" s="136"/>
      <c r="BM506" s="136"/>
      <c r="BN506" s="136"/>
      <c r="BO506" s="136"/>
      <c r="BP506" s="136"/>
      <c r="BQ506" s="136"/>
      <c r="BR506" s="136"/>
      <c r="BS506" s="136"/>
      <c r="BT506" s="136"/>
      <c r="BU506" s="136"/>
      <c r="BV506" s="136"/>
    </row>
    <row r="507" spans="2:74" x14ac:dyDescent="0.2">
      <c r="B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  <c r="BJ507" s="136"/>
      <c r="BK507" s="136"/>
      <c r="BL507" s="136"/>
      <c r="BM507" s="136"/>
      <c r="BN507" s="136"/>
      <c r="BO507" s="136"/>
      <c r="BP507" s="136"/>
      <c r="BQ507" s="136"/>
      <c r="BR507" s="136"/>
      <c r="BS507" s="136"/>
      <c r="BT507" s="136"/>
      <c r="BU507" s="136"/>
      <c r="BV507" s="136"/>
    </row>
    <row r="508" spans="2:74" x14ac:dyDescent="0.2">
      <c r="B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36"/>
      <c r="BM508" s="136"/>
      <c r="BN508" s="136"/>
      <c r="BO508" s="136"/>
      <c r="BP508" s="136"/>
      <c r="BQ508" s="136"/>
      <c r="BR508" s="136"/>
      <c r="BS508" s="136"/>
      <c r="BT508" s="136"/>
      <c r="BU508" s="136"/>
      <c r="BV508" s="136"/>
    </row>
    <row r="509" spans="2:74" x14ac:dyDescent="0.2">
      <c r="B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36"/>
      <c r="BM509" s="136"/>
      <c r="BN509" s="136"/>
      <c r="BO509" s="136"/>
      <c r="BP509" s="136"/>
      <c r="BQ509" s="136"/>
      <c r="BR509" s="136"/>
      <c r="BS509" s="136"/>
      <c r="BT509" s="136"/>
      <c r="BU509" s="136"/>
      <c r="BV509" s="136"/>
    </row>
    <row r="510" spans="2:74" x14ac:dyDescent="0.2">
      <c r="B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36"/>
      <c r="BM510" s="136"/>
      <c r="BN510" s="136"/>
      <c r="BO510" s="136"/>
      <c r="BP510" s="136"/>
      <c r="BQ510" s="136"/>
      <c r="BR510" s="136"/>
      <c r="BS510" s="136"/>
      <c r="BT510" s="136"/>
      <c r="BU510" s="136"/>
      <c r="BV510" s="136"/>
    </row>
    <row r="511" spans="2:74" x14ac:dyDescent="0.2">
      <c r="B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36"/>
      <c r="BM511" s="136"/>
      <c r="BN511" s="136"/>
      <c r="BO511" s="136"/>
      <c r="BP511" s="136"/>
      <c r="BQ511" s="136"/>
      <c r="BR511" s="136"/>
      <c r="BS511" s="136"/>
      <c r="BT511" s="136"/>
      <c r="BU511" s="136"/>
      <c r="BV511" s="136"/>
    </row>
    <row r="512" spans="2:74" x14ac:dyDescent="0.2">
      <c r="B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36"/>
      <c r="BM512" s="136"/>
      <c r="BN512" s="136"/>
      <c r="BO512" s="136"/>
      <c r="BP512" s="136"/>
      <c r="BQ512" s="136"/>
      <c r="BR512" s="136"/>
      <c r="BS512" s="136"/>
      <c r="BT512" s="136"/>
      <c r="BU512" s="136"/>
      <c r="BV512" s="136"/>
    </row>
    <row r="513" spans="2:74" x14ac:dyDescent="0.2">
      <c r="B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  <c r="BJ513" s="136"/>
      <c r="BK513" s="136"/>
      <c r="BL513" s="136"/>
      <c r="BM513" s="136"/>
      <c r="BN513" s="136"/>
      <c r="BO513" s="136"/>
      <c r="BP513" s="136"/>
      <c r="BQ513" s="136"/>
      <c r="BR513" s="136"/>
      <c r="BS513" s="136"/>
      <c r="BT513" s="136"/>
      <c r="BU513" s="136"/>
      <c r="BV513" s="136"/>
    </row>
    <row r="514" spans="2:74" x14ac:dyDescent="0.2">
      <c r="B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</row>
    <row r="515" spans="2:74" x14ac:dyDescent="0.2">
      <c r="B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</row>
    <row r="516" spans="2:74" x14ac:dyDescent="0.2">
      <c r="B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</row>
    <row r="517" spans="2:74" x14ac:dyDescent="0.2">
      <c r="B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</row>
    <row r="518" spans="2:74" x14ac:dyDescent="0.2">
      <c r="B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</row>
    <row r="519" spans="2:74" x14ac:dyDescent="0.2">
      <c r="B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</row>
    <row r="520" spans="2:74" x14ac:dyDescent="0.2">
      <c r="B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</row>
    <row r="521" spans="2:74" x14ac:dyDescent="0.2">
      <c r="B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</row>
    <row r="522" spans="2:74" x14ac:dyDescent="0.2">
      <c r="B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36"/>
      <c r="BM522" s="136"/>
      <c r="BN522" s="136"/>
      <c r="BO522" s="136"/>
      <c r="BP522" s="136"/>
      <c r="BQ522" s="136"/>
      <c r="BR522" s="136"/>
      <c r="BS522" s="136"/>
      <c r="BT522" s="136"/>
      <c r="BU522" s="136"/>
      <c r="BV522" s="136"/>
    </row>
    <row r="523" spans="2:74" x14ac:dyDescent="0.2">
      <c r="B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36"/>
      <c r="BM523" s="136"/>
      <c r="BN523" s="136"/>
      <c r="BO523" s="136"/>
      <c r="BP523" s="136"/>
      <c r="BQ523" s="136"/>
      <c r="BR523" s="136"/>
      <c r="BS523" s="136"/>
      <c r="BT523" s="136"/>
      <c r="BU523" s="136"/>
      <c r="BV523" s="136"/>
    </row>
    <row r="524" spans="2:74" x14ac:dyDescent="0.2">
      <c r="B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36"/>
      <c r="BM524" s="136"/>
      <c r="BN524" s="136"/>
      <c r="BO524" s="136"/>
      <c r="BP524" s="136"/>
      <c r="BQ524" s="136"/>
      <c r="BR524" s="136"/>
      <c r="BS524" s="136"/>
      <c r="BT524" s="136"/>
      <c r="BU524" s="136"/>
      <c r="BV524" s="136"/>
    </row>
    <row r="525" spans="2:74" x14ac:dyDescent="0.2">
      <c r="B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36"/>
      <c r="BM525" s="136"/>
      <c r="BN525" s="136"/>
      <c r="BO525" s="136"/>
      <c r="BP525" s="136"/>
      <c r="BQ525" s="136"/>
      <c r="BR525" s="136"/>
      <c r="BS525" s="136"/>
      <c r="BT525" s="136"/>
      <c r="BU525" s="136"/>
      <c r="BV525" s="136"/>
    </row>
    <row r="526" spans="2:74" x14ac:dyDescent="0.2">
      <c r="B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6"/>
      <c r="BM526" s="136"/>
      <c r="BN526" s="136"/>
      <c r="BO526" s="136"/>
      <c r="BP526" s="136"/>
      <c r="BQ526" s="136"/>
      <c r="BR526" s="136"/>
      <c r="BS526" s="136"/>
      <c r="BT526" s="136"/>
      <c r="BU526" s="136"/>
      <c r="BV526" s="136"/>
    </row>
    <row r="527" spans="2:74" x14ac:dyDescent="0.2">
      <c r="B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6"/>
      <c r="BM527" s="136"/>
      <c r="BN527" s="136"/>
      <c r="BO527" s="136"/>
      <c r="BP527" s="136"/>
      <c r="BQ527" s="136"/>
      <c r="BR527" s="136"/>
      <c r="BS527" s="136"/>
      <c r="BT527" s="136"/>
      <c r="BU527" s="136"/>
      <c r="BV527" s="136"/>
    </row>
    <row r="528" spans="2:74" x14ac:dyDescent="0.2">
      <c r="B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</row>
    <row r="529" spans="2:74" x14ac:dyDescent="0.2">
      <c r="B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</row>
    <row r="530" spans="2:74" x14ac:dyDescent="0.2">
      <c r="B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</row>
    <row r="531" spans="2:74" x14ac:dyDescent="0.2">
      <c r="B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</row>
    <row r="532" spans="2:74" x14ac:dyDescent="0.2">
      <c r="B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</row>
    <row r="533" spans="2:74" x14ac:dyDescent="0.2">
      <c r="B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</row>
    <row r="534" spans="2:74" x14ac:dyDescent="0.2">
      <c r="B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</row>
    <row r="535" spans="2:74" x14ac:dyDescent="0.2">
      <c r="B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</row>
    <row r="536" spans="2:74" x14ac:dyDescent="0.2">
      <c r="B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</row>
    <row r="537" spans="2:74" x14ac:dyDescent="0.2">
      <c r="B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</row>
    <row r="538" spans="2:74" x14ac:dyDescent="0.2">
      <c r="B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</row>
    <row r="539" spans="2:74" x14ac:dyDescent="0.2">
      <c r="B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</row>
    <row r="540" spans="2:74" x14ac:dyDescent="0.2">
      <c r="B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</row>
    <row r="541" spans="2:74" x14ac:dyDescent="0.2">
      <c r="B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</row>
    <row r="542" spans="2:74" x14ac:dyDescent="0.2">
      <c r="B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</row>
    <row r="543" spans="2:74" x14ac:dyDescent="0.2">
      <c r="B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</row>
    <row r="544" spans="2:74" x14ac:dyDescent="0.2">
      <c r="B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</row>
    <row r="545" spans="2:74" x14ac:dyDescent="0.2">
      <c r="B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36"/>
      <c r="BM545" s="136"/>
      <c r="BN545" s="136"/>
      <c r="BO545" s="136"/>
      <c r="BP545" s="136"/>
      <c r="BQ545" s="136"/>
      <c r="BR545" s="136"/>
      <c r="BS545" s="136"/>
      <c r="BT545" s="136"/>
      <c r="BU545" s="136"/>
      <c r="BV545" s="136"/>
    </row>
    <row r="546" spans="2:74" x14ac:dyDescent="0.2">
      <c r="B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</row>
    <row r="547" spans="2:74" x14ac:dyDescent="0.2">
      <c r="B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6"/>
      <c r="BM547" s="136"/>
      <c r="BN547" s="136"/>
      <c r="BO547" s="136"/>
      <c r="BP547" s="136"/>
      <c r="BQ547" s="136"/>
      <c r="BR547" s="136"/>
      <c r="BS547" s="136"/>
      <c r="BT547" s="136"/>
      <c r="BU547" s="136"/>
      <c r="BV547" s="136"/>
    </row>
    <row r="548" spans="2:74" x14ac:dyDescent="0.2">
      <c r="B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</row>
    <row r="549" spans="2:74" x14ac:dyDescent="0.2">
      <c r="B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6"/>
      <c r="BM549" s="136"/>
      <c r="BN549" s="136"/>
      <c r="BO549" s="136"/>
      <c r="BP549" s="136"/>
      <c r="BQ549" s="136"/>
      <c r="BR549" s="136"/>
      <c r="BS549" s="136"/>
      <c r="BT549" s="136"/>
      <c r="BU549" s="136"/>
      <c r="BV549" s="136"/>
    </row>
    <row r="550" spans="2:74" x14ac:dyDescent="0.2">
      <c r="B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36"/>
      <c r="BM550" s="136"/>
      <c r="BN550" s="136"/>
      <c r="BO550" s="136"/>
      <c r="BP550" s="136"/>
      <c r="BQ550" s="136"/>
      <c r="BR550" s="136"/>
      <c r="BS550" s="136"/>
      <c r="BT550" s="136"/>
      <c r="BU550" s="136"/>
      <c r="BV550" s="136"/>
    </row>
    <row r="551" spans="2:74" x14ac:dyDescent="0.2">
      <c r="B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36"/>
      <c r="BV551" s="136"/>
    </row>
    <row r="552" spans="2:74" x14ac:dyDescent="0.2">
      <c r="B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36"/>
      <c r="BM552" s="136"/>
      <c r="BN552" s="136"/>
      <c r="BO552" s="136"/>
      <c r="BP552" s="136"/>
      <c r="BQ552" s="136"/>
      <c r="BR552" s="136"/>
      <c r="BS552" s="136"/>
      <c r="BT552" s="136"/>
      <c r="BU552" s="136"/>
      <c r="BV552" s="136"/>
    </row>
    <row r="553" spans="2:74" x14ac:dyDescent="0.2">
      <c r="B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  <c r="BJ553" s="136"/>
      <c r="BK553" s="136"/>
      <c r="BL553" s="136"/>
      <c r="BM553" s="136"/>
      <c r="BN553" s="136"/>
      <c r="BO553" s="136"/>
      <c r="BP553" s="136"/>
      <c r="BQ553" s="136"/>
      <c r="BR553" s="136"/>
      <c r="BS553" s="136"/>
      <c r="BT553" s="136"/>
      <c r="BU553" s="136"/>
      <c r="BV553" s="136"/>
    </row>
    <row r="554" spans="2:74" x14ac:dyDescent="0.2">
      <c r="B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  <c r="BJ554" s="136"/>
      <c r="BK554" s="136"/>
      <c r="BL554" s="136"/>
      <c r="BM554" s="136"/>
      <c r="BN554" s="136"/>
      <c r="BO554" s="136"/>
      <c r="BP554" s="136"/>
      <c r="BQ554" s="136"/>
      <c r="BR554" s="136"/>
      <c r="BS554" s="136"/>
      <c r="BT554" s="136"/>
      <c r="BU554" s="136"/>
      <c r="BV554" s="136"/>
    </row>
    <row r="555" spans="2:74" x14ac:dyDescent="0.2">
      <c r="B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  <c r="BJ555" s="136"/>
      <c r="BK555" s="136"/>
      <c r="BL555" s="136"/>
      <c r="BM555" s="136"/>
      <c r="BN555" s="136"/>
      <c r="BO555" s="136"/>
      <c r="BP555" s="136"/>
      <c r="BQ555" s="136"/>
      <c r="BR555" s="136"/>
      <c r="BS555" s="136"/>
      <c r="BT555" s="136"/>
      <c r="BU555" s="136"/>
      <c r="BV555" s="136"/>
    </row>
    <row r="556" spans="2:74" x14ac:dyDescent="0.2">
      <c r="B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  <c r="BJ556" s="136"/>
      <c r="BK556" s="136"/>
      <c r="BL556" s="136"/>
      <c r="BM556" s="136"/>
      <c r="BN556" s="136"/>
      <c r="BO556" s="136"/>
      <c r="BP556" s="136"/>
      <c r="BQ556" s="136"/>
      <c r="BR556" s="136"/>
      <c r="BS556" s="136"/>
      <c r="BT556" s="136"/>
      <c r="BU556" s="136"/>
      <c r="BV556" s="136"/>
    </row>
    <row r="557" spans="2:74" x14ac:dyDescent="0.2">
      <c r="B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  <c r="BJ557" s="136"/>
      <c r="BK557" s="136"/>
      <c r="BL557" s="136"/>
      <c r="BM557" s="136"/>
      <c r="BN557" s="136"/>
      <c r="BO557" s="136"/>
      <c r="BP557" s="136"/>
      <c r="BQ557" s="136"/>
      <c r="BR557" s="136"/>
      <c r="BS557" s="136"/>
      <c r="BT557" s="136"/>
      <c r="BU557" s="136"/>
      <c r="BV557" s="136"/>
    </row>
    <row r="558" spans="2:74" x14ac:dyDescent="0.2">
      <c r="B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36"/>
      <c r="BM558" s="136"/>
      <c r="BN558" s="136"/>
      <c r="BO558" s="136"/>
      <c r="BP558" s="136"/>
      <c r="BQ558" s="136"/>
      <c r="BR558" s="136"/>
      <c r="BS558" s="136"/>
      <c r="BT558" s="136"/>
      <c r="BU558" s="136"/>
      <c r="BV558" s="136"/>
    </row>
    <row r="559" spans="2:74" x14ac:dyDescent="0.2">
      <c r="B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36"/>
      <c r="BM559" s="136"/>
      <c r="BN559" s="136"/>
      <c r="BO559" s="136"/>
      <c r="BP559" s="136"/>
      <c r="BQ559" s="136"/>
      <c r="BR559" s="136"/>
      <c r="BS559" s="136"/>
      <c r="BT559" s="136"/>
      <c r="BU559" s="136"/>
      <c r="BV559" s="136"/>
    </row>
    <row r="560" spans="2:74" x14ac:dyDescent="0.2">
      <c r="B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6"/>
      <c r="BM560" s="136"/>
      <c r="BN560" s="136"/>
      <c r="BO560" s="136"/>
      <c r="BP560" s="136"/>
      <c r="BQ560" s="136"/>
      <c r="BR560" s="136"/>
      <c r="BS560" s="136"/>
      <c r="BT560" s="136"/>
      <c r="BU560" s="136"/>
      <c r="BV560" s="136"/>
    </row>
    <row r="561" spans="2:74" x14ac:dyDescent="0.2">
      <c r="B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36"/>
      <c r="BM561" s="136"/>
      <c r="BN561" s="136"/>
      <c r="BO561" s="136"/>
      <c r="BP561" s="136"/>
      <c r="BQ561" s="136"/>
      <c r="BR561" s="136"/>
      <c r="BS561" s="136"/>
      <c r="BT561" s="136"/>
      <c r="BU561" s="136"/>
      <c r="BV561" s="136"/>
    </row>
    <row r="562" spans="2:74" x14ac:dyDescent="0.2">
      <c r="B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36"/>
      <c r="BM562" s="136"/>
      <c r="BN562" s="136"/>
      <c r="BO562" s="136"/>
      <c r="BP562" s="136"/>
      <c r="BQ562" s="136"/>
      <c r="BR562" s="136"/>
      <c r="BS562" s="136"/>
      <c r="BT562" s="136"/>
      <c r="BU562" s="136"/>
      <c r="BV562" s="136"/>
    </row>
    <row r="563" spans="2:74" x14ac:dyDescent="0.2">
      <c r="B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6"/>
      <c r="BU563" s="136"/>
      <c r="BV563" s="136"/>
    </row>
    <row r="564" spans="2:74" x14ac:dyDescent="0.2">
      <c r="B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6"/>
      <c r="BU564" s="136"/>
      <c r="BV564" s="136"/>
    </row>
    <row r="565" spans="2:74" x14ac:dyDescent="0.2">
      <c r="B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6"/>
      <c r="BU565" s="136"/>
      <c r="BV565" s="136"/>
    </row>
    <row r="566" spans="2:74" x14ac:dyDescent="0.2">
      <c r="B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6"/>
      <c r="BU566" s="136"/>
      <c r="BV566" s="136"/>
    </row>
    <row r="567" spans="2:74" x14ac:dyDescent="0.2">
      <c r="B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6"/>
      <c r="BU567" s="136"/>
      <c r="BV567" s="136"/>
    </row>
    <row r="568" spans="2:74" x14ac:dyDescent="0.2">
      <c r="B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6"/>
      <c r="BU568" s="136"/>
      <c r="BV568" s="136"/>
    </row>
    <row r="569" spans="2:74" x14ac:dyDescent="0.2">
      <c r="B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6"/>
      <c r="BU569" s="136"/>
      <c r="BV569" s="136"/>
    </row>
    <row r="570" spans="2:74" x14ac:dyDescent="0.2">
      <c r="B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  <c r="BJ570" s="136"/>
      <c r="BK570" s="136"/>
      <c r="BL570" s="136"/>
      <c r="BM570" s="136"/>
      <c r="BN570" s="136"/>
      <c r="BO570" s="136"/>
      <c r="BP570" s="136"/>
      <c r="BQ570" s="136"/>
      <c r="BR570" s="136"/>
      <c r="BS570" s="136"/>
      <c r="BT570" s="136"/>
      <c r="BU570" s="136"/>
      <c r="BV570" s="136"/>
    </row>
    <row r="571" spans="2:74" x14ac:dyDescent="0.2">
      <c r="B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  <c r="BJ571" s="136"/>
      <c r="BK571" s="136"/>
      <c r="BL571" s="136"/>
      <c r="BM571" s="136"/>
      <c r="BN571" s="136"/>
      <c r="BO571" s="136"/>
      <c r="BP571" s="136"/>
      <c r="BQ571" s="136"/>
      <c r="BR571" s="136"/>
      <c r="BS571" s="136"/>
      <c r="BT571" s="136"/>
      <c r="BU571" s="136"/>
      <c r="BV571" s="136"/>
    </row>
    <row r="572" spans="2:74" x14ac:dyDescent="0.2">
      <c r="B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  <c r="BJ572" s="136"/>
      <c r="BK572" s="136"/>
      <c r="BL572" s="136"/>
      <c r="BM572" s="136"/>
      <c r="BN572" s="136"/>
      <c r="BO572" s="136"/>
      <c r="BP572" s="136"/>
      <c r="BQ572" s="136"/>
      <c r="BR572" s="136"/>
      <c r="BS572" s="136"/>
      <c r="BT572" s="136"/>
      <c r="BU572" s="136"/>
      <c r="BV572" s="136"/>
    </row>
    <row r="573" spans="2:74" x14ac:dyDescent="0.2">
      <c r="B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6"/>
      <c r="BM573" s="136"/>
      <c r="BN573" s="136"/>
      <c r="BO573" s="136"/>
      <c r="BP573" s="136"/>
      <c r="BQ573" s="136"/>
      <c r="BR573" s="136"/>
      <c r="BS573" s="136"/>
      <c r="BT573" s="136"/>
      <c r="BU573" s="136"/>
      <c r="BV573" s="136"/>
    </row>
    <row r="574" spans="2:74" x14ac:dyDescent="0.2">
      <c r="B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6"/>
      <c r="BM574" s="136"/>
      <c r="BN574" s="136"/>
      <c r="BO574" s="136"/>
      <c r="BP574" s="136"/>
      <c r="BQ574" s="136"/>
      <c r="BR574" s="136"/>
      <c r="BS574" s="136"/>
      <c r="BT574" s="136"/>
      <c r="BU574" s="136"/>
      <c r="BV574" s="136"/>
    </row>
    <row r="575" spans="2:74" x14ac:dyDescent="0.2">
      <c r="B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6"/>
      <c r="BM575" s="136"/>
      <c r="BN575" s="136"/>
      <c r="BO575" s="136"/>
      <c r="BP575" s="136"/>
      <c r="BQ575" s="136"/>
      <c r="BR575" s="136"/>
      <c r="BS575" s="136"/>
      <c r="BT575" s="136"/>
      <c r="BU575" s="136"/>
      <c r="BV575" s="136"/>
    </row>
    <row r="576" spans="2:74" x14ac:dyDescent="0.2">
      <c r="B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  <c r="BJ576" s="136"/>
      <c r="BK576" s="136"/>
      <c r="BL576" s="136"/>
      <c r="BM576" s="136"/>
      <c r="BN576" s="136"/>
      <c r="BO576" s="136"/>
      <c r="BP576" s="136"/>
      <c r="BQ576" s="136"/>
      <c r="BR576" s="136"/>
      <c r="BS576" s="136"/>
      <c r="BT576" s="136"/>
      <c r="BU576" s="136"/>
      <c r="BV576" s="136"/>
    </row>
    <row r="577" spans="2:74" x14ac:dyDescent="0.2">
      <c r="B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  <c r="BJ577" s="136"/>
      <c r="BK577" s="136"/>
      <c r="BL577" s="136"/>
      <c r="BM577" s="136"/>
      <c r="BN577" s="136"/>
      <c r="BO577" s="136"/>
      <c r="BP577" s="136"/>
      <c r="BQ577" s="136"/>
      <c r="BR577" s="136"/>
      <c r="BS577" s="136"/>
      <c r="BT577" s="136"/>
      <c r="BU577" s="136"/>
      <c r="BV577" s="136"/>
    </row>
    <row r="578" spans="2:74" x14ac:dyDescent="0.2">
      <c r="B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  <c r="BJ578" s="136"/>
      <c r="BK578" s="136"/>
      <c r="BL578" s="136"/>
      <c r="BM578" s="136"/>
      <c r="BN578" s="136"/>
      <c r="BO578" s="136"/>
      <c r="BP578" s="136"/>
      <c r="BQ578" s="136"/>
      <c r="BR578" s="136"/>
      <c r="BS578" s="136"/>
      <c r="BT578" s="136"/>
      <c r="BU578" s="136"/>
      <c r="BV578" s="136"/>
    </row>
    <row r="579" spans="2:74" x14ac:dyDescent="0.2">
      <c r="B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  <c r="BJ579" s="136"/>
      <c r="BK579" s="136"/>
      <c r="BL579" s="136"/>
      <c r="BM579" s="136"/>
      <c r="BN579" s="136"/>
      <c r="BO579" s="136"/>
      <c r="BP579" s="136"/>
      <c r="BQ579" s="136"/>
      <c r="BR579" s="136"/>
      <c r="BS579" s="136"/>
      <c r="BT579" s="136"/>
      <c r="BU579" s="136"/>
      <c r="BV579" s="136"/>
    </row>
    <row r="580" spans="2:74" x14ac:dyDescent="0.2">
      <c r="B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  <c r="BJ580" s="136"/>
      <c r="BK580" s="136"/>
      <c r="BL580" s="136"/>
      <c r="BM580" s="136"/>
      <c r="BN580" s="136"/>
      <c r="BO580" s="136"/>
      <c r="BP580" s="136"/>
      <c r="BQ580" s="136"/>
      <c r="BR580" s="136"/>
      <c r="BS580" s="136"/>
      <c r="BT580" s="136"/>
      <c r="BU580" s="136"/>
      <c r="BV580" s="136"/>
    </row>
    <row r="581" spans="2:74" x14ac:dyDescent="0.2">
      <c r="B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  <c r="BJ581" s="136"/>
      <c r="BK581" s="136"/>
      <c r="BL581" s="136"/>
      <c r="BM581" s="136"/>
      <c r="BN581" s="136"/>
      <c r="BO581" s="136"/>
      <c r="BP581" s="136"/>
      <c r="BQ581" s="136"/>
      <c r="BR581" s="136"/>
      <c r="BS581" s="136"/>
      <c r="BT581" s="136"/>
      <c r="BU581" s="136"/>
      <c r="BV581" s="136"/>
    </row>
    <row r="582" spans="2:74" x14ac:dyDescent="0.2">
      <c r="B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  <c r="BJ582" s="136"/>
      <c r="BK582" s="136"/>
      <c r="BL582" s="136"/>
      <c r="BM582" s="136"/>
      <c r="BN582" s="136"/>
      <c r="BO582" s="136"/>
      <c r="BP582" s="136"/>
      <c r="BQ582" s="136"/>
      <c r="BR582" s="136"/>
      <c r="BS582" s="136"/>
      <c r="BT582" s="136"/>
      <c r="BU582" s="136"/>
      <c r="BV582" s="136"/>
    </row>
    <row r="583" spans="2:74" x14ac:dyDescent="0.2">
      <c r="B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6"/>
      <c r="BM583" s="136"/>
      <c r="BN583" s="136"/>
      <c r="BO583" s="136"/>
      <c r="BP583" s="136"/>
      <c r="BQ583" s="136"/>
      <c r="BR583" s="136"/>
      <c r="BS583" s="136"/>
      <c r="BT583" s="136"/>
      <c r="BU583" s="136"/>
      <c r="BV583" s="136"/>
    </row>
    <row r="584" spans="2:74" x14ac:dyDescent="0.2">
      <c r="B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6"/>
      <c r="BM584" s="136"/>
      <c r="BN584" s="136"/>
      <c r="BO584" s="136"/>
      <c r="BP584" s="136"/>
      <c r="BQ584" s="136"/>
      <c r="BR584" s="136"/>
      <c r="BS584" s="136"/>
      <c r="BT584" s="136"/>
      <c r="BU584" s="136"/>
      <c r="BV584" s="136"/>
    </row>
    <row r="585" spans="2:74" x14ac:dyDescent="0.2">
      <c r="B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  <c r="BJ585" s="136"/>
      <c r="BK585" s="136"/>
      <c r="BL585" s="136"/>
      <c r="BM585" s="136"/>
      <c r="BN585" s="136"/>
      <c r="BO585" s="136"/>
      <c r="BP585" s="136"/>
      <c r="BQ585" s="136"/>
      <c r="BR585" s="136"/>
      <c r="BS585" s="136"/>
      <c r="BT585" s="136"/>
      <c r="BU585" s="136"/>
      <c r="BV585" s="136"/>
    </row>
    <row r="586" spans="2:74" x14ac:dyDescent="0.2">
      <c r="B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6"/>
      <c r="BM586" s="136"/>
      <c r="BN586" s="136"/>
      <c r="BO586" s="136"/>
      <c r="BP586" s="136"/>
      <c r="BQ586" s="136"/>
      <c r="BR586" s="136"/>
      <c r="BS586" s="136"/>
      <c r="BT586" s="136"/>
      <c r="BU586" s="136"/>
      <c r="BV586" s="136"/>
    </row>
    <row r="587" spans="2:74" x14ac:dyDescent="0.2">
      <c r="B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6"/>
      <c r="BU587" s="136"/>
      <c r="BV587" s="136"/>
    </row>
    <row r="588" spans="2:74" x14ac:dyDescent="0.2">
      <c r="B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6"/>
      <c r="BU588" s="136"/>
      <c r="BV588" s="136"/>
    </row>
    <row r="589" spans="2:74" x14ac:dyDescent="0.2">
      <c r="B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6"/>
      <c r="BM589" s="136"/>
      <c r="BN589" s="136"/>
      <c r="BO589" s="136"/>
      <c r="BP589" s="136"/>
      <c r="BQ589" s="136"/>
      <c r="BR589" s="136"/>
      <c r="BS589" s="136"/>
      <c r="BT589" s="136"/>
      <c r="BU589" s="136"/>
      <c r="BV589" s="136"/>
    </row>
    <row r="590" spans="2:74" x14ac:dyDescent="0.2">
      <c r="B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6"/>
      <c r="BU590" s="136"/>
      <c r="BV590" s="136"/>
    </row>
    <row r="591" spans="2:74" x14ac:dyDescent="0.2">
      <c r="B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  <c r="BJ591" s="136"/>
      <c r="BK591" s="136"/>
      <c r="BL591" s="136"/>
      <c r="BM591" s="136"/>
      <c r="BN591" s="136"/>
      <c r="BO591" s="136"/>
      <c r="BP591" s="136"/>
      <c r="BQ591" s="136"/>
      <c r="BR591" s="136"/>
      <c r="BS591" s="136"/>
      <c r="BT591" s="136"/>
      <c r="BU591" s="136"/>
      <c r="BV591" s="136"/>
    </row>
    <row r="592" spans="2:74" x14ac:dyDescent="0.2">
      <c r="B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  <c r="BJ592" s="136"/>
      <c r="BK592" s="136"/>
      <c r="BL592" s="136"/>
      <c r="BM592" s="136"/>
      <c r="BN592" s="136"/>
      <c r="BO592" s="136"/>
      <c r="BP592" s="136"/>
      <c r="BQ592" s="136"/>
      <c r="BR592" s="136"/>
      <c r="BS592" s="136"/>
      <c r="BT592" s="136"/>
      <c r="BU592" s="136"/>
      <c r="BV592" s="136"/>
    </row>
    <row r="593" spans="2:74" x14ac:dyDescent="0.2">
      <c r="B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  <c r="BJ593" s="136"/>
      <c r="BK593" s="136"/>
      <c r="BL593" s="136"/>
      <c r="BM593" s="136"/>
      <c r="BN593" s="136"/>
      <c r="BO593" s="136"/>
      <c r="BP593" s="136"/>
      <c r="BQ593" s="136"/>
      <c r="BR593" s="136"/>
      <c r="BS593" s="136"/>
      <c r="BT593" s="136"/>
      <c r="BU593" s="136"/>
      <c r="BV593" s="136"/>
    </row>
    <row r="594" spans="2:74" x14ac:dyDescent="0.2">
      <c r="B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  <c r="BJ594" s="136"/>
      <c r="BK594" s="136"/>
      <c r="BL594" s="136"/>
      <c r="BM594" s="136"/>
      <c r="BN594" s="136"/>
      <c r="BO594" s="136"/>
      <c r="BP594" s="136"/>
      <c r="BQ594" s="136"/>
      <c r="BR594" s="136"/>
      <c r="BS594" s="136"/>
      <c r="BT594" s="136"/>
      <c r="BU594" s="136"/>
      <c r="BV594" s="136"/>
    </row>
    <row r="595" spans="2:74" x14ac:dyDescent="0.2">
      <c r="B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</row>
    <row r="596" spans="2:74" x14ac:dyDescent="0.2">
      <c r="B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  <c r="BJ596" s="136"/>
      <c r="BK596" s="136"/>
      <c r="BL596" s="136"/>
      <c r="BM596" s="136"/>
      <c r="BN596" s="136"/>
      <c r="BO596" s="136"/>
      <c r="BP596" s="136"/>
      <c r="BQ596" s="136"/>
      <c r="BR596" s="136"/>
      <c r="BS596" s="136"/>
      <c r="BT596" s="136"/>
      <c r="BU596" s="136"/>
      <c r="BV596" s="136"/>
    </row>
    <row r="597" spans="2:74" x14ac:dyDescent="0.2">
      <c r="B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  <c r="BJ597" s="136"/>
      <c r="BK597" s="136"/>
      <c r="BL597" s="136"/>
      <c r="BM597" s="136"/>
      <c r="BN597" s="136"/>
      <c r="BO597" s="136"/>
      <c r="BP597" s="136"/>
      <c r="BQ597" s="136"/>
      <c r="BR597" s="136"/>
      <c r="BS597" s="136"/>
      <c r="BT597" s="136"/>
      <c r="BU597" s="136"/>
      <c r="BV597" s="136"/>
    </row>
    <row r="598" spans="2:74" x14ac:dyDescent="0.2">
      <c r="B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  <c r="BJ598" s="136"/>
      <c r="BK598" s="136"/>
      <c r="BL598" s="136"/>
      <c r="BM598" s="136"/>
      <c r="BN598" s="136"/>
      <c r="BO598" s="136"/>
      <c r="BP598" s="136"/>
      <c r="BQ598" s="136"/>
      <c r="BR598" s="136"/>
      <c r="BS598" s="136"/>
      <c r="BT598" s="136"/>
      <c r="BU598" s="136"/>
      <c r="BV598" s="136"/>
    </row>
    <row r="599" spans="2:74" x14ac:dyDescent="0.2">
      <c r="B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</row>
    <row r="600" spans="2:74" x14ac:dyDescent="0.2">
      <c r="B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36"/>
      <c r="BM600" s="136"/>
      <c r="BN600" s="136"/>
      <c r="BO600" s="136"/>
      <c r="BP600" s="136"/>
      <c r="BQ600" s="136"/>
      <c r="BR600" s="136"/>
      <c r="BS600" s="136"/>
      <c r="BT600" s="136"/>
      <c r="BU600" s="136"/>
      <c r="BV600" s="136"/>
    </row>
    <row r="601" spans="2:74" x14ac:dyDescent="0.2">
      <c r="B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  <c r="BJ601" s="136"/>
      <c r="BK601" s="136"/>
      <c r="BL601" s="136"/>
      <c r="BM601" s="136"/>
      <c r="BN601" s="136"/>
      <c r="BO601" s="136"/>
      <c r="BP601" s="136"/>
      <c r="BQ601" s="136"/>
      <c r="BR601" s="136"/>
      <c r="BS601" s="136"/>
      <c r="BT601" s="136"/>
      <c r="BU601" s="136"/>
      <c r="BV601" s="136"/>
    </row>
    <row r="602" spans="2:74" x14ac:dyDescent="0.2">
      <c r="B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  <c r="BJ602" s="136"/>
      <c r="BK602" s="136"/>
      <c r="BL602" s="136"/>
      <c r="BM602" s="136"/>
      <c r="BN602" s="136"/>
      <c r="BO602" s="136"/>
      <c r="BP602" s="136"/>
      <c r="BQ602" s="136"/>
      <c r="BR602" s="136"/>
      <c r="BS602" s="136"/>
      <c r="BT602" s="136"/>
      <c r="BU602" s="136"/>
      <c r="BV602" s="136"/>
    </row>
    <row r="603" spans="2:74" x14ac:dyDescent="0.2">
      <c r="B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  <c r="BJ603" s="136"/>
      <c r="BK603" s="136"/>
      <c r="BL603" s="136"/>
      <c r="BM603" s="136"/>
      <c r="BN603" s="136"/>
      <c r="BO603" s="136"/>
      <c r="BP603" s="136"/>
      <c r="BQ603" s="136"/>
      <c r="BR603" s="136"/>
      <c r="BS603" s="136"/>
      <c r="BT603" s="136"/>
      <c r="BU603" s="136"/>
      <c r="BV603" s="136"/>
    </row>
    <row r="604" spans="2:74" x14ac:dyDescent="0.2">
      <c r="B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  <c r="BJ604" s="136"/>
      <c r="BK604" s="136"/>
      <c r="BL604" s="136"/>
      <c r="BM604" s="136"/>
      <c r="BN604" s="136"/>
      <c r="BO604" s="136"/>
      <c r="BP604" s="136"/>
      <c r="BQ604" s="136"/>
      <c r="BR604" s="136"/>
      <c r="BS604" s="136"/>
      <c r="BT604" s="136"/>
      <c r="BU604" s="136"/>
      <c r="BV604" s="136"/>
    </row>
    <row r="605" spans="2:74" x14ac:dyDescent="0.2">
      <c r="B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  <c r="BJ605" s="136"/>
      <c r="BK605" s="136"/>
      <c r="BL605" s="136"/>
      <c r="BM605" s="136"/>
      <c r="BN605" s="136"/>
      <c r="BO605" s="136"/>
      <c r="BP605" s="136"/>
      <c r="BQ605" s="136"/>
      <c r="BR605" s="136"/>
      <c r="BS605" s="136"/>
      <c r="BT605" s="136"/>
      <c r="BU605" s="136"/>
      <c r="BV605" s="136"/>
    </row>
    <row r="606" spans="2:74" x14ac:dyDescent="0.2">
      <c r="B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  <c r="BJ606" s="136"/>
      <c r="BK606" s="136"/>
      <c r="BL606" s="136"/>
      <c r="BM606" s="136"/>
      <c r="BN606" s="136"/>
      <c r="BO606" s="136"/>
      <c r="BP606" s="136"/>
      <c r="BQ606" s="136"/>
      <c r="BR606" s="136"/>
      <c r="BS606" s="136"/>
      <c r="BT606" s="136"/>
      <c r="BU606" s="136"/>
      <c r="BV606" s="136"/>
    </row>
    <row r="607" spans="2:74" x14ac:dyDescent="0.2">
      <c r="B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  <c r="BJ607" s="136"/>
      <c r="BK607" s="136"/>
      <c r="BL607" s="136"/>
      <c r="BM607" s="136"/>
      <c r="BN607" s="136"/>
      <c r="BO607" s="136"/>
      <c r="BP607" s="136"/>
      <c r="BQ607" s="136"/>
      <c r="BR607" s="136"/>
      <c r="BS607" s="136"/>
      <c r="BT607" s="136"/>
      <c r="BU607" s="136"/>
      <c r="BV607" s="136"/>
    </row>
    <row r="608" spans="2:74" x14ac:dyDescent="0.2">
      <c r="B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  <c r="BJ608" s="136"/>
      <c r="BK608" s="136"/>
      <c r="BL608" s="136"/>
      <c r="BM608" s="136"/>
      <c r="BN608" s="136"/>
      <c r="BO608" s="136"/>
      <c r="BP608" s="136"/>
      <c r="BQ608" s="136"/>
      <c r="BR608" s="136"/>
      <c r="BS608" s="136"/>
      <c r="BT608" s="136"/>
      <c r="BU608" s="136"/>
      <c r="BV608" s="136"/>
    </row>
    <row r="609" spans="2:74" x14ac:dyDescent="0.2">
      <c r="B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  <c r="BJ609" s="136"/>
      <c r="BK609" s="136"/>
      <c r="BL609" s="136"/>
      <c r="BM609" s="136"/>
      <c r="BN609" s="136"/>
      <c r="BO609" s="136"/>
      <c r="BP609" s="136"/>
      <c r="BQ609" s="136"/>
      <c r="BR609" s="136"/>
      <c r="BS609" s="136"/>
      <c r="BT609" s="136"/>
      <c r="BU609" s="136"/>
      <c r="BV609" s="136"/>
    </row>
    <row r="610" spans="2:74" x14ac:dyDescent="0.2">
      <c r="B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  <c r="BJ610" s="136"/>
      <c r="BK610" s="136"/>
      <c r="BL610" s="136"/>
      <c r="BM610" s="136"/>
      <c r="BN610" s="136"/>
      <c r="BO610" s="136"/>
      <c r="BP610" s="136"/>
      <c r="BQ610" s="136"/>
      <c r="BR610" s="136"/>
      <c r="BS610" s="136"/>
      <c r="BT610" s="136"/>
      <c r="BU610" s="136"/>
      <c r="BV610" s="136"/>
    </row>
    <row r="611" spans="2:74" x14ac:dyDescent="0.2">
      <c r="B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  <c r="BJ611" s="136"/>
      <c r="BK611" s="136"/>
      <c r="BL611" s="136"/>
      <c r="BM611" s="136"/>
      <c r="BN611" s="136"/>
      <c r="BO611" s="136"/>
      <c r="BP611" s="136"/>
      <c r="BQ611" s="136"/>
      <c r="BR611" s="136"/>
      <c r="BS611" s="136"/>
      <c r="BT611" s="136"/>
      <c r="BU611" s="136"/>
      <c r="BV611" s="136"/>
    </row>
    <row r="612" spans="2:74" x14ac:dyDescent="0.2">
      <c r="B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36"/>
      <c r="BM612" s="136"/>
      <c r="BN612" s="136"/>
      <c r="BO612" s="136"/>
      <c r="BP612" s="136"/>
      <c r="BQ612" s="136"/>
      <c r="BR612" s="136"/>
      <c r="BS612" s="136"/>
      <c r="BT612" s="136"/>
      <c r="BU612" s="136"/>
      <c r="BV612" s="136"/>
    </row>
    <row r="613" spans="2:74" x14ac:dyDescent="0.2">
      <c r="B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  <c r="BJ613" s="136"/>
      <c r="BK613" s="136"/>
      <c r="BL613" s="136"/>
      <c r="BM613" s="136"/>
      <c r="BN613" s="136"/>
      <c r="BO613" s="136"/>
      <c r="BP613" s="136"/>
      <c r="BQ613" s="136"/>
      <c r="BR613" s="136"/>
      <c r="BS613" s="136"/>
      <c r="BT613" s="136"/>
      <c r="BU613" s="136"/>
      <c r="BV613" s="136"/>
    </row>
    <row r="614" spans="2:74" x14ac:dyDescent="0.2">
      <c r="B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  <c r="BJ614" s="136"/>
      <c r="BK614" s="136"/>
      <c r="BL614" s="136"/>
      <c r="BM614" s="136"/>
      <c r="BN614" s="136"/>
      <c r="BO614" s="136"/>
      <c r="BP614" s="136"/>
      <c r="BQ614" s="136"/>
      <c r="BR614" s="136"/>
      <c r="BS614" s="136"/>
      <c r="BT614" s="136"/>
      <c r="BU614" s="136"/>
      <c r="BV614" s="136"/>
    </row>
    <row r="615" spans="2:74" x14ac:dyDescent="0.2">
      <c r="B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36"/>
      <c r="BM615" s="136"/>
      <c r="BN615" s="136"/>
      <c r="BO615" s="136"/>
      <c r="BP615" s="136"/>
      <c r="BQ615" s="136"/>
      <c r="BR615" s="136"/>
      <c r="BS615" s="136"/>
      <c r="BT615" s="136"/>
      <c r="BU615" s="136"/>
      <c r="BV615" s="136"/>
    </row>
    <row r="616" spans="2:74" x14ac:dyDescent="0.2">
      <c r="B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  <c r="BJ616" s="136"/>
      <c r="BK616" s="136"/>
      <c r="BL616" s="136"/>
      <c r="BM616" s="136"/>
      <c r="BN616" s="136"/>
      <c r="BO616" s="136"/>
      <c r="BP616" s="136"/>
      <c r="BQ616" s="136"/>
      <c r="BR616" s="136"/>
      <c r="BS616" s="136"/>
      <c r="BT616" s="136"/>
      <c r="BU616" s="136"/>
      <c r="BV616" s="136"/>
    </row>
    <row r="617" spans="2:74" x14ac:dyDescent="0.2">
      <c r="B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  <c r="BJ617" s="136"/>
      <c r="BK617" s="136"/>
      <c r="BL617" s="136"/>
      <c r="BM617" s="136"/>
      <c r="BN617" s="136"/>
      <c r="BO617" s="136"/>
      <c r="BP617" s="136"/>
      <c r="BQ617" s="136"/>
      <c r="BR617" s="136"/>
      <c r="BS617" s="136"/>
      <c r="BT617" s="136"/>
      <c r="BU617" s="136"/>
      <c r="BV617" s="136"/>
    </row>
    <row r="618" spans="2:74" x14ac:dyDescent="0.2">
      <c r="B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  <c r="BJ618" s="136"/>
      <c r="BK618" s="136"/>
      <c r="BL618" s="136"/>
      <c r="BM618" s="136"/>
      <c r="BN618" s="136"/>
      <c r="BO618" s="136"/>
      <c r="BP618" s="136"/>
      <c r="BQ618" s="136"/>
      <c r="BR618" s="136"/>
      <c r="BS618" s="136"/>
      <c r="BT618" s="136"/>
      <c r="BU618" s="136"/>
      <c r="BV618" s="136"/>
    </row>
    <row r="619" spans="2:74" x14ac:dyDescent="0.2">
      <c r="B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  <c r="BJ619" s="136"/>
      <c r="BK619" s="136"/>
      <c r="BL619" s="136"/>
      <c r="BM619" s="136"/>
      <c r="BN619" s="136"/>
      <c r="BO619" s="136"/>
      <c r="BP619" s="136"/>
      <c r="BQ619" s="136"/>
      <c r="BR619" s="136"/>
      <c r="BS619" s="136"/>
      <c r="BT619" s="136"/>
      <c r="BU619" s="136"/>
      <c r="BV619" s="136"/>
    </row>
    <row r="620" spans="2:74" x14ac:dyDescent="0.2">
      <c r="B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  <c r="BJ620" s="136"/>
      <c r="BK620" s="136"/>
      <c r="BL620" s="136"/>
      <c r="BM620" s="136"/>
      <c r="BN620" s="136"/>
      <c r="BO620" s="136"/>
      <c r="BP620" s="136"/>
      <c r="BQ620" s="136"/>
      <c r="BR620" s="136"/>
      <c r="BS620" s="136"/>
      <c r="BT620" s="136"/>
      <c r="BU620" s="136"/>
      <c r="BV620" s="136"/>
    </row>
    <row r="621" spans="2:74" x14ac:dyDescent="0.2">
      <c r="B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  <c r="BJ621" s="136"/>
      <c r="BK621" s="136"/>
      <c r="BL621" s="136"/>
      <c r="BM621" s="136"/>
      <c r="BN621" s="136"/>
      <c r="BO621" s="136"/>
      <c r="BP621" s="136"/>
      <c r="BQ621" s="136"/>
      <c r="BR621" s="136"/>
      <c r="BS621" s="136"/>
      <c r="BT621" s="136"/>
      <c r="BU621" s="136"/>
      <c r="BV621" s="136"/>
    </row>
    <row r="622" spans="2:74" x14ac:dyDescent="0.2">
      <c r="B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  <c r="BJ622" s="136"/>
      <c r="BK622" s="136"/>
      <c r="BL622" s="136"/>
      <c r="BM622" s="136"/>
      <c r="BN622" s="136"/>
      <c r="BO622" s="136"/>
      <c r="BP622" s="136"/>
      <c r="BQ622" s="136"/>
      <c r="BR622" s="136"/>
      <c r="BS622" s="136"/>
      <c r="BT622" s="136"/>
      <c r="BU622" s="136"/>
      <c r="BV622" s="136"/>
    </row>
    <row r="623" spans="2:74" x14ac:dyDescent="0.2">
      <c r="B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  <c r="BJ623" s="136"/>
      <c r="BK623" s="136"/>
      <c r="BL623" s="136"/>
      <c r="BM623" s="136"/>
      <c r="BN623" s="136"/>
      <c r="BO623" s="136"/>
      <c r="BP623" s="136"/>
      <c r="BQ623" s="136"/>
      <c r="BR623" s="136"/>
      <c r="BS623" s="136"/>
      <c r="BT623" s="136"/>
      <c r="BU623" s="136"/>
      <c r="BV623" s="136"/>
    </row>
    <row r="624" spans="2:74" x14ac:dyDescent="0.2">
      <c r="B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36"/>
      <c r="BM624" s="136"/>
      <c r="BN624" s="136"/>
      <c r="BO624" s="136"/>
      <c r="BP624" s="136"/>
      <c r="BQ624" s="136"/>
      <c r="BR624" s="136"/>
      <c r="BS624" s="136"/>
      <c r="BT624" s="136"/>
      <c r="BU624" s="136"/>
      <c r="BV624" s="136"/>
    </row>
    <row r="625" spans="2:74" x14ac:dyDescent="0.2">
      <c r="B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  <c r="BJ625" s="136"/>
      <c r="BK625" s="136"/>
      <c r="BL625" s="136"/>
      <c r="BM625" s="136"/>
      <c r="BN625" s="136"/>
      <c r="BO625" s="136"/>
      <c r="BP625" s="136"/>
      <c r="BQ625" s="136"/>
      <c r="BR625" s="136"/>
      <c r="BS625" s="136"/>
      <c r="BT625" s="136"/>
      <c r="BU625" s="136"/>
      <c r="BV625" s="136"/>
    </row>
    <row r="626" spans="2:74" x14ac:dyDescent="0.2">
      <c r="B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  <c r="BI626" s="136"/>
      <c r="BJ626" s="136"/>
      <c r="BK626" s="136"/>
      <c r="BL626" s="136"/>
      <c r="BM626" s="136"/>
      <c r="BN626" s="136"/>
      <c r="BO626" s="136"/>
      <c r="BP626" s="136"/>
      <c r="BQ626" s="136"/>
      <c r="BR626" s="136"/>
      <c r="BS626" s="136"/>
      <c r="BT626" s="136"/>
      <c r="BU626" s="136"/>
      <c r="BV626" s="136"/>
    </row>
    <row r="627" spans="2:74" x14ac:dyDescent="0.2">
      <c r="B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  <c r="BI627" s="136"/>
      <c r="BJ627" s="136"/>
      <c r="BK627" s="136"/>
      <c r="BL627" s="136"/>
      <c r="BM627" s="136"/>
      <c r="BN627" s="136"/>
      <c r="BO627" s="136"/>
      <c r="BP627" s="136"/>
      <c r="BQ627" s="136"/>
      <c r="BR627" s="136"/>
      <c r="BS627" s="136"/>
      <c r="BT627" s="136"/>
      <c r="BU627" s="136"/>
      <c r="BV627" s="136"/>
    </row>
    <row r="628" spans="2:74" x14ac:dyDescent="0.2">
      <c r="B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  <c r="BI628" s="136"/>
      <c r="BJ628" s="136"/>
      <c r="BK628" s="136"/>
      <c r="BL628" s="136"/>
      <c r="BM628" s="136"/>
      <c r="BN628" s="136"/>
      <c r="BO628" s="136"/>
      <c r="BP628" s="136"/>
      <c r="BQ628" s="136"/>
      <c r="BR628" s="136"/>
      <c r="BS628" s="136"/>
      <c r="BT628" s="136"/>
      <c r="BU628" s="136"/>
      <c r="BV628" s="136"/>
    </row>
    <row r="629" spans="2:74" x14ac:dyDescent="0.2">
      <c r="B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  <c r="BI629" s="136"/>
      <c r="BJ629" s="136"/>
      <c r="BK629" s="136"/>
      <c r="BL629" s="136"/>
      <c r="BM629" s="136"/>
      <c r="BN629" s="136"/>
      <c r="BO629" s="136"/>
      <c r="BP629" s="136"/>
      <c r="BQ629" s="136"/>
      <c r="BR629" s="136"/>
      <c r="BS629" s="136"/>
      <c r="BT629" s="136"/>
      <c r="BU629" s="136"/>
      <c r="BV629" s="136"/>
    </row>
    <row r="630" spans="2:74" x14ac:dyDescent="0.2">
      <c r="B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  <c r="BI630" s="136"/>
      <c r="BJ630" s="136"/>
      <c r="BK630" s="136"/>
      <c r="BL630" s="136"/>
      <c r="BM630" s="136"/>
      <c r="BN630" s="136"/>
      <c r="BO630" s="136"/>
      <c r="BP630" s="136"/>
      <c r="BQ630" s="136"/>
      <c r="BR630" s="136"/>
      <c r="BS630" s="136"/>
      <c r="BT630" s="136"/>
      <c r="BU630" s="136"/>
      <c r="BV630" s="136"/>
    </row>
    <row r="631" spans="2:74" x14ac:dyDescent="0.2">
      <c r="B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  <c r="BJ631" s="136"/>
      <c r="BK631" s="136"/>
      <c r="BL631" s="136"/>
      <c r="BM631" s="136"/>
      <c r="BN631" s="136"/>
      <c r="BO631" s="136"/>
      <c r="BP631" s="136"/>
      <c r="BQ631" s="136"/>
      <c r="BR631" s="136"/>
      <c r="BS631" s="136"/>
      <c r="BT631" s="136"/>
      <c r="BU631" s="136"/>
      <c r="BV631" s="136"/>
    </row>
    <row r="632" spans="2:74" x14ac:dyDescent="0.2">
      <c r="B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  <c r="BJ632" s="136"/>
      <c r="BK632" s="136"/>
      <c r="BL632" s="136"/>
      <c r="BM632" s="136"/>
      <c r="BN632" s="136"/>
      <c r="BO632" s="136"/>
      <c r="BP632" s="136"/>
      <c r="BQ632" s="136"/>
      <c r="BR632" s="136"/>
      <c r="BS632" s="136"/>
      <c r="BT632" s="136"/>
      <c r="BU632" s="136"/>
      <c r="BV632" s="136"/>
    </row>
  </sheetData>
  <mergeCells count="15"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scale="4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25"/>
  <sheetViews>
    <sheetView view="pageBreakPreview" topLeftCell="D34" zoomScaleNormal="100" zoomScaleSheetLayoutView="100" workbookViewId="0">
      <selection activeCell="AH65" sqref="AH65"/>
    </sheetView>
  </sheetViews>
  <sheetFormatPr defaultRowHeight="12.75" x14ac:dyDescent="0.2"/>
  <cols>
    <col min="1" max="1" width="2.85546875" style="137" customWidth="1"/>
    <col min="2" max="2" width="3.28515625" style="137" customWidth="1"/>
    <col min="3" max="3" width="56.140625" style="136" customWidth="1"/>
    <col min="4" max="4" width="6" style="137" customWidth="1"/>
    <col min="5" max="8" width="13.7109375" style="137" hidden="1" customWidth="1"/>
    <col min="9" max="9" width="13.7109375" style="137" customWidth="1"/>
    <col min="10" max="13" width="13.7109375" style="137" hidden="1" customWidth="1"/>
    <col min="14" max="14" width="13.7109375" style="137" customWidth="1"/>
    <col min="15" max="18" width="13.7109375" style="137" hidden="1" customWidth="1"/>
    <col min="19" max="19" width="13.7109375" style="137" customWidth="1"/>
    <col min="20" max="23" width="13.7109375" style="137" hidden="1" customWidth="1"/>
    <col min="24" max="24" width="13.7109375" style="137" customWidth="1"/>
    <col min="25" max="28" width="13.7109375" style="137" hidden="1" customWidth="1"/>
    <col min="29" max="29" width="13.7109375" style="137" customWidth="1"/>
    <col min="30" max="33" width="13.7109375" style="137" hidden="1" customWidth="1"/>
    <col min="34" max="34" width="13.7109375" style="137" customWidth="1"/>
    <col min="35" max="38" width="13.7109375" style="137" hidden="1" customWidth="1"/>
    <col min="39" max="39" width="13.7109375" style="137" customWidth="1"/>
    <col min="40" max="43" width="13.7109375" style="137" hidden="1" customWidth="1"/>
    <col min="44" max="44" width="13.7109375" style="137" customWidth="1"/>
    <col min="45" max="48" width="13.7109375" style="137" hidden="1" customWidth="1"/>
    <col min="49" max="49" width="13.7109375" style="137" customWidth="1"/>
    <col min="50" max="53" width="13.7109375" style="137" hidden="1" customWidth="1"/>
    <col min="54" max="54" width="13.7109375" style="137" customWidth="1"/>
    <col min="55" max="58" width="13.7109375" style="137" hidden="1" customWidth="1"/>
    <col min="59" max="59" width="13.7109375" style="137" customWidth="1"/>
    <col min="60" max="63" width="13.7109375" style="137" hidden="1" customWidth="1"/>
    <col min="64" max="64" width="13.7109375" style="137" customWidth="1"/>
    <col min="65" max="68" width="13.7109375" style="137" hidden="1" customWidth="1"/>
    <col min="69" max="69" width="13.7109375" style="137" customWidth="1"/>
    <col min="70" max="73" width="13.7109375" style="137" hidden="1" customWidth="1"/>
    <col min="74" max="74" width="13.7109375" style="137" customWidth="1"/>
    <col min="75" max="75" width="2.7109375" style="137" customWidth="1"/>
    <col min="76" max="76" width="6.7109375" style="137" hidden="1" customWidth="1"/>
    <col min="77" max="77" width="3.28515625" style="137" hidden="1" customWidth="1"/>
    <col min="78" max="79" width="9.85546875" style="137" hidden="1" customWidth="1"/>
    <col min="80" max="80" width="10.5703125" style="137" hidden="1" customWidth="1"/>
    <col min="81" max="81" width="10" style="137" hidden="1" customWidth="1"/>
    <col min="82" max="83" width="0" style="137" hidden="1" customWidth="1"/>
    <col min="84" max="256" width="9.140625" style="137"/>
    <col min="257" max="257" width="2.85546875" style="137" customWidth="1"/>
    <col min="258" max="258" width="3.28515625" style="137" customWidth="1"/>
    <col min="259" max="259" width="56.140625" style="137" customWidth="1"/>
    <col min="260" max="260" width="6" style="137" customWidth="1"/>
    <col min="261" max="265" width="13.7109375" style="137" customWidth="1"/>
    <col min="266" max="320" width="0" style="137" hidden="1" customWidth="1"/>
    <col min="321" max="322" width="12.85546875" style="137" customWidth="1"/>
    <col min="323" max="323" width="12" style="137" customWidth="1"/>
    <col min="324" max="324" width="13.140625" style="137" customWidth="1"/>
    <col min="325" max="325" width="12.85546875" style="137" customWidth="1"/>
    <col min="326" max="326" width="12.7109375" style="137" customWidth="1"/>
    <col min="327" max="327" width="13.140625" style="137" customWidth="1"/>
    <col min="328" max="328" width="11.28515625" style="137" customWidth="1"/>
    <col min="329" max="329" width="12.7109375" style="137" customWidth="1"/>
    <col min="330" max="330" width="12.5703125" style="137" customWidth="1"/>
    <col min="331" max="331" width="3.28515625" style="137" customWidth="1"/>
    <col min="332" max="339" width="0" style="137" hidden="1" customWidth="1"/>
    <col min="340" max="512" width="9.140625" style="137"/>
    <col min="513" max="513" width="2.85546875" style="137" customWidth="1"/>
    <col min="514" max="514" width="3.28515625" style="137" customWidth="1"/>
    <col min="515" max="515" width="56.140625" style="137" customWidth="1"/>
    <col min="516" max="516" width="6" style="137" customWidth="1"/>
    <col min="517" max="521" width="13.7109375" style="137" customWidth="1"/>
    <col min="522" max="576" width="0" style="137" hidden="1" customWidth="1"/>
    <col min="577" max="578" width="12.85546875" style="137" customWidth="1"/>
    <col min="579" max="579" width="12" style="137" customWidth="1"/>
    <col min="580" max="580" width="13.140625" style="137" customWidth="1"/>
    <col min="581" max="581" width="12.85546875" style="137" customWidth="1"/>
    <col min="582" max="582" width="12.7109375" style="137" customWidth="1"/>
    <col min="583" max="583" width="13.140625" style="137" customWidth="1"/>
    <col min="584" max="584" width="11.28515625" style="137" customWidth="1"/>
    <col min="585" max="585" width="12.7109375" style="137" customWidth="1"/>
    <col min="586" max="586" width="12.5703125" style="137" customWidth="1"/>
    <col min="587" max="587" width="3.28515625" style="137" customWidth="1"/>
    <col min="588" max="595" width="0" style="137" hidden="1" customWidth="1"/>
    <col min="596" max="768" width="9.140625" style="137"/>
    <col min="769" max="769" width="2.85546875" style="137" customWidth="1"/>
    <col min="770" max="770" width="3.28515625" style="137" customWidth="1"/>
    <col min="771" max="771" width="56.140625" style="137" customWidth="1"/>
    <col min="772" max="772" width="6" style="137" customWidth="1"/>
    <col min="773" max="777" width="13.7109375" style="137" customWidth="1"/>
    <col min="778" max="832" width="0" style="137" hidden="1" customWidth="1"/>
    <col min="833" max="834" width="12.85546875" style="137" customWidth="1"/>
    <col min="835" max="835" width="12" style="137" customWidth="1"/>
    <col min="836" max="836" width="13.140625" style="137" customWidth="1"/>
    <col min="837" max="837" width="12.85546875" style="137" customWidth="1"/>
    <col min="838" max="838" width="12.7109375" style="137" customWidth="1"/>
    <col min="839" max="839" width="13.140625" style="137" customWidth="1"/>
    <col min="840" max="840" width="11.28515625" style="137" customWidth="1"/>
    <col min="841" max="841" width="12.7109375" style="137" customWidth="1"/>
    <col min="842" max="842" width="12.5703125" style="137" customWidth="1"/>
    <col min="843" max="843" width="3.28515625" style="137" customWidth="1"/>
    <col min="844" max="851" width="0" style="137" hidden="1" customWidth="1"/>
    <col min="852" max="1024" width="9.140625" style="137"/>
    <col min="1025" max="1025" width="2.85546875" style="137" customWidth="1"/>
    <col min="1026" max="1026" width="3.28515625" style="137" customWidth="1"/>
    <col min="1027" max="1027" width="56.140625" style="137" customWidth="1"/>
    <col min="1028" max="1028" width="6" style="137" customWidth="1"/>
    <col min="1029" max="1033" width="13.7109375" style="137" customWidth="1"/>
    <col min="1034" max="1088" width="0" style="137" hidden="1" customWidth="1"/>
    <col min="1089" max="1090" width="12.85546875" style="137" customWidth="1"/>
    <col min="1091" max="1091" width="12" style="137" customWidth="1"/>
    <col min="1092" max="1092" width="13.140625" style="137" customWidth="1"/>
    <col min="1093" max="1093" width="12.85546875" style="137" customWidth="1"/>
    <col min="1094" max="1094" width="12.7109375" style="137" customWidth="1"/>
    <col min="1095" max="1095" width="13.140625" style="137" customWidth="1"/>
    <col min="1096" max="1096" width="11.28515625" style="137" customWidth="1"/>
    <col min="1097" max="1097" width="12.7109375" style="137" customWidth="1"/>
    <col min="1098" max="1098" width="12.5703125" style="137" customWidth="1"/>
    <col min="1099" max="1099" width="3.28515625" style="137" customWidth="1"/>
    <col min="1100" max="1107" width="0" style="137" hidden="1" customWidth="1"/>
    <col min="1108" max="1280" width="9.140625" style="137"/>
    <col min="1281" max="1281" width="2.85546875" style="137" customWidth="1"/>
    <col min="1282" max="1282" width="3.28515625" style="137" customWidth="1"/>
    <col min="1283" max="1283" width="56.140625" style="137" customWidth="1"/>
    <col min="1284" max="1284" width="6" style="137" customWidth="1"/>
    <col min="1285" max="1289" width="13.7109375" style="137" customWidth="1"/>
    <col min="1290" max="1344" width="0" style="137" hidden="1" customWidth="1"/>
    <col min="1345" max="1346" width="12.85546875" style="137" customWidth="1"/>
    <col min="1347" max="1347" width="12" style="137" customWidth="1"/>
    <col min="1348" max="1348" width="13.140625" style="137" customWidth="1"/>
    <col min="1349" max="1349" width="12.85546875" style="137" customWidth="1"/>
    <col min="1350" max="1350" width="12.7109375" style="137" customWidth="1"/>
    <col min="1351" max="1351" width="13.140625" style="137" customWidth="1"/>
    <col min="1352" max="1352" width="11.28515625" style="137" customWidth="1"/>
    <col min="1353" max="1353" width="12.7109375" style="137" customWidth="1"/>
    <col min="1354" max="1354" width="12.5703125" style="137" customWidth="1"/>
    <col min="1355" max="1355" width="3.28515625" style="137" customWidth="1"/>
    <col min="1356" max="1363" width="0" style="137" hidden="1" customWidth="1"/>
    <col min="1364" max="1536" width="9.140625" style="137"/>
    <col min="1537" max="1537" width="2.85546875" style="137" customWidth="1"/>
    <col min="1538" max="1538" width="3.28515625" style="137" customWidth="1"/>
    <col min="1539" max="1539" width="56.140625" style="137" customWidth="1"/>
    <col min="1540" max="1540" width="6" style="137" customWidth="1"/>
    <col min="1541" max="1545" width="13.7109375" style="137" customWidth="1"/>
    <col min="1546" max="1600" width="0" style="137" hidden="1" customWidth="1"/>
    <col min="1601" max="1602" width="12.85546875" style="137" customWidth="1"/>
    <col min="1603" max="1603" width="12" style="137" customWidth="1"/>
    <col min="1604" max="1604" width="13.140625" style="137" customWidth="1"/>
    <col min="1605" max="1605" width="12.85546875" style="137" customWidth="1"/>
    <col min="1606" max="1606" width="12.7109375" style="137" customWidth="1"/>
    <col min="1607" max="1607" width="13.140625" style="137" customWidth="1"/>
    <col min="1608" max="1608" width="11.28515625" style="137" customWidth="1"/>
    <col min="1609" max="1609" width="12.7109375" style="137" customWidth="1"/>
    <col min="1610" max="1610" width="12.5703125" style="137" customWidth="1"/>
    <col min="1611" max="1611" width="3.28515625" style="137" customWidth="1"/>
    <col min="1612" max="1619" width="0" style="137" hidden="1" customWidth="1"/>
    <col min="1620" max="1792" width="9.140625" style="137"/>
    <col min="1793" max="1793" width="2.85546875" style="137" customWidth="1"/>
    <col min="1794" max="1794" width="3.28515625" style="137" customWidth="1"/>
    <col min="1795" max="1795" width="56.140625" style="137" customWidth="1"/>
    <col min="1796" max="1796" width="6" style="137" customWidth="1"/>
    <col min="1797" max="1801" width="13.7109375" style="137" customWidth="1"/>
    <col min="1802" max="1856" width="0" style="137" hidden="1" customWidth="1"/>
    <col min="1857" max="1858" width="12.85546875" style="137" customWidth="1"/>
    <col min="1859" max="1859" width="12" style="137" customWidth="1"/>
    <col min="1860" max="1860" width="13.140625" style="137" customWidth="1"/>
    <col min="1861" max="1861" width="12.85546875" style="137" customWidth="1"/>
    <col min="1862" max="1862" width="12.7109375" style="137" customWidth="1"/>
    <col min="1863" max="1863" width="13.140625" style="137" customWidth="1"/>
    <col min="1864" max="1864" width="11.28515625" style="137" customWidth="1"/>
    <col min="1865" max="1865" width="12.7109375" style="137" customWidth="1"/>
    <col min="1866" max="1866" width="12.5703125" style="137" customWidth="1"/>
    <col min="1867" max="1867" width="3.28515625" style="137" customWidth="1"/>
    <col min="1868" max="1875" width="0" style="137" hidden="1" customWidth="1"/>
    <col min="1876" max="2048" width="9.140625" style="137"/>
    <col min="2049" max="2049" width="2.85546875" style="137" customWidth="1"/>
    <col min="2050" max="2050" width="3.28515625" style="137" customWidth="1"/>
    <col min="2051" max="2051" width="56.140625" style="137" customWidth="1"/>
    <col min="2052" max="2052" width="6" style="137" customWidth="1"/>
    <col min="2053" max="2057" width="13.7109375" style="137" customWidth="1"/>
    <col min="2058" max="2112" width="0" style="137" hidden="1" customWidth="1"/>
    <col min="2113" max="2114" width="12.85546875" style="137" customWidth="1"/>
    <col min="2115" max="2115" width="12" style="137" customWidth="1"/>
    <col min="2116" max="2116" width="13.140625" style="137" customWidth="1"/>
    <col min="2117" max="2117" width="12.85546875" style="137" customWidth="1"/>
    <col min="2118" max="2118" width="12.7109375" style="137" customWidth="1"/>
    <col min="2119" max="2119" width="13.140625" style="137" customWidth="1"/>
    <col min="2120" max="2120" width="11.28515625" style="137" customWidth="1"/>
    <col min="2121" max="2121" width="12.7109375" style="137" customWidth="1"/>
    <col min="2122" max="2122" width="12.5703125" style="137" customWidth="1"/>
    <col min="2123" max="2123" width="3.28515625" style="137" customWidth="1"/>
    <col min="2124" max="2131" width="0" style="137" hidden="1" customWidth="1"/>
    <col min="2132" max="2304" width="9.140625" style="137"/>
    <col min="2305" max="2305" width="2.85546875" style="137" customWidth="1"/>
    <col min="2306" max="2306" width="3.28515625" style="137" customWidth="1"/>
    <col min="2307" max="2307" width="56.140625" style="137" customWidth="1"/>
    <col min="2308" max="2308" width="6" style="137" customWidth="1"/>
    <col min="2309" max="2313" width="13.7109375" style="137" customWidth="1"/>
    <col min="2314" max="2368" width="0" style="137" hidden="1" customWidth="1"/>
    <col min="2369" max="2370" width="12.85546875" style="137" customWidth="1"/>
    <col min="2371" max="2371" width="12" style="137" customWidth="1"/>
    <col min="2372" max="2372" width="13.140625" style="137" customWidth="1"/>
    <col min="2373" max="2373" width="12.85546875" style="137" customWidth="1"/>
    <col min="2374" max="2374" width="12.7109375" style="137" customWidth="1"/>
    <col min="2375" max="2375" width="13.140625" style="137" customWidth="1"/>
    <col min="2376" max="2376" width="11.28515625" style="137" customWidth="1"/>
    <col min="2377" max="2377" width="12.7109375" style="137" customWidth="1"/>
    <col min="2378" max="2378" width="12.5703125" style="137" customWidth="1"/>
    <col min="2379" max="2379" width="3.28515625" style="137" customWidth="1"/>
    <col min="2380" max="2387" width="0" style="137" hidden="1" customWidth="1"/>
    <col min="2388" max="2560" width="9.140625" style="137"/>
    <col min="2561" max="2561" width="2.85546875" style="137" customWidth="1"/>
    <col min="2562" max="2562" width="3.28515625" style="137" customWidth="1"/>
    <col min="2563" max="2563" width="56.140625" style="137" customWidth="1"/>
    <col min="2564" max="2564" width="6" style="137" customWidth="1"/>
    <col min="2565" max="2569" width="13.7109375" style="137" customWidth="1"/>
    <col min="2570" max="2624" width="0" style="137" hidden="1" customWidth="1"/>
    <col min="2625" max="2626" width="12.85546875" style="137" customWidth="1"/>
    <col min="2627" max="2627" width="12" style="137" customWidth="1"/>
    <col min="2628" max="2628" width="13.140625" style="137" customWidth="1"/>
    <col min="2629" max="2629" width="12.85546875" style="137" customWidth="1"/>
    <col min="2630" max="2630" width="12.7109375" style="137" customWidth="1"/>
    <col min="2631" max="2631" width="13.140625" style="137" customWidth="1"/>
    <col min="2632" max="2632" width="11.28515625" style="137" customWidth="1"/>
    <col min="2633" max="2633" width="12.7109375" style="137" customWidth="1"/>
    <col min="2634" max="2634" width="12.5703125" style="137" customWidth="1"/>
    <col min="2635" max="2635" width="3.28515625" style="137" customWidth="1"/>
    <col min="2636" max="2643" width="0" style="137" hidden="1" customWidth="1"/>
    <col min="2644" max="2816" width="9.140625" style="137"/>
    <col min="2817" max="2817" width="2.85546875" style="137" customWidth="1"/>
    <col min="2818" max="2818" width="3.28515625" style="137" customWidth="1"/>
    <col min="2819" max="2819" width="56.140625" style="137" customWidth="1"/>
    <col min="2820" max="2820" width="6" style="137" customWidth="1"/>
    <col min="2821" max="2825" width="13.7109375" style="137" customWidth="1"/>
    <col min="2826" max="2880" width="0" style="137" hidden="1" customWidth="1"/>
    <col min="2881" max="2882" width="12.85546875" style="137" customWidth="1"/>
    <col min="2883" max="2883" width="12" style="137" customWidth="1"/>
    <col min="2884" max="2884" width="13.140625" style="137" customWidth="1"/>
    <col min="2885" max="2885" width="12.85546875" style="137" customWidth="1"/>
    <col min="2886" max="2886" width="12.7109375" style="137" customWidth="1"/>
    <col min="2887" max="2887" width="13.140625" style="137" customWidth="1"/>
    <col min="2888" max="2888" width="11.28515625" style="137" customWidth="1"/>
    <col min="2889" max="2889" width="12.7109375" style="137" customWidth="1"/>
    <col min="2890" max="2890" width="12.5703125" style="137" customWidth="1"/>
    <col min="2891" max="2891" width="3.28515625" style="137" customWidth="1"/>
    <col min="2892" max="2899" width="0" style="137" hidden="1" customWidth="1"/>
    <col min="2900" max="3072" width="9.140625" style="137"/>
    <col min="3073" max="3073" width="2.85546875" style="137" customWidth="1"/>
    <col min="3074" max="3074" width="3.28515625" style="137" customWidth="1"/>
    <col min="3075" max="3075" width="56.140625" style="137" customWidth="1"/>
    <col min="3076" max="3076" width="6" style="137" customWidth="1"/>
    <col min="3077" max="3081" width="13.7109375" style="137" customWidth="1"/>
    <col min="3082" max="3136" width="0" style="137" hidden="1" customWidth="1"/>
    <col min="3137" max="3138" width="12.85546875" style="137" customWidth="1"/>
    <col min="3139" max="3139" width="12" style="137" customWidth="1"/>
    <col min="3140" max="3140" width="13.140625" style="137" customWidth="1"/>
    <col min="3141" max="3141" width="12.85546875" style="137" customWidth="1"/>
    <col min="3142" max="3142" width="12.7109375" style="137" customWidth="1"/>
    <col min="3143" max="3143" width="13.140625" style="137" customWidth="1"/>
    <col min="3144" max="3144" width="11.28515625" style="137" customWidth="1"/>
    <col min="3145" max="3145" width="12.7109375" style="137" customWidth="1"/>
    <col min="3146" max="3146" width="12.5703125" style="137" customWidth="1"/>
    <col min="3147" max="3147" width="3.28515625" style="137" customWidth="1"/>
    <col min="3148" max="3155" width="0" style="137" hidden="1" customWidth="1"/>
    <col min="3156" max="3328" width="9.140625" style="137"/>
    <col min="3329" max="3329" width="2.85546875" style="137" customWidth="1"/>
    <col min="3330" max="3330" width="3.28515625" style="137" customWidth="1"/>
    <col min="3331" max="3331" width="56.140625" style="137" customWidth="1"/>
    <col min="3332" max="3332" width="6" style="137" customWidth="1"/>
    <col min="3333" max="3337" width="13.7109375" style="137" customWidth="1"/>
    <col min="3338" max="3392" width="0" style="137" hidden="1" customWidth="1"/>
    <col min="3393" max="3394" width="12.85546875" style="137" customWidth="1"/>
    <col min="3395" max="3395" width="12" style="137" customWidth="1"/>
    <col min="3396" max="3396" width="13.140625" style="137" customWidth="1"/>
    <col min="3397" max="3397" width="12.85546875" style="137" customWidth="1"/>
    <col min="3398" max="3398" width="12.7109375" style="137" customWidth="1"/>
    <col min="3399" max="3399" width="13.140625" style="137" customWidth="1"/>
    <col min="3400" max="3400" width="11.28515625" style="137" customWidth="1"/>
    <col min="3401" max="3401" width="12.7109375" style="137" customWidth="1"/>
    <col min="3402" max="3402" width="12.5703125" style="137" customWidth="1"/>
    <col min="3403" max="3403" width="3.28515625" style="137" customWidth="1"/>
    <col min="3404" max="3411" width="0" style="137" hidden="1" customWidth="1"/>
    <col min="3412" max="3584" width="9.140625" style="137"/>
    <col min="3585" max="3585" width="2.85546875" style="137" customWidth="1"/>
    <col min="3586" max="3586" width="3.28515625" style="137" customWidth="1"/>
    <col min="3587" max="3587" width="56.140625" style="137" customWidth="1"/>
    <col min="3588" max="3588" width="6" style="137" customWidth="1"/>
    <col min="3589" max="3593" width="13.7109375" style="137" customWidth="1"/>
    <col min="3594" max="3648" width="0" style="137" hidden="1" customWidth="1"/>
    <col min="3649" max="3650" width="12.85546875" style="137" customWidth="1"/>
    <col min="3651" max="3651" width="12" style="137" customWidth="1"/>
    <col min="3652" max="3652" width="13.140625" style="137" customWidth="1"/>
    <col min="3653" max="3653" width="12.85546875" style="137" customWidth="1"/>
    <col min="3654" max="3654" width="12.7109375" style="137" customWidth="1"/>
    <col min="3655" max="3655" width="13.140625" style="137" customWidth="1"/>
    <col min="3656" max="3656" width="11.28515625" style="137" customWidth="1"/>
    <col min="3657" max="3657" width="12.7109375" style="137" customWidth="1"/>
    <col min="3658" max="3658" width="12.5703125" style="137" customWidth="1"/>
    <col min="3659" max="3659" width="3.28515625" style="137" customWidth="1"/>
    <col min="3660" max="3667" width="0" style="137" hidden="1" customWidth="1"/>
    <col min="3668" max="3840" width="9.140625" style="137"/>
    <col min="3841" max="3841" width="2.85546875" style="137" customWidth="1"/>
    <col min="3842" max="3842" width="3.28515625" style="137" customWidth="1"/>
    <col min="3843" max="3843" width="56.140625" style="137" customWidth="1"/>
    <col min="3844" max="3844" width="6" style="137" customWidth="1"/>
    <col min="3845" max="3849" width="13.7109375" style="137" customWidth="1"/>
    <col min="3850" max="3904" width="0" style="137" hidden="1" customWidth="1"/>
    <col min="3905" max="3906" width="12.85546875" style="137" customWidth="1"/>
    <col min="3907" max="3907" width="12" style="137" customWidth="1"/>
    <col min="3908" max="3908" width="13.140625" style="137" customWidth="1"/>
    <col min="3909" max="3909" width="12.85546875" style="137" customWidth="1"/>
    <col min="3910" max="3910" width="12.7109375" style="137" customWidth="1"/>
    <col min="3911" max="3911" width="13.140625" style="137" customWidth="1"/>
    <col min="3912" max="3912" width="11.28515625" style="137" customWidth="1"/>
    <col min="3913" max="3913" width="12.7109375" style="137" customWidth="1"/>
    <col min="3914" max="3914" width="12.5703125" style="137" customWidth="1"/>
    <col min="3915" max="3915" width="3.28515625" style="137" customWidth="1"/>
    <col min="3916" max="3923" width="0" style="137" hidden="1" customWidth="1"/>
    <col min="3924" max="4096" width="9.140625" style="137"/>
    <col min="4097" max="4097" width="2.85546875" style="137" customWidth="1"/>
    <col min="4098" max="4098" width="3.28515625" style="137" customWidth="1"/>
    <col min="4099" max="4099" width="56.140625" style="137" customWidth="1"/>
    <col min="4100" max="4100" width="6" style="137" customWidth="1"/>
    <col min="4101" max="4105" width="13.7109375" style="137" customWidth="1"/>
    <col min="4106" max="4160" width="0" style="137" hidden="1" customWidth="1"/>
    <col min="4161" max="4162" width="12.85546875" style="137" customWidth="1"/>
    <col min="4163" max="4163" width="12" style="137" customWidth="1"/>
    <col min="4164" max="4164" width="13.140625" style="137" customWidth="1"/>
    <col min="4165" max="4165" width="12.85546875" style="137" customWidth="1"/>
    <col min="4166" max="4166" width="12.7109375" style="137" customWidth="1"/>
    <col min="4167" max="4167" width="13.140625" style="137" customWidth="1"/>
    <col min="4168" max="4168" width="11.28515625" style="137" customWidth="1"/>
    <col min="4169" max="4169" width="12.7109375" style="137" customWidth="1"/>
    <col min="4170" max="4170" width="12.5703125" style="137" customWidth="1"/>
    <col min="4171" max="4171" width="3.28515625" style="137" customWidth="1"/>
    <col min="4172" max="4179" width="0" style="137" hidden="1" customWidth="1"/>
    <col min="4180" max="4352" width="9.140625" style="137"/>
    <col min="4353" max="4353" width="2.85546875" style="137" customWidth="1"/>
    <col min="4354" max="4354" width="3.28515625" style="137" customWidth="1"/>
    <col min="4355" max="4355" width="56.140625" style="137" customWidth="1"/>
    <col min="4356" max="4356" width="6" style="137" customWidth="1"/>
    <col min="4357" max="4361" width="13.7109375" style="137" customWidth="1"/>
    <col min="4362" max="4416" width="0" style="137" hidden="1" customWidth="1"/>
    <col min="4417" max="4418" width="12.85546875" style="137" customWidth="1"/>
    <col min="4419" max="4419" width="12" style="137" customWidth="1"/>
    <col min="4420" max="4420" width="13.140625" style="137" customWidth="1"/>
    <col min="4421" max="4421" width="12.85546875" style="137" customWidth="1"/>
    <col min="4422" max="4422" width="12.7109375" style="137" customWidth="1"/>
    <col min="4423" max="4423" width="13.140625" style="137" customWidth="1"/>
    <col min="4424" max="4424" width="11.28515625" style="137" customWidth="1"/>
    <col min="4425" max="4425" width="12.7109375" style="137" customWidth="1"/>
    <col min="4426" max="4426" width="12.5703125" style="137" customWidth="1"/>
    <col min="4427" max="4427" width="3.28515625" style="137" customWidth="1"/>
    <col min="4428" max="4435" width="0" style="137" hidden="1" customWidth="1"/>
    <col min="4436" max="4608" width="9.140625" style="137"/>
    <col min="4609" max="4609" width="2.85546875" style="137" customWidth="1"/>
    <col min="4610" max="4610" width="3.28515625" style="137" customWidth="1"/>
    <col min="4611" max="4611" width="56.140625" style="137" customWidth="1"/>
    <col min="4612" max="4612" width="6" style="137" customWidth="1"/>
    <col min="4613" max="4617" width="13.7109375" style="137" customWidth="1"/>
    <col min="4618" max="4672" width="0" style="137" hidden="1" customWidth="1"/>
    <col min="4673" max="4674" width="12.85546875" style="137" customWidth="1"/>
    <col min="4675" max="4675" width="12" style="137" customWidth="1"/>
    <col min="4676" max="4676" width="13.140625" style="137" customWidth="1"/>
    <col min="4677" max="4677" width="12.85546875" style="137" customWidth="1"/>
    <col min="4678" max="4678" width="12.7109375" style="137" customWidth="1"/>
    <col min="4679" max="4679" width="13.140625" style="137" customWidth="1"/>
    <col min="4680" max="4680" width="11.28515625" style="137" customWidth="1"/>
    <col min="4681" max="4681" width="12.7109375" style="137" customWidth="1"/>
    <col min="4682" max="4682" width="12.5703125" style="137" customWidth="1"/>
    <col min="4683" max="4683" width="3.28515625" style="137" customWidth="1"/>
    <col min="4684" max="4691" width="0" style="137" hidden="1" customWidth="1"/>
    <col min="4692" max="4864" width="9.140625" style="137"/>
    <col min="4865" max="4865" width="2.85546875" style="137" customWidth="1"/>
    <col min="4866" max="4866" width="3.28515625" style="137" customWidth="1"/>
    <col min="4867" max="4867" width="56.140625" style="137" customWidth="1"/>
    <col min="4868" max="4868" width="6" style="137" customWidth="1"/>
    <col min="4869" max="4873" width="13.7109375" style="137" customWidth="1"/>
    <col min="4874" max="4928" width="0" style="137" hidden="1" customWidth="1"/>
    <col min="4929" max="4930" width="12.85546875" style="137" customWidth="1"/>
    <col min="4931" max="4931" width="12" style="137" customWidth="1"/>
    <col min="4932" max="4932" width="13.140625" style="137" customWidth="1"/>
    <col min="4933" max="4933" width="12.85546875" style="137" customWidth="1"/>
    <col min="4934" max="4934" width="12.7109375" style="137" customWidth="1"/>
    <col min="4935" max="4935" width="13.140625" style="137" customWidth="1"/>
    <col min="4936" max="4936" width="11.28515625" style="137" customWidth="1"/>
    <col min="4937" max="4937" width="12.7109375" style="137" customWidth="1"/>
    <col min="4938" max="4938" width="12.5703125" style="137" customWidth="1"/>
    <col min="4939" max="4939" width="3.28515625" style="137" customWidth="1"/>
    <col min="4940" max="4947" width="0" style="137" hidden="1" customWidth="1"/>
    <col min="4948" max="5120" width="9.140625" style="137"/>
    <col min="5121" max="5121" width="2.85546875" style="137" customWidth="1"/>
    <col min="5122" max="5122" width="3.28515625" style="137" customWidth="1"/>
    <col min="5123" max="5123" width="56.140625" style="137" customWidth="1"/>
    <col min="5124" max="5124" width="6" style="137" customWidth="1"/>
    <col min="5125" max="5129" width="13.7109375" style="137" customWidth="1"/>
    <col min="5130" max="5184" width="0" style="137" hidden="1" customWidth="1"/>
    <col min="5185" max="5186" width="12.85546875" style="137" customWidth="1"/>
    <col min="5187" max="5187" width="12" style="137" customWidth="1"/>
    <col min="5188" max="5188" width="13.140625" style="137" customWidth="1"/>
    <col min="5189" max="5189" width="12.85546875" style="137" customWidth="1"/>
    <col min="5190" max="5190" width="12.7109375" style="137" customWidth="1"/>
    <col min="5191" max="5191" width="13.140625" style="137" customWidth="1"/>
    <col min="5192" max="5192" width="11.28515625" style="137" customWidth="1"/>
    <col min="5193" max="5193" width="12.7109375" style="137" customWidth="1"/>
    <col min="5194" max="5194" width="12.5703125" style="137" customWidth="1"/>
    <col min="5195" max="5195" width="3.28515625" style="137" customWidth="1"/>
    <col min="5196" max="5203" width="0" style="137" hidden="1" customWidth="1"/>
    <col min="5204" max="5376" width="9.140625" style="137"/>
    <col min="5377" max="5377" width="2.85546875" style="137" customWidth="1"/>
    <col min="5378" max="5378" width="3.28515625" style="137" customWidth="1"/>
    <col min="5379" max="5379" width="56.140625" style="137" customWidth="1"/>
    <col min="5380" max="5380" width="6" style="137" customWidth="1"/>
    <col min="5381" max="5385" width="13.7109375" style="137" customWidth="1"/>
    <col min="5386" max="5440" width="0" style="137" hidden="1" customWidth="1"/>
    <col min="5441" max="5442" width="12.85546875" style="137" customWidth="1"/>
    <col min="5443" max="5443" width="12" style="137" customWidth="1"/>
    <col min="5444" max="5444" width="13.140625" style="137" customWidth="1"/>
    <col min="5445" max="5445" width="12.85546875" style="137" customWidth="1"/>
    <col min="5446" max="5446" width="12.7109375" style="137" customWidth="1"/>
    <col min="5447" max="5447" width="13.140625" style="137" customWidth="1"/>
    <col min="5448" max="5448" width="11.28515625" style="137" customWidth="1"/>
    <col min="5449" max="5449" width="12.7109375" style="137" customWidth="1"/>
    <col min="5450" max="5450" width="12.5703125" style="137" customWidth="1"/>
    <col min="5451" max="5451" width="3.28515625" style="137" customWidth="1"/>
    <col min="5452" max="5459" width="0" style="137" hidden="1" customWidth="1"/>
    <col min="5460" max="5632" width="9.140625" style="137"/>
    <col min="5633" max="5633" width="2.85546875" style="137" customWidth="1"/>
    <col min="5634" max="5634" width="3.28515625" style="137" customWidth="1"/>
    <col min="5635" max="5635" width="56.140625" style="137" customWidth="1"/>
    <col min="5636" max="5636" width="6" style="137" customWidth="1"/>
    <col min="5637" max="5641" width="13.7109375" style="137" customWidth="1"/>
    <col min="5642" max="5696" width="0" style="137" hidden="1" customWidth="1"/>
    <col min="5697" max="5698" width="12.85546875" style="137" customWidth="1"/>
    <col min="5699" max="5699" width="12" style="137" customWidth="1"/>
    <col min="5700" max="5700" width="13.140625" style="137" customWidth="1"/>
    <col min="5701" max="5701" width="12.85546875" style="137" customWidth="1"/>
    <col min="5702" max="5702" width="12.7109375" style="137" customWidth="1"/>
    <col min="5703" max="5703" width="13.140625" style="137" customWidth="1"/>
    <col min="5704" max="5704" width="11.28515625" style="137" customWidth="1"/>
    <col min="5705" max="5705" width="12.7109375" style="137" customWidth="1"/>
    <col min="5706" max="5706" width="12.5703125" style="137" customWidth="1"/>
    <col min="5707" max="5707" width="3.28515625" style="137" customWidth="1"/>
    <col min="5708" max="5715" width="0" style="137" hidden="1" customWidth="1"/>
    <col min="5716" max="5888" width="9.140625" style="137"/>
    <col min="5889" max="5889" width="2.85546875" style="137" customWidth="1"/>
    <col min="5890" max="5890" width="3.28515625" style="137" customWidth="1"/>
    <col min="5891" max="5891" width="56.140625" style="137" customWidth="1"/>
    <col min="5892" max="5892" width="6" style="137" customWidth="1"/>
    <col min="5893" max="5897" width="13.7109375" style="137" customWidth="1"/>
    <col min="5898" max="5952" width="0" style="137" hidden="1" customWidth="1"/>
    <col min="5953" max="5954" width="12.85546875" style="137" customWidth="1"/>
    <col min="5955" max="5955" width="12" style="137" customWidth="1"/>
    <col min="5956" max="5956" width="13.140625" style="137" customWidth="1"/>
    <col min="5957" max="5957" width="12.85546875" style="137" customWidth="1"/>
    <col min="5958" max="5958" width="12.7109375" style="137" customWidth="1"/>
    <col min="5959" max="5959" width="13.140625" style="137" customWidth="1"/>
    <col min="5960" max="5960" width="11.28515625" style="137" customWidth="1"/>
    <col min="5961" max="5961" width="12.7109375" style="137" customWidth="1"/>
    <col min="5962" max="5962" width="12.5703125" style="137" customWidth="1"/>
    <col min="5963" max="5963" width="3.28515625" style="137" customWidth="1"/>
    <col min="5964" max="5971" width="0" style="137" hidden="1" customWidth="1"/>
    <col min="5972" max="6144" width="9.140625" style="137"/>
    <col min="6145" max="6145" width="2.85546875" style="137" customWidth="1"/>
    <col min="6146" max="6146" width="3.28515625" style="137" customWidth="1"/>
    <col min="6147" max="6147" width="56.140625" style="137" customWidth="1"/>
    <col min="6148" max="6148" width="6" style="137" customWidth="1"/>
    <col min="6149" max="6153" width="13.7109375" style="137" customWidth="1"/>
    <col min="6154" max="6208" width="0" style="137" hidden="1" customWidth="1"/>
    <col min="6209" max="6210" width="12.85546875" style="137" customWidth="1"/>
    <col min="6211" max="6211" width="12" style="137" customWidth="1"/>
    <col min="6212" max="6212" width="13.140625" style="137" customWidth="1"/>
    <col min="6213" max="6213" width="12.85546875" style="137" customWidth="1"/>
    <col min="6214" max="6214" width="12.7109375" style="137" customWidth="1"/>
    <col min="6215" max="6215" width="13.140625" style="137" customWidth="1"/>
    <col min="6216" max="6216" width="11.28515625" style="137" customWidth="1"/>
    <col min="6217" max="6217" width="12.7109375" style="137" customWidth="1"/>
    <col min="6218" max="6218" width="12.5703125" style="137" customWidth="1"/>
    <col min="6219" max="6219" width="3.28515625" style="137" customWidth="1"/>
    <col min="6220" max="6227" width="0" style="137" hidden="1" customWidth="1"/>
    <col min="6228" max="6400" width="9.140625" style="137"/>
    <col min="6401" max="6401" width="2.85546875" style="137" customWidth="1"/>
    <col min="6402" max="6402" width="3.28515625" style="137" customWidth="1"/>
    <col min="6403" max="6403" width="56.140625" style="137" customWidth="1"/>
    <col min="6404" max="6404" width="6" style="137" customWidth="1"/>
    <col min="6405" max="6409" width="13.7109375" style="137" customWidth="1"/>
    <col min="6410" max="6464" width="0" style="137" hidden="1" customWidth="1"/>
    <col min="6465" max="6466" width="12.85546875" style="137" customWidth="1"/>
    <col min="6467" max="6467" width="12" style="137" customWidth="1"/>
    <col min="6468" max="6468" width="13.140625" style="137" customWidth="1"/>
    <col min="6469" max="6469" width="12.85546875" style="137" customWidth="1"/>
    <col min="6470" max="6470" width="12.7109375" style="137" customWidth="1"/>
    <col min="6471" max="6471" width="13.140625" style="137" customWidth="1"/>
    <col min="6472" max="6472" width="11.28515625" style="137" customWidth="1"/>
    <col min="6473" max="6473" width="12.7109375" style="137" customWidth="1"/>
    <col min="6474" max="6474" width="12.5703125" style="137" customWidth="1"/>
    <col min="6475" max="6475" width="3.28515625" style="137" customWidth="1"/>
    <col min="6476" max="6483" width="0" style="137" hidden="1" customWidth="1"/>
    <col min="6484" max="6656" width="9.140625" style="137"/>
    <col min="6657" max="6657" width="2.85546875" style="137" customWidth="1"/>
    <col min="6658" max="6658" width="3.28515625" style="137" customWidth="1"/>
    <col min="6659" max="6659" width="56.140625" style="137" customWidth="1"/>
    <col min="6660" max="6660" width="6" style="137" customWidth="1"/>
    <col min="6661" max="6665" width="13.7109375" style="137" customWidth="1"/>
    <col min="6666" max="6720" width="0" style="137" hidden="1" customWidth="1"/>
    <col min="6721" max="6722" width="12.85546875" style="137" customWidth="1"/>
    <col min="6723" max="6723" width="12" style="137" customWidth="1"/>
    <col min="6724" max="6724" width="13.140625" style="137" customWidth="1"/>
    <col min="6725" max="6725" width="12.85546875" style="137" customWidth="1"/>
    <col min="6726" max="6726" width="12.7109375" style="137" customWidth="1"/>
    <col min="6727" max="6727" width="13.140625" style="137" customWidth="1"/>
    <col min="6728" max="6728" width="11.28515625" style="137" customWidth="1"/>
    <col min="6729" max="6729" width="12.7109375" style="137" customWidth="1"/>
    <col min="6730" max="6730" width="12.5703125" style="137" customWidth="1"/>
    <col min="6731" max="6731" width="3.28515625" style="137" customWidth="1"/>
    <col min="6732" max="6739" width="0" style="137" hidden="1" customWidth="1"/>
    <col min="6740" max="6912" width="9.140625" style="137"/>
    <col min="6913" max="6913" width="2.85546875" style="137" customWidth="1"/>
    <col min="6914" max="6914" width="3.28515625" style="137" customWidth="1"/>
    <col min="6915" max="6915" width="56.140625" style="137" customWidth="1"/>
    <col min="6916" max="6916" width="6" style="137" customWidth="1"/>
    <col min="6917" max="6921" width="13.7109375" style="137" customWidth="1"/>
    <col min="6922" max="6976" width="0" style="137" hidden="1" customWidth="1"/>
    <col min="6977" max="6978" width="12.85546875" style="137" customWidth="1"/>
    <col min="6979" max="6979" width="12" style="137" customWidth="1"/>
    <col min="6980" max="6980" width="13.140625" style="137" customWidth="1"/>
    <col min="6981" max="6981" width="12.85546875" style="137" customWidth="1"/>
    <col min="6982" max="6982" width="12.7109375" style="137" customWidth="1"/>
    <col min="6983" max="6983" width="13.140625" style="137" customWidth="1"/>
    <col min="6984" max="6984" width="11.28515625" style="137" customWidth="1"/>
    <col min="6985" max="6985" width="12.7109375" style="137" customWidth="1"/>
    <col min="6986" max="6986" width="12.5703125" style="137" customWidth="1"/>
    <col min="6987" max="6987" width="3.28515625" style="137" customWidth="1"/>
    <col min="6988" max="6995" width="0" style="137" hidden="1" customWidth="1"/>
    <col min="6996" max="7168" width="9.140625" style="137"/>
    <col min="7169" max="7169" width="2.85546875" style="137" customWidth="1"/>
    <col min="7170" max="7170" width="3.28515625" style="137" customWidth="1"/>
    <col min="7171" max="7171" width="56.140625" style="137" customWidth="1"/>
    <col min="7172" max="7172" width="6" style="137" customWidth="1"/>
    <col min="7173" max="7177" width="13.7109375" style="137" customWidth="1"/>
    <col min="7178" max="7232" width="0" style="137" hidden="1" customWidth="1"/>
    <col min="7233" max="7234" width="12.85546875" style="137" customWidth="1"/>
    <col min="7235" max="7235" width="12" style="137" customWidth="1"/>
    <col min="7236" max="7236" width="13.140625" style="137" customWidth="1"/>
    <col min="7237" max="7237" width="12.85546875" style="137" customWidth="1"/>
    <col min="7238" max="7238" width="12.7109375" style="137" customWidth="1"/>
    <col min="7239" max="7239" width="13.140625" style="137" customWidth="1"/>
    <col min="7240" max="7240" width="11.28515625" style="137" customWidth="1"/>
    <col min="7241" max="7241" width="12.7109375" style="137" customWidth="1"/>
    <col min="7242" max="7242" width="12.5703125" style="137" customWidth="1"/>
    <col min="7243" max="7243" width="3.28515625" style="137" customWidth="1"/>
    <col min="7244" max="7251" width="0" style="137" hidden="1" customWidth="1"/>
    <col min="7252" max="7424" width="9.140625" style="137"/>
    <col min="7425" max="7425" width="2.85546875" style="137" customWidth="1"/>
    <col min="7426" max="7426" width="3.28515625" style="137" customWidth="1"/>
    <col min="7427" max="7427" width="56.140625" style="137" customWidth="1"/>
    <col min="7428" max="7428" width="6" style="137" customWidth="1"/>
    <col min="7429" max="7433" width="13.7109375" style="137" customWidth="1"/>
    <col min="7434" max="7488" width="0" style="137" hidden="1" customWidth="1"/>
    <col min="7489" max="7490" width="12.85546875" style="137" customWidth="1"/>
    <col min="7491" max="7491" width="12" style="137" customWidth="1"/>
    <col min="7492" max="7492" width="13.140625" style="137" customWidth="1"/>
    <col min="7493" max="7493" width="12.85546875" style="137" customWidth="1"/>
    <col min="7494" max="7494" width="12.7109375" style="137" customWidth="1"/>
    <col min="7495" max="7495" width="13.140625" style="137" customWidth="1"/>
    <col min="7496" max="7496" width="11.28515625" style="137" customWidth="1"/>
    <col min="7497" max="7497" width="12.7109375" style="137" customWidth="1"/>
    <col min="7498" max="7498" width="12.5703125" style="137" customWidth="1"/>
    <col min="7499" max="7499" width="3.28515625" style="137" customWidth="1"/>
    <col min="7500" max="7507" width="0" style="137" hidden="1" customWidth="1"/>
    <col min="7508" max="7680" width="9.140625" style="137"/>
    <col min="7681" max="7681" width="2.85546875" style="137" customWidth="1"/>
    <col min="7682" max="7682" width="3.28515625" style="137" customWidth="1"/>
    <col min="7683" max="7683" width="56.140625" style="137" customWidth="1"/>
    <col min="7684" max="7684" width="6" style="137" customWidth="1"/>
    <col min="7685" max="7689" width="13.7109375" style="137" customWidth="1"/>
    <col min="7690" max="7744" width="0" style="137" hidden="1" customWidth="1"/>
    <col min="7745" max="7746" width="12.85546875" style="137" customWidth="1"/>
    <col min="7747" max="7747" width="12" style="137" customWidth="1"/>
    <col min="7748" max="7748" width="13.140625" style="137" customWidth="1"/>
    <col min="7749" max="7749" width="12.85546875" style="137" customWidth="1"/>
    <col min="7750" max="7750" width="12.7109375" style="137" customWidth="1"/>
    <col min="7751" max="7751" width="13.140625" style="137" customWidth="1"/>
    <col min="7752" max="7752" width="11.28515625" style="137" customWidth="1"/>
    <col min="7753" max="7753" width="12.7109375" style="137" customWidth="1"/>
    <col min="7754" max="7754" width="12.5703125" style="137" customWidth="1"/>
    <col min="7755" max="7755" width="3.28515625" style="137" customWidth="1"/>
    <col min="7756" max="7763" width="0" style="137" hidden="1" customWidth="1"/>
    <col min="7764" max="7936" width="9.140625" style="137"/>
    <col min="7937" max="7937" width="2.85546875" style="137" customWidth="1"/>
    <col min="7938" max="7938" width="3.28515625" style="137" customWidth="1"/>
    <col min="7939" max="7939" width="56.140625" style="137" customWidth="1"/>
    <col min="7940" max="7940" width="6" style="137" customWidth="1"/>
    <col min="7941" max="7945" width="13.7109375" style="137" customWidth="1"/>
    <col min="7946" max="8000" width="0" style="137" hidden="1" customWidth="1"/>
    <col min="8001" max="8002" width="12.85546875" style="137" customWidth="1"/>
    <col min="8003" max="8003" width="12" style="137" customWidth="1"/>
    <col min="8004" max="8004" width="13.140625" style="137" customWidth="1"/>
    <col min="8005" max="8005" width="12.85546875" style="137" customWidth="1"/>
    <col min="8006" max="8006" width="12.7109375" style="137" customWidth="1"/>
    <col min="8007" max="8007" width="13.140625" style="137" customWidth="1"/>
    <col min="8008" max="8008" width="11.28515625" style="137" customWidth="1"/>
    <col min="8009" max="8009" width="12.7109375" style="137" customWidth="1"/>
    <col min="8010" max="8010" width="12.5703125" style="137" customWidth="1"/>
    <col min="8011" max="8011" width="3.28515625" style="137" customWidth="1"/>
    <col min="8012" max="8019" width="0" style="137" hidden="1" customWidth="1"/>
    <col min="8020" max="8192" width="9.140625" style="137"/>
    <col min="8193" max="8193" width="2.85546875" style="137" customWidth="1"/>
    <col min="8194" max="8194" width="3.28515625" style="137" customWidth="1"/>
    <col min="8195" max="8195" width="56.140625" style="137" customWidth="1"/>
    <col min="8196" max="8196" width="6" style="137" customWidth="1"/>
    <col min="8197" max="8201" width="13.7109375" style="137" customWidth="1"/>
    <col min="8202" max="8256" width="0" style="137" hidden="1" customWidth="1"/>
    <col min="8257" max="8258" width="12.85546875" style="137" customWidth="1"/>
    <col min="8259" max="8259" width="12" style="137" customWidth="1"/>
    <col min="8260" max="8260" width="13.140625" style="137" customWidth="1"/>
    <col min="8261" max="8261" width="12.85546875" style="137" customWidth="1"/>
    <col min="8262" max="8262" width="12.7109375" style="137" customWidth="1"/>
    <col min="8263" max="8263" width="13.140625" style="137" customWidth="1"/>
    <col min="8264" max="8264" width="11.28515625" style="137" customWidth="1"/>
    <col min="8265" max="8265" width="12.7109375" style="137" customWidth="1"/>
    <col min="8266" max="8266" width="12.5703125" style="137" customWidth="1"/>
    <col min="8267" max="8267" width="3.28515625" style="137" customWidth="1"/>
    <col min="8268" max="8275" width="0" style="137" hidden="1" customWidth="1"/>
    <col min="8276" max="8448" width="9.140625" style="137"/>
    <col min="8449" max="8449" width="2.85546875" style="137" customWidth="1"/>
    <col min="8450" max="8450" width="3.28515625" style="137" customWidth="1"/>
    <col min="8451" max="8451" width="56.140625" style="137" customWidth="1"/>
    <col min="8452" max="8452" width="6" style="137" customWidth="1"/>
    <col min="8453" max="8457" width="13.7109375" style="137" customWidth="1"/>
    <col min="8458" max="8512" width="0" style="137" hidden="1" customWidth="1"/>
    <col min="8513" max="8514" width="12.85546875" style="137" customWidth="1"/>
    <col min="8515" max="8515" width="12" style="137" customWidth="1"/>
    <col min="8516" max="8516" width="13.140625" style="137" customWidth="1"/>
    <col min="8517" max="8517" width="12.85546875" style="137" customWidth="1"/>
    <col min="8518" max="8518" width="12.7109375" style="137" customWidth="1"/>
    <col min="8519" max="8519" width="13.140625" style="137" customWidth="1"/>
    <col min="8520" max="8520" width="11.28515625" style="137" customWidth="1"/>
    <col min="8521" max="8521" width="12.7109375" style="137" customWidth="1"/>
    <col min="8522" max="8522" width="12.5703125" style="137" customWidth="1"/>
    <col min="8523" max="8523" width="3.28515625" style="137" customWidth="1"/>
    <col min="8524" max="8531" width="0" style="137" hidden="1" customWidth="1"/>
    <col min="8532" max="8704" width="9.140625" style="137"/>
    <col min="8705" max="8705" width="2.85546875" style="137" customWidth="1"/>
    <col min="8706" max="8706" width="3.28515625" style="137" customWidth="1"/>
    <col min="8707" max="8707" width="56.140625" style="137" customWidth="1"/>
    <col min="8708" max="8708" width="6" style="137" customWidth="1"/>
    <col min="8709" max="8713" width="13.7109375" style="137" customWidth="1"/>
    <col min="8714" max="8768" width="0" style="137" hidden="1" customWidth="1"/>
    <col min="8769" max="8770" width="12.85546875" style="137" customWidth="1"/>
    <col min="8771" max="8771" width="12" style="137" customWidth="1"/>
    <col min="8772" max="8772" width="13.140625" style="137" customWidth="1"/>
    <col min="8773" max="8773" width="12.85546875" style="137" customWidth="1"/>
    <col min="8774" max="8774" width="12.7109375" style="137" customWidth="1"/>
    <col min="8775" max="8775" width="13.140625" style="137" customWidth="1"/>
    <col min="8776" max="8776" width="11.28515625" style="137" customWidth="1"/>
    <col min="8777" max="8777" width="12.7109375" style="137" customWidth="1"/>
    <col min="8778" max="8778" width="12.5703125" style="137" customWidth="1"/>
    <col min="8779" max="8779" width="3.28515625" style="137" customWidth="1"/>
    <col min="8780" max="8787" width="0" style="137" hidden="1" customWidth="1"/>
    <col min="8788" max="8960" width="9.140625" style="137"/>
    <col min="8961" max="8961" width="2.85546875" style="137" customWidth="1"/>
    <col min="8962" max="8962" width="3.28515625" style="137" customWidth="1"/>
    <col min="8963" max="8963" width="56.140625" style="137" customWidth="1"/>
    <col min="8964" max="8964" width="6" style="137" customWidth="1"/>
    <col min="8965" max="8969" width="13.7109375" style="137" customWidth="1"/>
    <col min="8970" max="9024" width="0" style="137" hidden="1" customWidth="1"/>
    <col min="9025" max="9026" width="12.85546875" style="137" customWidth="1"/>
    <col min="9027" max="9027" width="12" style="137" customWidth="1"/>
    <col min="9028" max="9028" width="13.140625" style="137" customWidth="1"/>
    <col min="9029" max="9029" width="12.85546875" style="137" customWidth="1"/>
    <col min="9030" max="9030" width="12.7109375" style="137" customWidth="1"/>
    <col min="9031" max="9031" width="13.140625" style="137" customWidth="1"/>
    <col min="9032" max="9032" width="11.28515625" style="137" customWidth="1"/>
    <col min="9033" max="9033" width="12.7109375" style="137" customWidth="1"/>
    <col min="9034" max="9034" width="12.5703125" style="137" customWidth="1"/>
    <col min="9035" max="9035" width="3.28515625" style="137" customWidth="1"/>
    <col min="9036" max="9043" width="0" style="137" hidden="1" customWidth="1"/>
    <col min="9044" max="9216" width="9.140625" style="137"/>
    <col min="9217" max="9217" width="2.85546875" style="137" customWidth="1"/>
    <col min="9218" max="9218" width="3.28515625" style="137" customWidth="1"/>
    <col min="9219" max="9219" width="56.140625" style="137" customWidth="1"/>
    <col min="9220" max="9220" width="6" style="137" customWidth="1"/>
    <col min="9221" max="9225" width="13.7109375" style="137" customWidth="1"/>
    <col min="9226" max="9280" width="0" style="137" hidden="1" customWidth="1"/>
    <col min="9281" max="9282" width="12.85546875" style="137" customWidth="1"/>
    <col min="9283" max="9283" width="12" style="137" customWidth="1"/>
    <col min="9284" max="9284" width="13.140625" style="137" customWidth="1"/>
    <col min="9285" max="9285" width="12.85546875" style="137" customWidth="1"/>
    <col min="9286" max="9286" width="12.7109375" style="137" customWidth="1"/>
    <col min="9287" max="9287" width="13.140625" style="137" customWidth="1"/>
    <col min="9288" max="9288" width="11.28515625" style="137" customWidth="1"/>
    <col min="9289" max="9289" width="12.7109375" style="137" customWidth="1"/>
    <col min="9290" max="9290" width="12.5703125" style="137" customWidth="1"/>
    <col min="9291" max="9291" width="3.28515625" style="137" customWidth="1"/>
    <col min="9292" max="9299" width="0" style="137" hidden="1" customWidth="1"/>
    <col min="9300" max="9472" width="9.140625" style="137"/>
    <col min="9473" max="9473" width="2.85546875" style="137" customWidth="1"/>
    <col min="9474" max="9474" width="3.28515625" style="137" customWidth="1"/>
    <col min="9475" max="9475" width="56.140625" style="137" customWidth="1"/>
    <col min="9476" max="9476" width="6" style="137" customWidth="1"/>
    <col min="9477" max="9481" width="13.7109375" style="137" customWidth="1"/>
    <col min="9482" max="9536" width="0" style="137" hidden="1" customWidth="1"/>
    <col min="9537" max="9538" width="12.85546875" style="137" customWidth="1"/>
    <col min="9539" max="9539" width="12" style="137" customWidth="1"/>
    <col min="9540" max="9540" width="13.140625" style="137" customWidth="1"/>
    <col min="9541" max="9541" width="12.85546875" style="137" customWidth="1"/>
    <col min="9542" max="9542" width="12.7109375" style="137" customWidth="1"/>
    <col min="9543" max="9543" width="13.140625" style="137" customWidth="1"/>
    <col min="9544" max="9544" width="11.28515625" style="137" customWidth="1"/>
    <col min="9545" max="9545" width="12.7109375" style="137" customWidth="1"/>
    <col min="9546" max="9546" width="12.5703125" style="137" customWidth="1"/>
    <col min="9547" max="9547" width="3.28515625" style="137" customWidth="1"/>
    <col min="9548" max="9555" width="0" style="137" hidden="1" customWidth="1"/>
    <col min="9556" max="9728" width="9.140625" style="137"/>
    <col min="9729" max="9729" width="2.85546875" style="137" customWidth="1"/>
    <col min="9730" max="9730" width="3.28515625" style="137" customWidth="1"/>
    <col min="9731" max="9731" width="56.140625" style="137" customWidth="1"/>
    <col min="9732" max="9732" width="6" style="137" customWidth="1"/>
    <col min="9733" max="9737" width="13.7109375" style="137" customWidth="1"/>
    <col min="9738" max="9792" width="0" style="137" hidden="1" customWidth="1"/>
    <col min="9793" max="9794" width="12.85546875" style="137" customWidth="1"/>
    <col min="9795" max="9795" width="12" style="137" customWidth="1"/>
    <col min="9796" max="9796" width="13.140625" style="137" customWidth="1"/>
    <col min="9797" max="9797" width="12.85546875" style="137" customWidth="1"/>
    <col min="9798" max="9798" width="12.7109375" style="137" customWidth="1"/>
    <col min="9799" max="9799" width="13.140625" style="137" customWidth="1"/>
    <col min="9800" max="9800" width="11.28515625" style="137" customWidth="1"/>
    <col min="9801" max="9801" width="12.7109375" style="137" customWidth="1"/>
    <col min="9802" max="9802" width="12.5703125" style="137" customWidth="1"/>
    <col min="9803" max="9803" width="3.28515625" style="137" customWidth="1"/>
    <col min="9804" max="9811" width="0" style="137" hidden="1" customWidth="1"/>
    <col min="9812" max="9984" width="9.140625" style="137"/>
    <col min="9985" max="9985" width="2.85546875" style="137" customWidth="1"/>
    <col min="9986" max="9986" width="3.28515625" style="137" customWidth="1"/>
    <col min="9987" max="9987" width="56.140625" style="137" customWidth="1"/>
    <col min="9988" max="9988" width="6" style="137" customWidth="1"/>
    <col min="9989" max="9993" width="13.7109375" style="137" customWidth="1"/>
    <col min="9994" max="10048" width="0" style="137" hidden="1" customWidth="1"/>
    <col min="10049" max="10050" width="12.85546875" style="137" customWidth="1"/>
    <col min="10051" max="10051" width="12" style="137" customWidth="1"/>
    <col min="10052" max="10052" width="13.140625" style="137" customWidth="1"/>
    <col min="10053" max="10053" width="12.85546875" style="137" customWidth="1"/>
    <col min="10054" max="10054" width="12.7109375" style="137" customWidth="1"/>
    <col min="10055" max="10055" width="13.140625" style="137" customWidth="1"/>
    <col min="10056" max="10056" width="11.28515625" style="137" customWidth="1"/>
    <col min="10057" max="10057" width="12.7109375" style="137" customWidth="1"/>
    <col min="10058" max="10058" width="12.5703125" style="137" customWidth="1"/>
    <col min="10059" max="10059" width="3.28515625" style="137" customWidth="1"/>
    <col min="10060" max="10067" width="0" style="137" hidden="1" customWidth="1"/>
    <col min="10068" max="10240" width="9.140625" style="137"/>
    <col min="10241" max="10241" width="2.85546875" style="137" customWidth="1"/>
    <col min="10242" max="10242" width="3.28515625" style="137" customWidth="1"/>
    <col min="10243" max="10243" width="56.140625" style="137" customWidth="1"/>
    <col min="10244" max="10244" width="6" style="137" customWidth="1"/>
    <col min="10245" max="10249" width="13.7109375" style="137" customWidth="1"/>
    <col min="10250" max="10304" width="0" style="137" hidden="1" customWidth="1"/>
    <col min="10305" max="10306" width="12.85546875" style="137" customWidth="1"/>
    <col min="10307" max="10307" width="12" style="137" customWidth="1"/>
    <col min="10308" max="10308" width="13.140625" style="137" customWidth="1"/>
    <col min="10309" max="10309" width="12.85546875" style="137" customWidth="1"/>
    <col min="10310" max="10310" width="12.7109375" style="137" customWidth="1"/>
    <col min="10311" max="10311" width="13.140625" style="137" customWidth="1"/>
    <col min="10312" max="10312" width="11.28515625" style="137" customWidth="1"/>
    <col min="10313" max="10313" width="12.7109375" style="137" customWidth="1"/>
    <col min="10314" max="10314" width="12.5703125" style="137" customWidth="1"/>
    <col min="10315" max="10315" width="3.28515625" style="137" customWidth="1"/>
    <col min="10316" max="10323" width="0" style="137" hidden="1" customWidth="1"/>
    <col min="10324" max="10496" width="9.140625" style="137"/>
    <col min="10497" max="10497" width="2.85546875" style="137" customWidth="1"/>
    <col min="10498" max="10498" width="3.28515625" style="137" customWidth="1"/>
    <col min="10499" max="10499" width="56.140625" style="137" customWidth="1"/>
    <col min="10500" max="10500" width="6" style="137" customWidth="1"/>
    <col min="10501" max="10505" width="13.7109375" style="137" customWidth="1"/>
    <col min="10506" max="10560" width="0" style="137" hidden="1" customWidth="1"/>
    <col min="10561" max="10562" width="12.85546875" style="137" customWidth="1"/>
    <col min="10563" max="10563" width="12" style="137" customWidth="1"/>
    <col min="10564" max="10564" width="13.140625" style="137" customWidth="1"/>
    <col min="10565" max="10565" width="12.85546875" style="137" customWidth="1"/>
    <col min="10566" max="10566" width="12.7109375" style="137" customWidth="1"/>
    <col min="10567" max="10567" width="13.140625" style="137" customWidth="1"/>
    <col min="10568" max="10568" width="11.28515625" style="137" customWidth="1"/>
    <col min="10569" max="10569" width="12.7109375" style="137" customWidth="1"/>
    <col min="10570" max="10570" width="12.5703125" style="137" customWidth="1"/>
    <col min="10571" max="10571" width="3.28515625" style="137" customWidth="1"/>
    <col min="10572" max="10579" width="0" style="137" hidden="1" customWidth="1"/>
    <col min="10580" max="10752" width="9.140625" style="137"/>
    <col min="10753" max="10753" width="2.85546875" style="137" customWidth="1"/>
    <col min="10754" max="10754" width="3.28515625" style="137" customWidth="1"/>
    <col min="10755" max="10755" width="56.140625" style="137" customWidth="1"/>
    <col min="10756" max="10756" width="6" style="137" customWidth="1"/>
    <col min="10757" max="10761" width="13.7109375" style="137" customWidth="1"/>
    <col min="10762" max="10816" width="0" style="137" hidden="1" customWidth="1"/>
    <col min="10817" max="10818" width="12.85546875" style="137" customWidth="1"/>
    <col min="10819" max="10819" width="12" style="137" customWidth="1"/>
    <col min="10820" max="10820" width="13.140625" style="137" customWidth="1"/>
    <col min="10821" max="10821" width="12.85546875" style="137" customWidth="1"/>
    <col min="10822" max="10822" width="12.7109375" style="137" customWidth="1"/>
    <col min="10823" max="10823" width="13.140625" style="137" customWidth="1"/>
    <col min="10824" max="10824" width="11.28515625" style="137" customWidth="1"/>
    <col min="10825" max="10825" width="12.7109375" style="137" customWidth="1"/>
    <col min="10826" max="10826" width="12.5703125" style="137" customWidth="1"/>
    <col min="10827" max="10827" width="3.28515625" style="137" customWidth="1"/>
    <col min="10828" max="10835" width="0" style="137" hidden="1" customWidth="1"/>
    <col min="10836" max="11008" width="9.140625" style="137"/>
    <col min="11009" max="11009" width="2.85546875" style="137" customWidth="1"/>
    <col min="11010" max="11010" width="3.28515625" style="137" customWidth="1"/>
    <col min="11011" max="11011" width="56.140625" style="137" customWidth="1"/>
    <col min="11012" max="11012" width="6" style="137" customWidth="1"/>
    <col min="11013" max="11017" width="13.7109375" style="137" customWidth="1"/>
    <col min="11018" max="11072" width="0" style="137" hidden="1" customWidth="1"/>
    <col min="11073" max="11074" width="12.85546875" style="137" customWidth="1"/>
    <col min="11075" max="11075" width="12" style="137" customWidth="1"/>
    <col min="11076" max="11076" width="13.140625" style="137" customWidth="1"/>
    <col min="11077" max="11077" width="12.85546875" style="137" customWidth="1"/>
    <col min="11078" max="11078" width="12.7109375" style="137" customWidth="1"/>
    <col min="11079" max="11079" width="13.140625" style="137" customWidth="1"/>
    <col min="11080" max="11080" width="11.28515625" style="137" customWidth="1"/>
    <col min="11081" max="11081" width="12.7109375" style="137" customWidth="1"/>
    <col min="11082" max="11082" width="12.5703125" style="137" customWidth="1"/>
    <col min="11083" max="11083" width="3.28515625" style="137" customWidth="1"/>
    <col min="11084" max="11091" width="0" style="137" hidden="1" customWidth="1"/>
    <col min="11092" max="11264" width="9.140625" style="137"/>
    <col min="11265" max="11265" width="2.85546875" style="137" customWidth="1"/>
    <col min="11266" max="11266" width="3.28515625" style="137" customWidth="1"/>
    <col min="11267" max="11267" width="56.140625" style="137" customWidth="1"/>
    <col min="11268" max="11268" width="6" style="137" customWidth="1"/>
    <col min="11269" max="11273" width="13.7109375" style="137" customWidth="1"/>
    <col min="11274" max="11328" width="0" style="137" hidden="1" customWidth="1"/>
    <col min="11329" max="11330" width="12.85546875" style="137" customWidth="1"/>
    <col min="11331" max="11331" width="12" style="137" customWidth="1"/>
    <col min="11332" max="11332" width="13.140625" style="137" customWidth="1"/>
    <col min="11333" max="11333" width="12.85546875" style="137" customWidth="1"/>
    <col min="11334" max="11334" width="12.7109375" style="137" customWidth="1"/>
    <col min="11335" max="11335" width="13.140625" style="137" customWidth="1"/>
    <col min="11336" max="11336" width="11.28515625" style="137" customWidth="1"/>
    <col min="11337" max="11337" width="12.7109375" style="137" customWidth="1"/>
    <col min="11338" max="11338" width="12.5703125" style="137" customWidth="1"/>
    <col min="11339" max="11339" width="3.28515625" style="137" customWidth="1"/>
    <col min="11340" max="11347" width="0" style="137" hidden="1" customWidth="1"/>
    <col min="11348" max="11520" width="9.140625" style="137"/>
    <col min="11521" max="11521" width="2.85546875" style="137" customWidth="1"/>
    <col min="11522" max="11522" width="3.28515625" style="137" customWidth="1"/>
    <col min="11523" max="11523" width="56.140625" style="137" customWidth="1"/>
    <col min="11524" max="11524" width="6" style="137" customWidth="1"/>
    <col min="11525" max="11529" width="13.7109375" style="137" customWidth="1"/>
    <col min="11530" max="11584" width="0" style="137" hidden="1" customWidth="1"/>
    <col min="11585" max="11586" width="12.85546875" style="137" customWidth="1"/>
    <col min="11587" max="11587" width="12" style="137" customWidth="1"/>
    <col min="11588" max="11588" width="13.140625" style="137" customWidth="1"/>
    <col min="11589" max="11589" width="12.85546875" style="137" customWidth="1"/>
    <col min="11590" max="11590" width="12.7109375" style="137" customWidth="1"/>
    <col min="11591" max="11591" width="13.140625" style="137" customWidth="1"/>
    <col min="11592" max="11592" width="11.28515625" style="137" customWidth="1"/>
    <col min="11593" max="11593" width="12.7109375" style="137" customWidth="1"/>
    <col min="11594" max="11594" width="12.5703125" style="137" customWidth="1"/>
    <col min="11595" max="11595" width="3.28515625" style="137" customWidth="1"/>
    <col min="11596" max="11603" width="0" style="137" hidden="1" customWidth="1"/>
    <col min="11604" max="11776" width="9.140625" style="137"/>
    <col min="11777" max="11777" width="2.85546875" style="137" customWidth="1"/>
    <col min="11778" max="11778" width="3.28515625" style="137" customWidth="1"/>
    <col min="11779" max="11779" width="56.140625" style="137" customWidth="1"/>
    <col min="11780" max="11780" width="6" style="137" customWidth="1"/>
    <col min="11781" max="11785" width="13.7109375" style="137" customWidth="1"/>
    <col min="11786" max="11840" width="0" style="137" hidden="1" customWidth="1"/>
    <col min="11841" max="11842" width="12.85546875" style="137" customWidth="1"/>
    <col min="11843" max="11843" width="12" style="137" customWidth="1"/>
    <col min="11844" max="11844" width="13.140625" style="137" customWidth="1"/>
    <col min="11845" max="11845" width="12.85546875" style="137" customWidth="1"/>
    <col min="11846" max="11846" width="12.7109375" style="137" customWidth="1"/>
    <col min="11847" max="11847" width="13.140625" style="137" customWidth="1"/>
    <col min="11848" max="11848" width="11.28515625" style="137" customWidth="1"/>
    <col min="11849" max="11849" width="12.7109375" style="137" customWidth="1"/>
    <col min="11850" max="11850" width="12.5703125" style="137" customWidth="1"/>
    <col min="11851" max="11851" width="3.28515625" style="137" customWidth="1"/>
    <col min="11852" max="11859" width="0" style="137" hidden="1" customWidth="1"/>
    <col min="11860" max="12032" width="9.140625" style="137"/>
    <col min="12033" max="12033" width="2.85546875" style="137" customWidth="1"/>
    <col min="12034" max="12034" width="3.28515625" style="137" customWidth="1"/>
    <col min="12035" max="12035" width="56.140625" style="137" customWidth="1"/>
    <col min="12036" max="12036" width="6" style="137" customWidth="1"/>
    <col min="12037" max="12041" width="13.7109375" style="137" customWidth="1"/>
    <col min="12042" max="12096" width="0" style="137" hidden="1" customWidth="1"/>
    <col min="12097" max="12098" width="12.85546875" style="137" customWidth="1"/>
    <col min="12099" max="12099" width="12" style="137" customWidth="1"/>
    <col min="12100" max="12100" width="13.140625" style="137" customWidth="1"/>
    <col min="12101" max="12101" width="12.85546875" style="137" customWidth="1"/>
    <col min="12102" max="12102" width="12.7109375" style="137" customWidth="1"/>
    <col min="12103" max="12103" width="13.140625" style="137" customWidth="1"/>
    <col min="12104" max="12104" width="11.28515625" style="137" customWidth="1"/>
    <col min="12105" max="12105" width="12.7109375" style="137" customWidth="1"/>
    <col min="12106" max="12106" width="12.5703125" style="137" customWidth="1"/>
    <col min="12107" max="12107" width="3.28515625" style="137" customWidth="1"/>
    <col min="12108" max="12115" width="0" style="137" hidden="1" customWidth="1"/>
    <col min="12116" max="12288" width="9.140625" style="137"/>
    <col min="12289" max="12289" width="2.85546875" style="137" customWidth="1"/>
    <col min="12290" max="12290" width="3.28515625" style="137" customWidth="1"/>
    <col min="12291" max="12291" width="56.140625" style="137" customWidth="1"/>
    <col min="12292" max="12292" width="6" style="137" customWidth="1"/>
    <col min="12293" max="12297" width="13.7109375" style="137" customWidth="1"/>
    <col min="12298" max="12352" width="0" style="137" hidden="1" customWidth="1"/>
    <col min="12353" max="12354" width="12.85546875" style="137" customWidth="1"/>
    <col min="12355" max="12355" width="12" style="137" customWidth="1"/>
    <col min="12356" max="12356" width="13.140625" style="137" customWidth="1"/>
    <col min="12357" max="12357" width="12.85546875" style="137" customWidth="1"/>
    <col min="12358" max="12358" width="12.7109375" style="137" customWidth="1"/>
    <col min="12359" max="12359" width="13.140625" style="137" customWidth="1"/>
    <col min="12360" max="12360" width="11.28515625" style="137" customWidth="1"/>
    <col min="12361" max="12361" width="12.7109375" style="137" customWidth="1"/>
    <col min="12362" max="12362" width="12.5703125" style="137" customWidth="1"/>
    <col min="12363" max="12363" width="3.28515625" style="137" customWidth="1"/>
    <col min="12364" max="12371" width="0" style="137" hidden="1" customWidth="1"/>
    <col min="12372" max="12544" width="9.140625" style="137"/>
    <col min="12545" max="12545" width="2.85546875" style="137" customWidth="1"/>
    <col min="12546" max="12546" width="3.28515625" style="137" customWidth="1"/>
    <col min="12547" max="12547" width="56.140625" style="137" customWidth="1"/>
    <col min="12548" max="12548" width="6" style="137" customWidth="1"/>
    <col min="12549" max="12553" width="13.7109375" style="137" customWidth="1"/>
    <col min="12554" max="12608" width="0" style="137" hidden="1" customWidth="1"/>
    <col min="12609" max="12610" width="12.85546875" style="137" customWidth="1"/>
    <col min="12611" max="12611" width="12" style="137" customWidth="1"/>
    <col min="12612" max="12612" width="13.140625" style="137" customWidth="1"/>
    <col min="12613" max="12613" width="12.85546875" style="137" customWidth="1"/>
    <col min="12614" max="12614" width="12.7109375" style="137" customWidth="1"/>
    <col min="12615" max="12615" width="13.140625" style="137" customWidth="1"/>
    <col min="12616" max="12616" width="11.28515625" style="137" customWidth="1"/>
    <col min="12617" max="12617" width="12.7109375" style="137" customWidth="1"/>
    <col min="12618" max="12618" width="12.5703125" style="137" customWidth="1"/>
    <col min="12619" max="12619" width="3.28515625" style="137" customWidth="1"/>
    <col min="12620" max="12627" width="0" style="137" hidden="1" customWidth="1"/>
    <col min="12628" max="12800" width="9.140625" style="137"/>
    <col min="12801" max="12801" width="2.85546875" style="137" customWidth="1"/>
    <col min="12802" max="12802" width="3.28515625" style="137" customWidth="1"/>
    <col min="12803" max="12803" width="56.140625" style="137" customWidth="1"/>
    <col min="12804" max="12804" width="6" style="137" customWidth="1"/>
    <col min="12805" max="12809" width="13.7109375" style="137" customWidth="1"/>
    <col min="12810" max="12864" width="0" style="137" hidden="1" customWidth="1"/>
    <col min="12865" max="12866" width="12.85546875" style="137" customWidth="1"/>
    <col min="12867" max="12867" width="12" style="137" customWidth="1"/>
    <col min="12868" max="12868" width="13.140625" style="137" customWidth="1"/>
    <col min="12869" max="12869" width="12.85546875" style="137" customWidth="1"/>
    <col min="12870" max="12870" width="12.7109375" style="137" customWidth="1"/>
    <col min="12871" max="12871" width="13.140625" style="137" customWidth="1"/>
    <col min="12872" max="12872" width="11.28515625" style="137" customWidth="1"/>
    <col min="12873" max="12873" width="12.7109375" style="137" customWidth="1"/>
    <col min="12874" max="12874" width="12.5703125" style="137" customWidth="1"/>
    <col min="12875" max="12875" width="3.28515625" style="137" customWidth="1"/>
    <col min="12876" max="12883" width="0" style="137" hidden="1" customWidth="1"/>
    <col min="12884" max="13056" width="9.140625" style="137"/>
    <col min="13057" max="13057" width="2.85546875" style="137" customWidth="1"/>
    <col min="13058" max="13058" width="3.28515625" style="137" customWidth="1"/>
    <col min="13059" max="13059" width="56.140625" style="137" customWidth="1"/>
    <col min="13060" max="13060" width="6" style="137" customWidth="1"/>
    <col min="13061" max="13065" width="13.7109375" style="137" customWidth="1"/>
    <col min="13066" max="13120" width="0" style="137" hidden="1" customWidth="1"/>
    <col min="13121" max="13122" width="12.85546875" style="137" customWidth="1"/>
    <col min="13123" max="13123" width="12" style="137" customWidth="1"/>
    <col min="13124" max="13124" width="13.140625" style="137" customWidth="1"/>
    <col min="13125" max="13125" width="12.85546875" style="137" customWidth="1"/>
    <col min="13126" max="13126" width="12.7109375" style="137" customWidth="1"/>
    <col min="13127" max="13127" width="13.140625" style="137" customWidth="1"/>
    <col min="13128" max="13128" width="11.28515625" style="137" customWidth="1"/>
    <col min="13129" max="13129" width="12.7109375" style="137" customWidth="1"/>
    <col min="13130" max="13130" width="12.5703125" style="137" customWidth="1"/>
    <col min="13131" max="13131" width="3.28515625" style="137" customWidth="1"/>
    <col min="13132" max="13139" width="0" style="137" hidden="1" customWidth="1"/>
    <col min="13140" max="13312" width="9.140625" style="137"/>
    <col min="13313" max="13313" width="2.85546875" style="137" customWidth="1"/>
    <col min="13314" max="13314" width="3.28515625" style="137" customWidth="1"/>
    <col min="13315" max="13315" width="56.140625" style="137" customWidth="1"/>
    <col min="13316" max="13316" width="6" style="137" customWidth="1"/>
    <col min="13317" max="13321" width="13.7109375" style="137" customWidth="1"/>
    <col min="13322" max="13376" width="0" style="137" hidden="1" customWidth="1"/>
    <col min="13377" max="13378" width="12.85546875" style="137" customWidth="1"/>
    <col min="13379" max="13379" width="12" style="137" customWidth="1"/>
    <col min="13380" max="13380" width="13.140625" style="137" customWidth="1"/>
    <col min="13381" max="13381" width="12.85546875" style="137" customWidth="1"/>
    <col min="13382" max="13382" width="12.7109375" style="137" customWidth="1"/>
    <col min="13383" max="13383" width="13.140625" style="137" customWidth="1"/>
    <col min="13384" max="13384" width="11.28515625" style="137" customWidth="1"/>
    <col min="13385" max="13385" width="12.7109375" style="137" customWidth="1"/>
    <col min="13386" max="13386" width="12.5703125" style="137" customWidth="1"/>
    <col min="13387" max="13387" width="3.28515625" style="137" customWidth="1"/>
    <col min="13388" max="13395" width="0" style="137" hidden="1" customWidth="1"/>
    <col min="13396" max="13568" width="9.140625" style="137"/>
    <col min="13569" max="13569" width="2.85546875" style="137" customWidth="1"/>
    <col min="13570" max="13570" width="3.28515625" style="137" customWidth="1"/>
    <col min="13571" max="13571" width="56.140625" style="137" customWidth="1"/>
    <col min="13572" max="13572" width="6" style="137" customWidth="1"/>
    <col min="13573" max="13577" width="13.7109375" style="137" customWidth="1"/>
    <col min="13578" max="13632" width="0" style="137" hidden="1" customWidth="1"/>
    <col min="13633" max="13634" width="12.85546875" style="137" customWidth="1"/>
    <col min="13635" max="13635" width="12" style="137" customWidth="1"/>
    <col min="13636" max="13636" width="13.140625" style="137" customWidth="1"/>
    <col min="13637" max="13637" width="12.85546875" style="137" customWidth="1"/>
    <col min="13638" max="13638" width="12.7109375" style="137" customWidth="1"/>
    <col min="13639" max="13639" width="13.140625" style="137" customWidth="1"/>
    <col min="13640" max="13640" width="11.28515625" style="137" customWidth="1"/>
    <col min="13641" max="13641" width="12.7109375" style="137" customWidth="1"/>
    <col min="13642" max="13642" width="12.5703125" style="137" customWidth="1"/>
    <col min="13643" max="13643" width="3.28515625" style="137" customWidth="1"/>
    <col min="13644" max="13651" width="0" style="137" hidden="1" customWidth="1"/>
    <col min="13652" max="13824" width="9.140625" style="137"/>
    <col min="13825" max="13825" width="2.85546875" style="137" customWidth="1"/>
    <col min="13826" max="13826" width="3.28515625" style="137" customWidth="1"/>
    <col min="13827" max="13827" width="56.140625" style="137" customWidth="1"/>
    <col min="13828" max="13828" width="6" style="137" customWidth="1"/>
    <col min="13829" max="13833" width="13.7109375" style="137" customWidth="1"/>
    <col min="13834" max="13888" width="0" style="137" hidden="1" customWidth="1"/>
    <col min="13889" max="13890" width="12.85546875" style="137" customWidth="1"/>
    <col min="13891" max="13891" width="12" style="137" customWidth="1"/>
    <col min="13892" max="13892" width="13.140625" style="137" customWidth="1"/>
    <col min="13893" max="13893" width="12.85546875" style="137" customWidth="1"/>
    <col min="13894" max="13894" width="12.7109375" style="137" customWidth="1"/>
    <col min="13895" max="13895" width="13.140625" style="137" customWidth="1"/>
    <col min="13896" max="13896" width="11.28515625" style="137" customWidth="1"/>
    <col min="13897" max="13897" width="12.7109375" style="137" customWidth="1"/>
    <col min="13898" max="13898" width="12.5703125" style="137" customWidth="1"/>
    <col min="13899" max="13899" width="3.28515625" style="137" customWidth="1"/>
    <col min="13900" max="13907" width="0" style="137" hidden="1" customWidth="1"/>
    <col min="13908" max="14080" width="9.140625" style="137"/>
    <col min="14081" max="14081" width="2.85546875" style="137" customWidth="1"/>
    <col min="14082" max="14082" width="3.28515625" style="137" customWidth="1"/>
    <col min="14083" max="14083" width="56.140625" style="137" customWidth="1"/>
    <col min="14084" max="14084" width="6" style="137" customWidth="1"/>
    <col min="14085" max="14089" width="13.7109375" style="137" customWidth="1"/>
    <col min="14090" max="14144" width="0" style="137" hidden="1" customWidth="1"/>
    <col min="14145" max="14146" width="12.85546875" style="137" customWidth="1"/>
    <col min="14147" max="14147" width="12" style="137" customWidth="1"/>
    <col min="14148" max="14148" width="13.140625" style="137" customWidth="1"/>
    <col min="14149" max="14149" width="12.85546875" style="137" customWidth="1"/>
    <col min="14150" max="14150" width="12.7109375" style="137" customWidth="1"/>
    <col min="14151" max="14151" width="13.140625" style="137" customWidth="1"/>
    <col min="14152" max="14152" width="11.28515625" style="137" customWidth="1"/>
    <col min="14153" max="14153" width="12.7109375" style="137" customWidth="1"/>
    <col min="14154" max="14154" width="12.5703125" style="137" customWidth="1"/>
    <col min="14155" max="14155" width="3.28515625" style="137" customWidth="1"/>
    <col min="14156" max="14163" width="0" style="137" hidden="1" customWidth="1"/>
    <col min="14164" max="14336" width="9.140625" style="137"/>
    <col min="14337" max="14337" width="2.85546875" style="137" customWidth="1"/>
    <col min="14338" max="14338" width="3.28515625" style="137" customWidth="1"/>
    <col min="14339" max="14339" width="56.140625" style="137" customWidth="1"/>
    <col min="14340" max="14340" width="6" style="137" customWidth="1"/>
    <col min="14341" max="14345" width="13.7109375" style="137" customWidth="1"/>
    <col min="14346" max="14400" width="0" style="137" hidden="1" customWidth="1"/>
    <col min="14401" max="14402" width="12.85546875" style="137" customWidth="1"/>
    <col min="14403" max="14403" width="12" style="137" customWidth="1"/>
    <col min="14404" max="14404" width="13.140625" style="137" customWidth="1"/>
    <col min="14405" max="14405" width="12.85546875" style="137" customWidth="1"/>
    <col min="14406" max="14406" width="12.7109375" style="137" customWidth="1"/>
    <col min="14407" max="14407" width="13.140625" style="137" customWidth="1"/>
    <col min="14408" max="14408" width="11.28515625" style="137" customWidth="1"/>
    <col min="14409" max="14409" width="12.7109375" style="137" customWidth="1"/>
    <col min="14410" max="14410" width="12.5703125" style="137" customWidth="1"/>
    <col min="14411" max="14411" width="3.28515625" style="137" customWidth="1"/>
    <col min="14412" max="14419" width="0" style="137" hidden="1" customWidth="1"/>
    <col min="14420" max="14592" width="9.140625" style="137"/>
    <col min="14593" max="14593" width="2.85546875" style="137" customWidth="1"/>
    <col min="14594" max="14594" width="3.28515625" style="137" customWidth="1"/>
    <col min="14595" max="14595" width="56.140625" style="137" customWidth="1"/>
    <col min="14596" max="14596" width="6" style="137" customWidth="1"/>
    <col min="14597" max="14601" width="13.7109375" style="137" customWidth="1"/>
    <col min="14602" max="14656" width="0" style="137" hidden="1" customWidth="1"/>
    <col min="14657" max="14658" width="12.85546875" style="137" customWidth="1"/>
    <col min="14659" max="14659" width="12" style="137" customWidth="1"/>
    <col min="14660" max="14660" width="13.140625" style="137" customWidth="1"/>
    <col min="14661" max="14661" width="12.85546875" style="137" customWidth="1"/>
    <col min="14662" max="14662" width="12.7109375" style="137" customWidth="1"/>
    <col min="14663" max="14663" width="13.140625" style="137" customWidth="1"/>
    <col min="14664" max="14664" width="11.28515625" style="137" customWidth="1"/>
    <col min="14665" max="14665" width="12.7109375" style="137" customWidth="1"/>
    <col min="14666" max="14666" width="12.5703125" style="137" customWidth="1"/>
    <col min="14667" max="14667" width="3.28515625" style="137" customWidth="1"/>
    <col min="14668" max="14675" width="0" style="137" hidden="1" customWidth="1"/>
    <col min="14676" max="14848" width="9.140625" style="137"/>
    <col min="14849" max="14849" width="2.85546875" style="137" customWidth="1"/>
    <col min="14850" max="14850" width="3.28515625" style="137" customWidth="1"/>
    <col min="14851" max="14851" width="56.140625" style="137" customWidth="1"/>
    <col min="14852" max="14852" width="6" style="137" customWidth="1"/>
    <col min="14853" max="14857" width="13.7109375" style="137" customWidth="1"/>
    <col min="14858" max="14912" width="0" style="137" hidden="1" customWidth="1"/>
    <col min="14913" max="14914" width="12.85546875" style="137" customWidth="1"/>
    <col min="14915" max="14915" width="12" style="137" customWidth="1"/>
    <col min="14916" max="14916" width="13.140625" style="137" customWidth="1"/>
    <col min="14917" max="14917" width="12.85546875" style="137" customWidth="1"/>
    <col min="14918" max="14918" width="12.7109375" style="137" customWidth="1"/>
    <col min="14919" max="14919" width="13.140625" style="137" customWidth="1"/>
    <col min="14920" max="14920" width="11.28515625" style="137" customWidth="1"/>
    <col min="14921" max="14921" width="12.7109375" style="137" customWidth="1"/>
    <col min="14922" max="14922" width="12.5703125" style="137" customWidth="1"/>
    <col min="14923" max="14923" width="3.28515625" style="137" customWidth="1"/>
    <col min="14924" max="14931" width="0" style="137" hidden="1" customWidth="1"/>
    <col min="14932" max="15104" width="9.140625" style="137"/>
    <col min="15105" max="15105" width="2.85546875" style="137" customWidth="1"/>
    <col min="15106" max="15106" width="3.28515625" style="137" customWidth="1"/>
    <col min="15107" max="15107" width="56.140625" style="137" customWidth="1"/>
    <col min="15108" max="15108" width="6" style="137" customWidth="1"/>
    <col min="15109" max="15113" width="13.7109375" style="137" customWidth="1"/>
    <col min="15114" max="15168" width="0" style="137" hidden="1" customWidth="1"/>
    <col min="15169" max="15170" width="12.85546875" style="137" customWidth="1"/>
    <col min="15171" max="15171" width="12" style="137" customWidth="1"/>
    <col min="15172" max="15172" width="13.140625" style="137" customWidth="1"/>
    <col min="15173" max="15173" width="12.85546875" style="137" customWidth="1"/>
    <col min="15174" max="15174" width="12.7109375" style="137" customWidth="1"/>
    <col min="15175" max="15175" width="13.140625" style="137" customWidth="1"/>
    <col min="15176" max="15176" width="11.28515625" style="137" customWidth="1"/>
    <col min="15177" max="15177" width="12.7109375" style="137" customWidth="1"/>
    <col min="15178" max="15178" width="12.5703125" style="137" customWidth="1"/>
    <col min="15179" max="15179" width="3.28515625" style="137" customWidth="1"/>
    <col min="15180" max="15187" width="0" style="137" hidden="1" customWidth="1"/>
    <col min="15188" max="15360" width="9.140625" style="137"/>
    <col min="15361" max="15361" width="2.85546875" style="137" customWidth="1"/>
    <col min="15362" max="15362" width="3.28515625" style="137" customWidth="1"/>
    <col min="15363" max="15363" width="56.140625" style="137" customWidth="1"/>
    <col min="15364" max="15364" width="6" style="137" customWidth="1"/>
    <col min="15365" max="15369" width="13.7109375" style="137" customWidth="1"/>
    <col min="15370" max="15424" width="0" style="137" hidden="1" customWidth="1"/>
    <col min="15425" max="15426" width="12.85546875" style="137" customWidth="1"/>
    <col min="15427" max="15427" width="12" style="137" customWidth="1"/>
    <col min="15428" max="15428" width="13.140625" style="137" customWidth="1"/>
    <col min="15429" max="15429" width="12.85546875" style="137" customWidth="1"/>
    <col min="15430" max="15430" width="12.7109375" style="137" customWidth="1"/>
    <col min="15431" max="15431" width="13.140625" style="137" customWidth="1"/>
    <col min="15432" max="15432" width="11.28515625" style="137" customWidth="1"/>
    <col min="15433" max="15433" width="12.7109375" style="137" customWidth="1"/>
    <col min="15434" max="15434" width="12.5703125" style="137" customWidth="1"/>
    <col min="15435" max="15435" width="3.28515625" style="137" customWidth="1"/>
    <col min="15436" max="15443" width="0" style="137" hidden="1" customWidth="1"/>
    <col min="15444" max="15616" width="9.140625" style="137"/>
    <col min="15617" max="15617" width="2.85546875" style="137" customWidth="1"/>
    <col min="15618" max="15618" width="3.28515625" style="137" customWidth="1"/>
    <col min="15619" max="15619" width="56.140625" style="137" customWidth="1"/>
    <col min="15620" max="15620" width="6" style="137" customWidth="1"/>
    <col min="15621" max="15625" width="13.7109375" style="137" customWidth="1"/>
    <col min="15626" max="15680" width="0" style="137" hidden="1" customWidth="1"/>
    <col min="15681" max="15682" width="12.85546875" style="137" customWidth="1"/>
    <col min="15683" max="15683" width="12" style="137" customWidth="1"/>
    <col min="15684" max="15684" width="13.140625" style="137" customWidth="1"/>
    <col min="15685" max="15685" width="12.85546875" style="137" customWidth="1"/>
    <col min="15686" max="15686" width="12.7109375" style="137" customWidth="1"/>
    <col min="15687" max="15687" width="13.140625" style="137" customWidth="1"/>
    <col min="15688" max="15688" width="11.28515625" style="137" customWidth="1"/>
    <col min="15689" max="15689" width="12.7109375" style="137" customWidth="1"/>
    <col min="15690" max="15690" width="12.5703125" style="137" customWidth="1"/>
    <col min="15691" max="15691" width="3.28515625" style="137" customWidth="1"/>
    <col min="15692" max="15699" width="0" style="137" hidden="1" customWidth="1"/>
    <col min="15700" max="15872" width="9.140625" style="137"/>
    <col min="15873" max="15873" width="2.85546875" style="137" customWidth="1"/>
    <col min="15874" max="15874" width="3.28515625" style="137" customWidth="1"/>
    <col min="15875" max="15875" width="56.140625" style="137" customWidth="1"/>
    <col min="15876" max="15876" width="6" style="137" customWidth="1"/>
    <col min="15877" max="15881" width="13.7109375" style="137" customWidth="1"/>
    <col min="15882" max="15936" width="0" style="137" hidden="1" customWidth="1"/>
    <col min="15937" max="15938" width="12.85546875" style="137" customWidth="1"/>
    <col min="15939" max="15939" width="12" style="137" customWidth="1"/>
    <col min="15940" max="15940" width="13.140625" style="137" customWidth="1"/>
    <col min="15941" max="15941" width="12.85546875" style="137" customWidth="1"/>
    <col min="15942" max="15942" width="12.7109375" style="137" customWidth="1"/>
    <col min="15943" max="15943" width="13.140625" style="137" customWidth="1"/>
    <col min="15944" max="15944" width="11.28515625" style="137" customWidth="1"/>
    <col min="15945" max="15945" width="12.7109375" style="137" customWidth="1"/>
    <col min="15946" max="15946" width="12.5703125" style="137" customWidth="1"/>
    <col min="15947" max="15947" width="3.28515625" style="137" customWidth="1"/>
    <col min="15948" max="15955" width="0" style="137" hidden="1" customWidth="1"/>
    <col min="15956" max="16128" width="9.140625" style="137"/>
    <col min="16129" max="16129" width="2.85546875" style="137" customWidth="1"/>
    <col min="16130" max="16130" width="3.28515625" style="137" customWidth="1"/>
    <col min="16131" max="16131" width="56.140625" style="137" customWidth="1"/>
    <col min="16132" max="16132" width="6" style="137" customWidth="1"/>
    <col min="16133" max="16137" width="13.7109375" style="137" customWidth="1"/>
    <col min="16138" max="16192" width="0" style="137" hidden="1" customWidth="1"/>
    <col min="16193" max="16194" width="12.85546875" style="137" customWidth="1"/>
    <col min="16195" max="16195" width="12" style="137" customWidth="1"/>
    <col min="16196" max="16196" width="13.140625" style="137" customWidth="1"/>
    <col min="16197" max="16197" width="12.85546875" style="137" customWidth="1"/>
    <col min="16198" max="16198" width="12.7109375" style="137" customWidth="1"/>
    <col min="16199" max="16199" width="13.140625" style="137" customWidth="1"/>
    <col min="16200" max="16200" width="11.28515625" style="137" customWidth="1"/>
    <col min="16201" max="16201" width="12.7109375" style="137" customWidth="1"/>
    <col min="16202" max="16202" width="12.5703125" style="137" customWidth="1"/>
    <col min="16203" max="16203" width="3.28515625" style="137" customWidth="1"/>
    <col min="16204" max="16211" width="0" style="137" hidden="1" customWidth="1"/>
    <col min="16212" max="16384" width="9.140625" style="137"/>
  </cols>
  <sheetData>
    <row r="1" spans="1:83" ht="15.75" x14ac:dyDescent="0.25">
      <c r="A1" s="131" t="s">
        <v>163</v>
      </c>
      <c r="B1" s="132"/>
      <c r="C1" s="133"/>
      <c r="D1" s="134"/>
      <c r="E1" s="135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6"/>
      <c r="BX1" s="136"/>
    </row>
    <row r="2" spans="1:83" ht="15" x14ac:dyDescent="0.25">
      <c r="A2" s="138"/>
      <c r="B2" s="134"/>
      <c r="D2" s="139"/>
      <c r="E2" s="683" t="s">
        <v>249</v>
      </c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  <c r="AQ2" s="684"/>
      <c r="AR2" s="684"/>
      <c r="AS2" s="684"/>
      <c r="AT2" s="684"/>
      <c r="AU2" s="684"/>
      <c r="AV2" s="684"/>
      <c r="AW2" s="684"/>
      <c r="AX2" s="684"/>
      <c r="AY2" s="684"/>
      <c r="AZ2" s="684"/>
      <c r="BA2" s="684"/>
      <c r="BB2" s="684"/>
      <c r="BC2" s="684"/>
      <c r="BD2" s="684"/>
      <c r="BE2" s="684"/>
      <c r="BF2" s="684"/>
      <c r="BG2" s="684"/>
      <c r="BH2" s="684"/>
      <c r="BI2" s="684"/>
      <c r="BJ2" s="684"/>
      <c r="BK2" s="684"/>
      <c r="BL2" s="684"/>
      <c r="BM2" s="684"/>
      <c r="BN2" s="684"/>
      <c r="BO2" s="684"/>
      <c r="BP2" s="684"/>
      <c r="BQ2" s="684"/>
      <c r="BR2" s="684"/>
      <c r="BS2" s="684"/>
      <c r="BT2" s="684"/>
      <c r="BU2" s="684"/>
      <c r="BV2" s="685"/>
      <c r="BW2" s="140"/>
      <c r="BX2" s="143"/>
    </row>
    <row r="3" spans="1:83" ht="15" x14ac:dyDescent="0.25">
      <c r="A3" s="141"/>
      <c r="B3" s="134"/>
      <c r="C3" s="136" t="s">
        <v>165</v>
      </c>
      <c r="D3" s="142"/>
      <c r="E3" s="686" t="s">
        <v>250</v>
      </c>
      <c r="F3" s="687"/>
      <c r="G3" s="687"/>
      <c r="H3" s="687"/>
      <c r="I3" s="688"/>
      <c r="J3" s="686" t="s">
        <v>2</v>
      </c>
      <c r="K3" s="687"/>
      <c r="L3" s="687"/>
      <c r="M3" s="687"/>
      <c r="N3" s="688"/>
      <c r="O3" s="686" t="s">
        <v>3</v>
      </c>
      <c r="P3" s="687"/>
      <c r="Q3" s="687"/>
      <c r="R3" s="687"/>
      <c r="S3" s="688"/>
      <c r="T3" s="686" t="s">
        <v>167</v>
      </c>
      <c r="U3" s="687"/>
      <c r="V3" s="687"/>
      <c r="W3" s="687"/>
      <c r="X3" s="688"/>
      <c r="Y3" s="686" t="s">
        <v>5</v>
      </c>
      <c r="Z3" s="687"/>
      <c r="AA3" s="687"/>
      <c r="AB3" s="687"/>
      <c r="AC3" s="688"/>
      <c r="AD3" s="686" t="s">
        <v>6</v>
      </c>
      <c r="AE3" s="687"/>
      <c r="AF3" s="687"/>
      <c r="AG3" s="687"/>
      <c r="AH3" s="688"/>
      <c r="AI3" s="686" t="s">
        <v>7</v>
      </c>
      <c r="AJ3" s="687"/>
      <c r="AK3" s="687"/>
      <c r="AL3" s="687"/>
      <c r="AM3" s="688"/>
      <c r="AN3" s="686" t="s">
        <v>8</v>
      </c>
      <c r="AO3" s="687"/>
      <c r="AP3" s="687"/>
      <c r="AQ3" s="687"/>
      <c r="AR3" s="688"/>
      <c r="AS3" s="686" t="s">
        <v>9</v>
      </c>
      <c r="AT3" s="687"/>
      <c r="AU3" s="687"/>
      <c r="AV3" s="687"/>
      <c r="AW3" s="688"/>
      <c r="AX3" s="686" t="s">
        <v>10</v>
      </c>
      <c r="AY3" s="687"/>
      <c r="AZ3" s="687"/>
      <c r="BA3" s="687"/>
      <c r="BB3" s="688"/>
      <c r="BC3" s="686" t="s">
        <v>11</v>
      </c>
      <c r="BD3" s="687"/>
      <c r="BE3" s="687"/>
      <c r="BF3" s="687"/>
      <c r="BG3" s="688"/>
      <c r="BH3" s="686" t="s">
        <v>12</v>
      </c>
      <c r="BI3" s="687"/>
      <c r="BJ3" s="687"/>
      <c r="BK3" s="687"/>
      <c r="BL3" s="688"/>
      <c r="BM3" s="686" t="s">
        <v>13</v>
      </c>
      <c r="BN3" s="687"/>
      <c r="BO3" s="687"/>
      <c r="BP3" s="687"/>
      <c r="BQ3" s="688"/>
      <c r="BR3" s="686" t="s">
        <v>14</v>
      </c>
      <c r="BS3" s="687"/>
      <c r="BT3" s="687"/>
      <c r="BU3" s="687"/>
      <c r="BV3" s="690"/>
      <c r="BW3" s="143"/>
      <c r="BX3" s="143"/>
    </row>
    <row r="4" spans="1:83" x14ac:dyDescent="0.2">
      <c r="A4" s="141"/>
      <c r="B4" s="134"/>
      <c r="D4" s="142"/>
      <c r="E4" s="144" t="s">
        <v>168</v>
      </c>
      <c r="F4" s="145" t="s">
        <v>169</v>
      </c>
      <c r="G4" s="145" t="s">
        <v>170</v>
      </c>
      <c r="H4" s="145" t="s">
        <v>171</v>
      </c>
      <c r="I4" s="146" t="s">
        <v>172</v>
      </c>
      <c r="J4" s="144" t="s">
        <v>168</v>
      </c>
      <c r="K4" s="145" t="s">
        <v>169</v>
      </c>
      <c r="L4" s="145" t="s">
        <v>170</v>
      </c>
      <c r="M4" s="145" t="s">
        <v>171</v>
      </c>
      <c r="N4" s="147" t="s">
        <v>172</v>
      </c>
      <c r="O4" s="144" t="s">
        <v>168</v>
      </c>
      <c r="P4" s="145" t="s">
        <v>169</v>
      </c>
      <c r="Q4" s="145" t="s">
        <v>170</v>
      </c>
      <c r="R4" s="145" t="s">
        <v>171</v>
      </c>
      <c r="S4" s="147" t="s">
        <v>172</v>
      </c>
      <c r="T4" s="144" t="s">
        <v>168</v>
      </c>
      <c r="U4" s="145" t="s">
        <v>169</v>
      </c>
      <c r="V4" s="145" t="s">
        <v>170</v>
      </c>
      <c r="W4" s="145" t="s">
        <v>171</v>
      </c>
      <c r="X4" s="147" t="s">
        <v>172</v>
      </c>
      <c r="Y4" s="144" t="s">
        <v>168</v>
      </c>
      <c r="Z4" s="145" t="s">
        <v>169</v>
      </c>
      <c r="AA4" s="145" t="s">
        <v>170</v>
      </c>
      <c r="AB4" s="145" t="s">
        <v>171</v>
      </c>
      <c r="AC4" s="147" t="s">
        <v>172</v>
      </c>
      <c r="AD4" s="144" t="s">
        <v>168</v>
      </c>
      <c r="AE4" s="145" t="s">
        <v>169</v>
      </c>
      <c r="AF4" s="145" t="s">
        <v>170</v>
      </c>
      <c r="AG4" s="145" t="s">
        <v>171</v>
      </c>
      <c r="AH4" s="147" t="s">
        <v>172</v>
      </c>
      <c r="AI4" s="144" t="s">
        <v>168</v>
      </c>
      <c r="AJ4" s="145" t="s">
        <v>169</v>
      </c>
      <c r="AK4" s="145" t="s">
        <v>170</v>
      </c>
      <c r="AL4" s="145" t="s">
        <v>171</v>
      </c>
      <c r="AM4" s="147" t="s">
        <v>172</v>
      </c>
      <c r="AN4" s="144" t="s">
        <v>168</v>
      </c>
      <c r="AO4" s="145" t="s">
        <v>169</v>
      </c>
      <c r="AP4" s="145" t="s">
        <v>170</v>
      </c>
      <c r="AQ4" s="145" t="s">
        <v>171</v>
      </c>
      <c r="AR4" s="147" t="s">
        <v>172</v>
      </c>
      <c r="AS4" s="144" t="s">
        <v>168</v>
      </c>
      <c r="AT4" s="145" t="s">
        <v>169</v>
      </c>
      <c r="AU4" s="145" t="s">
        <v>170</v>
      </c>
      <c r="AV4" s="145" t="s">
        <v>171</v>
      </c>
      <c r="AW4" s="147" t="s">
        <v>172</v>
      </c>
      <c r="AX4" s="144" t="s">
        <v>168</v>
      </c>
      <c r="AY4" s="145" t="s">
        <v>169</v>
      </c>
      <c r="AZ4" s="145" t="s">
        <v>170</v>
      </c>
      <c r="BA4" s="145" t="s">
        <v>171</v>
      </c>
      <c r="BB4" s="147" t="s">
        <v>172</v>
      </c>
      <c r="BC4" s="144" t="s">
        <v>168</v>
      </c>
      <c r="BD4" s="145" t="s">
        <v>169</v>
      </c>
      <c r="BE4" s="145" t="s">
        <v>170</v>
      </c>
      <c r="BF4" s="145" t="s">
        <v>171</v>
      </c>
      <c r="BG4" s="147" t="s">
        <v>172</v>
      </c>
      <c r="BH4" s="144" t="s">
        <v>168</v>
      </c>
      <c r="BI4" s="145" t="s">
        <v>169</v>
      </c>
      <c r="BJ4" s="145" t="s">
        <v>170</v>
      </c>
      <c r="BK4" s="145" t="s">
        <v>173</v>
      </c>
      <c r="BL4" s="147" t="s">
        <v>172</v>
      </c>
      <c r="BM4" s="144" t="s">
        <v>168</v>
      </c>
      <c r="BN4" s="145" t="s">
        <v>169</v>
      </c>
      <c r="BO4" s="145" t="s">
        <v>170</v>
      </c>
      <c r="BP4" s="145" t="s">
        <v>171</v>
      </c>
      <c r="BQ4" s="147" t="s">
        <v>172</v>
      </c>
      <c r="BR4" s="144" t="s">
        <v>168</v>
      </c>
      <c r="BS4" s="145" t="s">
        <v>169</v>
      </c>
      <c r="BT4" s="145" t="s">
        <v>170</v>
      </c>
      <c r="BU4" s="145" t="s">
        <v>171</v>
      </c>
      <c r="BV4" s="148" t="s">
        <v>172</v>
      </c>
      <c r="BW4" s="140"/>
      <c r="BX4" s="143"/>
      <c r="CA4" s="137" t="str">
        <f>+BR4</f>
        <v>Current</v>
      </c>
      <c r="CB4" s="137" t="str">
        <f t="shared" ref="CB4:CE5" si="0">+BS4</f>
        <v>Transfers and</v>
      </c>
      <c r="CC4" s="137" t="str">
        <f t="shared" si="0"/>
        <v>Payments for</v>
      </c>
      <c r="CD4" s="137" t="str">
        <f t="shared" si="0"/>
        <v xml:space="preserve">Payments for </v>
      </c>
      <c r="CE4" s="137" t="str">
        <f t="shared" si="0"/>
        <v>Total</v>
      </c>
    </row>
    <row r="5" spans="1:83" x14ac:dyDescent="0.2">
      <c r="A5" s="149" t="s">
        <v>15</v>
      </c>
      <c r="B5" s="150"/>
      <c r="C5" s="150"/>
      <c r="D5" s="151"/>
      <c r="E5" s="152" t="s">
        <v>174</v>
      </c>
      <c r="F5" s="153" t="s">
        <v>175</v>
      </c>
      <c r="G5" s="153" t="s">
        <v>176</v>
      </c>
      <c r="H5" s="153" t="s">
        <v>177</v>
      </c>
      <c r="I5" s="154"/>
      <c r="J5" s="152" t="s">
        <v>174</v>
      </c>
      <c r="K5" s="153" t="s">
        <v>175</v>
      </c>
      <c r="L5" s="153" t="s">
        <v>176</v>
      </c>
      <c r="M5" s="153" t="s">
        <v>177</v>
      </c>
      <c r="N5" s="154"/>
      <c r="O5" s="152" t="s">
        <v>174</v>
      </c>
      <c r="P5" s="153" t="s">
        <v>175</v>
      </c>
      <c r="Q5" s="153" t="s">
        <v>176</v>
      </c>
      <c r="R5" s="153" t="s">
        <v>177</v>
      </c>
      <c r="S5" s="154"/>
      <c r="T5" s="152" t="s">
        <v>174</v>
      </c>
      <c r="U5" s="153" t="s">
        <v>175</v>
      </c>
      <c r="V5" s="153" t="s">
        <v>176</v>
      </c>
      <c r="W5" s="153" t="s">
        <v>177</v>
      </c>
      <c r="X5" s="154"/>
      <c r="Y5" s="152" t="s">
        <v>174</v>
      </c>
      <c r="Z5" s="153" t="s">
        <v>175</v>
      </c>
      <c r="AA5" s="153" t="s">
        <v>176</v>
      </c>
      <c r="AB5" s="153" t="s">
        <v>177</v>
      </c>
      <c r="AC5" s="154"/>
      <c r="AD5" s="152" t="s">
        <v>174</v>
      </c>
      <c r="AE5" s="153" t="s">
        <v>175</v>
      </c>
      <c r="AF5" s="153" t="s">
        <v>176</v>
      </c>
      <c r="AG5" s="153" t="s">
        <v>177</v>
      </c>
      <c r="AH5" s="154"/>
      <c r="AI5" s="152" t="s">
        <v>174</v>
      </c>
      <c r="AJ5" s="153" t="s">
        <v>175</v>
      </c>
      <c r="AK5" s="153" t="s">
        <v>176</v>
      </c>
      <c r="AL5" s="153" t="s">
        <v>177</v>
      </c>
      <c r="AM5" s="154"/>
      <c r="AN5" s="152" t="s">
        <v>174</v>
      </c>
      <c r="AO5" s="153" t="s">
        <v>175</v>
      </c>
      <c r="AP5" s="153" t="s">
        <v>176</v>
      </c>
      <c r="AQ5" s="153" t="s">
        <v>177</v>
      </c>
      <c r="AR5" s="154"/>
      <c r="AS5" s="152" t="s">
        <v>174</v>
      </c>
      <c r="AT5" s="153" t="s">
        <v>175</v>
      </c>
      <c r="AU5" s="153" t="s">
        <v>176</v>
      </c>
      <c r="AV5" s="153" t="s">
        <v>177</v>
      </c>
      <c r="AW5" s="154"/>
      <c r="AX5" s="152" t="s">
        <v>174</v>
      </c>
      <c r="AY5" s="153" t="s">
        <v>175</v>
      </c>
      <c r="AZ5" s="153" t="s">
        <v>176</v>
      </c>
      <c r="BA5" s="153" t="s">
        <v>177</v>
      </c>
      <c r="BB5" s="154"/>
      <c r="BC5" s="152" t="s">
        <v>174</v>
      </c>
      <c r="BD5" s="153" t="s">
        <v>175</v>
      </c>
      <c r="BE5" s="153" t="s">
        <v>176</v>
      </c>
      <c r="BF5" s="153" t="s">
        <v>177</v>
      </c>
      <c r="BG5" s="154"/>
      <c r="BH5" s="152" t="s">
        <v>174</v>
      </c>
      <c r="BI5" s="153" t="s">
        <v>175</v>
      </c>
      <c r="BJ5" s="153" t="s">
        <v>176</v>
      </c>
      <c r="BK5" s="153" t="s">
        <v>177</v>
      </c>
      <c r="BL5" s="154"/>
      <c r="BM5" s="152" t="s">
        <v>174</v>
      </c>
      <c r="BN5" s="153" t="s">
        <v>175</v>
      </c>
      <c r="BO5" s="153" t="s">
        <v>176</v>
      </c>
      <c r="BP5" s="153" t="s">
        <v>177</v>
      </c>
      <c r="BQ5" s="154"/>
      <c r="BR5" s="152" t="s">
        <v>174</v>
      </c>
      <c r="BS5" s="153" t="s">
        <v>175</v>
      </c>
      <c r="BT5" s="153" t="s">
        <v>176</v>
      </c>
      <c r="BU5" s="153" t="s">
        <v>177</v>
      </c>
      <c r="BV5" s="152"/>
      <c r="BW5" s="140"/>
      <c r="BX5" s="220">
        <f>100/12*12</f>
        <v>100</v>
      </c>
      <c r="CA5" s="137" t="str">
        <f>+BR5</f>
        <v>payments</v>
      </c>
      <c r="CB5" s="137" t="str">
        <f t="shared" si="0"/>
        <v>subsidies</v>
      </c>
      <c r="CC5" s="137" t="str">
        <f t="shared" si="0"/>
        <v>capital assets</v>
      </c>
      <c r="CD5" s="137" t="str">
        <f t="shared" si="0"/>
        <v>financial assets</v>
      </c>
    </row>
    <row r="6" spans="1:83" x14ac:dyDescent="0.2">
      <c r="A6" s="156"/>
      <c r="B6" s="134"/>
      <c r="D6" s="145"/>
      <c r="E6" s="157"/>
      <c r="F6" s="145"/>
      <c r="G6" s="145"/>
      <c r="H6" s="145"/>
      <c r="I6" s="158"/>
      <c r="J6" s="144"/>
      <c r="K6" s="145"/>
      <c r="L6" s="145"/>
      <c r="M6" s="145"/>
      <c r="N6" s="158"/>
      <c r="O6" s="144"/>
      <c r="P6" s="145"/>
      <c r="Q6" s="145"/>
      <c r="R6" s="145"/>
      <c r="S6" s="158"/>
      <c r="T6" s="144"/>
      <c r="U6" s="145"/>
      <c r="V6" s="145"/>
      <c r="W6" s="145"/>
      <c r="X6" s="158"/>
      <c r="Y6" s="144"/>
      <c r="Z6" s="145"/>
      <c r="AA6" s="145"/>
      <c r="AB6" s="145"/>
      <c r="AC6" s="158"/>
      <c r="AD6" s="144"/>
      <c r="AE6" s="145"/>
      <c r="AF6" s="145"/>
      <c r="AG6" s="145"/>
      <c r="AH6" s="158"/>
      <c r="AI6" s="144"/>
      <c r="AJ6" s="145"/>
      <c r="AK6" s="145"/>
      <c r="AL6" s="145"/>
      <c r="AM6" s="158"/>
      <c r="AN6" s="144"/>
      <c r="AO6" s="145"/>
      <c r="AP6" s="145"/>
      <c r="AQ6" s="145"/>
      <c r="AR6" s="158"/>
      <c r="AS6" s="144"/>
      <c r="AT6" s="145"/>
      <c r="AU6" s="145"/>
      <c r="AV6" s="145"/>
      <c r="AW6" s="158"/>
      <c r="AX6" s="144"/>
      <c r="AY6" s="145"/>
      <c r="AZ6" s="145"/>
      <c r="BA6" s="145"/>
      <c r="BB6" s="158"/>
      <c r="BC6" s="144"/>
      <c r="BD6" s="145"/>
      <c r="BE6" s="145"/>
      <c r="BF6" s="145"/>
      <c r="BG6" s="158"/>
      <c r="BH6" s="144"/>
      <c r="BI6" s="145"/>
      <c r="BJ6" s="145"/>
      <c r="BK6" s="145"/>
      <c r="BL6" s="158"/>
      <c r="BM6" s="144"/>
      <c r="BN6" s="145"/>
      <c r="BO6" s="145"/>
      <c r="BP6" s="145"/>
      <c r="BQ6" s="158"/>
      <c r="BR6" s="144"/>
      <c r="BS6" s="145"/>
      <c r="BT6" s="145"/>
      <c r="BU6" s="145"/>
      <c r="BV6" s="144"/>
      <c r="BW6" s="140"/>
      <c r="BX6" s="143"/>
    </row>
    <row r="7" spans="1:83" ht="13.5" customHeight="1" x14ac:dyDescent="0.2">
      <c r="A7" s="159">
        <v>1</v>
      </c>
      <c r="B7" s="160" t="s">
        <v>178</v>
      </c>
      <c r="D7" s="161"/>
      <c r="E7" s="162">
        <f>447232-5681</f>
        <v>441551</v>
      </c>
      <c r="F7" s="163">
        <v>1714</v>
      </c>
      <c r="G7" s="163">
        <v>15464</v>
      </c>
      <c r="H7" s="163">
        <v>576</v>
      </c>
      <c r="I7" s="35">
        <f t="shared" ref="I7:I46" si="1">SUM(E7:H7)</f>
        <v>459305</v>
      </c>
      <c r="J7" s="36">
        <v>27179</v>
      </c>
      <c r="K7" s="39">
        <v>223</v>
      </c>
      <c r="L7" s="39">
        <v>32</v>
      </c>
      <c r="M7" s="39">
        <v>0</v>
      </c>
      <c r="N7" s="35">
        <f>SUM(J7:M7)</f>
        <v>27434</v>
      </c>
      <c r="O7" s="36">
        <v>30219</v>
      </c>
      <c r="P7" s="39">
        <v>454</v>
      </c>
      <c r="Q7" s="39">
        <v>726</v>
      </c>
      <c r="R7" s="39">
        <v>0</v>
      </c>
      <c r="S7" s="35">
        <f>SUM(O7:R7)</f>
        <v>31399</v>
      </c>
      <c r="T7" s="221">
        <v>39959</v>
      </c>
      <c r="U7" s="222">
        <v>445</v>
      </c>
      <c r="V7" s="222">
        <v>207</v>
      </c>
      <c r="W7" s="222">
        <v>0</v>
      </c>
      <c r="X7" s="35">
        <f>SUM(T7:W7)</f>
        <v>40611</v>
      </c>
      <c r="Y7" s="221">
        <v>36788</v>
      </c>
      <c r="Z7" s="222">
        <v>23</v>
      </c>
      <c r="AA7" s="222">
        <v>639</v>
      </c>
      <c r="AB7" s="222">
        <v>0</v>
      </c>
      <c r="AC7" s="35">
        <f>SUM(Y7:AB7)</f>
        <v>37450</v>
      </c>
      <c r="AD7" s="221">
        <v>33343</v>
      </c>
      <c r="AE7" s="222">
        <v>198</v>
      </c>
      <c r="AF7" s="222">
        <v>1000</v>
      </c>
      <c r="AG7" s="222">
        <v>0</v>
      </c>
      <c r="AH7" s="35">
        <f>SUM(AD7:AG7)</f>
        <v>34541</v>
      </c>
      <c r="AI7" s="36">
        <v>41553</v>
      </c>
      <c r="AJ7" s="39">
        <v>6</v>
      </c>
      <c r="AK7" s="39">
        <v>1583</v>
      </c>
      <c r="AL7" s="39">
        <v>0</v>
      </c>
      <c r="AM7" s="35">
        <f>SUM(AI7:AL7)</f>
        <v>43142</v>
      </c>
      <c r="AN7" s="36">
        <v>40069</v>
      </c>
      <c r="AO7" s="39">
        <v>18</v>
      </c>
      <c r="AP7" s="39">
        <v>1467</v>
      </c>
      <c r="AQ7" s="39">
        <v>0</v>
      </c>
      <c r="AR7" s="35">
        <f t="shared" ref="AR7:AR45" si="2">SUM(AN7:AQ7)</f>
        <v>41554</v>
      </c>
      <c r="AS7" s="36">
        <v>43993</v>
      </c>
      <c r="AT7" s="39">
        <v>37</v>
      </c>
      <c r="AU7" s="39">
        <v>2004</v>
      </c>
      <c r="AV7" s="39">
        <v>0</v>
      </c>
      <c r="AW7" s="35">
        <f>SUM(AS7:AV7)</f>
        <v>46034</v>
      </c>
      <c r="AX7" s="36">
        <v>35187</v>
      </c>
      <c r="AY7" s="39">
        <v>36</v>
      </c>
      <c r="AZ7" s="39">
        <v>201</v>
      </c>
      <c r="BA7" s="39">
        <v>0</v>
      </c>
      <c r="BB7" s="35">
        <f t="shared" ref="BB7:BB46" si="3">SUM(AX7:BA7)</f>
        <v>35424</v>
      </c>
      <c r="BC7" s="36">
        <v>33447</v>
      </c>
      <c r="BD7" s="39">
        <v>120</v>
      </c>
      <c r="BE7" s="39">
        <v>977</v>
      </c>
      <c r="BF7" s="39">
        <v>0</v>
      </c>
      <c r="BG7" s="35">
        <f>SUM(BC7:BF7)</f>
        <v>34544</v>
      </c>
      <c r="BH7" s="36">
        <v>36201</v>
      </c>
      <c r="BI7" s="39">
        <v>153</v>
      </c>
      <c r="BJ7" s="39">
        <v>1606</v>
      </c>
      <c r="BK7" s="39">
        <v>0</v>
      </c>
      <c r="BL7" s="35">
        <f>SUM(BH7:BK7)</f>
        <v>37960</v>
      </c>
      <c r="BM7" s="36">
        <f>47780+CA7</f>
        <v>43613</v>
      </c>
      <c r="BN7" s="39">
        <f>+CB7</f>
        <v>1</v>
      </c>
      <c r="BO7" s="39">
        <f>856+CC7</f>
        <v>5022</v>
      </c>
      <c r="BP7" s="39">
        <f>576+CD7</f>
        <v>576</v>
      </c>
      <c r="BQ7" s="35">
        <f>SUM(BM7:BP7)</f>
        <v>49212</v>
      </c>
      <c r="BR7" s="36">
        <f>+J7+O7+T7+Y7+AD7+AI7+AN7+AS7+AX7+BC7+BH7+BM7</f>
        <v>441551</v>
      </c>
      <c r="BS7" s="163">
        <f>+K7+P7+U7+Z7+AE7+AJ7+AO7+AT7+AY7+BD7+BI7+BN7</f>
        <v>1714</v>
      </c>
      <c r="BT7" s="39">
        <f>+L7+Q7+V7+AA7+AF7+AK7+AP7+AU7+AZ7+BE7+BJ7+BO7</f>
        <v>15464</v>
      </c>
      <c r="BU7" s="39">
        <f>+M7+R7+W7+AB7+AG7+AL7+AQ7+AV7+BA7+BF7+BK7+BP7</f>
        <v>576</v>
      </c>
      <c r="BV7" s="36">
        <f t="shared" ref="BV7:BV46" si="4">SUM(BR7:BU7)</f>
        <v>459305</v>
      </c>
      <c r="BW7" s="164"/>
      <c r="BX7" s="223">
        <f>(BV7/I7)*100</f>
        <v>100</v>
      </c>
      <c r="CA7" s="1">
        <v>-4167</v>
      </c>
      <c r="CB7" s="1">
        <v>1</v>
      </c>
      <c r="CC7" s="1">
        <v>4166</v>
      </c>
      <c r="CD7" s="1">
        <v>0</v>
      </c>
    </row>
    <row r="8" spans="1:83" x14ac:dyDescent="0.2">
      <c r="A8" s="159">
        <v>2</v>
      </c>
      <c r="B8" s="160" t="s">
        <v>179</v>
      </c>
      <c r="D8" s="166" t="s">
        <v>55</v>
      </c>
      <c r="E8" s="162">
        <v>1433954</v>
      </c>
      <c r="F8" s="163">
        <v>438740</v>
      </c>
      <c r="G8" s="163">
        <v>0</v>
      </c>
      <c r="H8" s="163">
        <v>0</v>
      </c>
      <c r="I8" s="35">
        <f t="shared" si="1"/>
        <v>1872694</v>
      </c>
      <c r="J8" s="36">
        <v>119227</v>
      </c>
      <c r="K8" s="39">
        <v>109685</v>
      </c>
      <c r="L8" s="39">
        <v>0</v>
      </c>
      <c r="M8" s="39">
        <v>0</v>
      </c>
      <c r="N8" s="35">
        <f>SUM(J8:M8)</f>
        <v>228912</v>
      </c>
      <c r="O8" s="36">
        <v>119480</v>
      </c>
      <c r="P8" s="39">
        <v>0</v>
      </c>
      <c r="Q8" s="39">
        <v>0</v>
      </c>
      <c r="R8" s="39">
        <v>0</v>
      </c>
      <c r="S8" s="35">
        <f t="shared" ref="S8:S15" si="5">SUM(O8:R8)</f>
        <v>119480</v>
      </c>
      <c r="T8" s="221">
        <v>119459</v>
      </c>
      <c r="U8" s="39">
        <v>0</v>
      </c>
      <c r="V8" s="39">
        <v>0</v>
      </c>
      <c r="W8" s="39">
        <v>0</v>
      </c>
      <c r="X8" s="35">
        <f t="shared" ref="X8:X46" si="6">SUM(T8:W8)</f>
        <v>119459</v>
      </c>
      <c r="Y8" s="36">
        <v>119449</v>
      </c>
      <c r="Z8" s="39">
        <v>109685</v>
      </c>
      <c r="AA8" s="39">
        <v>0</v>
      </c>
      <c r="AB8" s="39">
        <v>0</v>
      </c>
      <c r="AC8" s="35">
        <f t="shared" ref="AC8:AC46" si="7">SUM(Y8:AB8)</f>
        <v>229134</v>
      </c>
      <c r="AD8" s="36">
        <v>119361</v>
      </c>
      <c r="AE8" s="39">
        <v>0</v>
      </c>
      <c r="AF8" s="39">
        <v>0</v>
      </c>
      <c r="AG8" s="39">
        <v>0</v>
      </c>
      <c r="AH8" s="35">
        <f t="shared" ref="AH8:AH46" si="8">SUM(AD8:AG8)</f>
        <v>119361</v>
      </c>
      <c r="AI8" s="36">
        <v>119603</v>
      </c>
      <c r="AJ8" s="39">
        <v>0</v>
      </c>
      <c r="AK8" s="39">
        <v>0</v>
      </c>
      <c r="AL8" s="39">
        <v>0</v>
      </c>
      <c r="AM8" s="35">
        <f t="shared" ref="AM8:AM46" si="9">SUM(AI8:AL8)</f>
        <v>119603</v>
      </c>
      <c r="AN8" s="36">
        <v>119489</v>
      </c>
      <c r="AO8" s="39">
        <v>109685</v>
      </c>
      <c r="AP8" s="39">
        <v>0</v>
      </c>
      <c r="AQ8" s="39">
        <v>0</v>
      </c>
      <c r="AR8" s="35">
        <f t="shared" si="2"/>
        <v>229174</v>
      </c>
      <c r="AS8" s="36">
        <v>119548</v>
      </c>
      <c r="AT8" s="39">
        <v>0</v>
      </c>
      <c r="AU8" s="39">
        <v>0</v>
      </c>
      <c r="AV8" s="39">
        <v>0</v>
      </c>
      <c r="AW8" s="35">
        <f t="shared" ref="AW8:AW46" si="10">SUM(AS8:AV8)</f>
        <v>119548</v>
      </c>
      <c r="AX8" s="36">
        <v>119583</v>
      </c>
      <c r="AY8" s="39">
        <v>0</v>
      </c>
      <c r="AZ8" s="39">
        <v>0</v>
      </c>
      <c r="BA8" s="39">
        <v>0</v>
      </c>
      <c r="BB8" s="35">
        <f t="shared" si="3"/>
        <v>119583</v>
      </c>
      <c r="BC8" s="36">
        <v>119819</v>
      </c>
      <c r="BD8" s="39">
        <v>109685</v>
      </c>
      <c r="BE8" s="39">
        <v>0</v>
      </c>
      <c r="BF8" s="39">
        <v>0</v>
      </c>
      <c r="BG8" s="35">
        <f t="shared" ref="BG8:BG46" si="11">SUM(BC8:BF8)</f>
        <v>229504</v>
      </c>
      <c r="BH8" s="36">
        <v>119889</v>
      </c>
      <c r="BI8" s="39">
        <v>0</v>
      </c>
      <c r="BJ8" s="39">
        <v>0</v>
      </c>
      <c r="BK8" s="39">
        <v>0</v>
      </c>
      <c r="BL8" s="35">
        <f t="shared" ref="BL8:BL46" si="12">SUM(BH8:BK8)</f>
        <v>119889</v>
      </c>
      <c r="BM8" s="36">
        <v>119047</v>
      </c>
      <c r="BN8" s="39">
        <v>0</v>
      </c>
      <c r="BO8" s="39">
        <v>0</v>
      </c>
      <c r="BP8" s="39">
        <v>0</v>
      </c>
      <c r="BQ8" s="35">
        <f t="shared" ref="BQ8:BQ46" si="13">SUM(BM8:BP8)</f>
        <v>119047</v>
      </c>
      <c r="BR8" s="36">
        <f>+J8+O8+T8+Y8+AD8+AI8+AN8+AS8+AX8+BC8+BH8+BM8</f>
        <v>1433954</v>
      </c>
      <c r="BS8" s="163">
        <f>+K8+P8+U8+Z8+AE8+AJ8+AO8+AT8+AY8+BD8+BI8+BN8</f>
        <v>438740</v>
      </c>
      <c r="BT8" s="39">
        <f t="shared" ref="BS8:BU23" si="14">+L8+Q8+V8+AA8+AF8+AK8+AP8+AU8+AZ8+BE8+BJ8+BO8</f>
        <v>0</v>
      </c>
      <c r="BU8" s="39">
        <f t="shared" si="14"/>
        <v>0</v>
      </c>
      <c r="BV8" s="36">
        <f t="shared" si="4"/>
        <v>1872694</v>
      </c>
      <c r="BW8" s="8"/>
      <c r="BX8" s="223">
        <f>(BV8/I8)*100</f>
        <v>100</v>
      </c>
      <c r="CA8" s="1">
        <v>0</v>
      </c>
      <c r="CB8" s="1">
        <v>0</v>
      </c>
      <c r="CC8" s="1">
        <v>0</v>
      </c>
      <c r="CD8" s="1">
        <v>0</v>
      </c>
    </row>
    <row r="9" spans="1:83" x14ac:dyDescent="0.2">
      <c r="A9" s="159">
        <v>3</v>
      </c>
      <c r="B9" s="160" t="s">
        <v>180</v>
      </c>
      <c r="D9" s="166"/>
      <c r="E9" s="162">
        <v>105694</v>
      </c>
      <c r="F9" s="163">
        <v>1381748</v>
      </c>
      <c r="G9" s="163">
        <v>639</v>
      </c>
      <c r="H9" s="163">
        <v>40</v>
      </c>
      <c r="I9" s="35">
        <f t="shared" si="1"/>
        <v>1488121</v>
      </c>
      <c r="J9" s="36">
        <v>6665</v>
      </c>
      <c r="K9" s="39">
        <v>127853</v>
      </c>
      <c r="L9" s="39">
        <v>0</v>
      </c>
      <c r="M9" s="39">
        <v>0</v>
      </c>
      <c r="N9" s="35">
        <f t="shared" ref="N9:N46" si="15">SUM(J9:M9)</f>
        <v>134518</v>
      </c>
      <c r="O9" s="36">
        <v>7588</v>
      </c>
      <c r="P9" s="39">
        <v>99958</v>
      </c>
      <c r="Q9" s="39">
        <v>0</v>
      </c>
      <c r="R9" s="39">
        <v>0</v>
      </c>
      <c r="S9" s="35">
        <f t="shared" si="5"/>
        <v>107546</v>
      </c>
      <c r="T9" s="221">
        <v>7836</v>
      </c>
      <c r="U9" s="39">
        <v>97061</v>
      </c>
      <c r="V9" s="39">
        <v>24</v>
      </c>
      <c r="W9" s="39">
        <v>19</v>
      </c>
      <c r="X9" s="35">
        <f t="shared" si="6"/>
        <v>104940</v>
      </c>
      <c r="Y9" s="36">
        <v>8431</v>
      </c>
      <c r="Z9" s="39">
        <v>154264</v>
      </c>
      <c r="AA9" s="39">
        <v>0</v>
      </c>
      <c r="AB9" s="39">
        <v>0</v>
      </c>
      <c r="AC9" s="35">
        <f t="shared" si="7"/>
        <v>162695</v>
      </c>
      <c r="AD9" s="36">
        <v>8334</v>
      </c>
      <c r="AE9" s="39">
        <v>140242</v>
      </c>
      <c r="AF9" s="39">
        <v>0</v>
      </c>
      <c r="AG9" s="39">
        <v>21</v>
      </c>
      <c r="AH9" s="35">
        <f t="shared" si="8"/>
        <v>148597</v>
      </c>
      <c r="AI9" s="36">
        <v>8079</v>
      </c>
      <c r="AJ9" s="39">
        <v>36402</v>
      </c>
      <c r="AK9" s="39">
        <v>82</v>
      </c>
      <c r="AL9" s="39">
        <v>0</v>
      </c>
      <c r="AM9" s="35">
        <f t="shared" si="9"/>
        <v>44563</v>
      </c>
      <c r="AN9" s="36">
        <v>10857</v>
      </c>
      <c r="AO9" s="39">
        <v>283068</v>
      </c>
      <c r="AP9" s="39">
        <v>0</v>
      </c>
      <c r="AQ9" s="39">
        <v>0</v>
      </c>
      <c r="AR9" s="35">
        <f t="shared" si="2"/>
        <v>293925</v>
      </c>
      <c r="AS9" s="36">
        <v>10574</v>
      </c>
      <c r="AT9" s="39">
        <v>32867</v>
      </c>
      <c r="AU9" s="39">
        <v>43</v>
      </c>
      <c r="AV9" s="39">
        <v>0</v>
      </c>
      <c r="AW9" s="35">
        <f t="shared" si="10"/>
        <v>43484</v>
      </c>
      <c r="AX9" s="36">
        <v>10872</v>
      </c>
      <c r="AY9" s="39">
        <v>43188</v>
      </c>
      <c r="AZ9" s="39">
        <v>-4</v>
      </c>
      <c r="BA9" s="39">
        <v>0</v>
      </c>
      <c r="BB9" s="35">
        <f t="shared" si="3"/>
        <v>54056</v>
      </c>
      <c r="BC9" s="36">
        <v>8125</v>
      </c>
      <c r="BD9" s="39">
        <v>236864</v>
      </c>
      <c r="BE9" s="39">
        <v>7</v>
      </c>
      <c r="BF9" s="39">
        <v>0</v>
      </c>
      <c r="BG9" s="35">
        <f t="shared" si="11"/>
        <v>244996</v>
      </c>
      <c r="BH9" s="36">
        <v>7688</v>
      </c>
      <c r="BI9" s="39">
        <v>85218</v>
      </c>
      <c r="BJ9" s="39">
        <v>0</v>
      </c>
      <c r="BK9" s="39">
        <v>0</v>
      </c>
      <c r="BL9" s="35">
        <f t="shared" si="12"/>
        <v>92906</v>
      </c>
      <c r="BM9" s="36">
        <f>10646+CA9</f>
        <v>10645</v>
      </c>
      <c r="BN9" s="39">
        <f>44765+CB9</f>
        <v>44763</v>
      </c>
      <c r="BO9" s="39">
        <f>491+CC9</f>
        <v>487</v>
      </c>
      <c r="BP9" s="39">
        <v>0</v>
      </c>
      <c r="BQ9" s="35">
        <f t="shared" si="13"/>
        <v>55895</v>
      </c>
      <c r="BR9" s="36">
        <f t="shared" ref="BR9:BU46" si="16">+J9+O9+T9+Y9+AD9+AI9+AN9+AS9+AX9+BC9+BH9+BM9</f>
        <v>105694</v>
      </c>
      <c r="BS9" s="163">
        <f t="shared" si="14"/>
        <v>1381748</v>
      </c>
      <c r="BT9" s="39">
        <f t="shared" si="14"/>
        <v>639</v>
      </c>
      <c r="BU9" s="39">
        <f t="shared" si="14"/>
        <v>40</v>
      </c>
      <c r="BV9" s="36">
        <f t="shared" si="4"/>
        <v>1488121</v>
      </c>
      <c r="BW9" s="8"/>
      <c r="BX9" s="165">
        <f t="shared" ref="BX9:BX70" si="17">(BV9/I9)*100</f>
        <v>100</v>
      </c>
      <c r="CA9" s="1">
        <v>-1</v>
      </c>
      <c r="CB9" s="1">
        <v>-2</v>
      </c>
      <c r="CC9" s="1">
        <v>-4</v>
      </c>
      <c r="CD9" s="1">
        <v>0</v>
      </c>
    </row>
    <row r="10" spans="1:83" x14ac:dyDescent="0.2">
      <c r="A10" s="159">
        <v>4</v>
      </c>
      <c r="B10" s="160" t="s">
        <v>181</v>
      </c>
      <c r="D10" s="161"/>
      <c r="E10" s="162">
        <v>3901829</v>
      </c>
      <c r="F10" s="163">
        <v>77971531</v>
      </c>
      <c r="G10" s="163">
        <v>44522</v>
      </c>
      <c r="H10" s="163">
        <v>502</v>
      </c>
      <c r="I10" s="35">
        <f t="shared" si="1"/>
        <v>81918384</v>
      </c>
      <c r="J10" s="36">
        <v>249052</v>
      </c>
      <c r="K10" s="39">
        <v>38144</v>
      </c>
      <c r="L10" s="39">
        <v>805</v>
      </c>
      <c r="M10" s="39">
        <v>6</v>
      </c>
      <c r="N10" s="35">
        <f t="shared" si="15"/>
        <v>288007</v>
      </c>
      <c r="O10" s="36">
        <v>315617</v>
      </c>
      <c r="P10" s="39">
        <v>48968</v>
      </c>
      <c r="Q10" s="39">
        <v>61</v>
      </c>
      <c r="R10" s="39">
        <v>0</v>
      </c>
      <c r="S10" s="35">
        <f t="shared" si="5"/>
        <v>364646</v>
      </c>
      <c r="T10" s="221">
        <v>275630</v>
      </c>
      <c r="U10" s="222">
        <v>105279</v>
      </c>
      <c r="V10" s="222">
        <v>456</v>
      </c>
      <c r="W10" s="222">
        <v>3</v>
      </c>
      <c r="X10" s="35">
        <f t="shared" si="6"/>
        <v>381368</v>
      </c>
      <c r="Y10" s="221">
        <v>283975</v>
      </c>
      <c r="Z10" s="222">
        <v>31205311</v>
      </c>
      <c r="AA10" s="222">
        <v>152</v>
      </c>
      <c r="AB10" s="222">
        <v>0</v>
      </c>
      <c r="AC10" s="35">
        <f t="shared" si="7"/>
        <v>31489438</v>
      </c>
      <c r="AD10" s="221">
        <v>276840</v>
      </c>
      <c r="AE10" s="222">
        <v>535976</v>
      </c>
      <c r="AF10" s="222">
        <v>316</v>
      </c>
      <c r="AG10" s="222">
        <v>0</v>
      </c>
      <c r="AH10" s="35">
        <f t="shared" si="8"/>
        <v>813132</v>
      </c>
      <c r="AI10" s="36">
        <v>277131</v>
      </c>
      <c r="AJ10" s="39">
        <v>205272</v>
      </c>
      <c r="AK10" s="39">
        <v>729</v>
      </c>
      <c r="AL10" s="39">
        <v>0</v>
      </c>
      <c r="AM10" s="35">
        <f t="shared" si="9"/>
        <v>483132</v>
      </c>
      <c r="AN10" s="36">
        <v>259003</v>
      </c>
      <c r="AO10" s="39">
        <v>204950</v>
      </c>
      <c r="AP10" s="39">
        <v>23</v>
      </c>
      <c r="AQ10" s="39">
        <v>0</v>
      </c>
      <c r="AR10" s="35">
        <f t="shared" si="2"/>
        <v>463976</v>
      </c>
      <c r="AS10" s="36">
        <v>319362</v>
      </c>
      <c r="AT10" s="39">
        <v>447506</v>
      </c>
      <c r="AU10" s="39">
        <v>84</v>
      </c>
      <c r="AV10" s="39">
        <v>3</v>
      </c>
      <c r="AW10" s="35">
        <f t="shared" si="10"/>
        <v>766955</v>
      </c>
      <c r="AX10" s="36">
        <v>331373</v>
      </c>
      <c r="AY10" s="39">
        <v>22831885</v>
      </c>
      <c r="AZ10" s="39">
        <v>558</v>
      </c>
      <c r="BA10" s="39">
        <v>0</v>
      </c>
      <c r="BB10" s="35">
        <f t="shared" si="3"/>
        <v>23163816</v>
      </c>
      <c r="BC10" s="36">
        <v>252759</v>
      </c>
      <c r="BD10" s="39">
        <v>618514</v>
      </c>
      <c r="BE10" s="39">
        <v>0</v>
      </c>
      <c r="BF10" s="39">
        <v>0</v>
      </c>
      <c r="BG10" s="35">
        <f t="shared" si="11"/>
        <v>871273</v>
      </c>
      <c r="BH10" s="36">
        <v>405144</v>
      </c>
      <c r="BI10" s="39">
        <v>176330</v>
      </c>
      <c r="BJ10" s="39">
        <v>26</v>
      </c>
      <c r="BK10" s="39">
        <v>0</v>
      </c>
      <c r="BL10" s="35">
        <f t="shared" si="12"/>
        <v>581500</v>
      </c>
      <c r="BM10" s="36">
        <f>335372+CA10</f>
        <v>655943</v>
      </c>
      <c r="BN10" s="39">
        <f>21553394+CB10</f>
        <v>21553396</v>
      </c>
      <c r="BO10" s="39">
        <f>958+CC10</f>
        <v>41312</v>
      </c>
      <c r="BP10" s="39">
        <f>327+CD10</f>
        <v>490</v>
      </c>
      <c r="BQ10" s="35">
        <f t="shared" si="13"/>
        <v>22251141</v>
      </c>
      <c r="BR10" s="36">
        <f t="shared" si="16"/>
        <v>3901829</v>
      </c>
      <c r="BS10" s="163">
        <f t="shared" si="14"/>
        <v>77971531</v>
      </c>
      <c r="BT10" s="39">
        <f t="shared" si="14"/>
        <v>44522</v>
      </c>
      <c r="BU10" s="39">
        <f t="shared" si="14"/>
        <v>502</v>
      </c>
      <c r="BV10" s="36">
        <f t="shared" si="4"/>
        <v>81918384</v>
      </c>
      <c r="BW10" s="8"/>
      <c r="BX10" s="223">
        <f>(BV10/I10)*100</f>
        <v>100</v>
      </c>
      <c r="CA10" s="1">
        <v>320571</v>
      </c>
      <c r="CB10" s="1">
        <v>2</v>
      </c>
      <c r="CC10" s="1">
        <v>40354</v>
      </c>
      <c r="CD10" s="1">
        <v>163</v>
      </c>
    </row>
    <row r="11" spans="1:83" x14ac:dyDescent="0.2">
      <c r="A11" s="159">
        <v>5</v>
      </c>
      <c r="B11" s="160" t="s">
        <v>182</v>
      </c>
      <c r="D11" s="161"/>
      <c r="E11" s="162">
        <v>6574582</v>
      </c>
      <c r="F11" s="163">
        <v>2135356</v>
      </c>
      <c r="G11" s="163">
        <v>332314</v>
      </c>
      <c r="H11" s="163">
        <v>4987</v>
      </c>
      <c r="I11" s="35">
        <f t="shared" si="1"/>
        <v>9047239</v>
      </c>
      <c r="J11" s="36">
        <v>376091</v>
      </c>
      <c r="K11" s="39">
        <v>368003</v>
      </c>
      <c r="L11" s="39">
        <v>204</v>
      </c>
      <c r="M11" s="39">
        <v>0</v>
      </c>
      <c r="N11" s="35">
        <f t="shared" si="15"/>
        <v>744298</v>
      </c>
      <c r="O11" s="36">
        <v>453059</v>
      </c>
      <c r="P11" s="39">
        <v>151397</v>
      </c>
      <c r="Q11" s="39">
        <v>464</v>
      </c>
      <c r="R11" s="39">
        <v>0</v>
      </c>
      <c r="S11" s="35">
        <f t="shared" si="5"/>
        <v>604920</v>
      </c>
      <c r="T11" s="221">
        <v>644457</v>
      </c>
      <c r="U11" s="222">
        <v>150322</v>
      </c>
      <c r="V11" s="222">
        <v>6749</v>
      </c>
      <c r="W11" s="222">
        <v>0</v>
      </c>
      <c r="X11" s="35">
        <f t="shared" si="6"/>
        <v>801528</v>
      </c>
      <c r="Y11" s="221">
        <v>574263</v>
      </c>
      <c r="Z11" s="222">
        <v>187909</v>
      </c>
      <c r="AA11" s="222">
        <v>4579</v>
      </c>
      <c r="AB11" s="222">
        <v>0</v>
      </c>
      <c r="AC11" s="35">
        <f t="shared" si="7"/>
        <v>766751</v>
      </c>
      <c r="AD11" s="221">
        <v>523115</v>
      </c>
      <c r="AE11" s="222">
        <v>151204</v>
      </c>
      <c r="AF11" s="222">
        <v>4299</v>
      </c>
      <c r="AG11" s="222">
        <v>0</v>
      </c>
      <c r="AH11" s="35">
        <f t="shared" si="8"/>
        <v>678618</v>
      </c>
      <c r="AI11" s="36">
        <v>490644</v>
      </c>
      <c r="AJ11" s="39">
        <v>149752</v>
      </c>
      <c r="AK11" s="39">
        <v>23456</v>
      </c>
      <c r="AL11" s="39">
        <v>0</v>
      </c>
      <c r="AM11" s="35">
        <f t="shared" si="9"/>
        <v>663852</v>
      </c>
      <c r="AN11" s="36">
        <v>552038</v>
      </c>
      <c r="AO11" s="39">
        <v>186484</v>
      </c>
      <c r="AP11" s="39">
        <v>32159</v>
      </c>
      <c r="AQ11" s="39">
        <v>0</v>
      </c>
      <c r="AR11" s="35">
        <f t="shared" si="2"/>
        <v>770681</v>
      </c>
      <c r="AS11" s="36">
        <v>506781</v>
      </c>
      <c r="AT11" s="39">
        <v>150646</v>
      </c>
      <c r="AU11" s="39">
        <v>28158</v>
      </c>
      <c r="AV11" s="39">
        <v>0</v>
      </c>
      <c r="AW11" s="35">
        <f t="shared" si="10"/>
        <v>685585</v>
      </c>
      <c r="AX11" s="36">
        <v>462341</v>
      </c>
      <c r="AY11" s="39">
        <v>151892</v>
      </c>
      <c r="AZ11" s="39">
        <v>39729</v>
      </c>
      <c r="BA11" s="39">
        <v>0</v>
      </c>
      <c r="BB11" s="35">
        <f t="shared" si="3"/>
        <v>653962</v>
      </c>
      <c r="BC11" s="36">
        <v>575874</v>
      </c>
      <c r="BD11" s="39">
        <v>187454</v>
      </c>
      <c r="BE11" s="39">
        <v>35303</v>
      </c>
      <c r="BF11" s="39">
        <v>0</v>
      </c>
      <c r="BG11" s="35">
        <f t="shared" si="11"/>
        <v>798631</v>
      </c>
      <c r="BH11" s="36">
        <v>619026</v>
      </c>
      <c r="BI11" s="39">
        <v>150760</v>
      </c>
      <c r="BJ11" s="39">
        <v>26047</v>
      </c>
      <c r="BK11" s="39">
        <v>0</v>
      </c>
      <c r="BL11" s="35">
        <f t="shared" si="12"/>
        <v>795833</v>
      </c>
      <c r="BM11" s="36">
        <f>796109+CA11</f>
        <v>796893</v>
      </c>
      <c r="BN11" s="39">
        <f>149536+CB11</f>
        <v>149533</v>
      </c>
      <c r="BO11" s="39">
        <f>131851+CC11</f>
        <v>131167</v>
      </c>
      <c r="BP11" s="39">
        <v>4987</v>
      </c>
      <c r="BQ11" s="35">
        <f t="shared" si="13"/>
        <v>1082580</v>
      </c>
      <c r="BR11" s="36">
        <f t="shared" si="16"/>
        <v>6574582</v>
      </c>
      <c r="BS11" s="163">
        <f t="shared" si="14"/>
        <v>2135356</v>
      </c>
      <c r="BT11" s="39">
        <f t="shared" si="14"/>
        <v>332314</v>
      </c>
      <c r="BU11" s="39">
        <f t="shared" si="14"/>
        <v>4987</v>
      </c>
      <c r="BV11" s="36">
        <f t="shared" si="4"/>
        <v>9047239</v>
      </c>
      <c r="BW11" s="8"/>
      <c r="BX11" s="165">
        <f>(BV11/I11)*100</f>
        <v>100</v>
      </c>
      <c r="CA11" s="1">
        <v>784</v>
      </c>
      <c r="CB11" s="1">
        <v>-3</v>
      </c>
      <c r="CC11" s="1">
        <v>-684</v>
      </c>
      <c r="CD11" s="1">
        <v>0</v>
      </c>
    </row>
    <row r="12" spans="1:83" x14ac:dyDescent="0.2">
      <c r="A12" s="159">
        <v>6</v>
      </c>
      <c r="B12" s="160" t="s">
        <v>183</v>
      </c>
      <c r="D12" s="161"/>
      <c r="E12" s="162">
        <v>5507495</v>
      </c>
      <c r="F12" s="163">
        <v>795456</v>
      </c>
      <c r="G12" s="163">
        <v>54264</v>
      </c>
      <c r="H12" s="163">
        <v>13024</v>
      </c>
      <c r="I12" s="35">
        <f t="shared" si="1"/>
        <v>6370239</v>
      </c>
      <c r="J12" s="36">
        <v>390011</v>
      </c>
      <c r="K12" s="39">
        <v>760</v>
      </c>
      <c r="L12" s="39">
        <v>158</v>
      </c>
      <c r="M12" s="39">
        <v>0</v>
      </c>
      <c r="N12" s="35">
        <f t="shared" si="15"/>
        <v>390929</v>
      </c>
      <c r="O12" s="36">
        <v>443154</v>
      </c>
      <c r="P12" s="39">
        <v>156193</v>
      </c>
      <c r="Q12" s="39">
        <v>974</v>
      </c>
      <c r="R12" s="39">
        <v>0</v>
      </c>
      <c r="S12" s="35">
        <f t="shared" si="5"/>
        <v>600321</v>
      </c>
      <c r="T12" s="221">
        <v>417875</v>
      </c>
      <c r="U12" s="222">
        <v>6893</v>
      </c>
      <c r="V12" s="222">
        <v>21431</v>
      </c>
      <c r="W12" s="222">
        <v>0</v>
      </c>
      <c r="X12" s="35">
        <f t="shared" si="6"/>
        <v>446199</v>
      </c>
      <c r="Y12" s="221">
        <v>494832</v>
      </c>
      <c r="Z12" s="222">
        <v>11628</v>
      </c>
      <c r="AA12" s="222">
        <v>42416</v>
      </c>
      <c r="AB12" s="222">
        <v>0</v>
      </c>
      <c r="AC12" s="35">
        <f t="shared" si="7"/>
        <v>548876</v>
      </c>
      <c r="AD12" s="221">
        <v>417304</v>
      </c>
      <c r="AE12" s="222">
        <v>253124</v>
      </c>
      <c r="AF12" s="222">
        <v>909</v>
      </c>
      <c r="AG12" s="222">
        <v>0</v>
      </c>
      <c r="AH12" s="35">
        <f t="shared" si="8"/>
        <v>671337</v>
      </c>
      <c r="AI12" s="36">
        <v>535145</v>
      </c>
      <c r="AJ12" s="39">
        <v>13993</v>
      </c>
      <c r="AK12" s="39">
        <v>-44118</v>
      </c>
      <c r="AL12" s="39">
        <v>0</v>
      </c>
      <c r="AM12" s="35">
        <f t="shared" si="9"/>
        <v>505020</v>
      </c>
      <c r="AN12" s="36">
        <v>468800</v>
      </c>
      <c r="AO12" s="39">
        <v>6543</v>
      </c>
      <c r="AP12" s="39">
        <v>21812</v>
      </c>
      <c r="AQ12" s="39">
        <v>0</v>
      </c>
      <c r="AR12" s="35">
        <f t="shared" si="2"/>
        <v>497155</v>
      </c>
      <c r="AS12" s="36">
        <v>429747</v>
      </c>
      <c r="AT12" s="39">
        <v>69120</v>
      </c>
      <c r="AU12" s="39">
        <v>2222</v>
      </c>
      <c r="AV12" s="39">
        <v>0</v>
      </c>
      <c r="AW12" s="35">
        <f t="shared" si="10"/>
        <v>501089</v>
      </c>
      <c r="AX12" s="36">
        <v>423834</v>
      </c>
      <c r="AY12" s="39">
        <v>2132</v>
      </c>
      <c r="AZ12" s="39">
        <v>4874</v>
      </c>
      <c r="BA12" s="39">
        <v>0</v>
      </c>
      <c r="BB12" s="35">
        <f t="shared" si="3"/>
        <v>430840</v>
      </c>
      <c r="BC12" s="36">
        <v>477214</v>
      </c>
      <c r="BD12" s="39">
        <v>2114</v>
      </c>
      <c r="BE12" s="39">
        <v>42949</v>
      </c>
      <c r="BF12" s="39">
        <v>0</v>
      </c>
      <c r="BG12" s="35">
        <f t="shared" si="11"/>
        <v>522277</v>
      </c>
      <c r="BH12" s="36">
        <v>383455</v>
      </c>
      <c r="BI12" s="39">
        <v>164324</v>
      </c>
      <c r="BJ12" s="39">
        <v>1098</v>
      </c>
      <c r="BK12" s="39">
        <v>0</v>
      </c>
      <c r="BL12" s="35">
        <f>SUM(BH12:BK12)</f>
        <v>548877</v>
      </c>
      <c r="BM12" s="36">
        <f>624845+CA12</f>
        <v>626124</v>
      </c>
      <c r="BN12" s="39">
        <f>108634+CB12</f>
        <v>108632</v>
      </c>
      <c r="BO12" s="39">
        <f>-39541+CC12</f>
        <v>-40461</v>
      </c>
      <c r="BP12" s="39">
        <f>+CD12</f>
        <v>13024</v>
      </c>
      <c r="BQ12" s="35">
        <f t="shared" si="13"/>
        <v>707319</v>
      </c>
      <c r="BR12" s="36">
        <f t="shared" si="16"/>
        <v>5507495</v>
      </c>
      <c r="BS12" s="163">
        <f t="shared" si="14"/>
        <v>795456</v>
      </c>
      <c r="BT12" s="39">
        <f t="shared" si="14"/>
        <v>54264</v>
      </c>
      <c r="BU12" s="39">
        <f t="shared" si="14"/>
        <v>13024</v>
      </c>
      <c r="BV12" s="36">
        <f t="shared" si="4"/>
        <v>6370239</v>
      </c>
      <c r="BW12" s="8"/>
      <c r="BX12" s="223">
        <f t="shared" si="17"/>
        <v>100</v>
      </c>
      <c r="CA12" s="1">
        <v>1279</v>
      </c>
      <c r="CB12" s="1">
        <v>-2</v>
      </c>
      <c r="CC12" s="1">
        <v>-920</v>
      </c>
      <c r="CD12" s="1">
        <v>13024</v>
      </c>
    </row>
    <row r="13" spans="1:83" x14ac:dyDescent="0.2">
      <c r="A13" s="159">
        <v>7</v>
      </c>
      <c r="B13" s="160" t="s">
        <v>184</v>
      </c>
      <c r="D13" s="167"/>
      <c r="E13" s="162">
        <v>2071255</v>
      </c>
      <c r="F13" s="163">
        <v>21962846</v>
      </c>
      <c r="G13" s="163">
        <v>23448</v>
      </c>
      <c r="H13" s="163">
        <v>4594743</v>
      </c>
      <c r="I13" s="35">
        <f t="shared" si="1"/>
        <v>28652292</v>
      </c>
      <c r="J13" s="36">
        <v>131510</v>
      </c>
      <c r="K13" s="39">
        <v>1566276</v>
      </c>
      <c r="L13" s="39">
        <v>206</v>
      </c>
      <c r="M13" s="39">
        <v>0</v>
      </c>
      <c r="N13" s="35">
        <f t="shared" si="15"/>
        <v>1697992</v>
      </c>
      <c r="O13" s="36">
        <v>109945</v>
      </c>
      <c r="P13" s="39">
        <v>1519026</v>
      </c>
      <c r="Q13" s="39">
        <v>89</v>
      </c>
      <c r="R13" s="39">
        <v>0</v>
      </c>
      <c r="S13" s="35">
        <f t="shared" si="5"/>
        <v>1629060</v>
      </c>
      <c r="T13" s="36">
        <v>224792</v>
      </c>
      <c r="U13" s="39">
        <v>1484097</v>
      </c>
      <c r="V13" s="39">
        <v>2652</v>
      </c>
      <c r="W13" s="39">
        <v>0</v>
      </c>
      <c r="X13" s="35">
        <f t="shared" si="6"/>
        <v>1711541</v>
      </c>
      <c r="Y13" s="36">
        <v>176850</v>
      </c>
      <c r="Z13" s="39">
        <v>1888762</v>
      </c>
      <c r="AA13" s="39">
        <v>4215</v>
      </c>
      <c r="AB13" s="39">
        <v>80</v>
      </c>
      <c r="AC13" s="35">
        <f t="shared" si="7"/>
        <v>2069907</v>
      </c>
      <c r="AD13" s="36">
        <v>139232</v>
      </c>
      <c r="AE13" s="39">
        <v>2133949</v>
      </c>
      <c r="AF13" s="39">
        <v>727</v>
      </c>
      <c r="AG13" s="39">
        <v>61</v>
      </c>
      <c r="AH13" s="35">
        <f t="shared" si="8"/>
        <v>2273969</v>
      </c>
      <c r="AI13" s="36">
        <v>196048</v>
      </c>
      <c r="AJ13" s="39">
        <v>1553059</v>
      </c>
      <c r="AK13" s="39">
        <v>633</v>
      </c>
      <c r="AL13" s="39">
        <v>0</v>
      </c>
      <c r="AM13" s="35">
        <f t="shared" si="9"/>
        <v>1749740</v>
      </c>
      <c r="AN13" s="36">
        <v>218980</v>
      </c>
      <c r="AO13" s="39">
        <v>1633081</v>
      </c>
      <c r="AP13" s="39">
        <v>232</v>
      </c>
      <c r="AQ13" s="39">
        <v>0</v>
      </c>
      <c r="AR13" s="35">
        <f t="shared" si="2"/>
        <v>1852293</v>
      </c>
      <c r="AS13" s="36">
        <v>182773</v>
      </c>
      <c r="AT13" s="39">
        <v>1742199</v>
      </c>
      <c r="AU13" s="39">
        <v>2785</v>
      </c>
      <c r="AV13" s="39">
        <v>0</v>
      </c>
      <c r="AW13" s="35">
        <f t="shared" si="10"/>
        <v>1927757</v>
      </c>
      <c r="AX13" s="36">
        <v>137411</v>
      </c>
      <c r="AY13" s="39">
        <v>1510044</v>
      </c>
      <c r="AZ13" s="39">
        <v>326</v>
      </c>
      <c r="BA13" s="39">
        <v>4151000</v>
      </c>
      <c r="BB13" s="35">
        <f t="shared" si="3"/>
        <v>5798781</v>
      </c>
      <c r="BC13" s="36">
        <v>134605</v>
      </c>
      <c r="BD13" s="39">
        <v>1737510</v>
      </c>
      <c r="BE13" s="39">
        <v>6608</v>
      </c>
      <c r="BF13" s="39">
        <v>312291</v>
      </c>
      <c r="BG13" s="35">
        <f t="shared" si="11"/>
        <v>2191014</v>
      </c>
      <c r="BH13" s="36">
        <v>144687</v>
      </c>
      <c r="BI13" s="39">
        <v>2614238</v>
      </c>
      <c r="BJ13" s="39">
        <v>1522</v>
      </c>
      <c r="BK13" s="39">
        <v>130718</v>
      </c>
      <c r="BL13" s="35">
        <f t="shared" si="12"/>
        <v>2891165</v>
      </c>
      <c r="BM13" s="36">
        <f>225157+CA13</f>
        <v>274422</v>
      </c>
      <c r="BN13" s="39">
        <f>2627376+CB13</f>
        <v>2580605</v>
      </c>
      <c r="BO13" s="39">
        <f>4586+CC13</f>
        <v>3453</v>
      </c>
      <c r="BP13" s="39">
        <f>595+CD13</f>
        <v>593</v>
      </c>
      <c r="BQ13" s="35">
        <f t="shared" si="13"/>
        <v>2859073</v>
      </c>
      <c r="BR13" s="36">
        <f t="shared" si="16"/>
        <v>2071255</v>
      </c>
      <c r="BS13" s="163">
        <f t="shared" si="14"/>
        <v>21962846</v>
      </c>
      <c r="BT13" s="39">
        <f t="shared" si="14"/>
        <v>23448</v>
      </c>
      <c r="BU13" s="39">
        <f t="shared" si="14"/>
        <v>4594743</v>
      </c>
      <c r="BV13" s="36">
        <f t="shared" si="4"/>
        <v>28652292</v>
      </c>
      <c r="BW13" s="8"/>
      <c r="BX13" s="223">
        <f>(BV13/I13)*100</f>
        <v>100</v>
      </c>
      <c r="BZ13" s="1"/>
      <c r="CA13" s="1">
        <v>49265</v>
      </c>
      <c r="CB13" s="1">
        <v>-46771</v>
      </c>
      <c r="CC13" s="1">
        <v>-1133</v>
      </c>
      <c r="CD13" s="1">
        <v>-2</v>
      </c>
    </row>
    <row r="14" spans="1:83" x14ac:dyDescent="0.2">
      <c r="A14" s="159">
        <v>8</v>
      </c>
      <c r="B14" s="160" t="s">
        <v>185</v>
      </c>
      <c r="D14" s="167"/>
      <c r="E14" s="162">
        <f>384777-2621</f>
        <v>382156</v>
      </c>
      <c r="F14" s="163">
        <v>477592</v>
      </c>
      <c r="G14" s="163">
        <v>14943</v>
      </c>
      <c r="H14" s="163">
        <v>63</v>
      </c>
      <c r="I14" s="35">
        <f>SUM(E14:H14)</f>
        <v>874754</v>
      </c>
      <c r="J14" s="36">
        <v>24526</v>
      </c>
      <c r="K14" s="39">
        <v>112</v>
      </c>
      <c r="L14" s="39">
        <v>1419</v>
      </c>
      <c r="M14" s="39">
        <v>0</v>
      </c>
      <c r="N14" s="35">
        <f t="shared" si="15"/>
        <v>26057</v>
      </c>
      <c r="O14" s="36">
        <v>25830</v>
      </c>
      <c r="P14" s="39">
        <v>110058</v>
      </c>
      <c r="Q14" s="39">
        <v>641</v>
      </c>
      <c r="R14" s="39">
        <v>0</v>
      </c>
      <c r="S14" s="35">
        <f t="shared" si="5"/>
        <v>136529</v>
      </c>
      <c r="T14" s="221">
        <v>24767</v>
      </c>
      <c r="U14" s="39">
        <v>0</v>
      </c>
      <c r="V14" s="39">
        <v>150</v>
      </c>
      <c r="W14" s="39">
        <v>0</v>
      </c>
      <c r="X14" s="35">
        <f t="shared" si="6"/>
        <v>24917</v>
      </c>
      <c r="Y14" s="221">
        <v>29797</v>
      </c>
      <c r="Z14" s="39">
        <v>41</v>
      </c>
      <c r="AA14" s="39">
        <v>161</v>
      </c>
      <c r="AB14" s="39">
        <v>0</v>
      </c>
      <c r="AC14" s="35">
        <f t="shared" si="7"/>
        <v>29999</v>
      </c>
      <c r="AD14" s="221">
        <v>30072</v>
      </c>
      <c r="AE14" s="39">
        <v>110006</v>
      </c>
      <c r="AF14" s="39">
        <v>1107</v>
      </c>
      <c r="AG14" s="39">
        <v>1</v>
      </c>
      <c r="AH14" s="35">
        <f t="shared" si="8"/>
        <v>141186</v>
      </c>
      <c r="AI14" s="36">
        <v>29710</v>
      </c>
      <c r="AJ14" s="39">
        <v>10</v>
      </c>
      <c r="AK14" s="39">
        <v>300</v>
      </c>
      <c r="AL14" s="39">
        <v>0</v>
      </c>
      <c r="AM14" s="35">
        <f t="shared" si="9"/>
        <v>30020</v>
      </c>
      <c r="AN14" s="36">
        <v>32006</v>
      </c>
      <c r="AO14" s="39">
        <v>120</v>
      </c>
      <c r="AP14" s="39">
        <v>369</v>
      </c>
      <c r="AQ14" s="39">
        <v>0</v>
      </c>
      <c r="AR14" s="35">
        <f t="shared" si="2"/>
        <v>32495</v>
      </c>
      <c r="AS14" s="36">
        <v>37372</v>
      </c>
      <c r="AT14" s="39">
        <v>125032</v>
      </c>
      <c r="AU14" s="39">
        <v>302</v>
      </c>
      <c r="AV14" s="39">
        <v>35</v>
      </c>
      <c r="AW14" s="35">
        <f t="shared" si="10"/>
        <v>162741</v>
      </c>
      <c r="AX14" s="36">
        <v>34460</v>
      </c>
      <c r="AY14" s="39">
        <v>14</v>
      </c>
      <c r="AZ14" s="39">
        <v>234</v>
      </c>
      <c r="BA14" s="39">
        <v>0</v>
      </c>
      <c r="BB14" s="35">
        <f t="shared" si="3"/>
        <v>34708</v>
      </c>
      <c r="BC14" s="36">
        <v>26653</v>
      </c>
      <c r="BD14" s="39">
        <v>0</v>
      </c>
      <c r="BE14" s="39">
        <v>53</v>
      </c>
      <c r="BF14" s="39">
        <v>0</v>
      </c>
      <c r="BG14" s="35">
        <f t="shared" si="11"/>
        <v>26706</v>
      </c>
      <c r="BH14" s="36">
        <v>39739</v>
      </c>
      <c r="BI14" s="39">
        <v>132195</v>
      </c>
      <c r="BJ14" s="39">
        <v>137</v>
      </c>
      <c r="BK14" s="39">
        <v>0</v>
      </c>
      <c r="BL14" s="35">
        <f t="shared" si="12"/>
        <v>172071</v>
      </c>
      <c r="BM14" s="36">
        <v>47224</v>
      </c>
      <c r="BN14" s="39">
        <v>4</v>
      </c>
      <c r="BO14" s="39">
        <f>10068+CC14</f>
        <v>10070</v>
      </c>
      <c r="BP14" s="39">
        <f>25+CD14</f>
        <v>27</v>
      </c>
      <c r="BQ14" s="35">
        <f t="shared" si="13"/>
        <v>57325</v>
      </c>
      <c r="BR14" s="36">
        <f t="shared" si="16"/>
        <v>382156</v>
      </c>
      <c r="BS14" s="163">
        <f t="shared" si="14"/>
        <v>477592</v>
      </c>
      <c r="BT14" s="39">
        <f t="shared" si="14"/>
        <v>14943</v>
      </c>
      <c r="BU14" s="39">
        <f t="shared" si="14"/>
        <v>63</v>
      </c>
      <c r="BV14" s="36">
        <f t="shared" si="4"/>
        <v>874754</v>
      </c>
      <c r="BW14" s="8"/>
      <c r="BX14" s="223">
        <f t="shared" si="17"/>
        <v>100</v>
      </c>
      <c r="CA14" s="1">
        <v>0</v>
      </c>
      <c r="CB14" s="1">
        <v>0</v>
      </c>
      <c r="CC14" s="1">
        <v>2</v>
      </c>
      <c r="CD14" s="1">
        <v>2</v>
      </c>
    </row>
    <row r="15" spans="1:83" x14ac:dyDescent="0.2">
      <c r="A15" s="159">
        <v>9</v>
      </c>
      <c r="B15" s="168" t="s">
        <v>186</v>
      </c>
      <c r="D15" s="167"/>
      <c r="E15" s="162">
        <f>216129-635</f>
        <v>215494</v>
      </c>
      <c r="F15" s="163">
        <v>1041</v>
      </c>
      <c r="G15" s="163">
        <v>9253</v>
      </c>
      <c r="H15" s="163">
        <v>6249005</v>
      </c>
      <c r="I15" s="35">
        <f t="shared" si="1"/>
        <v>6474793</v>
      </c>
      <c r="J15" s="36">
        <v>14793</v>
      </c>
      <c r="K15" s="39">
        <v>233</v>
      </c>
      <c r="L15" s="39">
        <v>0</v>
      </c>
      <c r="M15" s="39">
        <v>0</v>
      </c>
      <c r="N15" s="35">
        <f t="shared" si="15"/>
        <v>15026</v>
      </c>
      <c r="O15" s="36">
        <v>14960</v>
      </c>
      <c r="P15" s="39">
        <v>121</v>
      </c>
      <c r="Q15" s="39">
        <v>1348</v>
      </c>
      <c r="R15" s="39">
        <v>0</v>
      </c>
      <c r="S15" s="35">
        <f t="shared" si="5"/>
        <v>16429</v>
      </c>
      <c r="T15" s="221">
        <v>17871</v>
      </c>
      <c r="U15" s="39">
        <v>0</v>
      </c>
      <c r="V15" s="39">
        <v>0</v>
      </c>
      <c r="W15" s="39">
        <v>0</v>
      </c>
      <c r="X15" s="35">
        <f t="shared" si="6"/>
        <v>17871</v>
      </c>
      <c r="Y15" s="221">
        <v>15324</v>
      </c>
      <c r="Z15" s="39">
        <v>0</v>
      </c>
      <c r="AA15" s="39">
        <v>345</v>
      </c>
      <c r="AB15" s="39">
        <v>0</v>
      </c>
      <c r="AC15" s="35">
        <f t="shared" si="7"/>
        <v>15669</v>
      </c>
      <c r="AD15" s="221">
        <v>20433</v>
      </c>
      <c r="AE15" s="39">
        <v>0</v>
      </c>
      <c r="AF15" s="39">
        <v>542</v>
      </c>
      <c r="AG15" s="39">
        <v>0</v>
      </c>
      <c r="AH15" s="35">
        <f t="shared" si="8"/>
        <v>20975</v>
      </c>
      <c r="AI15" s="36">
        <v>15571</v>
      </c>
      <c r="AJ15" s="39">
        <v>155</v>
      </c>
      <c r="AK15" s="39">
        <v>126</v>
      </c>
      <c r="AL15" s="39">
        <v>0</v>
      </c>
      <c r="AM15" s="35">
        <f t="shared" si="9"/>
        <v>15852</v>
      </c>
      <c r="AN15" s="36">
        <v>13046</v>
      </c>
      <c r="AO15" s="39">
        <v>414</v>
      </c>
      <c r="AP15" s="39">
        <v>0</v>
      </c>
      <c r="AQ15" s="39">
        <v>0</v>
      </c>
      <c r="AR15" s="35">
        <f t="shared" si="2"/>
        <v>13460</v>
      </c>
      <c r="AS15" s="36">
        <v>25407</v>
      </c>
      <c r="AT15" s="39">
        <v>19</v>
      </c>
      <c r="AU15" s="39">
        <v>493</v>
      </c>
      <c r="AV15" s="39">
        <v>0</v>
      </c>
      <c r="AW15" s="35">
        <f t="shared" si="10"/>
        <v>25919</v>
      </c>
      <c r="AX15" s="36">
        <v>13725</v>
      </c>
      <c r="AY15" s="39">
        <v>26</v>
      </c>
      <c r="AZ15" s="39">
        <v>4249</v>
      </c>
      <c r="BA15" s="39">
        <v>0</v>
      </c>
      <c r="BB15" s="35">
        <f t="shared" si="3"/>
        <v>18000</v>
      </c>
      <c r="BC15" s="36">
        <v>18301</v>
      </c>
      <c r="BD15" s="39">
        <v>2</v>
      </c>
      <c r="BE15" s="39">
        <v>43</v>
      </c>
      <c r="BF15" s="39">
        <v>1085000</v>
      </c>
      <c r="BG15" s="35">
        <f t="shared" si="11"/>
        <v>1103346</v>
      </c>
      <c r="BH15" s="36">
        <v>17103</v>
      </c>
      <c r="BI15" s="39">
        <v>68</v>
      </c>
      <c r="BJ15" s="39">
        <v>1470</v>
      </c>
      <c r="BK15" s="39">
        <v>5164000</v>
      </c>
      <c r="BL15" s="35">
        <f t="shared" si="12"/>
        <v>5182641</v>
      </c>
      <c r="BM15" s="36">
        <f>28962+CA15</f>
        <v>28960</v>
      </c>
      <c r="BN15" s="39">
        <f>2+CB15</f>
        <v>3</v>
      </c>
      <c r="BO15" s="39">
        <f>635+CC15</f>
        <v>637</v>
      </c>
      <c r="BP15" s="39">
        <v>5</v>
      </c>
      <c r="BQ15" s="35">
        <f t="shared" si="13"/>
        <v>29605</v>
      </c>
      <c r="BR15" s="36">
        <f t="shared" si="16"/>
        <v>215494</v>
      </c>
      <c r="BS15" s="163">
        <f t="shared" si="14"/>
        <v>1041</v>
      </c>
      <c r="BT15" s="39">
        <f t="shared" si="14"/>
        <v>9253</v>
      </c>
      <c r="BU15" s="39">
        <f t="shared" si="14"/>
        <v>6249005</v>
      </c>
      <c r="BV15" s="36">
        <f t="shared" si="4"/>
        <v>6474793</v>
      </c>
      <c r="BW15" s="8"/>
      <c r="BX15" s="165">
        <f t="shared" si="17"/>
        <v>100</v>
      </c>
      <c r="CA15" s="1">
        <v>-2</v>
      </c>
      <c r="CB15" s="1">
        <v>1</v>
      </c>
      <c r="CC15" s="1">
        <v>2</v>
      </c>
      <c r="CD15" s="1">
        <v>0</v>
      </c>
    </row>
    <row r="16" spans="1:83" x14ac:dyDescent="0.2">
      <c r="A16" s="159">
        <v>10</v>
      </c>
      <c r="B16" s="160" t="s">
        <v>187</v>
      </c>
      <c r="D16" s="161"/>
      <c r="E16" s="162">
        <f>477180-32160</f>
        <v>445020</v>
      </c>
      <c r="F16" s="163">
        <v>473137</v>
      </c>
      <c r="G16" s="163">
        <v>7669</v>
      </c>
      <c r="H16" s="163">
        <v>188</v>
      </c>
      <c r="I16" s="35">
        <f t="shared" si="1"/>
        <v>926014</v>
      </c>
      <c r="J16" s="36">
        <v>24409</v>
      </c>
      <c r="K16" s="39">
        <v>36859</v>
      </c>
      <c r="L16" s="39">
        <v>1007</v>
      </c>
      <c r="M16" s="39">
        <v>0</v>
      </c>
      <c r="N16" s="35">
        <f t="shared" si="15"/>
        <v>62275</v>
      </c>
      <c r="O16" s="36">
        <v>29929</v>
      </c>
      <c r="P16" s="39">
        <v>37802</v>
      </c>
      <c r="Q16" s="39">
        <v>3493</v>
      </c>
      <c r="R16" s="39">
        <v>0</v>
      </c>
      <c r="S16" s="35">
        <f>SUM(O16:R16)</f>
        <v>71224</v>
      </c>
      <c r="T16" s="221">
        <v>28513</v>
      </c>
      <c r="U16" s="222">
        <v>39493</v>
      </c>
      <c r="V16" s="222">
        <v>430</v>
      </c>
      <c r="W16" s="222">
        <v>0</v>
      </c>
      <c r="X16" s="35">
        <f t="shared" si="6"/>
        <v>68436</v>
      </c>
      <c r="Y16" s="221">
        <v>32127</v>
      </c>
      <c r="Z16" s="222">
        <v>41520</v>
      </c>
      <c r="AA16" s="222">
        <v>306</v>
      </c>
      <c r="AB16" s="222">
        <v>1</v>
      </c>
      <c r="AC16" s="35">
        <f t="shared" si="7"/>
        <v>73954</v>
      </c>
      <c r="AD16" s="221">
        <v>32339</v>
      </c>
      <c r="AE16" s="222">
        <v>39383</v>
      </c>
      <c r="AF16" s="222">
        <v>606</v>
      </c>
      <c r="AG16" s="222">
        <v>0</v>
      </c>
      <c r="AH16" s="35">
        <f t="shared" si="8"/>
        <v>72328</v>
      </c>
      <c r="AI16" s="36">
        <v>32137</v>
      </c>
      <c r="AJ16" s="39">
        <v>41906</v>
      </c>
      <c r="AK16" s="39">
        <v>259</v>
      </c>
      <c r="AL16" s="39">
        <v>174</v>
      </c>
      <c r="AM16" s="35">
        <f t="shared" si="9"/>
        <v>74476</v>
      </c>
      <c r="AN16" s="36">
        <v>34158</v>
      </c>
      <c r="AO16" s="39">
        <v>40188</v>
      </c>
      <c r="AP16" s="39">
        <v>132</v>
      </c>
      <c r="AQ16" s="39">
        <v>13</v>
      </c>
      <c r="AR16" s="35">
        <f t="shared" si="2"/>
        <v>74491</v>
      </c>
      <c r="AS16" s="36">
        <v>33597</v>
      </c>
      <c r="AT16" s="39">
        <v>39649</v>
      </c>
      <c r="AU16" s="39">
        <v>610</v>
      </c>
      <c r="AV16" s="39">
        <v>0</v>
      </c>
      <c r="AW16" s="35">
        <f t="shared" si="10"/>
        <v>73856</v>
      </c>
      <c r="AX16" s="36">
        <v>38915</v>
      </c>
      <c r="AY16" s="39">
        <v>37711</v>
      </c>
      <c r="AZ16" s="39">
        <v>7</v>
      </c>
      <c r="BA16" s="39">
        <v>0</v>
      </c>
      <c r="BB16" s="35">
        <f t="shared" si="3"/>
        <v>76633</v>
      </c>
      <c r="BC16" s="36">
        <v>31824</v>
      </c>
      <c r="BD16" s="39">
        <v>37297</v>
      </c>
      <c r="BE16" s="39">
        <v>419</v>
      </c>
      <c r="BF16" s="39">
        <v>0</v>
      </c>
      <c r="BG16" s="35">
        <f t="shared" si="11"/>
        <v>69540</v>
      </c>
      <c r="BH16" s="36">
        <v>31600</v>
      </c>
      <c r="BI16" s="39">
        <v>42303</v>
      </c>
      <c r="BJ16" s="39">
        <v>317</v>
      </c>
      <c r="BK16" s="39">
        <v>0</v>
      </c>
      <c r="BL16" s="35">
        <f>SUM(BH16:BK16)</f>
        <v>74220</v>
      </c>
      <c r="BM16" s="36">
        <f>95510+CA16</f>
        <v>95472</v>
      </c>
      <c r="BN16" s="39">
        <f>38988+CB16</f>
        <v>39026</v>
      </c>
      <c r="BO16" s="39">
        <f>80+CC16</f>
        <v>83</v>
      </c>
      <c r="BP16" s="39">
        <v>0</v>
      </c>
      <c r="BQ16" s="35">
        <f t="shared" si="13"/>
        <v>134581</v>
      </c>
      <c r="BR16" s="36">
        <f t="shared" si="16"/>
        <v>445020</v>
      </c>
      <c r="BS16" s="163">
        <f t="shared" si="14"/>
        <v>473137</v>
      </c>
      <c r="BT16" s="39">
        <f t="shared" si="14"/>
        <v>7669</v>
      </c>
      <c r="BU16" s="39">
        <f t="shared" si="14"/>
        <v>188</v>
      </c>
      <c r="BV16" s="36">
        <f t="shared" si="4"/>
        <v>926014</v>
      </c>
      <c r="BW16" s="8"/>
      <c r="BX16" s="223">
        <f t="shared" si="17"/>
        <v>100</v>
      </c>
      <c r="CA16" s="1">
        <v>-38</v>
      </c>
      <c r="CB16" s="1">
        <v>38</v>
      </c>
      <c r="CC16" s="1">
        <v>3</v>
      </c>
      <c r="CD16" s="1">
        <v>0</v>
      </c>
    </row>
    <row r="17" spans="1:82" x14ac:dyDescent="0.2">
      <c r="A17" s="159">
        <v>11</v>
      </c>
      <c r="B17" s="137" t="s">
        <v>188</v>
      </c>
      <c r="D17" s="166"/>
      <c r="E17" s="162">
        <v>966366</v>
      </c>
      <c r="F17" s="163">
        <v>6470599</v>
      </c>
      <c r="G17" s="163">
        <v>9499</v>
      </c>
      <c r="H17" s="163">
        <v>2085</v>
      </c>
      <c r="I17" s="35">
        <f t="shared" si="1"/>
        <v>7448549</v>
      </c>
      <c r="J17" s="36">
        <v>98007</v>
      </c>
      <c r="K17" s="39">
        <v>1538771</v>
      </c>
      <c r="L17" s="39">
        <v>148</v>
      </c>
      <c r="M17" s="39">
        <v>0</v>
      </c>
      <c r="N17" s="35">
        <f t="shared" si="15"/>
        <v>1636926</v>
      </c>
      <c r="O17" s="36">
        <v>124094</v>
      </c>
      <c r="P17" s="39">
        <v>160286</v>
      </c>
      <c r="Q17" s="39">
        <v>661</v>
      </c>
      <c r="R17" s="39">
        <v>0</v>
      </c>
      <c r="S17" s="35">
        <f>SUM(O17:R17)</f>
        <v>285041</v>
      </c>
      <c r="T17" s="221">
        <v>54728</v>
      </c>
      <c r="U17" s="39">
        <v>9033</v>
      </c>
      <c r="V17" s="39">
        <v>584</v>
      </c>
      <c r="W17" s="39">
        <v>0</v>
      </c>
      <c r="X17" s="35">
        <f t="shared" si="6"/>
        <v>64345</v>
      </c>
      <c r="Y17" s="36">
        <v>62825</v>
      </c>
      <c r="Z17" s="39">
        <v>1113757</v>
      </c>
      <c r="AA17" s="39">
        <v>455</v>
      </c>
      <c r="AB17" s="39">
        <v>0</v>
      </c>
      <c r="AC17" s="35">
        <f t="shared" si="7"/>
        <v>1177037</v>
      </c>
      <c r="AD17" s="36">
        <v>85049</v>
      </c>
      <c r="AE17" s="39">
        <v>313499</v>
      </c>
      <c r="AF17" s="39">
        <v>241</v>
      </c>
      <c r="AG17" s="39">
        <v>0</v>
      </c>
      <c r="AH17" s="35">
        <f t="shared" si="8"/>
        <v>398789</v>
      </c>
      <c r="AI17" s="36">
        <v>77552</v>
      </c>
      <c r="AJ17" s="39">
        <v>17922</v>
      </c>
      <c r="AK17" s="39">
        <v>302</v>
      </c>
      <c r="AL17" s="39">
        <v>0</v>
      </c>
      <c r="AM17" s="35">
        <f t="shared" si="9"/>
        <v>95776</v>
      </c>
      <c r="AN17" s="36">
        <v>70309</v>
      </c>
      <c r="AO17" s="39">
        <v>1617649</v>
      </c>
      <c r="AP17" s="39">
        <v>963</v>
      </c>
      <c r="AQ17" s="39">
        <v>0</v>
      </c>
      <c r="AR17" s="35">
        <f t="shared" si="2"/>
        <v>1688921</v>
      </c>
      <c r="AS17" s="36">
        <v>101396</v>
      </c>
      <c r="AT17" s="39">
        <v>323458</v>
      </c>
      <c r="AU17" s="39">
        <v>454</v>
      </c>
      <c r="AV17" s="39">
        <v>0</v>
      </c>
      <c r="AW17" s="35">
        <f t="shared" si="10"/>
        <v>425308</v>
      </c>
      <c r="AX17" s="36">
        <v>70083</v>
      </c>
      <c r="AY17" s="39">
        <v>91892</v>
      </c>
      <c r="AZ17" s="39">
        <v>849</v>
      </c>
      <c r="BA17" s="39">
        <v>0</v>
      </c>
      <c r="BB17" s="35">
        <f>SUM(AX17:BA17)</f>
        <v>162824</v>
      </c>
      <c r="BC17" s="36">
        <v>65165</v>
      </c>
      <c r="BD17" s="39">
        <v>1031626</v>
      </c>
      <c r="BE17" s="39">
        <v>879</v>
      </c>
      <c r="BF17" s="39">
        <v>0</v>
      </c>
      <c r="BG17" s="35">
        <f t="shared" si="11"/>
        <v>1097670</v>
      </c>
      <c r="BH17" s="36">
        <v>68257</v>
      </c>
      <c r="BI17" s="39">
        <v>211535</v>
      </c>
      <c r="BJ17" s="39">
        <v>649</v>
      </c>
      <c r="BK17" s="39">
        <v>0</v>
      </c>
      <c r="BL17" s="35">
        <f t="shared" si="12"/>
        <v>280441</v>
      </c>
      <c r="BM17" s="36">
        <f>86359+CA17</f>
        <v>88901</v>
      </c>
      <c r="BN17" s="39">
        <f>41170+CB17</f>
        <v>41171</v>
      </c>
      <c r="BO17" s="39">
        <f>3324+CC17</f>
        <v>3314</v>
      </c>
      <c r="BP17" s="39">
        <v>2085</v>
      </c>
      <c r="BQ17" s="35">
        <f t="shared" si="13"/>
        <v>135471</v>
      </c>
      <c r="BR17" s="36">
        <f t="shared" si="16"/>
        <v>966366</v>
      </c>
      <c r="BS17" s="163">
        <f t="shared" si="14"/>
        <v>6470599</v>
      </c>
      <c r="BT17" s="39">
        <f t="shared" si="14"/>
        <v>9499</v>
      </c>
      <c r="BU17" s="39">
        <f t="shared" si="14"/>
        <v>2085</v>
      </c>
      <c r="BV17" s="36">
        <f t="shared" si="4"/>
        <v>7448549</v>
      </c>
      <c r="BW17" s="8"/>
      <c r="BX17" s="165">
        <f t="shared" si="17"/>
        <v>100</v>
      </c>
      <c r="CA17" s="1">
        <v>2542</v>
      </c>
      <c r="CB17" s="1">
        <v>1</v>
      </c>
      <c r="CC17" s="1">
        <v>-10</v>
      </c>
      <c r="CD17" s="1">
        <v>0</v>
      </c>
    </row>
    <row r="18" spans="1:82" x14ac:dyDescent="0.2">
      <c r="A18" s="159">
        <v>12</v>
      </c>
      <c r="B18" s="160" t="s">
        <v>189</v>
      </c>
      <c r="D18" s="167"/>
      <c r="E18" s="162">
        <v>2017760</v>
      </c>
      <c r="F18" s="163">
        <v>11824</v>
      </c>
      <c r="G18" s="163">
        <v>270832</v>
      </c>
      <c r="H18" s="163">
        <v>10719</v>
      </c>
      <c r="I18" s="35">
        <f t="shared" si="1"/>
        <v>2311135</v>
      </c>
      <c r="J18" s="36">
        <v>122000</v>
      </c>
      <c r="K18" s="39">
        <v>141</v>
      </c>
      <c r="L18" s="39">
        <v>26099</v>
      </c>
      <c r="M18" s="39">
        <v>0</v>
      </c>
      <c r="N18" s="35">
        <f t="shared" si="15"/>
        <v>148240</v>
      </c>
      <c r="O18" s="36">
        <v>145871</v>
      </c>
      <c r="P18" s="39">
        <v>4647</v>
      </c>
      <c r="Q18" s="39">
        <v>23476</v>
      </c>
      <c r="R18" s="39">
        <v>0</v>
      </c>
      <c r="S18" s="35">
        <f>SUM(O18:R18)</f>
        <v>173994</v>
      </c>
      <c r="T18" s="221">
        <v>144596</v>
      </c>
      <c r="U18" s="39">
        <v>138</v>
      </c>
      <c r="V18" s="39">
        <v>24452</v>
      </c>
      <c r="W18" s="39">
        <v>0</v>
      </c>
      <c r="X18" s="35">
        <f t="shared" si="6"/>
        <v>169186</v>
      </c>
      <c r="Y18" s="36">
        <v>173302</v>
      </c>
      <c r="Z18" s="39">
        <v>1412</v>
      </c>
      <c r="AA18" s="39">
        <v>20512</v>
      </c>
      <c r="AB18" s="39">
        <v>0</v>
      </c>
      <c r="AC18" s="35">
        <f t="shared" si="7"/>
        <v>195226</v>
      </c>
      <c r="AD18" s="36">
        <v>156554</v>
      </c>
      <c r="AE18" s="39">
        <v>125</v>
      </c>
      <c r="AF18" s="39">
        <v>21041</v>
      </c>
      <c r="AG18" s="39">
        <v>0</v>
      </c>
      <c r="AH18" s="35">
        <f t="shared" si="8"/>
        <v>177720</v>
      </c>
      <c r="AI18" s="36">
        <v>151990</v>
      </c>
      <c r="AJ18" s="39">
        <v>1285</v>
      </c>
      <c r="AK18" s="39">
        <v>20391</v>
      </c>
      <c r="AL18" s="39">
        <v>0</v>
      </c>
      <c r="AM18" s="35">
        <f t="shared" si="9"/>
        <v>173666</v>
      </c>
      <c r="AN18" s="36">
        <v>181284</v>
      </c>
      <c r="AO18" s="39">
        <v>81</v>
      </c>
      <c r="AP18" s="39">
        <v>20440</v>
      </c>
      <c r="AQ18" s="39">
        <v>0</v>
      </c>
      <c r="AR18" s="35">
        <f t="shared" si="2"/>
        <v>201805</v>
      </c>
      <c r="AS18" s="36">
        <v>173696</v>
      </c>
      <c r="AT18" s="39">
        <v>85</v>
      </c>
      <c r="AU18" s="39">
        <v>20798</v>
      </c>
      <c r="AV18" s="39">
        <v>0</v>
      </c>
      <c r="AW18" s="35">
        <f t="shared" si="10"/>
        <v>194579</v>
      </c>
      <c r="AX18" s="36">
        <v>155994</v>
      </c>
      <c r="AY18" s="39">
        <v>291</v>
      </c>
      <c r="AZ18" s="39">
        <v>20600</v>
      </c>
      <c r="BA18" s="39">
        <v>0</v>
      </c>
      <c r="BB18" s="35">
        <f t="shared" si="3"/>
        <v>176885</v>
      </c>
      <c r="BC18" s="36">
        <v>149868</v>
      </c>
      <c r="BD18" s="39">
        <v>2344</v>
      </c>
      <c r="BE18" s="39">
        <v>380</v>
      </c>
      <c r="BF18" s="39">
        <v>0</v>
      </c>
      <c r="BG18" s="35">
        <f t="shared" si="11"/>
        <v>152592</v>
      </c>
      <c r="BH18" s="36">
        <v>197988</v>
      </c>
      <c r="BI18" s="39">
        <v>43</v>
      </c>
      <c r="BJ18" s="39">
        <v>40484</v>
      </c>
      <c r="BK18" s="39">
        <v>0</v>
      </c>
      <c r="BL18" s="35">
        <f t="shared" si="12"/>
        <v>238515</v>
      </c>
      <c r="BM18" s="36">
        <f>261862+CA18</f>
        <v>264617</v>
      </c>
      <c r="BN18" s="39">
        <f>1231+CB18</f>
        <v>1232</v>
      </c>
      <c r="BO18" s="39">
        <f>32161+CC18</f>
        <v>32159</v>
      </c>
      <c r="BP18" s="39">
        <f>12289+CD18</f>
        <v>10719</v>
      </c>
      <c r="BQ18" s="35">
        <f t="shared" si="13"/>
        <v>308727</v>
      </c>
      <c r="BR18" s="36">
        <f t="shared" si="16"/>
        <v>2017760</v>
      </c>
      <c r="BS18" s="163">
        <f t="shared" si="14"/>
        <v>11824</v>
      </c>
      <c r="BT18" s="39">
        <f t="shared" si="14"/>
        <v>270832</v>
      </c>
      <c r="BU18" s="39">
        <f t="shared" si="14"/>
        <v>10719</v>
      </c>
      <c r="BV18" s="36">
        <f t="shared" si="4"/>
        <v>2311135</v>
      </c>
      <c r="BW18" s="8"/>
      <c r="BX18" s="165">
        <f>(BV18/I18)*100</f>
        <v>100</v>
      </c>
      <c r="BY18" s="39"/>
      <c r="BZ18" s="39"/>
      <c r="CA18" s="1">
        <v>2755</v>
      </c>
      <c r="CB18" s="1">
        <v>1</v>
      </c>
      <c r="CC18" s="1">
        <v>-2</v>
      </c>
      <c r="CD18" s="1">
        <v>-1570</v>
      </c>
    </row>
    <row r="19" spans="1:82" x14ac:dyDescent="0.2">
      <c r="A19" s="159">
        <v>13</v>
      </c>
      <c r="B19" s="137" t="s">
        <v>190</v>
      </c>
      <c r="D19" s="161"/>
      <c r="E19" s="162">
        <v>137607</v>
      </c>
      <c r="F19" s="163">
        <v>82154</v>
      </c>
      <c r="G19" s="163">
        <v>2368</v>
      </c>
      <c r="H19" s="163">
        <v>223</v>
      </c>
      <c r="I19" s="35">
        <f t="shared" si="1"/>
        <v>222352</v>
      </c>
      <c r="J19" s="36">
        <v>7113</v>
      </c>
      <c r="K19" s="39">
        <v>6803</v>
      </c>
      <c r="L19" s="39">
        <v>25</v>
      </c>
      <c r="M19" s="39">
        <v>223</v>
      </c>
      <c r="N19" s="35">
        <f t="shared" si="15"/>
        <v>14164</v>
      </c>
      <c r="O19" s="36">
        <v>9540</v>
      </c>
      <c r="P19" s="39">
        <v>6790</v>
      </c>
      <c r="Q19" s="39">
        <v>89</v>
      </c>
      <c r="R19" s="39">
        <v>0</v>
      </c>
      <c r="S19" s="35">
        <f>SUM(O19:R19)</f>
        <v>16419</v>
      </c>
      <c r="T19" s="221">
        <v>10192</v>
      </c>
      <c r="U19" s="222">
        <v>6850</v>
      </c>
      <c r="V19" s="222">
        <v>54</v>
      </c>
      <c r="W19" s="222">
        <v>0</v>
      </c>
      <c r="X19" s="35">
        <f t="shared" si="6"/>
        <v>17096</v>
      </c>
      <c r="Y19" s="221">
        <v>9861</v>
      </c>
      <c r="Z19" s="222">
        <v>6748</v>
      </c>
      <c r="AA19" s="222">
        <v>3</v>
      </c>
      <c r="AB19" s="222">
        <v>0</v>
      </c>
      <c r="AC19" s="35">
        <f t="shared" si="7"/>
        <v>16612</v>
      </c>
      <c r="AD19" s="221">
        <v>11785</v>
      </c>
      <c r="AE19" s="222">
        <v>6807</v>
      </c>
      <c r="AF19" s="222">
        <v>10</v>
      </c>
      <c r="AG19" s="222">
        <v>0</v>
      </c>
      <c r="AH19" s="35">
        <f t="shared" si="8"/>
        <v>18602</v>
      </c>
      <c r="AI19" s="36">
        <v>13250</v>
      </c>
      <c r="AJ19" s="39">
        <v>7081</v>
      </c>
      <c r="AK19" s="39">
        <v>30</v>
      </c>
      <c r="AL19" s="39">
        <v>0</v>
      </c>
      <c r="AM19" s="35">
        <f t="shared" si="9"/>
        <v>20361</v>
      </c>
      <c r="AN19" s="36">
        <v>10317</v>
      </c>
      <c r="AO19" s="39">
        <v>6728</v>
      </c>
      <c r="AP19" s="39">
        <v>129</v>
      </c>
      <c r="AQ19" s="39">
        <v>0</v>
      </c>
      <c r="AR19" s="35">
        <f t="shared" si="2"/>
        <v>17174</v>
      </c>
      <c r="AS19" s="36">
        <v>10415</v>
      </c>
      <c r="AT19" s="39">
        <v>6731</v>
      </c>
      <c r="AU19" s="39">
        <v>18</v>
      </c>
      <c r="AV19" s="39">
        <v>0</v>
      </c>
      <c r="AW19" s="35">
        <f t="shared" si="10"/>
        <v>17164</v>
      </c>
      <c r="AX19" s="36">
        <v>12889</v>
      </c>
      <c r="AY19" s="39">
        <v>6728</v>
      </c>
      <c r="AZ19" s="39">
        <v>24</v>
      </c>
      <c r="BA19" s="39">
        <v>0</v>
      </c>
      <c r="BB19" s="35">
        <f t="shared" si="3"/>
        <v>19641</v>
      </c>
      <c r="BC19" s="36">
        <v>13547</v>
      </c>
      <c r="BD19" s="39">
        <v>6728</v>
      </c>
      <c r="BE19" s="39">
        <v>41</v>
      </c>
      <c r="BF19" s="39">
        <v>0</v>
      </c>
      <c r="BG19" s="35">
        <f t="shared" si="11"/>
        <v>20316</v>
      </c>
      <c r="BH19" s="36">
        <v>10643</v>
      </c>
      <c r="BI19" s="39">
        <v>7162</v>
      </c>
      <c r="BJ19" s="39">
        <v>504</v>
      </c>
      <c r="BK19" s="39">
        <v>0</v>
      </c>
      <c r="BL19" s="35">
        <f t="shared" si="12"/>
        <v>18309</v>
      </c>
      <c r="BM19" s="36">
        <f>17708+CA19</f>
        <v>18055</v>
      </c>
      <c r="BN19" s="39">
        <v>6998</v>
      </c>
      <c r="BO19" s="39">
        <f>1508+CC19</f>
        <v>1441</v>
      </c>
      <c r="BP19" s="39">
        <v>0</v>
      </c>
      <c r="BQ19" s="35">
        <f t="shared" si="13"/>
        <v>26494</v>
      </c>
      <c r="BR19" s="36">
        <f t="shared" si="16"/>
        <v>137607</v>
      </c>
      <c r="BS19" s="163">
        <f t="shared" si="14"/>
        <v>82154</v>
      </c>
      <c r="BT19" s="39">
        <f t="shared" si="14"/>
        <v>2368</v>
      </c>
      <c r="BU19" s="39">
        <f t="shared" si="14"/>
        <v>223</v>
      </c>
      <c r="BV19" s="36">
        <f t="shared" si="4"/>
        <v>222352</v>
      </c>
      <c r="BW19" s="8"/>
      <c r="BX19" s="223">
        <f t="shared" si="17"/>
        <v>100</v>
      </c>
      <c r="CA19" s="1">
        <v>347</v>
      </c>
      <c r="CB19" s="1">
        <v>0</v>
      </c>
      <c r="CC19" s="1">
        <v>-67</v>
      </c>
      <c r="CD19" s="1">
        <v>0</v>
      </c>
    </row>
    <row r="20" spans="1:82" x14ac:dyDescent="0.2">
      <c r="A20" s="159">
        <v>14</v>
      </c>
      <c r="B20" s="160" t="s">
        <v>191</v>
      </c>
      <c r="D20" s="161"/>
      <c r="E20" s="162">
        <v>2319321</v>
      </c>
      <c r="F20" s="163">
        <v>19123421</v>
      </c>
      <c r="G20" s="163">
        <v>1971596</v>
      </c>
      <c r="H20" s="163">
        <v>429</v>
      </c>
      <c r="I20" s="35">
        <f t="shared" si="1"/>
        <v>23414767</v>
      </c>
      <c r="J20" s="36">
        <v>80959</v>
      </c>
      <c r="K20" s="39">
        <v>3934210</v>
      </c>
      <c r="L20" s="39">
        <v>103314</v>
      </c>
      <c r="M20" s="39">
        <v>0</v>
      </c>
      <c r="N20" s="35">
        <f t="shared" si="15"/>
        <v>4118483</v>
      </c>
      <c r="O20" s="36">
        <v>77843</v>
      </c>
      <c r="P20" s="39">
        <v>2847523</v>
      </c>
      <c r="Q20" s="39">
        <v>25256</v>
      </c>
      <c r="R20" s="39">
        <v>10</v>
      </c>
      <c r="S20" s="35">
        <f>SUM(O20:R20)</f>
        <v>2950632</v>
      </c>
      <c r="T20" s="221">
        <v>86045</v>
      </c>
      <c r="U20" s="222">
        <v>551391</v>
      </c>
      <c r="V20" s="222">
        <v>79301</v>
      </c>
      <c r="W20" s="222">
        <v>4</v>
      </c>
      <c r="X20" s="35">
        <f t="shared" si="6"/>
        <v>716741</v>
      </c>
      <c r="Y20" s="221">
        <v>96267</v>
      </c>
      <c r="Z20" s="222">
        <v>1633874</v>
      </c>
      <c r="AA20" s="222">
        <v>203614</v>
      </c>
      <c r="AB20" s="222">
        <v>27</v>
      </c>
      <c r="AC20" s="35">
        <f t="shared" si="7"/>
        <v>1933782</v>
      </c>
      <c r="AD20" s="221">
        <v>99329</v>
      </c>
      <c r="AE20" s="222">
        <v>2343871</v>
      </c>
      <c r="AF20" s="222">
        <v>297102</v>
      </c>
      <c r="AG20" s="222">
        <v>229</v>
      </c>
      <c r="AH20" s="35">
        <f t="shared" si="8"/>
        <v>2740531</v>
      </c>
      <c r="AI20" s="36">
        <v>491761</v>
      </c>
      <c r="AJ20" s="39">
        <v>551309</v>
      </c>
      <c r="AK20" s="39">
        <v>87970</v>
      </c>
      <c r="AL20" s="39">
        <v>8</v>
      </c>
      <c r="AM20" s="35">
        <f t="shared" si="9"/>
        <v>1131048</v>
      </c>
      <c r="AN20" s="36">
        <v>120004</v>
      </c>
      <c r="AO20" s="39">
        <v>1291103</v>
      </c>
      <c r="AP20" s="39">
        <v>210954</v>
      </c>
      <c r="AQ20" s="39">
        <v>40</v>
      </c>
      <c r="AR20" s="35">
        <f t="shared" si="2"/>
        <v>1622101</v>
      </c>
      <c r="AS20" s="36">
        <v>566523</v>
      </c>
      <c r="AT20" s="39">
        <v>2224337</v>
      </c>
      <c r="AU20" s="39">
        <v>163494</v>
      </c>
      <c r="AV20" s="39">
        <v>-6</v>
      </c>
      <c r="AW20" s="35">
        <f t="shared" si="10"/>
        <v>2954348</v>
      </c>
      <c r="AX20" s="36">
        <v>175932</v>
      </c>
      <c r="AY20" s="39">
        <v>1011665</v>
      </c>
      <c r="AZ20" s="39">
        <v>88060</v>
      </c>
      <c r="BA20" s="39">
        <v>0</v>
      </c>
      <c r="BB20" s="35">
        <f t="shared" si="3"/>
        <v>1275657</v>
      </c>
      <c r="BC20" s="36">
        <v>88711</v>
      </c>
      <c r="BD20" s="39">
        <v>2418801</v>
      </c>
      <c r="BE20" s="39">
        <v>154456</v>
      </c>
      <c r="BF20" s="39">
        <v>49</v>
      </c>
      <c r="BG20" s="35">
        <f t="shared" si="11"/>
        <v>2662017</v>
      </c>
      <c r="BH20" s="36">
        <v>196587</v>
      </c>
      <c r="BI20" s="39">
        <v>69885</v>
      </c>
      <c r="BJ20" s="39">
        <v>208070</v>
      </c>
      <c r="BK20" s="39">
        <v>11</v>
      </c>
      <c r="BL20" s="35">
        <f t="shared" si="12"/>
        <v>474553</v>
      </c>
      <c r="BM20" s="36">
        <f>232246+CA20</f>
        <v>239360</v>
      </c>
      <c r="BN20" s="39">
        <f>245449+CB20</f>
        <v>245452</v>
      </c>
      <c r="BO20" s="39">
        <f>224860+CC20</f>
        <v>350005</v>
      </c>
      <c r="BP20" s="39">
        <f>49+CD20</f>
        <v>57</v>
      </c>
      <c r="BQ20" s="35">
        <f t="shared" si="13"/>
        <v>834874</v>
      </c>
      <c r="BR20" s="36">
        <f t="shared" si="16"/>
        <v>2319321</v>
      </c>
      <c r="BS20" s="163">
        <f t="shared" si="14"/>
        <v>19123421</v>
      </c>
      <c r="BT20" s="39">
        <f t="shared" si="14"/>
        <v>1971596</v>
      </c>
      <c r="BU20" s="39">
        <f t="shared" si="14"/>
        <v>429</v>
      </c>
      <c r="BV20" s="36">
        <f t="shared" si="4"/>
        <v>23414767</v>
      </c>
      <c r="BW20" s="8"/>
      <c r="BX20" s="165">
        <f t="shared" si="17"/>
        <v>100</v>
      </c>
      <c r="BY20" s="1"/>
      <c r="BZ20" s="1"/>
      <c r="CA20" s="1">
        <v>7114</v>
      </c>
      <c r="CB20" s="1">
        <v>3</v>
      </c>
      <c r="CC20" s="1">
        <v>125145</v>
      </c>
      <c r="CD20" s="1">
        <v>8</v>
      </c>
    </row>
    <row r="21" spans="1:82" x14ac:dyDescent="0.2">
      <c r="A21" s="159">
        <v>15</v>
      </c>
      <c r="B21" s="160" t="s">
        <v>192</v>
      </c>
      <c r="D21" s="167"/>
      <c r="E21" s="162">
        <f>9180312</f>
        <v>9180312</v>
      </c>
      <c r="F21" s="163">
        <f>81209907-17479896</f>
        <v>63730011</v>
      </c>
      <c r="G21" s="163">
        <v>12022</v>
      </c>
      <c r="H21" s="163">
        <v>1393</v>
      </c>
      <c r="I21" s="35">
        <f t="shared" si="1"/>
        <v>72923738</v>
      </c>
      <c r="J21" s="36">
        <v>660392</v>
      </c>
      <c r="K21" s="39">
        <v>12643234</v>
      </c>
      <c r="L21" s="39">
        <v>84</v>
      </c>
      <c r="M21" s="39">
        <v>195</v>
      </c>
      <c r="N21" s="35">
        <f t="shared" si="15"/>
        <v>13303905</v>
      </c>
      <c r="O21" s="36">
        <v>694445</v>
      </c>
      <c r="P21" s="39">
        <v>11549650</v>
      </c>
      <c r="Q21" s="39">
        <v>591</v>
      </c>
      <c r="R21" s="39">
        <v>1188</v>
      </c>
      <c r="S21" s="35">
        <f t="shared" ref="S21:S27" si="18">SUM(O21:R21)</f>
        <v>12245874</v>
      </c>
      <c r="T21" s="221">
        <v>685629</v>
      </c>
      <c r="U21" s="222">
        <v>6458783</v>
      </c>
      <c r="V21" s="222">
        <v>1308</v>
      </c>
      <c r="W21" s="222">
        <v>-13</v>
      </c>
      <c r="X21" s="35">
        <f t="shared" si="6"/>
        <v>7145707</v>
      </c>
      <c r="Y21" s="221">
        <v>842897</v>
      </c>
      <c r="Z21" s="222">
        <v>7847762</v>
      </c>
      <c r="AA21" s="222">
        <v>703</v>
      </c>
      <c r="AB21" s="222">
        <v>-16</v>
      </c>
      <c r="AC21" s="35">
        <f t="shared" si="7"/>
        <v>8691346</v>
      </c>
      <c r="AD21" s="221">
        <v>747362</v>
      </c>
      <c r="AE21" s="222">
        <v>4510791</v>
      </c>
      <c r="AF21" s="222">
        <v>1760</v>
      </c>
      <c r="AG21" s="222">
        <v>0</v>
      </c>
      <c r="AH21" s="35">
        <f t="shared" si="8"/>
        <v>5259913</v>
      </c>
      <c r="AI21" s="36">
        <v>711859</v>
      </c>
      <c r="AJ21" s="39">
        <v>5949876</v>
      </c>
      <c r="AK21" s="39">
        <v>644</v>
      </c>
      <c r="AL21" s="39">
        <v>28</v>
      </c>
      <c r="AM21" s="35">
        <f t="shared" si="9"/>
        <v>6662407</v>
      </c>
      <c r="AN21" s="36">
        <v>754778</v>
      </c>
      <c r="AO21" s="39">
        <v>4449629</v>
      </c>
      <c r="AP21" s="39">
        <v>2075</v>
      </c>
      <c r="AQ21" s="39">
        <v>0</v>
      </c>
      <c r="AR21" s="35">
        <f t="shared" si="2"/>
        <v>5206482</v>
      </c>
      <c r="AS21" s="36">
        <v>786217</v>
      </c>
      <c r="AT21" s="39">
        <v>4626985</v>
      </c>
      <c r="AU21" s="39">
        <v>698</v>
      </c>
      <c r="AV21" s="39">
        <v>0</v>
      </c>
      <c r="AW21" s="35">
        <f t="shared" si="10"/>
        <v>5413900</v>
      </c>
      <c r="AX21" s="36">
        <v>852961</v>
      </c>
      <c r="AY21" s="39">
        <v>1583585</v>
      </c>
      <c r="AZ21" s="39">
        <v>228</v>
      </c>
      <c r="BA21" s="39">
        <v>0</v>
      </c>
      <c r="BB21" s="35">
        <f t="shared" si="3"/>
        <v>2436774</v>
      </c>
      <c r="BC21" s="36">
        <v>801571</v>
      </c>
      <c r="BD21" s="39">
        <v>296276</v>
      </c>
      <c r="BE21" s="39">
        <v>1390</v>
      </c>
      <c r="BF21" s="39">
        <v>0</v>
      </c>
      <c r="BG21" s="35">
        <f t="shared" si="11"/>
        <v>1099237</v>
      </c>
      <c r="BH21" s="36">
        <v>697983</v>
      </c>
      <c r="BI21" s="39">
        <v>116849</v>
      </c>
      <c r="BJ21" s="39">
        <v>1672</v>
      </c>
      <c r="BK21" s="39">
        <v>0</v>
      </c>
      <c r="BL21" s="35">
        <f t="shared" si="12"/>
        <v>816504</v>
      </c>
      <c r="BM21" s="36">
        <f>944202+CA21</f>
        <v>944218</v>
      </c>
      <c r="BN21" s="39">
        <v>3696591</v>
      </c>
      <c r="BO21" s="39">
        <f>885+CC21</f>
        <v>869</v>
      </c>
      <c r="BP21" s="39">
        <f>12+CD21</f>
        <v>11</v>
      </c>
      <c r="BQ21" s="35">
        <f t="shared" si="13"/>
        <v>4641689</v>
      </c>
      <c r="BR21" s="36">
        <f t="shared" si="16"/>
        <v>9180312</v>
      </c>
      <c r="BS21" s="163">
        <f t="shared" si="14"/>
        <v>63730011</v>
      </c>
      <c r="BT21" s="39">
        <f t="shared" si="14"/>
        <v>12022</v>
      </c>
      <c r="BU21" s="39">
        <f t="shared" si="14"/>
        <v>1393</v>
      </c>
      <c r="BV21" s="36">
        <f t="shared" si="4"/>
        <v>72923738</v>
      </c>
      <c r="BW21" s="8"/>
      <c r="BX21" s="165">
        <f t="shared" si="17"/>
        <v>100</v>
      </c>
      <c r="BY21" s="1"/>
      <c r="CA21" s="1">
        <v>16</v>
      </c>
      <c r="CB21" s="1">
        <v>0</v>
      </c>
      <c r="CC21" s="1">
        <v>-16</v>
      </c>
      <c r="CD21" s="1">
        <v>-1</v>
      </c>
    </row>
    <row r="22" spans="1:82" x14ac:dyDescent="0.2">
      <c r="A22" s="159">
        <v>16</v>
      </c>
      <c r="B22" s="160" t="s">
        <v>193</v>
      </c>
      <c r="D22" s="161"/>
      <c r="E22" s="162">
        <v>2581996</v>
      </c>
      <c r="F22" s="163">
        <v>43246973</v>
      </c>
      <c r="G22" s="163">
        <v>765616</v>
      </c>
      <c r="H22" s="163">
        <v>0</v>
      </c>
      <c r="I22" s="35">
        <f t="shared" si="1"/>
        <v>46594585</v>
      </c>
      <c r="J22" s="36">
        <v>71491</v>
      </c>
      <c r="K22" s="39">
        <v>4984988</v>
      </c>
      <c r="L22" s="39">
        <v>9302</v>
      </c>
      <c r="M22" s="39">
        <v>0</v>
      </c>
      <c r="N22" s="35">
        <f t="shared" si="15"/>
        <v>5065781</v>
      </c>
      <c r="O22" s="36">
        <v>164644</v>
      </c>
      <c r="P22" s="39">
        <v>2999708</v>
      </c>
      <c r="Q22" s="39">
        <v>11866</v>
      </c>
      <c r="R22" s="39">
        <v>0</v>
      </c>
      <c r="S22" s="35">
        <f t="shared" si="18"/>
        <v>3176218</v>
      </c>
      <c r="T22" s="221">
        <v>112388</v>
      </c>
      <c r="U22" s="222">
        <v>3051495</v>
      </c>
      <c r="V22" s="222">
        <v>49667</v>
      </c>
      <c r="W22" s="222">
        <v>0</v>
      </c>
      <c r="X22" s="35">
        <f t="shared" si="6"/>
        <v>3213550</v>
      </c>
      <c r="Y22" s="221">
        <v>122784</v>
      </c>
      <c r="Z22" s="222">
        <v>4847974</v>
      </c>
      <c r="AA22" s="222">
        <v>33579</v>
      </c>
      <c r="AB22" s="222">
        <v>0</v>
      </c>
      <c r="AC22" s="35">
        <f t="shared" si="7"/>
        <v>5004337</v>
      </c>
      <c r="AD22" s="221">
        <v>171424</v>
      </c>
      <c r="AE22" s="222">
        <v>2999965</v>
      </c>
      <c r="AF22" s="222">
        <v>13766</v>
      </c>
      <c r="AG22" s="222">
        <v>0</v>
      </c>
      <c r="AH22" s="35">
        <f t="shared" si="8"/>
        <v>3185155</v>
      </c>
      <c r="AI22" s="36">
        <v>89858</v>
      </c>
      <c r="AJ22" s="39">
        <v>2967974</v>
      </c>
      <c r="AK22" s="39">
        <v>77554</v>
      </c>
      <c r="AL22" s="39">
        <v>0</v>
      </c>
      <c r="AM22" s="35">
        <f t="shared" si="9"/>
        <v>3135386</v>
      </c>
      <c r="AN22" s="36">
        <v>205193</v>
      </c>
      <c r="AO22" s="39">
        <v>4859251</v>
      </c>
      <c r="AP22" s="39">
        <v>34546</v>
      </c>
      <c r="AQ22" s="39">
        <v>0</v>
      </c>
      <c r="AR22" s="35">
        <f t="shared" si="2"/>
        <v>5098990</v>
      </c>
      <c r="AS22" s="36">
        <v>167002</v>
      </c>
      <c r="AT22" s="39">
        <v>2923841</v>
      </c>
      <c r="AU22" s="39">
        <v>31439</v>
      </c>
      <c r="AV22" s="39">
        <v>0</v>
      </c>
      <c r="AW22" s="35">
        <f t="shared" si="10"/>
        <v>3122282</v>
      </c>
      <c r="AX22" s="36">
        <v>168272</v>
      </c>
      <c r="AY22" s="39">
        <v>2958406</v>
      </c>
      <c r="AZ22" s="39">
        <v>171858</v>
      </c>
      <c r="BA22" s="39">
        <v>0</v>
      </c>
      <c r="BB22" s="35">
        <f t="shared" si="3"/>
        <v>3298536</v>
      </c>
      <c r="BC22" s="36">
        <v>159829</v>
      </c>
      <c r="BD22" s="39">
        <v>5032555</v>
      </c>
      <c r="BE22" s="39">
        <v>31251</v>
      </c>
      <c r="BF22" s="39">
        <v>0</v>
      </c>
      <c r="BG22" s="35">
        <f t="shared" si="11"/>
        <v>5223635</v>
      </c>
      <c r="BH22" s="36">
        <v>246813</v>
      </c>
      <c r="BI22" s="39">
        <v>2900221</v>
      </c>
      <c r="BJ22" s="39">
        <v>54453</v>
      </c>
      <c r="BK22" s="39">
        <v>0</v>
      </c>
      <c r="BL22" s="35">
        <f t="shared" si="12"/>
        <v>3201487</v>
      </c>
      <c r="BM22" s="36">
        <f>885178+CA22</f>
        <v>902298</v>
      </c>
      <c r="BN22" s="39">
        <f>2720654+CB22</f>
        <v>2720595</v>
      </c>
      <c r="BO22" s="39">
        <f>215745+CC22</f>
        <v>246335</v>
      </c>
      <c r="BP22" s="39">
        <v>0</v>
      </c>
      <c r="BQ22" s="35">
        <f t="shared" si="13"/>
        <v>3869228</v>
      </c>
      <c r="BR22" s="36">
        <f t="shared" si="16"/>
        <v>2581996</v>
      </c>
      <c r="BS22" s="163">
        <f t="shared" si="16"/>
        <v>43246973</v>
      </c>
      <c r="BT22" s="39">
        <f t="shared" si="16"/>
        <v>765616</v>
      </c>
      <c r="BU22" s="39">
        <f t="shared" si="14"/>
        <v>0</v>
      </c>
      <c r="BV22" s="36">
        <f t="shared" si="4"/>
        <v>46594585</v>
      </c>
      <c r="BW22" s="8"/>
      <c r="BX22" s="165">
        <f t="shared" si="17"/>
        <v>100</v>
      </c>
      <c r="CA22" s="1">
        <v>17120</v>
      </c>
      <c r="CB22" s="1">
        <v>-59</v>
      </c>
      <c r="CC22" s="1">
        <v>30590</v>
      </c>
      <c r="CD22" s="1">
        <v>0</v>
      </c>
    </row>
    <row r="23" spans="1:82" x14ac:dyDescent="0.2">
      <c r="A23" s="159">
        <v>17</v>
      </c>
      <c r="B23" s="160" t="s">
        <v>194</v>
      </c>
      <c r="D23" s="161"/>
      <c r="E23" s="162">
        <f>830690-11008</f>
        <v>819682</v>
      </c>
      <c r="F23" s="163">
        <v>171751250</v>
      </c>
      <c r="G23" s="163">
        <v>7695</v>
      </c>
      <c r="H23" s="163">
        <v>1291</v>
      </c>
      <c r="I23" s="35">
        <f t="shared" si="1"/>
        <v>172579918</v>
      </c>
      <c r="J23" s="36">
        <v>48268</v>
      </c>
      <c r="K23" s="39">
        <v>13964472</v>
      </c>
      <c r="L23" s="39">
        <v>1719</v>
      </c>
      <c r="M23" s="39">
        <v>0</v>
      </c>
      <c r="N23" s="35">
        <f t="shared" si="15"/>
        <v>14014459</v>
      </c>
      <c r="O23" s="36">
        <v>55843</v>
      </c>
      <c r="P23" s="39">
        <v>14053166</v>
      </c>
      <c r="Q23" s="39">
        <v>105</v>
      </c>
      <c r="R23" s="39">
        <v>0</v>
      </c>
      <c r="S23" s="35">
        <f t="shared" si="18"/>
        <v>14109114</v>
      </c>
      <c r="T23" s="221">
        <v>56769</v>
      </c>
      <c r="U23" s="222">
        <v>14019642</v>
      </c>
      <c r="V23" s="222">
        <v>444</v>
      </c>
      <c r="W23" s="222">
        <v>0</v>
      </c>
      <c r="X23" s="35">
        <f t="shared" si="6"/>
        <v>14076855</v>
      </c>
      <c r="Y23" s="221">
        <v>60578</v>
      </c>
      <c r="Z23" s="222">
        <v>14214931</v>
      </c>
      <c r="AA23" s="222">
        <v>3387</v>
      </c>
      <c r="AB23" s="222">
        <v>0</v>
      </c>
      <c r="AC23" s="35">
        <f t="shared" si="7"/>
        <v>14278896</v>
      </c>
      <c r="AD23" s="221">
        <v>72496</v>
      </c>
      <c r="AE23" s="222">
        <v>14099194</v>
      </c>
      <c r="AF23" s="222">
        <v>951</v>
      </c>
      <c r="AG23" s="222">
        <v>0</v>
      </c>
      <c r="AH23" s="35">
        <f t="shared" si="8"/>
        <v>14172641</v>
      </c>
      <c r="AI23" s="36">
        <v>57792</v>
      </c>
      <c r="AJ23" s="39">
        <v>14271695</v>
      </c>
      <c r="AK23" s="39">
        <v>113</v>
      </c>
      <c r="AL23" s="39">
        <v>0</v>
      </c>
      <c r="AM23" s="35">
        <f t="shared" si="9"/>
        <v>14329600</v>
      </c>
      <c r="AN23" s="36">
        <v>65978</v>
      </c>
      <c r="AO23" s="39">
        <v>14520914</v>
      </c>
      <c r="AP23" s="39">
        <v>-669</v>
      </c>
      <c r="AQ23" s="39">
        <v>0</v>
      </c>
      <c r="AR23" s="35">
        <f t="shared" si="2"/>
        <v>14586223</v>
      </c>
      <c r="AS23" s="36">
        <v>79952</v>
      </c>
      <c r="AT23" s="39">
        <v>14379584</v>
      </c>
      <c r="AU23" s="39">
        <v>837</v>
      </c>
      <c r="AV23" s="39">
        <v>0</v>
      </c>
      <c r="AW23" s="35">
        <f t="shared" si="10"/>
        <v>14460373</v>
      </c>
      <c r="AX23" s="36">
        <v>76879</v>
      </c>
      <c r="AY23" s="39">
        <v>13823403</v>
      </c>
      <c r="AZ23" s="39">
        <v>0</v>
      </c>
      <c r="BA23" s="39">
        <v>0</v>
      </c>
      <c r="BB23" s="35">
        <f t="shared" si="3"/>
        <v>13900282</v>
      </c>
      <c r="BC23" s="36">
        <v>59533</v>
      </c>
      <c r="BD23" s="39">
        <f>14572474+803203</f>
        <v>15375677</v>
      </c>
      <c r="BE23" s="39">
        <v>106</v>
      </c>
      <c r="BF23" s="39">
        <v>0</v>
      </c>
      <c r="BG23" s="35">
        <f t="shared" si="11"/>
        <v>15435316</v>
      </c>
      <c r="BH23" s="36">
        <v>61567</v>
      </c>
      <c r="BI23" s="39">
        <v>14401690</v>
      </c>
      <c r="BJ23" s="39">
        <v>280</v>
      </c>
      <c r="BK23" s="39">
        <v>0</v>
      </c>
      <c r="BL23" s="35">
        <f t="shared" si="12"/>
        <v>14463537</v>
      </c>
      <c r="BM23" s="36">
        <f>122240+CA23</f>
        <v>124027</v>
      </c>
      <c r="BN23" s="39">
        <f>14625246+CB23</f>
        <v>14626882</v>
      </c>
      <c r="BO23" s="39">
        <f>511+CC23</f>
        <v>422</v>
      </c>
      <c r="BP23" s="39">
        <f>832+CD23</f>
        <v>1291</v>
      </c>
      <c r="BQ23" s="35">
        <f t="shared" si="13"/>
        <v>14752622</v>
      </c>
      <c r="BR23" s="36">
        <f t="shared" si="16"/>
        <v>819682</v>
      </c>
      <c r="BS23" s="163">
        <f t="shared" si="16"/>
        <v>171751250</v>
      </c>
      <c r="BT23" s="39">
        <f t="shared" si="16"/>
        <v>7695</v>
      </c>
      <c r="BU23" s="39">
        <f t="shared" si="14"/>
        <v>1291</v>
      </c>
      <c r="BV23" s="36">
        <f t="shared" si="4"/>
        <v>172579918</v>
      </c>
      <c r="BW23" s="8"/>
      <c r="BX23" s="165">
        <f t="shared" si="17"/>
        <v>100</v>
      </c>
      <c r="CA23" s="1">
        <v>1787</v>
      </c>
      <c r="CB23" s="1">
        <v>1636</v>
      </c>
      <c r="CC23" s="1">
        <v>-89</v>
      </c>
      <c r="CD23" s="1">
        <v>459</v>
      </c>
    </row>
    <row r="24" spans="1:82" x14ac:dyDescent="0.2">
      <c r="A24" s="159">
        <v>18</v>
      </c>
      <c r="B24" s="160" t="s">
        <v>195</v>
      </c>
      <c r="D24" s="161"/>
      <c r="E24" s="162">
        <f>22605724-1208</f>
        <v>22604516</v>
      </c>
      <c r="F24" s="163">
        <v>568552</v>
      </c>
      <c r="G24" s="163">
        <v>522338</v>
      </c>
      <c r="H24" s="163">
        <v>81510</v>
      </c>
      <c r="I24" s="35">
        <f t="shared" si="1"/>
        <v>23776916</v>
      </c>
      <c r="J24" s="36">
        <v>1425636</v>
      </c>
      <c r="K24" s="39">
        <v>11135</v>
      </c>
      <c r="L24" s="39">
        <v>3869</v>
      </c>
      <c r="M24" s="39">
        <v>0</v>
      </c>
      <c r="N24" s="35">
        <f t="shared" si="15"/>
        <v>1440640</v>
      </c>
      <c r="O24" s="36">
        <v>1747336</v>
      </c>
      <c r="P24" s="39">
        <v>12767</v>
      </c>
      <c r="Q24" s="39">
        <v>10210</v>
      </c>
      <c r="R24" s="39">
        <v>0</v>
      </c>
      <c r="S24" s="35">
        <f t="shared" si="18"/>
        <v>1770313</v>
      </c>
      <c r="T24" s="221">
        <v>1643005</v>
      </c>
      <c r="U24" s="222">
        <v>10134</v>
      </c>
      <c r="V24" s="222">
        <v>27669</v>
      </c>
      <c r="W24" s="222">
        <v>0</v>
      </c>
      <c r="X24" s="35">
        <f t="shared" si="6"/>
        <v>1680808</v>
      </c>
      <c r="Y24" s="221">
        <v>2043053</v>
      </c>
      <c r="Z24" s="222">
        <v>8204</v>
      </c>
      <c r="AA24" s="222">
        <v>55762</v>
      </c>
      <c r="AB24" s="222">
        <v>2005</v>
      </c>
      <c r="AC24" s="35">
        <f t="shared" si="7"/>
        <v>2109024</v>
      </c>
      <c r="AD24" s="221">
        <v>1820299</v>
      </c>
      <c r="AE24" s="222">
        <v>13401</v>
      </c>
      <c r="AF24" s="222">
        <v>39519</v>
      </c>
      <c r="AG24" s="222">
        <v>5604</v>
      </c>
      <c r="AH24" s="35">
        <f t="shared" si="8"/>
        <v>1878823</v>
      </c>
      <c r="AI24" s="36">
        <v>1988869</v>
      </c>
      <c r="AJ24" s="39">
        <v>8315</v>
      </c>
      <c r="AK24" s="39">
        <v>22130</v>
      </c>
      <c r="AL24" s="39">
        <v>3185</v>
      </c>
      <c r="AM24" s="35">
        <f t="shared" si="9"/>
        <v>2022499</v>
      </c>
      <c r="AN24" s="36">
        <v>1764425</v>
      </c>
      <c r="AO24" s="39">
        <v>11971</v>
      </c>
      <c r="AP24" s="39">
        <v>56515</v>
      </c>
      <c r="AQ24" s="39">
        <v>1163</v>
      </c>
      <c r="AR24" s="35">
        <f t="shared" si="2"/>
        <v>1834074</v>
      </c>
      <c r="AS24" s="36">
        <v>1887094</v>
      </c>
      <c r="AT24" s="39">
        <v>10973</v>
      </c>
      <c r="AU24" s="39">
        <v>11038</v>
      </c>
      <c r="AV24" s="39">
        <v>10060</v>
      </c>
      <c r="AW24" s="35">
        <f t="shared" si="10"/>
        <v>1919165</v>
      </c>
      <c r="AX24" s="36">
        <v>1878066</v>
      </c>
      <c r="AY24" s="39">
        <v>17539</v>
      </c>
      <c r="AZ24" s="39">
        <v>143112</v>
      </c>
      <c r="BA24" s="39">
        <v>-22007</v>
      </c>
      <c r="BB24" s="35">
        <f t="shared" si="3"/>
        <v>2016710</v>
      </c>
      <c r="BC24" s="36">
        <v>2161144</v>
      </c>
      <c r="BD24" s="39">
        <v>13888</v>
      </c>
      <c r="BE24" s="39">
        <v>15321</v>
      </c>
      <c r="BF24" s="39">
        <v>1392</v>
      </c>
      <c r="BG24" s="35">
        <f t="shared" si="11"/>
        <v>2191745</v>
      </c>
      <c r="BH24" s="36">
        <v>1830128</v>
      </c>
      <c r="BI24" s="39">
        <v>13608</v>
      </c>
      <c r="BJ24" s="39">
        <v>17845</v>
      </c>
      <c r="BK24" s="39">
        <v>-1401</v>
      </c>
      <c r="BL24" s="35">
        <f t="shared" si="12"/>
        <v>1860180</v>
      </c>
      <c r="BM24" s="36">
        <f>2417517+CA24</f>
        <v>2415461</v>
      </c>
      <c r="BN24" s="39">
        <f>436619+CB24</f>
        <v>436617</v>
      </c>
      <c r="BO24" s="39">
        <f>117291+CC24</f>
        <v>119348</v>
      </c>
      <c r="BP24" s="39">
        <f>8786+CD24</f>
        <v>81509</v>
      </c>
      <c r="BQ24" s="35">
        <f t="shared" si="13"/>
        <v>3052935</v>
      </c>
      <c r="BR24" s="36">
        <f t="shared" si="16"/>
        <v>22604516</v>
      </c>
      <c r="BS24" s="163">
        <f t="shared" si="16"/>
        <v>568552</v>
      </c>
      <c r="BT24" s="39">
        <f t="shared" si="16"/>
        <v>522338</v>
      </c>
      <c r="BU24" s="39">
        <f t="shared" si="16"/>
        <v>81510</v>
      </c>
      <c r="BV24" s="36">
        <f t="shared" si="4"/>
        <v>23776916</v>
      </c>
      <c r="BW24" s="8"/>
      <c r="BX24" s="223">
        <f>(BV24/I24)*100</f>
        <v>100</v>
      </c>
      <c r="CA24" s="1">
        <v>-2056</v>
      </c>
      <c r="CB24" s="1">
        <v>-2</v>
      </c>
      <c r="CC24" s="1">
        <v>2057</v>
      </c>
      <c r="CD24" s="1">
        <v>72723</v>
      </c>
    </row>
    <row r="25" spans="1:82" x14ac:dyDescent="0.2">
      <c r="A25" s="159">
        <v>19</v>
      </c>
      <c r="B25" s="160" t="s">
        <v>196</v>
      </c>
      <c r="D25" s="172"/>
      <c r="E25" s="162">
        <v>40382766</v>
      </c>
      <c r="F25" s="163">
        <v>6655008</v>
      </c>
      <c r="G25" s="163">
        <v>1442941</v>
      </c>
      <c r="H25" s="163">
        <v>11358</v>
      </c>
      <c r="I25" s="35">
        <f t="shared" si="1"/>
        <v>48492073</v>
      </c>
      <c r="J25" s="36">
        <v>2591556</v>
      </c>
      <c r="K25" s="39">
        <v>428717</v>
      </c>
      <c r="L25" s="39">
        <v>164770</v>
      </c>
      <c r="M25" s="39">
        <v>0</v>
      </c>
      <c r="N25" s="35">
        <f t="shared" si="15"/>
        <v>3185043</v>
      </c>
      <c r="O25" s="36">
        <v>2929343</v>
      </c>
      <c r="P25" s="39">
        <v>759511</v>
      </c>
      <c r="Q25" s="39">
        <v>48108</v>
      </c>
      <c r="R25" s="39">
        <v>0</v>
      </c>
      <c r="S25" s="35">
        <f t="shared" si="18"/>
        <v>3736962</v>
      </c>
      <c r="T25" s="221">
        <v>3291162</v>
      </c>
      <c r="U25" s="222">
        <v>411416</v>
      </c>
      <c r="V25" s="222">
        <v>67905</v>
      </c>
      <c r="W25" s="222">
        <v>0</v>
      </c>
      <c r="X25" s="35">
        <f t="shared" si="6"/>
        <v>3770483</v>
      </c>
      <c r="Y25" s="221">
        <v>3257522</v>
      </c>
      <c r="Z25" s="222">
        <v>741706</v>
      </c>
      <c r="AA25" s="222">
        <v>92042</v>
      </c>
      <c r="AB25" s="222">
        <v>0</v>
      </c>
      <c r="AC25" s="35">
        <f t="shared" si="7"/>
        <v>4091270</v>
      </c>
      <c r="AD25" s="221">
        <v>3166236</v>
      </c>
      <c r="AE25" s="222">
        <v>406074</v>
      </c>
      <c r="AF25" s="222">
        <v>52203</v>
      </c>
      <c r="AG25" s="222">
        <v>0</v>
      </c>
      <c r="AH25" s="35">
        <f t="shared" si="8"/>
        <v>3624513</v>
      </c>
      <c r="AI25" s="36">
        <v>3102181</v>
      </c>
      <c r="AJ25" s="39">
        <v>541361</v>
      </c>
      <c r="AK25" s="39">
        <v>105455</v>
      </c>
      <c r="AL25" s="39">
        <v>0</v>
      </c>
      <c r="AM25" s="35">
        <f t="shared" si="9"/>
        <v>3748997</v>
      </c>
      <c r="AN25" s="36">
        <v>4318079</v>
      </c>
      <c r="AO25" s="39">
        <v>821801</v>
      </c>
      <c r="AP25" s="39">
        <v>102847</v>
      </c>
      <c r="AQ25" s="39">
        <v>0</v>
      </c>
      <c r="AR25" s="35">
        <f t="shared" si="2"/>
        <v>5242727</v>
      </c>
      <c r="AS25" s="36">
        <v>3558591</v>
      </c>
      <c r="AT25" s="39">
        <v>526744</v>
      </c>
      <c r="AU25" s="39">
        <v>109542</v>
      </c>
      <c r="AV25" s="39">
        <v>0</v>
      </c>
      <c r="AW25" s="35">
        <f t="shared" si="10"/>
        <v>4194877</v>
      </c>
      <c r="AX25" s="36">
        <v>3088906</v>
      </c>
      <c r="AY25" s="39">
        <v>485501</v>
      </c>
      <c r="AZ25" s="39">
        <v>81237</v>
      </c>
      <c r="BA25" s="39">
        <v>0</v>
      </c>
      <c r="BB25" s="35">
        <f t="shared" si="3"/>
        <v>3655644</v>
      </c>
      <c r="BC25" s="36">
        <v>3682115</v>
      </c>
      <c r="BD25" s="39">
        <v>999748</v>
      </c>
      <c r="BE25" s="39">
        <v>94498</v>
      </c>
      <c r="BF25" s="39">
        <v>0</v>
      </c>
      <c r="BG25" s="35">
        <f t="shared" si="11"/>
        <v>4776361</v>
      </c>
      <c r="BH25" s="36">
        <v>3481537</v>
      </c>
      <c r="BI25" s="39">
        <v>910944</v>
      </c>
      <c r="BJ25" s="39">
        <v>40741</v>
      </c>
      <c r="BK25" s="39">
        <v>0</v>
      </c>
      <c r="BL25" s="35">
        <f t="shared" si="12"/>
        <v>4433222</v>
      </c>
      <c r="BM25" s="36">
        <f>3984777+CA25</f>
        <v>3915538</v>
      </c>
      <c r="BN25" s="39">
        <f>-451236+CB25</f>
        <v>-378515</v>
      </c>
      <c r="BO25" s="39">
        <f>474477+CC25</f>
        <v>483593</v>
      </c>
      <c r="BP25" s="39">
        <f>+CD25</f>
        <v>11358</v>
      </c>
      <c r="BQ25" s="35">
        <f t="shared" si="13"/>
        <v>4031974</v>
      </c>
      <c r="BR25" s="36">
        <f t="shared" si="16"/>
        <v>40382766</v>
      </c>
      <c r="BS25" s="163">
        <f t="shared" si="16"/>
        <v>6655008</v>
      </c>
      <c r="BT25" s="39">
        <f t="shared" si="16"/>
        <v>1442941</v>
      </c>
      <c r="BU25" s="39">
        <f t="shared" si="16"/>
        <v>11358</v>
      </c>
      <c r="BV25" s="36">
        <f t="shared" si="4"/>
        <v>48492073</v>
      </c>
      <c r="BW25" s="8"/>
      <c r="BX25" s="165">
        <f t="shared" si="17"/>
        <v>100</v>
      </c>
      <c r="CA25" s="1">
        <v>-69239</v>
      </c>
      <c r="CB25" s="1">
        <v>72721</v>
      </c>
      <c r="CC25" s="1">
        <v>9116</v>
      </c>
      <c r="CD25" s="1">
        <v>11358</v>
      </c>
    </row>
    <row r="26" spans="1:82" x14ac:dyDescent="0.2">
      <c r="A26" s="159">
        <v>20</v>
      </c>
      <c r="B26" s="160" t="s">
        <v>197</v>
      </c>
      <c r="D26" s="161"/>
      <c r="E26" s="162">
        <v>289713</v>
      </c>
      <c r="F26" s="163">
        <v>1899</v>
      </c>
      <c r="G26" s="163">
        <v>23204</v>
      </c>
      <c r="H26" s="163">
        <v>15</v>
      </c>
      <c r="I26" s="35">
        <f t="shared" si="1"/>
        <v>314831</v>
      </c>
      <c r="J26" s="36">
        <v>25175</v>
      </c>
      <c r="K26" s="39">
        <v>0</v>
      </c>
      <c r="L26" s="39">
        <v>0</v>
      </c>
      <c r="M26" s="39">
        <v>0</v>
      </c>
      <c r="N26" s="35">
        <f t="shared" si="15"/>
        <v>25175</v>
      </c>
      <c r="O26" s="36">
        <v>19499</v>
      </c>
      <c r="P26" s="39">
        <v>10</v>
      </c>
      <c r="Q26" s="39">
        <v>0</v>
      </c>
      <c r="R26" s="39">
        <v>0</v>
      </c>
      <c r="S26" s="35">
        <f t="shared" si="18"/>
        <v>19509</v>
      </c>
      <c r="T26" s="221">
        <v>20936</v>
      </c>
      <c r="U26" s="39">
        <v>0</v>
      </c>
      <c r="V26" s="39">
        <v>0</v>
      </c>
      <c r="W26" s="39">
        <v>1</v>
      </c>
      <c r="X26" s="35">
        <f t="shared" si="6"/>
        <v>20937</v>
      </c>
      <c r="Y26" s="36">
        <v>25937</v>
      </c>
      <c r="Z26" s="39">
        <v>0</v>
      </c>
      <c r="AA26" s="39">
        <v>0</v>
      </c>
      <c r="AB26" s="39">
        <v>0</v>
      </c>
      <c r="AC26" s="35">
        <f t="shared" si="7"/>
        <v>25937</v>
      </c>
      <c r="AD26" s="36">
        <v>22725</v>
      </c>
      <c r="AE26" s="39">
        <v>639</v>
      </c>
      <c r="AF26" s="39">
        <v>434</v>
      </c>
      <c r="AG26" s="39">
        <v>0</v>
      </c>
      <c r="AH26" s="35">
        <f t="shared" si="8"/>
        <v>23798</v>
      </c>
      <c r="AI26" s="36">
        <v>21424</v>
      </c>
      <c r="AJ26" s="39">
        <v>0</v>
      </c>
      <c r="AK26" s="39">
        <v>404</v>
      </c>
      <c r="AL26" s="39">
        <v>2</v>
      </c>
      <c r="AM26" s="35">
        <f t="shared" si="9"/>
        <v>21830</v>
      </c>
      <c r="AN26" s="36">
        <v>24195</v>
      </c>
      <c r="AO26" s="39">
        <v>63</v>
      </c>
      <c r="AP26" s="39">
        <v>2590</v>
      </c>
      <c r="AQ26" s="39">
        <v>0</v>
      </c>
      <c r="AR26" s="35">
        <f t="shared" si="2"/>
        <v>26848</v>
      </c>
      <c r="AS26" s="36">
        <v>25549</v>
      </c>
      <c r="AT26" s="39">
        <v>0</v>
      </c>
      <c r="AU26" s="39">
        <v>4933</v>
      </c>
      <c r="AV26" s="39">
        <v>0</v>
      </c>
      <c r="AW26" s="35">
        <f t="shared" si="10"/>
        <v>30482</v>
      </c>
      <c r="AX26" s="36">
        <v>23126</v>
      </c>
      <c r="AY26" s="39">
        <v>0</v>
      </c>
      <c r="AZ26" s="39">
        <v>763</v>
      </c>
      <c r="BA26" s="39">
        <v>0</v>
      </c>
      <c r="BB26" s="35">
        <f t="shared" si="3"/>
        <v>23889</v>
      </c>
      <c r="BC26" s="36">
        <v>20182</v>
      </c>
      <c r="BD26" s="39">
        <v>80</v>
      </c>
      <c r="BE26" s="39">
        <v>220</v>
      </c>
      <c r="BF26" s="39">
        <v>0</v>
      </c>
      <c r="BG26" s="35">
        <f t="shared" si="11"/>
        <v>20482</v>
      </c>
      <c r="BH26" s="36">
        <v>25256</v>
      </c>
      <c r="BI26" s="39">
        <v>165</v>
      </c>
      <c r="BJ26" s="39">
        <v>1324</v>
      </c>
      <c r="BK26" s="39">
        <v>0</v>
      </c>
      <c r="BL26" s="35">
        <f t="shared" si="12"/>
        <v>26745</v>
      </c>
      <c r="BM26" s="36">
        <f>35710+CA26</f>
        <v>35709</v>
      </c>
      <c r="BN26" s="39">
        <f>942+CB26</f>
        <v>942</v>
      </c>
      <c r="BO26" s="39">
        <f>12535+CC26</f>
        <v>12536</v>
      </c>
      <c r="BP26" s="39">
        <v>12</v>
      </c>
      <c r="BQ26" s="35">
        <f t="shared" si="13"/>
        <v>49199</v>
      </c>
      <c r="BR26" s="36">
        <f t="shared" si="16"/>
        <v>289713</v>
      </c>
      <c r="BS26" s="163">
        <f t="shared" si="16"/>
        <v>1899</v>
      </c>
      <c r="BT26" s="39">
        <f t="shared" si="16"/>
        <v>23204</v>
      </c>
      <c r="BU26" s="39">
        <f t="shared" si="16"/>
        <v>15</v>
      </c>
      <c r="BV26" s="36">
        <f t="shared" si="4"/>
        <v>314831</v>
      </c>
      <c r="BW26" s="8"/>
      <c r="BX26" s="223">
        <f t="shared" si="17"/>
        <v>100</v>
      </c>
      <c r="CA26" s="1">
        <v>-1</v>
      </c>
      <c r="CB26" s="1">
        <v>0</v>
      </c>
      <c r="CC26" s="1">
        <v>1</v>
      </c>
      <c r="CD26" s="1">
        <v>0</v>
      </c>
    </row>
    <row r="27" spans="1:82" x14ac:dyDescent="0.2">
      <c r="A27" s="159">
        <v>21</v>
      </c>
      <c r="B27" s="160" t="s">
        <v>198</v>
      </c>
      <c r="D27" s="161"/>
      <c r="E27" s="162">
        <f>15457190-2013598-39584</f>
        <v>13404008</v>
      </c>
      <c r="F27" s="163">
        <f>2803084-33787</f>
        <v>2769297</v>
      </c>
      <c r="G27" s="163">
        <v>985917</v>
      </c>
      <c r="H27" s="163">
        <v>22885</v>
      </c>
      <c r="I27" s="35">
        <f t="shared" si="1"/>
        <v>17182107</v>
      </c>
      <c r="J27" s="36">
        <v>829251</v>
      </c>
      <c r="K27" s="39">
        <v>232575</v>
      </c>
      <c r="L27" s="39">
        <v>64323</v>
      </c>
      <c r="M27" s="39">
        <v>1011</v>
      </c>
      <c r="N27" s="35">
        <f t="shared" si="15"/>
        <v>1127160</v>
      </c>
      <c r="O27" s="36">
        <v>970962</v>
      </c>
      <c r="P27" s="39">
        <v>219450</v>
      </c>
      <c r="Q27" s="39">
        <v>133630</v>
      </c>
      <c r="R27" s="39">
        <v>68</v>
      </c>
      <c r="S27" s="35">
        <f t="shared" si="18"/>
        <v>1324110</v>
      </c>
      <c r="T27" s="221">
        <v>957728</v>
      </c>
      <c r="U27" s="222">
        <v>442422</v>
      </c>
      <c r="V27" s="222">
        <v>83800</v>
      </c>
      <c r="W27" s="222">
        <v>5</v>
      </c>
      <c r="X27" s="35">
        <f t="shared" si="6"/>
        <v>1483955</v>
      </c>
      <c r="Y27" s="221">
        <v>1208878</v>
      </c>
      <c r="Z27" s="222">
        <v>24197</v>
      </c>
      <c r="AA27" s="222">
        <v>63742</v>
      </c>
      <c r="AB27" s="222">
        <v>49</v>
      </c>
      <c r="AC27" s="35">
        <f t="shared" si="7"/>
        <v>1296866</v>
      </c>
      <c r="AD27" s="221">
        <v>1192732</v>
      </c>
      <c r="AE27" s="222">
        <v>231575</v>
      </c>
      <c r="AF27" s="222">
        <v>8608</v>
      </c>
      <c r="AG27" s="222">
        <v>37</v>
      </c>
      <c r="AH27" s="35">
        <f t="shared" si="8"/>
        <v>1432952</v>
      </c>
      <c r="AI27" s="36">
        <v>951488</v>
      </c>
      <c r="AJ27" s="39">
        <v>230995</v>
      </c>
      <c r="AK27" s="39">
        <v>73405</v>
      </c>
      <c r="AL27" s="39">
        <v>252</v>
      </c>
      <c r="AM27" s="35">
        <f t="shared" si="9"/>
        <v>1256140</v>
      </c>
      <c r="AN27" s="36">
        <v>1023234</v>
      </c>
      <c r="AO27" s="39">
        <v>224325</v>
      </c>
      <c r="AP27" s="39">
        <v>126676</v>
      </c>
      <c r="AQ27" s="39">
        <v>3351</v>
      </c>
      <c r="AR27" s="35">
        <f t="shared" si="2"/>
        <v>1377586</v>
      </c>
      <c r="AS27" s="36">
        <v>1072192</v>
      </c>
      <c r="AT27" s="39">
        <v>223030</v>
      </c>
      <c r="AU27" s="39">
        <v>50729</v>
      </c>
      <c r="AV27" s="39">
        <v>94</v>
      </c>
      <c r="AW27" s="35">
        <f t="shared" si="10"/>
        <v>1346045</v>
      </c>
      <c r="AX27" s="36">
        <v>1469975</v>
      </c>
      <c r="AY27" s="39">
        <v>217624</v>
      </c>
      <c r="AZ27" s="39">
        <v>121254</v>
      </c>
      <c r="BA27" s="39">
        <v>35</v>
      </c>
      <c r="BB27" s="35">
        <f t="shared" si="3"/>
        <v>1808888</v>
      </c>
      <c r="BC27" s="36">
        <v>953643</v>
      </c>
      <c r="BD27" s="39">
        <v>240935</v>
      </c>
      <c r="BE27" s="39">
        <v>39684</v>
      </c>
      <c r="BF27" s="39">
        <v>908</v>
      </c>
      <c r="BG27" s="35">
        <f t="shared" si="11"/>
        <v>1235170</v>
      </c>
      <c r="BH27" s="36">
        <v>1340132</v>
      </c>
      <c r="BI27" s="39">
        <v>227761</v>
      </c>
      <c r="BJ27" s="39">
        <v>73392</v>
      </c>
      <c r="BK27" s="39">
        <v>-787</v>
      </c>
      <c r="BL27" s="35">
        <f t="shared" si="12"/>
        <v>1640498</v>
      </c>
      <c r="BM27" s="36">
        <f>1434277+CA27</f>
        <v>1433793</v>
      </c>
      <c r="BN27" s="39">
        <f>254406+CB27</f>
        <v>254408</v>
      </c>
      <c r="BO27" s="39">
        <f>146584+CC27</f>
        <v>146674</v>
      </c>
      <c r="BP27" s="39">
        <f>17863+CD27</f>
        <v>17862</v>
      </c>
      <c r="BQ27" s="35">
        <f t="shared" si="13"/>
        <v>1852737</v>
      </c>
      <c r="BR27" s="36">
        <f t="shared" si="16"/>
        <v>13404008</v>
      </c>
      <c r="BS27" s="163">
        <f t="shared" si="16"/>
        <v>2769297</v>
      </c>
      <c r="BT27" s="39">
        <f t="shared" si="16"/>
        <v>985917</v>
      </c>
      <c r="BU27" s="39">
        <f t="shared" si="16"/>
        <v>22885</v>
      </c>
      <c r="BV27" s="36">
        <f t="shared" si="4"/>
        <v>17182107</v>
      </c>
      <c r="BW27" s="8"/>
      <c r="BX27" s="165">
        <f t="shared" si="17"/>
        <v>100</v>
      </c>
      <c r="CA27" s="1">
        <v>-484</v>
      </c>
      <c r="CB27" s="1">
        <v>2</v>
      </c>
      <c r="CC27" s="1">
        <v>90</v>
      </c>
      <c r="CD27" s="1">
        <v>-1</v>
      </c>
    </row>
    <row r="28" spans="1:82" x14ac:dyDescent="0.2">
      <c r="A28" s="159">
        <v>22</v>
      </c>
      <c r="B28" s="137" t="s">
        <v>199</v>
      </c>
      <c r="D28" s="161"/>
      <c r="E28" s="162">
        <f>1885424-956209</f>
        <v>929215</v>
      </c>
      <c r="F28" s="163">
        <f>68313-65980</f>
        <v>2333</v>
      </c>
      <c r="G28" s="163">
        <v>160471</v>
      </c>
      <c r="H28" s="163">
        <v>0</v>
      </c>
      <c r="I28" s="35">
        <f t="shared" si="1"/>
        <v>1092019</v>
      </c>
      <c r="J28" s="36">
        <v>60203</v>
      </c>
      <c r="K28" s="39">
        <v>142</v>
      </c>
      <c r="L28" s="39">
        <v>490</v>
      </c>
      <c r="M28" s="39">
        <v>0</v>
      </c>
      <c r="N28" s="35">
        <f t="shared" si="15"/>
        <v>60835</v>
      </c>
      <c r="O28" s="36">
        <v>69364</v>
      </c>
      <c r="P28" s="39">
        <v>132</v>
      </c>
      <c r="Q28" s="39">
        <v>2191</v>
      </c>
      <c r="R28" s="39">
        <v>0</v>
      </c>
      <c r="S28" s="35">
        <f>SUM(O28:R28)</f>
        <v>71687</v>
      </c>
      <c r="T28" s="221">
        <v>75963</v>
      </c>
      <c r="U28" s="222">
        <v>204</v>
      </c>
      <c r="V28" s="222">
        <v>2149</v>
      </c>
      <c r="W28" s="222">
        <v>0</v>
      </c>
      <c r="X28" s="35">
        <f t="shared" si="6"/>
        <v>78316</v>
      </c>
      <c r="Y28" s="221">
        <v>80018</v>
      </c>
      <c r="Z28" s="222">
        <v>242</v>
      </c>
      <c r="AA28" s="222">
        <v>12016</v>
      </c>
      <c r="AB28" s="222">
        <v>0</v>
      </c>
      <c r="AC28" s="35">
        <f t="shared" si="7"/>
        <v>92276</v>
      </c>
      <c r="AD28" s="221">
        <v>78209</v>
      </c>
      <c r="AE28" s="222">
        <v>217</v>
      </c>
      <c r="AF28" s="222">
        <v>10049</v>
      </c>
      <c r="AG28" s="222">
        <v>0</v>
      </c>
      <c r="AH28" s="35">
        <f t="shared" si="8"/>
        <v>88475</v>
      </c>
      <c r="AI28" s="36">
        <v>69041</v>
      </c>
      <c r="AJ28" s="39">
        <v>119</v>
      </c>
      <c r="AK28" s="39">
        <v>7181</v>
      </c>
      <c r="AL28" s="39">
        <v>0</v>
      </c>
      <c r="AM28" s="35">
        <f t="shared" si="9"/>
        <v>76341</v>
      </c>
      <c r="AN28" s="36">
        <v>80783</v>
      </c>
      <c r="AO28" s="39">
        <v>48</v>
      </c>
      <c r="AP28" s="39">
        <v>7034</v>
      </c>
      <c r="AQ28" s="39">
        <v>0</v>
      </c>
      <c r="AR28" s="35">
        <f t="shared" si="2"/>
        <v>87865</v>
      </c>
      <c r="AS28" s="36">
        <v>74015</v>
      </c>
      <c r="AT28" s="39">
        <v>125</v>
      </c>
      <c r="AU28" s="39">
        <v>7015</v>
      </c>
      <c r="AV28" s="39">
        <v>0</v>
      </c>
      <c r="AW28" s="35">
        <f t="shared" si="10"/>
        <v>81155</v>
      </c>
      <c r="AX28" s="36">
        <v>87686</v>
      </c>
      <c r="AY28" s="39">
        <v>351</v>
      </c>
      <c r="AZ28" s="39">
        <v>9296</v>
      </c>
      <c r="BA28" s="39">
        <v>0</v>
      </c>
      <c r="BB28" s="35">
        <f t="shared" si="3"/>
        <v>97333</v>
      </c>
      <c r="BC28" s="36">
        <v>74253</v>
      </c>
      <c r="BD28" s="39">
        <v>129</v>
      </c>
      <c r="BE28" s="39">
        <v>13427</v>
      </c>
      <c r="BF28" s="39">
        <v>0</v>
      </c>
      <c r="BG28" s="35">
        <f t="shared" si="11"/>
        <v>87809</v>
      </c>
      <c r="BH28" s="36">
        <v>71432</v>
      </c>
      <c r="BI28" s="39">
        <v>506</v>
      </c>
      <c r="BJ28" s="39">
        <v>10609</v>
      </c>
      <c r="BK28" s="39">
        <v>0</v>
      </c>
      <c r="BL28" s="35">
        <f t="shared" si="12"/>
        <v>82547</v>
      </c>
      <c r="BM28" s="36">
        <f>100821+CA28</f>
        <v>108248</v>
      </c>
      <c r="BN28" s="39">
        <f>139+CB28</f>
        <v>118</v>
      </c>
      <c r="BO28" s="39">
        <f>86448+CC28</f>
        <v>79014</v>
      </c>
      <c r="BP28" s="39">
        <v>0</v>
      </c>
      <c r="BQ28" s="35">
        <f t="shared" si="13"/>
        <v>187380</v>
      </c>
      <c r="BR28" s="36">
        <f t="shared" si="16"/>
        <v>929215</v>
      </c>
      <c r="BS28" s="163">
        <f t="shared" si="16"/>
        <v>2333</v>
      </c>
      <c r="BT28" s="39">
        <f t="shared" si="16"/>
        <v>160471</v>
      </c>
      <c r="BU28" s="39">
        <f t="shared" si="16"/>
        <v>0</v>
      </c>
      <c r="BV28" s="36">
        <f t="shared" si="4"/>
        <v>1092019</v>
      </c>
      <c r="BW28" s="8"/>
      <c r="BX28" s="223">
        <f t="shared" si="17"/>
        <v>100</v>
      </c>
      <c r="CA28" s="1">
        <v>7427</v>
      </c>
      <c r="CB28" s="1">
        <v>-21</v>
      </c>
      <c r="CC28" s="1">
        <v>-7434</v>
      </c>
      <c r="CD28" s="1">
        <v>0</v>
      </c>
    </row>
    <row r="29" spans="1:82" x14ac:dyDescent="0.2">
      <c r="A29" s="159">
        <v>23</v>
      </c>
      <c r="B29" s="160" t="s">
        <v>200</v>
      </c>
      <c r="D29" s="161"/>
      <c r="E29" s="162">
        <v>86118696</v>
      </c>
      <c r="F29" s="163">
        <v>1399766</v>
      </c>
      <c r="G29" s="163">
        <v>2894723</v>
      </c>
      <c r="H29" s="163">
        <v>15557</v>
      </c>
      <c r="I29" s="35">
        <f t="shared" si="1"/>
        <v>90428742</v>
      </c>
      <c r="J29" s="39">
        <v>6422114</v>
      </c>
      <c r="K29" s="39">
        <v>120028</v>
      </c>
      <c r="L29" s="39">
        <v>86912</v>
      </c>
      <c r="M29" s="39">
        <v>86</v>
      </c>
      <c r="N29" s="35">
        <f t="shared" si="15"/>
        <v>6629140</v>
      </c>
      <c r="O29" s="36">
        <v>6899600</v>
      </c>
      <c r="P29" s="39">
        <v>111738</v>
      </c>
      <c r="Q29" s="39">
        <v>60304</v>
      </c>
      <c r="R29" s="39">
        <v>160</v>
      </c>
      <c r="S29" s="35">
        <f>SUM(O29:R29)</f>
        <v>7071802</v>
      </c>
      <c r="T29" s="36">
        <v>6676827</v>
      </c>
      <c r="U29" s="39">
        <v>87597</v>
      </c>
      <c r="V29" s="39">
        <v>144578</v>
      </c>
      <c r="W29" s="39">
        <v>1335</v>
      </c>
      <c r="X29" s="36">
        <f t="shared" si="6"/>
        <v>6910337</v>
      </c>
      <c r="Y29" s="221">
        <v>8125199</v>
      </c>
      <c r="Z29" s="39">
        <v>101384</v>
      </c>
      <c r="AA29" s="39">
        <v>110741</v>
      </c>
      <c r="AB29" s="39">
        <v>307</v>
      </c>
      <c r="AC29" s="35">
        <f t="shared" si="7"/>
        <v>8337631</v>
      </c>
      <c r="AD29" s="36">
        <v>7107110</v>
      </c>
      <c r="AE29" s="39">
        <v>177788</v>
      </c>
      <c r="AF29" s="39">
        <v>222075</v>
      </c>
      <c r="AG29" s="39">
        <v>1009</v>
      </c>
      <c r="AH29" s="35">
        <f t="shared" si="8"/>
        <v>7507982</v>
      </c>
      <c r="AI29" s="36">
        <v>7198819</v>
      </c>
      <c r="AJ29" s="39">
        <v>83910</v>
      </c>
      <c r="AK29" s="39">
        <v>282460</v>
      </c>
      <c r="AL29" s="39">
        <v>6786</v>
      </c>
      <c r="AM29" s="35">
        <f t="shared" si="9"/>
        <v>7571975</v>
      </c>
      <c r="AN29" s="36">
        <v>7414204</v>
      </c>
      <c r="AO29" s="39">
        <v>205934</v>
      </c>
      <c r="AP29" s="39">
        <v>252394</v>
      </c>
      <c r="AQ29" s="39">
        <v>1790</v>
      </c>
      <c r="AR29" s="35">
        <f t="shared" si="2"/>
        <v>7874322</v>
      </c>
      <c r="AS29" s="36">
        <v>7064371</v>
      </c>
      <c r="AT29" s="39">
        <v>111213</v>
      </c>
      <c r="AU29" s="39">
        <v>385279</v>
      </c>
      <c r="AV29" s="39">
        <v>2351</v>
      </c>
      <c r="AW29" s="35">
        <f t="shared" si="10"/>
        <v>7563214</v>
      </c>
      <c r="AX29" s="36">
        <v>6876383</v>
      </c>
      <c r="AY29" s="39">
        <v>128665</v>
      </c>
      <c r="AZ29" s="39">
        <v>213994</v>
      </c>
      <c r="BA29" s="39">
        <v>814</v>
      </c>
      <c r="BB29" s="35">
        <f t="shared" si="3"/>
        <v>7219856</v>
      </c>
      <c r="BC29" s="36">
        <v>6991073</v>
      </c>
      <c r="BD29" s="39">
        <v>128281</v>
      </c>
      <c r="BE29" s="39">
        <v>233122</v>
      </c>
      <c r="BF29" s="39">
        <v>1</v>
      </c>
      <c r="BG29" s="35">
        <f t="shared" si="11"/>
        <v>7352477</v>
      </c>
      <c r="BH29" s="36">
        <v>7371313</v>
      </c>
      <c r="BI29" s="39">
        <v>117131</v>
      </c>
      <c r="BJ29" s="39">
        <v>233310</v>
      </c>
      <c r="BK29" s="39">
        <v>20</v>
      </c>
      <c r="BL29" s="35">
        <f t="shared" si="12"/>
        <v>7721774</v>
      </c>
      <c r="BM29" s="36">
        <f>7937655+CA29</f>
        <v>7971683</v>
      </c>
      <c r="BN29" s="39">
        <f>146249+CB29</f>
        <v>26097</v>
      </c>
      <c r="BO29" s="39">
        <f>703581+CC29</f>
        <v>669554</v>
      </c>
      <c r="BP29" s="39">
        <v>898</v>
      </c>
      <c r="BQ29" s="35">
        <f t="shared" si="13"/>
        <v>8668232</v>
      </c>
      <c r="BR29" s="36">
        <f t="shared" si="16"/>
        <v>86118696</v>
      </c>
      <c r="BS29" s="163">
        <f t="shared" si="16"/>
        <v>1399766</v>
      </c>
      <c r="BT29" s="39">
        <f t="shared" si="16"/>
        <v>2894723</v>
      </c>
      <c r="BU29" s="39">
        <f t="shared" si="16"/>
        <v>15557</v>
      </c>
      <c r="BV29" s="36">
        <f t="shared" si="4"/>
        <v>90428742</v>
      </c>
      <c r="BW29" s="8"/>
      <c r="BX29" s="165">
        <f t="shared" si="17"/>
        <v>100</v>
      </c>
      <c r="CA29" s="1">
        <v>34028</v>
      </c>
      <c r="CB29" s="1">
        <v>-120152</v>
      </c>
      <c r="CC29" s="1">
        <v>-34027</v>
      </c>
      <c r="CD29" s="1">
        <v>0</v>
      </c>
    </row>
    <row r="30" spans="1:82" x14ac:dyDescent="0.2">
      <c r="A30" s="159">
        <v>24</v>
      </c>
      <c r="B30" s="160" t="s">
        <v>201</v>
      </c>
      <c r="D30" s="161"/>
      <c r="E30" s="162">
        <v>2947643</v>
      </c>
      <c r="F30" s="163">
        <v>4457914</v>
      </c>
      <c r="G30" s="163">
        <v>168080</v>
      </c>
      <c r="H30" s="163">
        <v>452</v>
      </c>
      <c r="I30" s="35">
        <f t="shared" si="1"/>
        <v>7574089</v>
      </c>
      <c r="J30" s="36">
        <v>346767</v>
      </c>
      <c r="K30" s="39">
        <v>295277</v>
      </c>
      <c r="L30" s="39">
        <v>5105</v>
      </c>
      <c r="M30" s="39">
        <v>37</v>
      </c>
      <c r="N30" s="35">
        <f t="shared" si="15"/>
        <v>647186</v>
      </c>
      <c r="O30" s="36">
        <v>251754</v>
      </c>
      <c r="P30" s="39">
        <v>439172</v>
      </c>
      <c r="Q30" s="39">
        <v>7946</v>
      </c>
      <c r="R30" s="39">
        <v>16</v>
      </c>
      <c r="S30" s="35">
        <f>SUM(O30:R30)</f>
        <v>698888</v>
      </c>
      <c r="T30" s="221">
        <v>207045</v>
      </c>
      <c r="U30" s="222">
        <v>258860</v>
      </c>
      <c r="V30" s="222">
        <v>11360</v>
      </c>
      <c r="W30" s="222">
        <v>139</v>
      </c>
      <c r="X30" s="35">
        <f t="shared" si="6"/>
        <v>477404</v>
      </c>
      <c r="Y30" s="221">
        <v>240481</v>
      </c>
      <c r="Z30" s="222">
        <v>128414</v>
      </c>
      <c r="AA30" s="222">
        <v>6882</v>
      </c>
      <c r="AB30" s="222">
        <v>2</v>
      </c>
      <c r="AC30" s="35">
        <f t="shared" si="7"/>
        <v>375779</v>
      </c>
      <c r="AD30" s="36">
        <v>233676</v>
      </c>
      <c r="AE30" s="39">
        <v>882060</v>
      </c>
      <c r="AF30" s="39">
        <v>7478</v>
      </c>
      <c r="AG30" s="39">
        <v>20</v>
      </c>
      <c r="AH30" s="35">
        <f t="shared" si="8"/>
        <v>1123234</v>
      </c>
      <c r="AI30" s="36">
        <v>213520</v>
      </c>
      <c r="AJ30" s="39">
        <v>212091</v>
      </c>
      <c r="AK30" s="39">
        <v>5945</v>
      </c>
      <c r="AL30" s="39">
        <v>5</v>
      </c>
      <c r="AM30" s="35">
        <f t="shared" si="9"/>
        <v>431561</v>
      </c>
      <c r="AN30" s="36">
        <v>214960</v>
      </c>
      <c r="AO30" s="39">
        <v>719939</v>
      </c>
      <c r="AP30" s="39">
        <v>11492</v>
      </c>
      <c r="AQ30" s="39">
        <v>3</v>
      </c>
      <c r="AR30" s="35">
        <f t="shared" si="2"/>
        <v>946394</v>
      </c>
      <c r="AS30" s="36">
        <v>251946</v>
      </c>
      <c r="AT30" s="39">
        <v>226001</v>
      </c>
      <c r="AU30" s="39">
        <v>17680</v>
      </c>
      <c r="AV30" s="39">
        <v>11</v>
      </c>
      <c r="AW30" s="35">
        <f t="shared" si="10"/>
        <v>495638</v>
      </c>
      <c r="AX30" s="36">
        <v>223401</v>
      </c>
      <c r="AY30" s="39">
        <v>88327</v>
      </c>
      <c r="AZ30" s="39">
        <v>6999</v>
      </c>
      <c r="BA30" s="39">
        <v>-15</v>
      </c>
      <c r="BB30" s="35">
        <f t="shared" si="3"/>
        <v>318712</v>
      </c>
      <c r="BC30" s="36">
        <v>209300</v>
      </c>
      <c r="BD30" s="39">
        <v>1129889</v>
      </c>
      <c r="BE30" s="39">
        <v>11648</v>
      </c>
      <c r="BF30" s="39">
        <v>73</v>
      </c>
      <c r="BG30" s="35">
        <f t="shared" si="11"/>
        <v>1350910</v>
      </c>
      <c r="BH30" s="36">
        <v>203790</v>
      </c>
      <c r="BI30" s="39">
        <v>10800</v>
      </c>
      <c r="BJ30" s="39">
        <v>14976</v>
      </c>
      <c r="BK30" s="39">
        <v>70</v>
      </c>
      <c r="BL30" s="35">
        <f t="shared" si="12"/>
        <v>229636</v>
      </c>
      <c r="BM30" s="36">
        <f>351003+CA30</f>
        <v>351003</v>
      </c>
      <c r="BN30" s="39">
        <f>67085+CB30</f>
        <v>67084</v>
      </c>
      <c r="BO30" s="39">
        <f>60571+CC30</f>
        <v>60569</v>
      </c>
      <c r="BP30" s="39">
        <v>91</v>
      </c>
      <c r="BQ30" s="35">
        <f t="shared" si="13"/>
        <v>478747</v>
      </c>
      <c r="BR30" s="36">
        <f t="shared" si="16"/>
        <v>2947643</v>
      </c>
      <c r="BS30" s="163">
        <f t="shared" si="16"/>
        <v>4457914</v>
      </c>
      <c r="BT30" s="39">
        <f t="shared" si="16"/>
        <v>168080</v>
      </c>
      <c r="BU30" s="39">
        <f t="shared" si="16"/>
        <v>452</v>
      </c>
      <c r="BV30" s="36">
        <f t="shared" si="4"/>
        <v>7574089</v>
      </c>
      <c r="BW30" s="8"/>
      <c r="BX30" s="165">
        <f t="shared" si="17"/>
        <v>100</v>
      </c>
      <c r="CA30" s="1">
        <v>0</v>
      </c>
      <c r="CB30" s="1">
        <v>-1</v>
      </c>
      <c r="CC30" s="1">
        <v>-2</v>
      </c>
      <c r="CD30" s="1">
        <v>0</v>
      </c>
    </row>
    <row r="31" spans="1:82" x14ac:dyDescent="0.2">
      <c r="A31" s="159">
        <v>25</v>
      </c>
      <c r="B31" s="160" t="s">
        <v>202</v>
      </c>
      <c r="D31" s="161"/>
      <c r="E31" s="162">
        <f>132527-538</f>
        <v>131989</v>
      </c>
      <c r="F31" s="163">
        <v>911197</v>
      </c>
      <c r="G31" s="163">
        <v>824</v>
      </c>
      <c r="H31" s="163">
        <v>0</v>
      </c>
      <c r="I31" s="35">
        <f t="shared" si="1"/>
        <v>1044010</v>
      </c>
      <c r="J31" s="36">
        <v>10240</v>
      </c>
      <c r="K31" s="39">
        <v>142718</v>
      </c>
      <c r="L31" s="39">
        <v>56</v>
      </c>
      <c r="M31" s="39">
        <v>0</v>
      </c>
      <c r="N31" s="35">
        <f t="shared" si="15"/>
        <v>153014</v>
      </c>
      <c r="O31" s="36">
        <v>10885</v>
      </c>
      <c r="P31" s="39">
        <v>37252</v>
      </c>
      <c r="Q31" s="39">
        <v>52</v>
      </c>
      <c r="R31" s="39">
        <v>0</v>
      </c>
      <c r="S31" s="35">
        <f>SUM(O31:R31)</f>
        <v>48189</v>
      </c>
      <c r="T31" s="221">
        <v>9572</v>
      </c>
      <c r="U31" s="222">
        <v>15010</v>
      </c>
      <c r="V31" s="222">
        <v>80</v>
      </c>
      <c r="W31" s="222">
        <v>0</v>
      </c>
      <c r="X31" s="35">
        <f t="shared" si="6"/>
        <v>24662</v>
      </c>
      <c r="Y31" s="221">
        <v>11975</v>
      </c>
      <c r="Z31" s="222">
        <v>127661</v>
      </c>
      <c r="AA31" s="222">
        <v>84</v>
      </c>
      <c r="AB31" s="222">
        <v>0</v>
      </c>
      <c r="AC31" s="35">
        <f t="shared" si="7"/>
        <v>139720</v>
      </c>
      <c r="AD31" s="221">
        <v>11576</v>
      </c>
      <c r="AE31" s="222">
        <v>85587</v>
      </c>
      <c r="AF31" s="222">
        <v>88</v>
      </c>
      <c r="AG31" s="222">
        <v>0</v>
      </c>
      <c r="AH31" s="35">
        <f t="shared" si="8"/>
        <v>97251</v>
      </c>
      <c r="AI31" s="36">
        <v>10558</v>
      </c>
      <c r="AJ31" s="39">
        <v>26695</v>
      </c>
      <c r="AK31" s="39">
        <v>75</v>
      </c>
      <c r="AL31" s="39">
        <v>0</v>
      </c>
      <c r="AM31" s="35">
        <f t="shared" si="9"/>
        <v>37328</v>
      </c>
      <c r="AN31" s="36">
        <v>14409</v>
      </c>
      <c r="AO31" s="39">
        <v>187716</v>
      </c>
      <c r="AP31" s="39">
        <v>62</v>
      </c>
      <c r="AQ31" s="39">
        <v>0</v>
      </c>
      <c r="AR31" s="35">
        <f t="shared" si="2"/>
        <v>202187</v>
      </c>
      <c r="AS31" s="36">
        <v>12861</v>
      </c>
      <c r="AT31" s="39">
        <v>25548</v>
      </c>
      <c r="AU31" s="39">
        <v>61</v>
      </c>
      <c r="AV31" s="39">
        <v>0</v>
      </c>
      <c r="AW31" s="35">
        <f t="shared" si="10"/>
        <v>38470</v>
      </c>
      <c r="AX31" s="36">
        <v>9801</v>
      </c>
      <c r="AY31" s="39">
        <v>71724</v>
      </c>
      <c r="AZ31" s="39">
        <v>58</v>
      </c>
      <c r="BA31" s="39">
        <v>0</v>
      </c>
      <c r="BB31" s="35">
        <f t="shared" si="3"/>
        <v>81583</v>
      </c>
      <c r="BC31" s="36">
        <v>9701</v>
      </c>
      <c r="BD31" s="39">
        <v>153246</v>
      </c>
      <c r="BE31" s="39">
        <v>74</v>
      </c>
      <c r="BF31" s="39">
        <v>0</v>
      </c>
      <c r="BG31" s="35">
        <f t="shared" si="11"/>
        <v>163021</v>
      </c>
      <c r="BH31" s="36">
        <v>12832</v>
      </c>
      <c r="BI31" s="39">
        <v>30000</v>
      </c>
      <c r="BJ31" s="39">
        <v>73</v>
      </c>
      <c r="BK31" s="39">
        <v>0</v>
      </c>
      <c r="BL31" s="35">
        <f t="shared" si="12"/>
        <v>42905</v>
      </c>
      <c r="BM31" s="36">
        <f>7571+CA31</f>
        <v>7579</v>
      </c>
      <c r="BN31" s="39">
        <f>8040+CB31</f>
        <v>8040</v>
      </c>
      <c r="BO31" s="39">
        <v>61</v>
      </c>
      <c r="BP31" s="39">
        <v>0</v>
      </c>
      <c r="BQ31" s="35">
        <f t="shared" si="13"/>
        <v>15680</v>
      </c>
      <c r="BR31" s="36">
        <f t="shared" si="16"/>
        <v>131989</v>
      </c>
      <c r="BS31" s="163">
        <f t="shared" si="16"/>
        <v>911197</v>
      </c>
      <c r="BT31" s="39">
        <f t="shared" si="16"/>
        <v>824</v>
      </c>
      <c r="BU31" s="39">
        <f t="shared" si="16"/>
        <v>0</v>
      </c>
      <c r="BV31" s="36">
        <f t="shared" si="4"/>
        <v>1044010</v>
      </c>
      <c r="BW31" s="8"/>
      <c r="BX31" s="165">
        <f>(BV31/I31)*100</f>
        <v>100</v>
      </c>
      <c r="CA31" s="1">
        <v>8</v>
      </c>
      <c r="CB31" s="1">
        <v>0</v>
      </c>
      <c r="CC31" s="1">
        <v>0</v>
      </c>
      <c r="CD31" s="1">
        <v>0</v>
      </c>
    </row>
    <row r="32" spans="1:82" x14ac:dyDescent="0.2">
      <c r="A32" s="159">
        <v>26</v>
      </c>
      <c r="B32" s="160" t="s">
        <v>203</v>
      </c>
      <c r="D32" s="161"/>
      <c r="E32" s="162">
        <v>678165</v>
      </c>
      <c r="F32" s="163">
        <v>6359491</v>
      </c>
      <c r="G32" s="163">
        <v>52580</v>
      </c>
      <c r="H32" s="163">
        <v>3</v>
      </c>
      <c r="I32" s="35">
        <f t="shared" si="1"/>
        <v>7090239</v>
      </c>
      <c r="J32" s="36">
        <v>46097</v>
      </c>
      <c r="K32" s="39">
        <v>386990</v>
      </c>
      <c r="L32" s="39">
        <v>0</v>
      </c>
      <c r="M32" s="39">
        <v>0</v>
      </c>
      <c r="N32" s="35">
        <f t="shared" si="15"/>
        <v>433087</v>
      </c>
      <c r="O32" s="36">
        <v>45550</v>
      </c>
      <c r="P32" s="39">
        <v>301767</v>
      </c>
      <c r="Q32" s="39">
        <v>17</v>
      </c>
      <c r="R32" s="39">
        <v>0</v>
      </c>
      <c r="S32" s="35">
        <f>SUM(O32:R32)</f>
        <v>347334</v>
      </c>
      <c r="T32" s="221">
        <v>34640</v>
      </c>
      <c r="U32" s="39">
        <v>72428</v>
      </c>
      <c r="V32" s="39">
        <v>1714</v>
      </c>
      <c r="W32" s="39">
        <v>0</v>
      </c>
      <c r="X32" s="35">
        <f t="shared" si="6"/>
        <v>108782</v>
      </c>
      <c r="Y32" s="36">
        <v>71549</v>
      </c>
      <c r="Z32" s="39">
        <v>1201148</v>
      </c>
      <c r="AA32" s="39">
        <v>54</v>
      </c>
      <c r="AB32" s="39">
        <v>0</v>
      </c>
      <c r="AC32" s="35">
        <f t="shared" si="7"/>
        <v>1272751</v>
      </c>
      <c r="AD32" s="36">
        <v>59934</v>
      </c>
      <c r="AE32" s="39">
        <v>694307</v>
      </c>
      <c r="AF32" s="39">
        <v>1166</v>
      </c>
      <c r="AG32" s="39">
        <v>0</v>
      </c>
      <c r="AH32" s="35">
        <f>SUM(AD32:AG32)</f>
        <v>755407</v>
      </c>
      <c r="AI32" s="36">
        <v>67424</v>
      </c>
      <c r="AJ32" s="39">
        <v>68319</v>
      </c>
      <c r="AK32" s="39">
        <v>605</v>
      </c>
      <c r="AL32" s="39">
        <v>0</v>
      </c>
      <c r="AM32" s="35">
        <f t="shared" si="9"/>
        <v>136348</v>
      </c>
      <c r="AN32" s="36">
        <v>44198</v>
      </c>
      <c r="AO32" s="39">
        <v>1423190</v>
      </c>
      <c r="AP32" s="39">
        <v>426</v>
      </c>
      <c r="AQ32" s="39">
        <v>0</v>
      </c>
      <c r="AR32" s="35">
        <f t="shared" si="2"/>
        <v>1467814</v>
      </c>
      <c r="AS32" s="36">
        <v>47414</v>
      </c>
      <c r="AT32" s="39">
        <v>61584</v>
      </c>
      <c r="AU32" s="39">
        <v>121</v>
      </c>
      <c r="AV32" s="39">
        <v>0</v>
      </c>
      <c r="AW32" s="35">
        <f t="shared" si="10"/>
        <v>109119</v>
      </c>
      <c r="AX32" s="36">
        <v>39003</v>
      </c>
      <c r="AY32" s="39">
        <v>841149</v>
      </c>
      <c r="AZ32" s="39">
        <v>612</v>
      </c>
      <c r="BA32" s="39">
        <v>0</v>
      </c>
      <c r="BB32" s="35">
        <f t="shared" si="3"/>
        <v>880764</v>
      </c>
      <c r="BC32" s="36">
        <v>32804</v>
      </c>
      <c r="BD32" s="39">
        <v>82133</v>
      </c>
      <c r="BE32" s="39">
        <v>216</v>
      </c>
      <c r="BF32" s="39">
        <v>0</v>
      </c>
      <c r="BG32" s="35">
        <f t="shared" si="11"/>
        <v>115153</v>
      </c>
      <c r="BH32" s="36">
        <v>103363</v>
      </c>
      <c r="BI32" s="39">
        <v>307545</v>
      </c>
      <c r="BJ32" s="39">
        <v>412</v>
      </c>
      <c r="BK32" s="39">
        <v>0</v>
      </c>
      <c r="BL32" s="35">
        <f t="shared" si="12"/>
        <v>411320</v>
      </c>
      <c r="BM32" s="36">
        <f>134057+CA32</f>
        <v>86189</v>
      </c>
      <c r="BN32" s="39">
        <f>925319+CB32</f>
        <v>918931</v>
      </c>
      <c r="BO32" s="39">
        <f>796+CC32</f>
        <v>47237</v>
      </c>
      <c r="BP32" s="39">
        <f>2+CD32</f>
        <v>3</v>
      </c>
      <c r="BQ32" s="35">
        <f t="shared" si="13"/>
        <v>1052360</v>
      </c>
      <c r="BR32" s="36">
        <f t="shared" si="16"/>
        <v>678165</v>
      </c>
      <c r="BS32" s="163">
        <f t="shared" si="16"/>
        <v>6359491</v>
      </c>
      <c r="BT32" s="39">
        <f t="shared" si="16"/>
        <v>52580</v>
      </c>
      <c r="BU32" s="39">
        <f t="shared" si="16"/>
        <v>3</v>
      </c>
      <c r="BV32" s="36">
        <f t="shared" si="4"/>
        <v>7090239</v>
      </c>
      <c r="BW32" s="8"/>
      <c r="BX32" s="223">
        <f>(BV32/I32)*100</f>
        <v>100</v>
      </c>
      <c r="CA32" s="1">
        <v>-47868</v>
      </c>
      <c r="CB32" s="1">
        <v>-6388</v>
      </c>
      <c r="CC32" s="1">
        <v>46441</v>
      </c>
      <c r="CD32" s="1">
        <v>1</v>
      </c>
    </row>
    <row r="33" spans="1:82" x14ac:dyDescent="0.2">
      <c r="A33" s="159">
        <v>27</v>
      </c>
      <c r="B33" s="168" t="s">
        <v>204</v>
      </c>
      <c r="D33" s="166"/>
      <c r="E33" s="162">
        <f>4201125-15078</f>
        <v>4186047</v>
      </c>
      <c r="F33" s="163">
        <v>1768344</v>
      </c>
      <c r="G33" s="163">
        <v>466148</v>
      </c>
      <c r="H33" s="163">
        <v>316432</v>
      </c>
      <c r="I33" s="35">
        <f t="shared" si="1"/>
        <v>6736971</v>
      </c>
      <c r="J33" s="36">
        <v>109753</v>
      </c>
      <c r="K33" s="39">
        <v>365125</v>
      </c>
      <c r="L33" s="39">
        <v>239</v>
      </c>
      <c r="M33" s="39">
        <v>11</v>
      </c>
      <c r="N33" s="35">
        <f t="shared" si="15"/>
        <v>475128</v>
      </c>
      <c r="O33" s="36">
        <v>201147</v>
      </c>
      <c r="P33" s="39">
        <v>122484</v>
      </c>
      <c r="Q33" s="39">
        <v>1091</v>
      </c>
      <c r="R33" s="39">
        <v>0</v>
      </c>
      <c r="S33" s="35">
        <f t="shared" ref="S33:S46" si="19">SUM(O33:R33)</f>
        <v>324722</v>
      </c>
      <c r="T33" s="221">
        <v>223356</v>
      </c>
      <c r="U33" s="222">
        <v>169558</v>
      </c>
      <c r="V33" s="222">
        <v>1517</v>
      </c>
      <c r="W33" s="222">
        <v>0</v>
      </c>
      <c r="X33" s="35">
        <f t="shared" si="6"/>
        <v>394431</v>
      </c>
      <c r="Y33" s="221">
        <v>206856</v>
      </c>
      <c r="Z33" s="222">
        <v>359161</v>
      </c>
      <c r="AA33" s="222">
        <v>40386</v>
      </c>
      <c r="AB33" s="222">
        <v>0</v>
      </c>
      <c r="AC33" s="35">
        <f t="shared" si="7"/>
        <v>606403</v>
      </c>
      <c r="AD33" s="221">
        <v>181985</v>
      </c>
      <c r="AE33" s="222">
        <v>388527</v>
      </c>
      <c r="AF33" s="222">
        <v>68151</v>
      </c>
      <c r="AG33" s="222">
        <v>0</v>
      </c>
      <c r="AH33" s="35">
        <f t="shared" si="8"/>
        <v>638663</v>
      </c>
      <c r="AI33" s="36">
        <v>170940</v>
      </c>
      <c r="AJ33" s="39">
        <v>166247</v>
      </c>
      <c r="AK33" s="39">
        <v>8459</v>
      </c>
      <c r="AL33" s="39">
        <v>32</v>
      </c>
      <c r="AM33" s="35">
        <f t="shared" si="9"/>
        <v>345678</v>
      </c>
      <c r="AN33" s="36">
        <v>246338</v>
      </c>
      <c r="AO33" s="39">
        <v>413638</v>
      </c>
      <c r="AP33" s="39">
        <v>51621</v>
      </c>
      <c r="AQ33" s="39">
        <v>0</v>
      </c>
      <c r="AR33" s="35">
        <f t="shared" si="2"/>
        <v>711597</v>
      </c>
      <c r="AS33" s="36">
        <v>224617</v>
      </c>
      <c r="AT33" s="39">
        <v>244805</v>
      </c>
      <c r="AU33" s="39">
        <v>19713</v>
      </c>
      <c r="AV33" s="39">
        <v>0</v>
      </c>
      <c r="AW33" s="35">
        <f t="shared" si="10"/>
        <v>489135</v>
      </c>
      <c r="AX33" s="36">
        <v>289841</v>
      </c>
      <c r="AY33" s="39">
        <v>-772901</v>
      </c>
      <c r="AZ33" s="39">
        <v>19652</v>
      </c>
      <c r="BA33" s="39">
        <v>0</v>
      </c>
      <c r="BB33" s="35">
        <f t="shared" si="3"/>
        <v>-463408</v>
      </c>
      <c r="BC33" s="36">
        <v>458331</v>
      </c>
      <c r="BD33" s="39">
        <v>-189256</v>
      </c>
      <c r="BE33" s="39">
        <v>17214</v>
      </c>
      <c r="BF33" s="39">
        <v>71</v>
      </c>
      <c r="BG33" s="35">
        <f t="shared" si="11"/>
        <v>286360</v>
      </c>
      <c r="BH33" s="36">
        <v>367405</v>
      </c>
      <c r="BI33" s="39">
        <v>144672</v>
      </c>
      <c r="BJ33" s="39">
        <v>26138</v>
      </c>
      <c r="BK33" s="39">
        <v>0</v>
      </c>
      <c r="BL33" s="35">
        <f t="shared" si="12"/>
        <v>538215</v>
      </c>
      <c r="BM33" s="36">
        <f>635139+CA33</f>
        <v>1505478</v>
      </c>
      <c r="BN33" s="39">
        <f>623536+CB33</f>
        <v>356284</v>
      </c>
      <c r="BO33" s="39">
        <f>22704+CC33</f>
        <v>211967</v>
      </c>
      <c r="BP33" s="39">
        <f>+CD33</f>
        <v>316318</v>
      </c>
      <c r="BQ33" s="35">
        <f t="shared" si="13"/>
        <v>2390047</v>
      </c>
      <c r="BR33" s="36">
        <f t="shared" si="16"/>
        <v>4186047</v>
      </c>
      <c r="BS33" s="163">
        <f t="shared" si="16"/>
        <v>1768344</v>
      </c>
      <c r="BT33" s="39">
        <f t="shared" si="16"/>
        <v>466148</v>
      </c>
      <c r="BU33" s="39">
        <f t="shared" si="16"/>
        <v>316432</v>
      </c>
      <c r="BV33" s="36">
        <f t="shared" si="4"/>
        <v>6736971</v>
      </c>
      <c r="BW33" s="8"/>
      <c r="BX33" s="223">
        <f t="shared" si="17"/>
        <v>100</v>
      </c>
      <c r="CA33" s="1">
        <v>870339</v>
      </c>
      <c r="CB33" s="1">
        <v>-267252</v>
      </c>
      <c r="CC33" s="1">
        <v>189263</v>
      </c>
      <c r="CD33" s="1">
        <v>316318</v>
      </c>
    </row>
    <row r="34" spans="1:82" x14ac:dyDescent="0.2">
      <c r="A34" s="159">
        <v>28</v>
      </c>
      <c r="B34" s="168" t="s">
        <v>205</v>
      </c>
      <c r="D34" s="161"/>
      <c r="E34" s="162">
        <v>1700607</v>
      </c>
      <c r="F34" s="163">
        <v>1296766</v>
      </c>
      <c r="G34" s="163">
        <v>87909</v>
      </c>
      <c r="H34" s="163">
        <v>1409</v>
      </c>
      <c r="I34" s="35">
        <f t="shared" si="1"/>
        <v>3086691</v>
      </c>
      <c r="J34" s="36">
        <v>105060</v>
      </c>
      <c r="K34" s="39">
        <v>35321</v>
      </c>
      <c r="L34" s="39">
        <v>410</v>
      </c>
      <c r="M34" s="39">
        <v>0</v>
      </c>
      <c r="N34" s="35">
        <f t="shared" si="15"/>
        <v>140791</v>
      </c>
      <c r="O34" s="36">
        <v>119640</v>
      </c>
      <c r="P34" s="39">
        <v>291998</v>
      </c>
      <c r="Q34" s="39">
        <v>2050</v>
      </c>
      <c r="R34" s="39">
        <v>7</v>
      </c>
      <c r="S34" s="35">
        <f t="shared" si="19"/>
        <v>413695</v>
      </c>
      <c r="T34" s="221">
        <v>123428</v>
      </c>
      <c r="U34" s="222">
        <v>3674</v>
      </c>
      <c r="V34" s="222">
        <v>1670</v>
      </c>
      <c r="W34" s="222">
        <v>4</v>
      </c>
      <c r="X34" s="35">
        <f t="shared" si="6"/>
        <v>128776</v>
      </c>
      <c r="Y34" s="221">
        <v>160711</v>
      </c>
      <c r="Z34" s="222">
        <v>242739</v>
      </c>
      <c r="AA34" s="222">
        <v>211</v>
      </c>
      <c r="AB34" s="222">
        <v>1088</v>
      </c>
      <c r="AC34" s="35">
        <f t="shared" si="7"/>
        <v>404749</v>
      </c>
      <c r="AD34" s="221">
        <v>130707</v>
      </c>
      <c r="AE34" s="222">
        <v>19940</v>
      </c>
      <c r="AF34" s="222">
        <v>1980</v>
      </c>
      <c r="AG34" s="222">
        <v>2</v>
      </c>
      <c r="AH34" s="35">
        <f t="shared" si="8"/>
        <v>152629</v>
      </c>
      <c r="AI34" s="36">
        <v>125570</v>
      </c>
      <c r="AJ34" s="39">
        <v>35273</v>
      </c>
      <c r="AK34" s="39">
        <v>321</v>
      </c>
      <c r="AL34" s="39">
        <v>11</v>
      </c>
      <c r="AM34" s="35">
        <f t="shared" si="9"/>
        <v>161175</v>
      </c>
      <c r="AN34" s="36">
        <v>126920</v>
      </c>
      <c r="AO34" s="39">
        <v>38488</v>
      </c>
      <c r="AP34" s="39">
        <v>268</v>
      </c>
      <c r="AQ34" s="39">
        <v>108</v>
      </c>
      <c r="AR34" s="35">
        <f t="shared" si="2"/>
        <v>165784</v>
      </c>
      <c r="AS34" s="36">
        <v>139810</v>
      </c>
      <c r="AT34" s="39">
        <v>279927</v>
      </c>
      <c r="AU34" s="39">
        <v>1658</v>
      </c>
      <c r="AV34" s="39">
        <v>7</v>
      </c>
      <c r="AW34" s="35">
        <f t="shared" si="10"/>
        <v>421402</v>
      </c>
      <c r="AX34" s="36">
        <v>187133</v>
      </c>
      <c r="AY34" s="39">
        <v>48841</v>
      </c>
      <c r="AZ34" s="39">
        <v>9911</v>
      </c>
      <c r="BA34" s="39">
        <v>22</v>
      </c>
      <c r="BB34" s="35">
        <f t="shared" si="3"/>
        <v>245907</v>
      </c>
      <c r="BC34" s="36">
        <v>131548</v>
      </c>
      <c r="BD34" s="39">
        <v>811</v>
      </c>
      <c r="BE34" s="39">
        <v>3447</v>
      </c>
      <c r="BF34" s="39">
        <v>4</v>
      </c>
      <c r="BG34" s="35">
        <f t="shared" si="11"/>
        <v>135810</v>
      </c>
      <c r="BH34" s="36">
        <v>137336</v>
      </c>
      <c r="BI34" s="39">
        <v>244990</v>
      </c>
      <c r="BJ34" s="39">
        <v>22117</v>
      </c>
      <c r="BK34" s="39">
        <v>0</v>
      </c>
      <c r="BL34" s="35">
        <f t="shared" si="12"/>
        <v>404443</v>
      </c>
      <c r="BM34" s="36">
        <f>212738+CA34</f>
        <v>212744</v>
      </c>
      <c r="BN34" s="39">
        <f>54766+CB34</f>
        <v>54764</v>
      </c>
      <c r="BO34" s="39">
        <f>44821+CC34</f>
        <v>43866</v>
      </c>
      <c r="BP34" s="39">
        <v>156</v>
      </c>
      <c r="BQ34" s="35">
        <f t="shared" si="13"/>
        <v>311530</v>
      </c>
      <c r="BR34" s="36">
        <f t="shared" si="16"/>
        <v>1700607</v>
      </c>
      <c r="BS34" s="163">
        <f t="shared" si="16"/>
        <v>1296766</v>
      </c>
      <c r="BT34" s="39">
        <f t="shared" si="16"/>
        <v>87909</v>
      </c>
      <c r="BU34" s="39">
        <f t="shared" si="16"/>
        <v>1409</v>
      </c>
      <c r="BV34" s="36">
        <f t="shared" si="4"/>
        <v>3086691</v>
      </c>
      <c r="BW34" s="8"/>
      <c r="BX34" s="223">
        <f t="shared" si="17"/>
        <v>100</v>
      </c>
      <c r="CA34" s="1">
        <v>6</v>
      </c>
      <c r="CB34" s="1">
        <v>-2</v>
      </c>
      <c r="CC34" s="1">
        <v>-955</v>
      </c>
      <c r="CD34" s="1">
        <v>0</v>
      </c>
    </row>
    <row r="35" spans="1:82" x14ac:dyDescent="0.2">
      <c r="A35" s="159">
        <v>29</v>
      </c>
      <c r="B35" s="160" t="s">
        <v>206</v>
      </c>
      <c r="D35" s="161"/>
      <c r="E35" s="162">
        <v>877999</v>
      </c>
      <c r="F35" s="163">
        <v>992866</v>
      </c>
      <c r="G35" s="163">
        <v>8606</v>
      </c>
      <c r="H35" s="163">
        <v>652</v>
      </c>
      <c r="I35" s="35">
        <f t="shared" si="1"/>
        <v>1880123</v>
      </c>
      <c r="J35" s="36">
        <v>60441</v>
      </c>
      <c r="K35" s="39">
        <v>87350</v>
      </c>
      <c r="L35" s="39">
        <v>42</v>
      </c>
      <c r="M35" s="39">
        <v>0</v>
      </c>
      <c r="N35" s="35">
        <f t="shared" si="15"/>
        <v>147833</v>
      </c>
      <c r="O35" s="36">
        <v>65390</v>
      </c>
      <c r="P35" s="39">
        <v>118749</v>
      </c>
      <c r="Q35" s="39">
        <v>15</v>
      </c>
      <c r="R35" s="39">
        <v>629</v>
      </c>
      <c r="S35" s="35">
        <f t="shared" si="19"/>
        <v>184783</v>
      </c>
      <c r="T35" s="221">
        <v>77205</v>
      </c>
      <c r="U35" s="222">
        <v>107114</v>
      </c>
      <c r="V35" s="222">
        <v>315</v>
      </c>
      <c r="W35" s="222">
        <v>0</v>
      </c>
      <c r="X35" s="35">
        <f t="shared" si="6"/>
        <v>184634</v>
      </c>
      <c r="Y35" s="221">
        <v>86062</v>
      </c>
      <c r="Z35" s="222">
        <v>89771</v>
      </c>
      <c r="AA35" s="222">
        <v>1990</v>
      </c>
      <c r="AB35" s="222">
        <v>0</v>
      </c>
      <c r="AC35" s="35">
        <f t="shared" si="7"/>
        <v>177823</v>
      </c>
      <c r="AD35" s="221">
        <v>84744</v>
      </c>
      <c r="AE35" s="222">
        <v>76290</v>
      </c>
      <c r="AF35" s="222">
        <v>15</v>
      </c>
      <c r="AG35" s="222">
        <v>24</v>
      </c>
      <c r="AH35" s="35">
        <f t="shared" si="8"/>
        <v>161073</v>
      </c>
      <c r="AI35" s="36">
        <v>58364</v>
      </c>
      <c r="AJ35" s="39">
        <v>96892</v>
      </c>
      <c r="AK35" s="39">
        <v>13</v>
      </c>
      <c r="AL35" s="39">
        <v>0</v>
      </c>
      <c r="AM35" s="35">
        <f t="shared" si="9"/>
        <v>155269</v>
      </c>
      <c r="AN35" s="36">
        <v>73846</v>
      </c>
      <c r="AO35" s="39">
        <v>74456</v>
      </c>
      <c r="AP35" s="39">
        <v>168</v>
      </c>
      <c r="AQ35" s="39">
        <v>0</v>
      </c>
      <c r="AR35" s="35">
        <f t="shared" si="2"/>
        <v>148470</v>
      </c>
      <c r="AS35" s="36">
        <v>80658</v>
      </c>
      <c r="AT35" s="39">
        <v>74573</v>
      </c>
      <c r="AU35" s="39">
        <v>238</v>
      </c>
      <c r="AV35" s="39">
        <v>0</v>
      </c>
      <c r="AW35" s="35">
        <f t="shared" si="10"/>
        <v>155469</v>
      </c>
      <c r="AX35" s="36">
        <v>85788</v>
      </c>
      <c r="AY35" s="39">
        <v>73536</v>
      </c>
      <c r="AZ35" s="39">
        <v>115</v>
      </c>
      <c r="BA35" s="39">
        <v>0</v>
      </c>
      <c r="BB35" s="35">
        <f t="shared" si="3"/>
        <v>159439</v>
      </c>
      <c r="BC35" s="36">
        <v>71372</v>
      </c>
      <c r="BD35" s="39">
        <v>85446</v>
      </c>
      <c r="BE35" s="39">
        <v>181</v>
      </c>
      <c r="BF35" s="39">
        <v>0</v>
      </c>
      <c r="BG35" s="35">
        <f t="shared" si="11"/>
        <v>156999</v>
      </c>
      <c r="BH35" s="36">
        <v>67279</v>
      </c>
      <c r="BI35" s="39">
        <v>58311</v>
      </c>
      <c r="BJ35" s="39">
        <v>149</v>
      </c>
      <c r="BK35" s="39">
        <v>0</v>
      </c>
      <c r="BL35" s="35">
        <f t="shared" si="12"/>
        <v>125739</v>
      </c>
      <c r="BM35" s="36">
        <f>66765+CA35</f>
        <v>66850</v>
      </c>
      <c r="BN35" s="39">
        <v>50378</v>
      </c>
      <c r="BO35" s="39">
        <f>5448+CC35</f>
        <v>5365</v>
      </c>
      <c r="BP35" s="39">
        <f>+CD35</f>
        <v>-1</v>
      </c>
      <c r="BQ35" s="35">
        <f t="shared" si="13"/>
        <v>122592</v>
      </c>
      <c r="BR35" s="36">
        <f t="shared" si="16"/>
        <v>877999</v>
      </c>
      <c r="BS35" s="163">
        <f t="shared" si="16"/>
        <v>992866</v>
      </c>
      <c r="BT35" s="39">
        <f t="shared" si="16"/>
        <v>8606</v>
      </c>
      <c r="BU35" s="39">
        <f t="shared" si="16"/>
        <v>652</v>
      </c>
      <c r="BV35" s="36">
        <f t="shared" si="4"/>
        <v>1880123</v>
      </c>
      <c r="BW35" s="8"/>
      <c r="BX35" s="223">
        <f t="shared" si="17"/>
        <v>100</v>
      </c>
      <c r="BY35" s="136"/>
      <c r="BZ35" s="136"/>
      <c r="CA35" s="1">
        <v>85</v>
      </c>
      <c r="CB35" s="1">
        <v>0</v>
      </c>
      <c r="CC35" s="1">
        <v>-83</v>
      </c>
      <c r="CD35" s="1">
        <v>-1</v>
      </c>
    </row>
    <row r="36" spans="1:82" x14ac:dyDescent="0.2">
      <c r="A36" s="159">
        <v>30</v>
      </c>
      <c r="B36" s="160" t="s">
        <v>207</v>
      </c>
      <c r="D36" s="161"/>
      <c r="E36" s="162">
        <f>547303-1151</f>
        <v>546152</v>
      </c>
      <c r="F36" s="163">
        <v>7336589</v>
      </c>
      <c r="G36" s="163">
        <v>9042</v>
      </c>
      <c r="H36" s="163">
        <v>143</v>
      </c>
      <c r="I36" s="35">
        <f t="shared" si="1"/>
        <v>7891926</v>
      </c>
      <c r="J36" s="36">
        <v>34203</v>
      </c>
      <c r="K36" s="39">
        <v>775139</v>
      </c>
      <c r="L36" s="39">
        <v>676</v>
      </c>
      <c r="M36" s="39">
        <v>10</v>
      </c>
      <c r="N36" s="35">
        <f t="shared" si="15"/>
        <v>810028</v>
      </c>
      <c r="O36" s="36">
        <v>39793</v>
      </c>
      <c r="P36" s="39">
        <v>424388</v>
      </c>
      <c r="Q36" s="39">
        <v>562</v>
      </c>
      <c r="R36" s="39">
        <v>18</v>
      </c>
      <c r="S36" s="35">
        <f t="shared" si="19"/>
        <v>464761</v>
      </c>
      <c r="T36" s="221">
        <v>44027</v>
      </c>
      <c r="U36" s="222">
        <v>800847</v>
      </c>
      <c r="V36" s="222">
        <v>395</v>
      </c>
      <c r="W36" s="222">
        <v>17</v>
      </c>
      <c r="X36" s="35">
        <f t="shared" si="6"/>
        <v>845286</v>
      </c>
      <c r="Y36" s="221">
        <v>48414</v>
      </c>
      <c r="Z36" s="222">
        <v>1870964</v>
      </c>
      <c r="AA36" s="222">
        <v>573</v>
      </c>
      <c r="AB36" s="222">
        <v>49</v>
      </c>
      <c r="AC36" s="35">
        <f t="shared" si="7"/>
        <v>1920000</v>
      </c>
      <c r="AD36" s="221">
        <v>51377</v>
      </c>
      <c r="AE36" s="222">
        <v>219001</v>
      </c>
      <c r="AF36" s="222">
        <v>1948</v>
      </c>
      <c r="AG36" s="222">
        <v>2</v>
      </c>
      <c r="AH36" s="35">
        <f>SUM(AD36:AG36)</f>
        <v>272328</v>
      </c>
      <c r="AI36" s="36">
        <v>44739</v>
      </c>
      <c r="AJ36" s="39">
        <v>244301</v>
      </c>
      <c r="AK36" s="39">
        <v>-461</v>
      </c>
      <c r="AL36" s="39">
        <v>10</v>
      </c>
      <c r="AM36" s="35">
        <f t="shared" si="9"/>
        <v>288589</v>
      </c>
      <c r="AN36" s="36">
        <v>58634</v>
      </c>
      <c r="AO36" s="39">
        <v>709131</v>
      </c>
      <c r="AP36" s="39">
        <v>111</v>
      </c>
      <c r="AQ36" s="39">
        <v>36</v>
      </c>
      <c r="AR36" s="35">
        <f t="shared" si="2"/>
        <v>767912</v>
      </c>
      <c r="AS36" s="36">
        <v>44228</v>
      </c>
      <c r="AT36" s="39">
        <v>15580</v>
      </c>
      <c r="AU36" s="39">
        <v>404</v>
      </c>
      <c r="AV36" s="39">
        <v>0</v>
      </c>
      <c r="AW36" s="35">
        <f t="shared" si="10"/>
        <v>60212</v>
      </c>
      <c r="AX36" s="36">
        <v>45252</v>
      </c>
      <c r="AY36" s="39">
        <v>335443</v>
      </c>
      <c r="AZ36" s="39">
        <v>398</v>
      </c>
      <c r="BA36" s="39">
        <v>0</v>
      </c>
      <c r="BB36" s="35">
        <f t="shared" si="3"/>
        <v>381093</v>
      </c>
      <c r="BC36" s="36">
        <v>36152</v>
      </c>
      <c r="BD36" s="39">
        <v>619182</v>
      </c>
      <c r="BE36" s="39">
        <v>1140</v>
      </c>
      <c r="BF36" s="39">
        <v>0</v>
      </c>
      <c r="BG36" s="35">
        <f t="shared" si="11"/>
        <v>656474</v>
      </c>
      <c r="BH36" s="36">
        <v>44767</v>
      </c>
      <c r="BI36" s="39">
        <v>487606</v>
      </c>
      <c r="BJ36" s="39">
        <v>234</v>
      </c>
      <c r="BK36" s="39">
        <v>0</v>
      </c>
      <c r="BL36" s="35">
        <f t="shared" si="12"/>
        <v>532607</v>
      </c>
      <c r="BM36" s="36">
        <f>56203+CA36</f>
        <v>54566</v>
      </c>
      <c r="BN36" s="39">
        <f>835006+CB36</f>
        <v>835007</v>
      </c>
      <c r="BO36" s="39">
        <f>1358+CC36</f>
        <v>3062</v>
      </c>
      <c r="BP36" s="39">
        <f>+CD36</f>
        <v>1</v>
      </c>
      <c r="BQ36" s="35">
        <f t="shared" si="13"/>
        <v>892636</v>
      </c>
      <c r="BR36" s="36">
        <f t="shared" si="16"/>
        <v>546152</v>
      </c>
      <c r="BS36" s="163">
        <f t="shared" si="16"/>
        <v>7336589</v>
      </c>
      <c r="BT36" s="39">
        <f t="shared" si="16"/>
        <v>9042</v>
      </c>
      <c r="BU36" s="39">
        <f t="shared" si="16"/>
        <v>143</v>
      </c>
      <c r="BV36" s="36">
        <f t="shared" si="4"/>
        <v>7891926</v>
      </c>
      <c r="BW36" s="8"/>
      <c r="BX36" s="165">
        <f t="shared" si="17"/>
        <v>100</v>
      </c>
      <c r="BY36" s="136"/>
      <c r="BZ36" s="39"/>
      <c r="CA36" s="1">
        <v>-1637</v>
      </c>
      <c r="CB36" s="1">
        <v>1</v>
      </c>
      <c r="CC36" s="1">
        <v>1704</v>
      </c>
      <c r="CD36" s="1">
        <v>1</v>
      </c>
    </row>
    <row r="37" spans="1:82" x14ac:dyDescent="0.2">
      <c r="A37" s="159">
        <v>31</v>
      </c>
      <c r="B37" s="137" t="s">
        <v>208</v>
      </c>
      <c r="D37" s="172"/>
      <c r="E37" s="162">
        <v>206587</v>
      </c>
      <c r="F37" s="163">
        <v>1206447</v>
      </c>
      <c r="G37" s="163">
        <v>6484</v>
      </c>
      <c r="H37" s="163">
        <v>0</v>
      </c>
      <c r="I37" s="35">
        <f t="shared" si="1"/>
        <v>1419518</v>
      </c>
      <c r="J37" s="36">
        <v>14264</v>
      </c>
      <c r="K37" s="39">
        <v>37885</v>
      </c>
      <c r="L37" s="39">
        <v>358</v>
      </c>
      <c r="M37" s="39">
        <v>0</v>
      </c>
      <c r="N37" s="35">
        <f t="shared" si="15"/>
        <v>52507</v>
      </c>
      <c r="O37" s="36">
        <v>15251</v>
      </c>
      <c r="P37" s="39">
        <v>119534</v>
      </c>
      <c r="Q37" s="39">
        <v>404</v>
      </c>
      <c r="R37" s="39">
        <v>0</v>
      </c>
      <c r="S37" s="35">
        <f t="shared" si="19"/>
        <v>135189</v>
      </c>
      <c r="T37" s="221">
        <v>17664</v>
      </c>
      <c r="U37" s="222">
        <v>174584</v>
      </c>
      <c r="V37" s="222">
        <v>281</v>
      </c>
      <c r="W37" s="222">
        <v>0</v>
      </c>
      <c r="X37" s="35">
        <f t="shared" si="6"/>
        <v>192529</v>
      </c>
      <c r="Y37" s="221">
        <v>16864</v>
      </c>
      <c r="Z37" s="222">
        <v>101678</v>
      </c>
      <c r="AA37" s="222">
        <v>293</v>
      </c>
      <c r="AB37" s="222">
        <v>0</v>
      </c>
      <c r="AC37" s="35">
        <f t="shared" si="7"/>
        <v>118835</v>
      </c>
      <c r="AD37" s="221">
        <v>17980</v>
      </c>
      <c r="AE37" s="222">
        <v>81086</v>
      </c>
      <c r="AF37" s="222">
        <v>94</v>
      </c>
      <c r="AG37" s="222">
        <v>0</v>
      </c>
      <c r="AH37" s="35">
        <f t="shared" si="8"/>
        <v>99160</v>
      </c>
      <c r="AI37" s="36">
        <v>16156</v>
      </c>
      <c r="AJ37" s="39">
        <v>116818</v>
      </c>
      <c r="AK37" s="39">
        <v>120</v>
      </c>
      <c r="AL37" s="39">
        <v>0</v>
      </c>
      <c r="AM37" s="35">
        <f t="shared" si="9"/>
        <v>133094</v>
      </c>
      <c r="AN37" s="36">
        <v>16012</v>
      </c>
      <c r="AO37" s="39">
        <v>119999</v>
      </c>
      <c r="AP37" s="39">
        <v>207</v>
      </c>
      <c r="AQ37" s="39">
        <v>0</v>
      </c>
      <c r="AR37" s="35">
        <f t="shared" si="2"/>
        <v>136218</v>
      </c>
      <c r="AS37" s="36">
        <v>17955</v>
      </c>
      <c r="AT37" s="39">
        <v>100017</v>
      </c>
      <c r="AU37" s="39">
        <v>1154</v>
      </c>
      <c r="AV37" s="39">
        <v>0</v>
      </c>
      <c r="AW37" s="35">
        <f t="shared" si="10"/>
        <v>119126</v>
      </c>
      <c r="AX37" s="36">
        <v>16903</v>
      </c>
      <c r="AY37" s="39">
        <v>121187</v>
      </c>
      <c r="AZ37" s="39">
        <v>427</v>
      </c>
      <c r="BA37" s="39">
        <v>0</v>
      </c>
      <c r="BB37" s="35">
        <f t="shared" si="3"/>
        <v>138517</v>
      </c>
      <c r="BC37" s="36">
        <v>16632</v>
      </c>
      <c r="BD37" s="39">
        <v>111499</v>
      </c>
      <c r="BE37" s="39">
        <v>341</v>
      </c>
      <c r="BF37" s="39">
        <v>0</v>
      </c>
      <c r="BG37" s="35">
        <f t="shared" si="11"/>
        <v>128472</v>
      </c>
      <c r="BH37" s="36">
        <v>16785</v>
      </c>
      <c r="BI37" s="39">
        <v>70860</v>
      </c>
      <c r="BJ37" s="39">
        <v>202</v>
      </c>
      <c r="BK37" s="39">
        <v>0</v>
      </c>
      <c r="BL37" s="35">
        <f t="shared" si="12"/>
        <v>87847</v>
      </c>
      <c r="BM37" s="36">
        <f>24105+CA37</f>
        <v>24121</v>
      </c>
      <c r="BN37" s="39">
        <f>51301+CB37</f>
        <v>51300</v>
      </c>
      <c r="BO37" s="39">
        <f>2604+CC37</f>
        <v>2603</v>
      </c>
      <c r="BP37" s="39">
        <v>0</v>
      </c>
      <c r="BQ37" s="35">
        <f t="shared" si="13"/>
        <v>78024</v>
      </c>
      <c r="BR37" s="36">
        <f t="shared" si="16"/>
        <v>206587</v>
      </c>
      <c r="BS37" s="163">
        <f t="shared" si="16"/>
        <v>1206447</v>
      </c>
      <c r="BT37" s="39">
        <f t="shared" si="16"/>
        <v>6484</v>
      </c>
      <c r="BU37" s="39">
        <f t="shared" si="16"/>
        <v>0</v>
      </c>
      <c r="BV37" s="36">
        <f t="shared" si="4"/>
        <v>1419518</v>
      </c>
      <c r="BW37" s="8"/>
      <c r="BX37" s="165">
        <f t="shared" si="17"/>
        <v>100</v>
      </c>
      <c r="BY37" s="136"/>
      <c r="BZ37" s="39"/>
      <c r="CA37" s="1">
        <v>16</v>
      </c>
      <c r="CB37" s="1">
        <v>-1</v>
      </c>
      <c r="CC37" s="1">
        <v>-1</v>
      </c>
      <c r="CD37" s="1">
        <v>0</v>
      </c>
    </row>
    <row r="38" spans="1:82" x14ac:dyDescent="0.2">
      <c r="A38" s="159">
        <v>32</v>
      </c>
      <c r="B38" s="137" t="s">
        <v>209</v>
      </c>
      <c r="D38" s="161"/>
      <c r="E38" s="162">
        <v>539195</v>
      </c>
      <c r="F38" s="163">
        <v>500154</v>
      </c>
      <c r="G38" s="163">
        <v>6406</v>
      </c>
      <c r="H38" s="163">
        <v>2948659</v>
      </c>
      <c r="I38" s="35">
        <f t="shared" si="1"/>
        <v>3994414</v>
      </c>
      <c r="J38" s="36">
        <v>24640</v>
      </c>
      <c r="K38" s="39">
        <v>65757</v>
      </c>
      <c r="L38" s="39">
        <v>0</v>
      </c>
      <c r="M38" s="39">
        <v>13</v>
      </c>
      <c r="N38" s="35">
        <f t="shared" si="15"/>
        <v>90410</v>
      </c>
      <c r="O38" s="36">
        <v>25448</v>
      </c>
      <c r="P38" s="39">
        <v>203910</v>
      </c>
      <c r="Q38" s="39">
        <v>467</v>
      </c>
      <c r="R38" s="39">
        <v>0</v>
      </c>
      <c r="S38" s="35">
        <f t="shared" si="19"/>
        <v>229825</v>
      </c>
      <c r="T38" s="36">
        <v>25696</v>
      </c>
      <c r="U38" s="39">
        <v>27094</v>
      </c>
      <c r="V38" s="39">
        <v>1305</v>
      </c>
      <c r="W38" s="39">
        <v>0</v>
      </c>
      <c r="X38" s="35">
        <f t="shared" si="6"/>
        <v>54095</v>
      </c>
      <c r="Y38" s="36">
        <v>32139</v>
      </c>
      <c r="Z38" s="39">
        <v>65538</v>
      </c>
      <c r="AA38" s="39">
        <v>451</v>
      </c>
      <c r="AB38" s="39">
        <v>0</v>
      </c>
      <c r="AC38" s="35">
        <f t="shared" si="7"/>
        <v>98128</v>
      </c>
      <c r="AD38" s="36">
        <v>49035</v>
      </c>
      <c r="AE38" s="39">
        <v>241</v>
      </c>
      <c r="AF38" s="39">
        <v>381</v>
      </c>
      <c r="AG38" s="39">
        <v>109</v>
      </c>
      <c r="AH38" s="35">
        <f t="shared" si="8"/>
        <v>49766</v>
      </c>
      <c r="AI38" s="36">
        <v>35101</v>
      </c>
      <c r="AJ38" s="39">
        <v>71</v>
      </c>
      <c r="AK38" s="39">
        <v>228</v>
      </c>
      <c r="AL38" s="39">
        <v>0</v>
      </c>
      <c r="AM38" s="35">
        <f t="shared" si="9"/>
        <v>35400</v>
      </c>
      <c r="AN38" s="36">
        <v>26379</v>
      </c>
      <c r="AO38" s="39">
        <v>20264</v>
      </c>
      <c r="AP38" s="39">
        <v>409</v>
      </c>
      <c r="AQ38" s="39">
        <v>43</v>
      </c>
      <c r="AR38" s="35">
        <f t="shared" si="2"/>
        <v>47095</v>
      </c>
      <c r="AS38" s="36">
        <v>29085</v>
      </c>
      <c r="AT38" s="39">
        <v>38482</v>
      </c>
      <c r="AU38" s="39">
        <v>155</v>
      </c>
      <c r="AV38" s="39">
        <v>6</v>
      </c>
      <c r="AW38" s="35">
        <f t="shared" si="10"/>
        <v>67728</v>
      </c>
      <c r="AX38" s="36">
        <v>39918</v>
      </c>
      <c r="AY38" s="39">
        <v>135</v>
      </c>
      <c r="AZ38" s="39">
        <v>2437</v>
      </c>
      <c r="BA38" s="39">
        <v>20</v>
      </c>
      <c r="BB38" s="35">
        <f t="shared" si="3"/>
        <v>42510</v>
      </c>
      <c r="BC38" s="36">
        <v>38467</v>
      </c>
      <c r="BD38" s="39">
        <v>58203</v>
      </c>
      <c r="BE38" s="39">
        <v>53</v>
      </c>
      <c r="BF38" s="39">
        <v>2947001</v>
      </c>
      <c r="BG38" s="35">
        <f t="shared" si="11"/>
        <v>3043724</v>
      </c>
      <c r="BH38" s="36">
        <v>48992</v>
      </c>
      <c r="BI38" s="39">
        <v>18976</v>
      </c>
      <c r="BJ38" s="39">
        <v>21</v>
      </c>
      <c r="BK38" s="39">
        <v>1454</v>
      </c>
      <c r="BL38" s="35">
        <f t="shared" si="12"/>
        <v>69443</v>
      </c>
      <c r="BM38" s="36">
        <f>164294+CA38</f>
        <v>164295</v>
      </c>
      <c r="BN38" s="39">
        <f>1484+CB38</f>
        <v>1483</v>
      </c>
      <c r="BO38" s="39">
        <f>500+CC38</f>
        <v>499</v>
      </c>
      <c r="BP38" s="39">
        <v>13</v>
      </c>
      <c r="BQ38" s="35">
        <f t="shared" si="13"/>
        <v>166290</v>
      </c>
      <c r="BR38" s="36">
        <f t="shared" si="16"/>
        <v>539195</v>
      </c>
      <c r="BS38" s="163">
        <f t="shared" si="16"/>
        <v>500154</v>
      </c>
      <c r="BT38" s="39">
        <f t="shared" si="16"/>
        <v>6406</v>
      </c>
      <c r="BU38" s="39">
        <f t="shared" si="16"/>
        <v>2948659</v>
      </c>
      <c r="BV38" s="36">
        <f t="shared" si="4"/>
        <v>3994414</v>
      </c>
      <c r="BW38" s="8"/>
      <c r="BX38" s="165">
        <f>(BV38/I38)*100</f>
        <v>100</v>
      </c>
      <c r="BY38" s="136"/>
      <c r="BZ38" s="39"/>
      <c r="CA38" s="1">
        <v>1</v>
      </c>
      <c r="CB38" s="1">
        <v>-1</v>
      </c>
      <c r="CC38" s="1">
        <v>-1</v>
      </c>
      <c r="CD38" s="1">
        <v>0</v>
      </c>
    </row>
    <row r="39" spans="1:82" x14ac:dyDescent="0.2">
      <c r="A39" s="159">
        <v>33</v>
      </c>
      <c r="B39" s="160" t="s">
        <v>210</v>
      </c>
      <c r="D39" s="161"/>
      <c r="E39" s="162">
        <v>707138</v>
      </c>
      <c r="F39" s="163">
        <v>1421713</v>
      </c>
      <c r="G39" s="163">
        <v>105554</v>
      </c>
      <c r="H39" s="163">
        <v>397</v>
      </c>
      <c r="I39" s="35">
        <f t="shared" si="1"/>
        <v>2234802</v>
      </c>
      <c r="J39" s="36">
        <v>34674</v>
      </c>
      <c r="K39" s="39">
        <v>966090</v>
      </c>
      <c r="L39" s="39">
        <v>5449</v>
      </c>
      <c r="M39" s="39">
        <v>0</v>
      </c>
      <c r="N39" s="35">
        <f>SUM(J39:M39)</f>
        <v>1006213</v>
      </c>
      <c r="O39" s="36">
        <v>38462</v>
      </c>
      <c r="P39" s="39">
        <v>3220</v>
      </c>
      <c r="Q39" s="39">
        <v>26496</v>
      </c>
      <c r="R39" s="39">
        <v>44</v>
      </c>
      <c r="S39" s="35">
        <f>SUM(O39:R39)</f>
        <v>68222</v>
      </c>
      <c r="T39" s="221">
        <v>35895</v>
      </c>
      <c r="U39" s="222">
        <v>6654</v>
      </c>
      <c r="V39" s="222">
        <v>8855</v>
      </c>
      <c r="W39" s="222">
        <v>0</v>
      </c>
      <c r="X39" s="35">
        <f t="shared" si="6"/>
        <v>51404</v>
      </c>
      <c r="Y39" s="221">
        <v>62257</v>
      </c>
      <c r="Z39" s="222">
        <v>95585</v>
      </c>
      <c r="AA39" s="222">
        <v>523</v>
      </c>
      <c r="AB39" s="222">
        <v>15</v>
      </c>
      <c r="AC39" s="35">
        <f t="shared" si="7"/>
        <v>158380</v>
      </c>
      <c r="AD39" s="221">
        <v>62051</v>
      </c>
      <c r="AE39" s="222">
        <v>3725</v>
      </c>
      <c r="AF39" s="222">
        <v>6072</v>
      </c>
      <c r="AG39" s="222">
        <v>0</v>
      </c>
      <c r="AH39" s="35">
        <f>SUM(AD39:AG39)</f>
        <v>71848</v>
      </c>
      <c r="AI39" s="36">
        <v>46243</v>
      </c>
      <c r="AJ39" s="39">
        <v>53299</v>
      </c>
      <c r="AK39" s="39">
        <v>420</v>
      </c>
      <c r="AL39" s="39">
        <v>0</v>
      </c>
      <c r="AM39" s="35">
        <f t="shared" si="9"/>
        <v>99962</v>
      </c>
      <c r="AN39" s="36">
        <v>46545</v>
      </c>
      <c r="AO39" s="39">
        <v>96553</v>
      </c>
      <c r="AP39" s="39">
        <v>11312</v>
      </c>
      <c r="AQ39" s="39">
        <v>0</v>
      </c>
      <c r="AR39" s="35">
        <f t="shared" si="2"/>
        <v>154410</v>
      </c>
      <c r="AS39" s="36">
        <v>37298</v>
      </c>
      <c r="AT39" s="39">
        <v>2065</v>
      </c>
      <c r="AU39" s="39">
        <v>11261</v>
      </c>
      <c r="AV39" s="39">
        <v>36</v>
      </c>
      <c r="AW39" s="35">
        <f t="shared" si="10"/>
        <v>50660</v>
      </c>
      <c r="AX39" s="36">
        <v>55662</v>
      </c>
      <c r="AY39" s="39">
        <v>9304</v>
      </c>
      <c r="AZ39" s="39">
        <v>2850</v>
      </c>
      <c r="BA39" s="39">
        <v>0</v>
      </c>
      <c r="BB39" s="35">
        <f t="shared" si="3"/>
        <v>67816</v>
      </c>
      <c r="BC39" s="36">
        <v>35302</v>
      </c>
      <c r="BD39" s="39">
        <v>97031</v>
      </c>
      <c r="BE39" s="39">
        <v>1046</v>
      </c>
      <c r="BF39" s="39">
        <v>7</v>
      </c>
      <c r="BG39" s="35">
        <f t="shared" si="11"/>
        <v>133386</v>
      </c>
      <c r="BH39" s="36">
        <v>68538</v>
      </c>
      <c r="BI39" s="39">
        <v>28051</v>
      </c>
      <c r="BJ39" s="39">
        <v>110246</v>
      </c>
      <c r="BK39" s="39">
        <v>41</v>
      </c>
      <c r="BL39" s="35">
        <f t="shared" si="12"/>
        <v>206876</v>
      </c>
      <c r="BM39" s="36">
        <f>74210+CA39</f>
        <v>184211</v>
      </c>
      <c r="BN39" s="39">
        <f>67621+CB39</f>
        <v>60136</v>
      </c>
      <c r="BO39" s="39">
        <f>23539+CC39</f>
        <v>-78976</v>
      </c>
      <c r="BP39" s="39">
        <f>253+CD39</f>
        <v>254</v>
      </c>
      <c r="BQ39" s="35">
        <f t="shared" si="13"/>
        <v>165625</v>
      </c>
      <c r="BR39" s="36">
        <f>+J39+O39+T39+Y39+AD39+AI39+AN39+AS39+AX39+BC39+BH39+BM39</f>
        <v>707138</v>
      </c>
      <c r="BS39" s="163">
        <f t="shared" si="16"/>
        <v>1421713</v>
      </c>
      <c r="BT39" s="39">
        <f>+L39+Q39+V39+AA39+AF39+AK39+AP39+AU39+AZ39+BE39+BJ39+BO39</f>
        <v>105554</v>
      </c>
      <c r="BU39" s="39">
        <f t="shared" si="16"/>
        <v>397</v>
      </c>
      <c r="BV39" s="36">
        <f>SUM(BR39:BU39)</f>
        <v>2234802</v>
      </c>
      <c r="BW39" s="8"/>
      <c r="BX39" s="165">
        <f>(BV39/I39)*100</f>
        <v>100</v>
      </c>
      <c r="BY39" s="136"/>
      <c r="BZ39" s="39"/>
      <c r="CA39" s="1">
        <v>110001</v>
      </c>
      <c r="CB39" s="1">
        <v>-7485</v>
      </c>
      <c r="CC39" s="1">
        <v>-102515</v>
      </c>
      <c r="CD39" s="1">
        <v>1</v>
      </c>
    </row>
    <row r="40" spans="1:82" ht="12" customHeight="1" x14ac:dyDescent="0.2">
      <c r="A40" s="159">
        <v>34</v>
      </c>
      <c r="B40" s="137" t="s">
        <v>211</v>
      </c>
      <c r="D40" s="161"/>
      <c r="E40" s="162">
        <v>1693990</v>
      </c>
      <c r="F40" s="163">
        <v>7777760</v>
      </c>
      <c r="G40" s="163">
        <v>18043</v>
      </c>
      <c r="H40" s="163">
        <v>451</v>
      </c>
      <c r="I40" s="35">
        <f t="shared" si="1"/>
        <v>9490244</v>
      </c>
      <c r="J40" s="36">
        <v>103728</v>
      </c>
      <c r="K40" s="39">
        <v>457409</v>
      </c>
      <c r="L40" s="39">
        <v>0</v>
      </c>
      <c r="M40" s="39">
        <v>0</v>
      </c>
      <c r="N40" s="35">
        <f t="shared" si="15"/>
        <v>561137</v>
      </c>
      <c r="O40" s="36">
        <v>112617</v>
      </c>
      <c r="P40" s="39">
        <v>547209</v>
      </c>
      <c r="Q40" s="39">
        <v>53</v>
      </c>
      <c r="R40" s="39">
        <v>0</v>
      </c>
      <c r="S40" s="35">
        <f t="shared" si="19"/>
        <v>659879</v>
      </c>
      <c r="T40" s="221">
        <v>138493</v>
      </c>
      <c r="U40" s="222">
        <v>369078</v>
      </c>
      <c r="V40" s="222">
        <v>46</v>
      </c>
      <c r="W40" s="222">
        <v>0</v>
      </c>
      <c r="X40" s="35">
        <f t="shared" si="6"/>
        <v>507617</v>
      </c>
      <c r="Y40" s="221">
        <v>141334</v>
      </c>
      <c r="Z40" s="222">
        <v>342074</v>
      </c>
      <c r="AA40" s="222">
        <v>3899</v>
      </c>
      <c r="AB40" s="222">
        <v>0</v>
      </c>
      <c r="AC40" s="35">
        <f t="shared" si="7"/>
        <v>487307</v>
      </c>
      <c r="AD40" s="221">
        <v>137457</v>
      </c>
      <c r="AE40" s="222">
        <v>397364</v>
      </c>
      <c r="AF40" s="222">
        <v>4568</v>
      </c>
      <c r="AG40" s="222">
        <v>0</v>
      </c>
      <c r="AH40" s="35">
        <f t="shared" si="8"/>
        <v>539389</v>
      </c>
      <c r="AI40" s="36">
        <v>159808</v>
      </c>
      <c r="AJ40" s="39">
        <v>498794</v>
      </c>
      <c r="AK40" s="39">
        <v>60</v>
      </c>
      <c r="AL40" s="39">
        <v>0</v>
      </c>
      <c r="AM40" s="35">
        <f t="shared" si="9"/>
        <v>658662</v>
      </c>
      <c r="AN40" s="36">
        <v>176389</v>
      </c>
      <c r="AO40" s="39">
        <v>441585</v>
      </c>
      <c r="AP40" s="39">
        <v>568</v>
      </c>
      <c r="AQ40" s="39">
        <v>0</v>
      </c>
      <c r="AR40" s="35">
        <f t="shared" si="2"/>
        <v>618542</v>
      </c>
      <c r="AS40" s="36">
        <v>118756</v>
      </c>
      <c r="AT40" s="39">
        <v>475164</v>
      </c>
      <c r="AU40" s="39">
        <v>624</v>
      </c>
      <c r="AV40" s="39">
        <v>0</v>
      </c>
      <c r="AW40" s="35">
        <f t="shared" si="10"/>
        <v>594544</v>
      </c>
      <c r="AX40" s="36">
        <v>125567</v>
      </c>
      <c r="AY40" s="39">
        <v>1437284</v>
      </c>
      <c r="AZ40" s="39">
        <v>290</v>
      </c>
      <c r="BA40" s="39">
        <v>0</v>
      </c>
      <c r="BB40" s="35">
        <f t="shared" si="3"/>
        <v>1563141</v>
      </c>
      <c r="BC40" s="36">
        <v>130876</v>
      </c>
      <c r="BD40" s="39">
        <v>386246</v>
      </c>
      <c r="BE40" s="39">
        <v>254</v>
      </c>
      <c r="BF40" s="39">
        <v>0</v>
      </c>
      <c r="BG40" s="35">
        <f t="shared" si="11"/>
        <v>517376</v>
      </c>
      <c r="BH40" s="36">
        <v>135761</v>
      </c>
      <c r="BI40" s="39">
        <v>1213110</v>
      </c>
      <c r="BJ40" s="39">
        <v>766</v>
      </c>
      <c r="BK40" s="39">
        <v>38</v>
      </c>
      <c r="BL40" s="35">
        <f t="shared" si="12"/>
        <v>1349675</v>
      </c>
      <c r="BM40" s="36">
        <f>213203+CA40</f>
        <v>213204</v>
      </c>
      <c r="BN40" s="39">
        <v>1212443</v>
      </c>
      <c r="BO40" s="39">
        <f>6914+CC40</f>
        <v>6915</v>
      </c>
      <c r="BP40" s="39">
        <f>412+CD40</f>
        <v>413</v>
      </c>
      <c r="BQ40" s="35">
        <f t="shared" si="13"/>
        <v>1432975</v>
      </c>
      <c r="BR40" s="36">
        <f t="shared" si="16"/>
        <v>1693990</v>
      </c>
      <c r="BS40" s="163">
        <f t="shared" si="16"/>
        <v>7777760</v>
      </c>
      <c r="BT40" s="39">
        <f t="shared" si="16"/>
        <v>18043</v>
      </c>
      <c r="BU40" s="39">
        <f t="shared" si="16"/>
        <v>451</v>
      </c>
      <c r="BV40" s="36">
        <f t="shared" si="4"/>
        <v>9490244</v>
      </c>
      <c r="BW40" s="8"/>
      <c r="BX40" s="223">
        <f t="shared" si="17"/>
        <v>100</v>
      </c>
      <c r="BY40" s="136"/>
      <c r="BZ40" s="39"/>
      <c r="CA40" s="1">
        <v>1</v>
      </c>
      <c r="CB40" s="1">
        <v>0</v>
      </c>
      <c r="CC40" s="1">
        <v>1</v>
      </c>
      <c r="CD40" s="1">
        <v>1</v>
      </c>
    </row>
    <row r="41" spans="1:82" x14ac:dyDescent="0.2">
      <c r="A41" s="159">
        <v>35</v>
      </c>
      <c r="B41" s="160" t="s">
        <v>212</v>
      </c>
      <c r="D41" s="161"/>
      <c r="E41" s="162">
        <v>896566</v>
      </c>
      <c r="F41" s="163">
        <f>58289645-2976</f>
        <v>58286669</v>
      </c>
      <c r="G41" s="163">
        <v>9335</v>
      </c>
      <c r="H41" s="163">
        <v>884</v>
      </c>
      <c r="I41" s="35">
        <f t="shared" si="1"/>
        <v>59193454</v>
      </c>
      <c r="J41" s="36">
        <v>75608</v>
      </c>
      <c r="K41" s="39">
        <v>6408433</v>
      </c>
      <c r="L41" s="39">
        <v>270</v>
      </c>
      <c r="M41" s="39">
        <v>2</v>
      </c>
      <c r="N41" s="35">
        <f t="shared" si="15"/>
        <v>6484313</v>
      </c>
      <c r="O41" s="36">
        <v>49931</v>
      </c>
      <c r="P41" s="39">
        <v>2300174</v>
      </c>
      <c r="Q41" s="39">
        <v>452</v>
      </c>
      <c r="R41" s="39">
        <v>7</v>
      </c>
      <c r="S41" s="35">
        <f t="shared" si="19"/>
        <v>2350564</v>
      </c>
      <c r="T41" s="221">
        <v>66147</v>
      </c>
      <c r="U41" s="222">
        <v>1014387</v>
      </c>
      <c r="V41" s="222">
        <v>497</v>
      </c>
      <c r="W41" s="222">
        <v>0</v>
      </c>
      <c r="X41" s="35">
        <f t="shared" si="6"/>
        <v>1081031</v>
      </c>
      <c r="Y41" s="221">
        <v>109074</v>
      </c>
      <c r="Z41" s="222">
        <v>9892919</v>
      </c>
      <c r="AA41" s="222">
        <v>434</v>
      </c>
      <c r="AB41" s="222">
        <v>0</v>
      </c>
      <c r="AC41" s="35">
        <f t="shared" si="7"/>
        <v>10002427</v>
      </c>
      <c r="AD41" s="221">
        <v>57021</v>
      </c>
      <c r="AE41" s="222">
        <v>1100326</v>
      </c>
      <c r="AF41" s="222">
        <v>367</v>
      </c>
      <c r="AG41" s="222">
        <v>24</v>
      </c>
      <c r="AH41" s="35">
        <f>SUM(AD41:AG41)</f>
        <v>1157738</v>
      </c>
      <c r="AI41" s="36">
        <v>82187</v>
      </c>
      <c r="AJ41" s="39">
        <v>987939</v>
      </c>
      <c r="AK41" s="39">
        <v>624</v>
      </c>
      <c r="AL41" s="39">
        <v>0</v>
      </c>
      <c r="AM41" s="35">
        <f t="shared" si="9"/>
        <v>1070750</v>
      </c>
      <c r="AN41" s="36">
        <v>81207</v>
      </c>
      <c r="AO41" s="39">
        <v>6845555</v>
      </c>
      <c r="AP41" s="39">
        <v>365</v>
      </c>
      <c r="AQ41" s="39">
        <v>0</v>
      </c>
      <c r="AR41" s="35">
        <f t="shared" si="2"/>
        <v>6927127</v>
      </c>
      <c r="AS41" s="36">
        <v>70489</v>
      </c>
      <c r="AT41" s="39">
        <v>2310709</v>
      </c>
      <c r="AU41" s="39">
        <v>339</v>
      </c>
      <c r="AV41" s="39">
        <v>845</v>
      </c>
      <c r="AW41" s="35">
        <f t="shared" si="10"/>
        <v>2382382</v>
      </c>
      <c r="AX41" s="36">
        <v>64440</v>
      </c>
      <c r="AY41" s="39">
        <v>2937067</v>
      </c>
      <c r="AZ41" s="39">
        <v>475</v>
      </c>
      <c r="BA41" s="39">
        <v>3</v>
      </c>
      <c r="BB41" s="35">
        <f t="shared" si="3"/>
        <v>3001985</v>
      </c>
      <c r="BC41" s="36">
        <v>57240</v>
      </c>
      <c r="BD41" s="39">
        <v>15109759</v>
      </c>
      <c r="BE41" s="39">
        <v>382</v>
      </c>
      <c r="BF41" s="39">
        <v>2</v>
      </c>
      <c r="BG41" s="35">
        <f t="shared" si="11"/>
        <v>15167383</v>
      </c>
      <c r="BH41" s="36">
        <v>76857</v>
      </c>
      <c r="BI41" s="39">
        <v>4625015</v>
      </c>
      <c r="BJ41" s="39">
        <v>852</v>
      </c>
      <c r="BK41" s="39">
        <v>0</v>
      </c>
      <c r="BL41" s="35">
        <f t="shared" si="12"/>
        <v>4702724</v>
      </c>
      <c r="BM41" s="36">
        <f>106535+CA41</f>
        <v>106365</v>
      </c>
      <c r="BN41" s="39">
        <v>4754386</v>
      </c>
      <c r="BO41" s="39">
        <f>2466+CC41</f>
        <v>4278</v>
      </c>
      <c r="BP41" s="39">
        <f>+CD41</f>
        <v>1</v>
      </c>
      <c r="BQ41" s="35">
        <f t="shared" si="13"/>
        <v>4865030</v>
      </c>
      <c r="BR41" s="36">
        <f t="shared" si="16"/>
        <v>896566</v>
      </c>
      <c r="BS41" s="163">
        <f>+K41+P41+U41+Z41+AE41+AJ41+AO41+AT41+AY41+BD41+BI41+BN41</f>
        <v>58286669</v>
      </c>
      <c r="BT41" s="39">
        <f t="shared" si="16"/>
        <v>9335</v>
      </c>
      <c r="BU41" s="39">
        <f t="shared" si="16"/>
        <v>884</v>
      </c>
      <c r="BV41" s="36">
        <f t="shared" si="4"/>
        <v>59193454</v>
      </c>
      <c r="BW41" s="8"/>
      <c r="BX41" s="165">
        <f t="shared" si="17"/>
        <v>100</v>
      </c>
      <c r="BY41" s="136"/>
      <c r="BZ41" s="39"/>
      <c r="CA41" s="1">
        <v>-170</v>
      </c>
      <c r="CB41" s="1">
        <v>0</v>
      </c>
      <c r="CC41" s="1">
        <v>1812</v>
      </c>
      <c r="CD41" s="1">
        <v>1</v>
      </c>
    </row>
    <row r="42" spans="1:82" x14ac:dyDescent="0.2">
      <c r="A42" s="159">
        <v>36</v>
      </c>
      <c r="B42" s="160" t="s">
        <v>213</v>
      </c>
      <c r="D42" s="161"/>
      <c r="E42" s="162">
        <v>3625271</v>
      </c>
      <c r="F42" s="163">
        <v>9933884</v>
      </c>
      <c r="G42" s="163">
        <v>3060279</v>
      </c>
      <c r="H42" s="163">
        <v>0</v>
      </c>
      <c r="I42" s="35">
        <f t="shared" si="1"/>
        <v>16619434</v>
      </c>
      <c r="J42" s="36">
        <v>338515</v>
      </c>
      <c r="K42" s="39">
        <v>764345</v>
      </c>
      <c r="L42" s="39">
        <v>240867</v>
      </c>
      <c r="M42" s="39">
        <v>0</v>
      </c>
      <c r="N42" s="35">
        <f t="shared" si="15"/>
        <v>1343727</v>
      </c>
      <c r="O42" s="36">
        <v>314869</v>
      </c>
      <c r="P42" s="39">
        <v>318</v>
      </c>
      <c r="Q42" s="39">
        <v>290640</v>
      </c>
      <c r="R42" s="39">
        <v>0</v>
      </c>
      <c r="S42" s="35">
        <f t="shared" si="19"/>
        <v>605827</v>
      </c>
      <c r="T42" s="221">
        <v>196830</v>
      </c>
      <c r="U42" s="222">
        <v>31619</v>
      </c>
      <c r="V42" s="222">
        <v>83894</v>
      </c>
      <c r="W42" s="222">
        <v>0</v>
      </c>
      <c r="X42" s="35">
        <f t="shared" si="6"/>
        <v>312343</v>
      </c>
      <c r="Y42" s="221">
        <v>732461</v>
      </c>
      <c r="Z42" s="222">
        <v>1746494</v>
      </c>
      <c r="AA42" s="222">
        <v>94880</v>
      </c>
      <c r="AB42" s="222">
        <v>0</v>
      </c>
      <c r="AC42" s="35">
        <f t="shared" si="7"/>
        <v>2573835</v>
      </c>
      <c r="AD42" s="221">
        <v>251838</v>
      </c>
      <c r="AE42" s="222">
        <v>635537</v>
      </c>
      <c r="AF42" s="222">
        <v>476842</v>
      </c>
      <c r="AG42" s="222">
        <v>0</v>
      </c>
      <c r="AH42" s="35">
        <f t="shared" si="8"/>
        <v>1364217</v>
      </c>
      <c r="AI42" s="36">
        <v>213896</v>
      </c>
      <c r="AJ42" s="39">
        <v>644448</v>
      </c>
      <c r="AK42" s="39">
        <v>84107</v>
      </c>
      <c r="AL42" s="39">
        <v>0</v>
      </c>
      <c r="AM42" s="35">
        <f t="shared" si="9"/>
        <v>942451</v>
      </c>
      <c r="AN42" s="36">
        <v>301778</v>
      </c>
      <c r="AO42" s="39">
        <v>639889</v>
      </c>
      <c r="AP42" s="39">
        <v>279579</v>
      </c>
      <c r="AQ42" s="39">
        <v>0</v>
      </c>
      <c r="AR42" s="35">
        <f t="shared" si="2"/>
        <v>1221246</v>
      </c>
      <c r="AS42" s="36">
        <v>215038</v>
      </c>
      <c r="AT42" s="39">
        <v>572477</v>
      </c>
      <c r="AU42" s="39">
        <v>222685</v>
      </c>
      <c r="AV42" s="39">
        <v>0</v>
      </c>
      <c r="AW42" s="35">
        <f t="shared" si="10"/>
        <v>1010200</v>
      </c>
      <c r="AX42" s="36">
        <v>180769</v>
      </c>
      <c r="AY42" s="39">
        <v>492379</v>
      </c>
      <c r="AZ42" s="39">
        <v>200598</v>
      </c>
      <c r="BA42" s="39">
        <v>0</v>
      </c>
      <c r="BB42" s="35">
        <f t="shared" si="3"/>
        <v>873746</v>
      </c>
      <c r="BC42" s="36">
        <v>168311</v>
      </c>
      <c r="BD42" s="39">
        <v>459594</v>
      </c>
      <c r="BE42" s="39">
        <v>43749</v>
      </c>
      <c r="BF42" s="39">
        <v>0</v>
      </c>
      <c r="BG42" s="35">
        <f t="shared" si="11"/>
        <v>671654</v>
      </c>
      <c r="BH42" s="36">
        <v>229320</v>
      </c>
      <c r="BI42" s="39">
        <v>43984</v>
      </c>
      <c r="BJ42" s="39">
        <v>98617</v>
      </c>
      <c r="BK42" s="39">
        <v>0</v>
      </c>
      <c r="BL42" s="35">
        <f t="shared" si="12"/>
        <v>371921</v>
      </c>
      <c r="BM42" s="36">
        <f>476147+CA42</f>
        <v>481646</v>
      </c>
      <c r="BN42" s="39">
        <f>3902801+CB42</f>
        <v>3902800</v>
      </c>
      <c r="BO42" s="39">
        <f>946647+CC42</f>
        <v>943821</v>
      </c>
      <c r="BP42" s="39">
        <v>0</v>
      </c>
      <c r="BQ42" s="35">
        <f t="shared" si="13"/>
        <v>5328267</v>
      </c>
      <c r="BR42" s="36">
        <f t="shared" si="16"/>
        <v>3625271</v>
      </c>
      <c r="BS42" s="163">
        <f t="shared" si="16"/>
        <v>9933884</v>
      </c>
      <c r="BT42" s="39">
        <f t="shared" si="16"/>
        <v>3060279</v>
      </c>
      <c r="BU42" s="39">
        <f t="shared" si="16"/>
        <v>0</v>
      </c>
      <c r="BV42" s="36">
        <f t="shared" si="4"/>
        <v>16619434</v>
      </c>
      <c r="BW42" s="8"/>
      <c r="BX42" s="223">
        <f>(BV42/I42)*100</f>
        <v>100</v>
      </c>
      <c r="BY42" s="136"/>
      <c r="BZ42" s="39"/>
      <c r="CA42" s="1">
        <v>5499</v>
      </c>
      <c r="CB42" s="1">
        <v>-1</v>
      </c>
      <c r="CC42" s="1">
        <v>-2826</v>
      </c>
      <c r="CD42" s="1">
        <v>0</v>
      </c>
    </row>
    <row r="43" spans="1:82" x14ac:dyDescent="0.2">
      <c r="A43" s="159">
        <v>37</v>
      </c>
      <c r="B43" s="160" t="s">
        <v>214</v>
      </c>
      <c r="D43" s="161"/>
      <c r="E43" s="162">
        <v>623635</v>
      </c>
      <c r="F43" s="163">
        <v>3526650</v>
      </c>
      <c r="G43" s="163">
        <v>87479</v>
      </c>
      <c r="H43" s="163">
        <v>221</v>
      </c>
      <c r="I43" s="35">
        <f t="shared" si="1"/>
        <v>4237985</v>
      </c>
      <c r="J43" s="36">
        <v>28713</v>
      </c>
      <c r="K43" s="39">
        <v>512221</v>
      </c>
      <c r="L43" s="39">
        <v>1074</v>
      </c>
      <c r="M43" s="39">
        <v>26</v>
      </c>
      <c r="N43" s="35">
        <f t="shared" si="15"/>
        <v>542034</v>
      </c>
      <c r="O43" s="36">
        <v>56999</v>
      </c>
      <c r="P43" s="39">
        <v>126159</v>
      </c>
      <c r="Q43" s="39">
        <v>5051</v>
      </c>
      <c r="R43" s="39">
        <v>0</v>
      </c>
      <c r="S43" s="35">
        <f t="shared" si="19"/>
        <v>188209</v>
      </c>
      <c r="T43" s="221">
        <v>57119</v>
      </c>
      <c r="U43" s="222">
        <v>131079</v>
      </c>
      <c r="V43" s="222">
        <v>677</v>
      </c>
      <c r="W43" s="222">
        <v>5</v>
      </c>
      <c r="X43" s="35">
        <f t="shared" si="6"/>
        <v>188880</v>
      </c>
      <c r="Y43" s="221">
        <v>52763</v>
      </c>
      <c r="Z43" s="222">
        <v>663585</v>
      </c>
      <c r="AA43" s="222">
        <v>-767</v>
      </c>
      <c r="AB43" s="222">
        <v>0</v>
      </c>
      <c r="AC43" s="35">
        <f t="shared" si="7"/>
        <v>715581</v>
      </c>
      <c r="AD43" s="221">
        <v>41640</v>
      </c>
      <c r="AE43" s="222">
        <v>127341</v>
      </c>
      <c r="AF43" s="222">
        <v>1049</v>
      </c>
      <c r="AG43" s="222">
        <v>0</v>
      </c>
      <c r="AH43" s="35">
        <f t="shared" si="8"/>
        <v>170030</v>
      </c>
      <c r="AI43" s="36">
        <v>69470</v>
      </c>
      <c r="AJ43" s="39">
        <v>171603</v>
      </c>
      <c r="AK43" s="39">
        <v>2665</v>
      </c>
      <c r="AL43" s="39">
        <v>0</v>
      </c>
      <c r="AM43" s="35">
        <f t="shared" si="9"/>
        <v>243738</v>
      </c>
      <c r="AN43" s="36">
        <v>60935</v>
      </c>
      <c r="AO43" s="39">
        <v>641772</v>
      </c>
      <c r="AP43" s="39">
        <v>11086</v>
      </c>
      <c r="AQ43" s="39">
        <v>0</v>
      </c>
      <c r="AR43" s="35">
        <f t="shared" si="2"/>
        <v>713793</v>
      </c>
      <c r="AS43" s="36">
        <v>64378</v>
      </c>
      <c r="AT43" s="39">
        <v>132694</v>
      </c>
      <c r="AU43" s="39">
        <v>517</v>
      </c>
      <c r="AV43" s="39">
        <v>156</v>
      </c>
      <c r="AW43" s="35">
        <f t="shared" si="10"/>
        <v>197745</v>
      </c>
      <c r="AX43" s="36">
        <v>51434</v>
      </c>
      <c r="AY43" s="39">
        <v>114436</v>
      </c>
      <c r="AZ43" s="39">
        <v>20575</v>
      </c>
      <c r="BA43" s="39">
        <v>0</v>
      </c>
      <c r="BB43" s="35">
        <f t="shared" si="3"/>
        <v>186445</v>
      </c>
      <c r="BC43" s="36">
        <v>37506</v>
      </c>
      <c r="BD43" s="39">
        <v>488128</v>
      </c>
      <c r="BE43" s="39">
        <v>2180</v>
      </c>
      <c r="BF43" s="39">
        <v>0</v>
      </c>
      <c r="BG43" s="35">
        <f t="shared" si="11"/>
        <v>527814</v>
      </c>
      <c r="BH43" s="36">
        <v>55343</v>
      </c>
      <c r="BI43" s="39">
        <v>181739</v>
      </c>
      <c r="BJ43" s="39">
        <v>1470</v>
      </c>
      <c r="BK43" s="39">
        <v>20</v>
      </c>
      <c r="BL43" s="35">
        <f t="shared" si="12"/>
        <v>238572</v>
      </c>
      <c r="BM43" s="36">
        <f>46999+CA43</f>
        <v>47335</v>
      </c>
      <c r="BN43" s="39">
        <v>235893</v>
      </c>
      <c r="BO43" s="39">
        <f>42239+CC43</f>
        <v>41902</v>
      </c>
      <c r="BP43" s="39">
        <f>15+CD43</f>
        <v>14</v>
      </c>
      <c r="BQ43" s="35">
        <f t="shared" si="13"/>
        <v>325144</v>
      </c>
      <c r="BR43" s="36">
        <f>+J43+O43+T43+Y43+AD43+AI43+AN43+AS43+AX43+BC43+BH43+BM43</f>
        <v>623635</v>
      </c>
      <c r="BS43" s="163">
        <f t="shared" si="16"/>
        <v>3526650</v>
      </c>
      <c r="BT43" s="39">
        <f t="shared" si="16"/>
        <v>87479</v>
      </c>
      <c r="BU43" s="39">
        <f t="shared" si="16"/>
        <v>221</v>
      </c>
      <c r="BV43" s="36">
        <f>SUM(BR43:BU43)</f>
        <v>4237985</v>
      </c>
      <c r="BW43" s="8"/>
      <c r="BX43" s="165">
        <f>(BV43/I43)*100</f>
        <v>100</v>
      </c>
      <c r="BY43" s="136"/>
      <c r="BZ43" s="39"/>
      <c r="CA43" s="1">
        <v>336</v>
      </c>
      <c r="CB43" s="1">
        <v>0</v>
      </c>
      <c r="CC43" s="1">
        <v>-337</v>
      </c>
      <c r="CD43" s="1">
        <v>-1</v>
      </c>
    </row>
    <row r="44" spans="1:82" x14ac:dyDescent="0.2">
      <c r="A44" s="159">
        <v>38</v>
      </c>
      <c r="B44" s="160" t="s">
        <v>215</v>
      </c>
      <c r="D44" s="161"/>
      <c r="E44" s="162">
        <f>680028-859</f>
        <v>679169</v>
      </c>
      <c r="F44" s="163">
        <v>31425811</v>
      </c>
      <c r="G44" s="163">
        <v>9758</v>
      </c>
      <c r="H44" s="163">
        <v>80646</v>
      </c>
      <c r="I44" s="35">
        <f t="shared" si="1"/>
        <v>32195384</v>
      </c>
      <c r="J44" s="36">
        <v>36519</v>
      </c>
      <c r="K44" s="39">
        <v>1024046</v>
      </c>
      <c r="L44" s="39">
        <v>497</v>
      </c>
      <c r="M44" s="39">
        <v>33</v>
      </c>
      <c r="N44" s="35">
        <f t="shared" si="15"/>
        <v>1061095</v>
      </c>
      <c r="O44" s="36">
        <v>49359</v>
      </c>
      <c r="P44" s="39">
        <v>1362230</v>
      </c>
      <c r="Q44" s="39">
        <v>461</v>
      </c>
      <c r="R44" s="39">
        <v>23</v>
      </c>
      <c r="S44" s="35">
        <f t="shared" si="19"/>
        <v>1412073</v>
      </c>
      <c r="T44" s="221">
        <v>47439</v>
      </c>
      <c r="U44" s="222">
        <v>1704078</v>
      </c>
      <c r="V44" s="222">
        <v>202</v>
      </c>
      <c r="W44" s="222">
        <v>80046</v>
      </c>
      <c r="X44" s="35">
        <f t="shared" si="6"/>
        <v>1831765</v>
      </c>
      <c r="Y44" s="221">
        <v>52600</v>
      </c>
      <c r="Z44" s="222">
        <v>4180290</v>
      </c>
      <c r="AA44" s="222">
        <v>1291</v>
      </c>
      <c r="AB44" s="222">
        <v>10</v>
      </c>
      <c r="AC44" s="35">
        <f t="shared" si="7"/>
        <v>4234191</v>
      </c>
      <c r="AD44" s="221">
        <v>46917</v>
      </c>
      <c r="AE44" s="222">
        <v>1612229</v>
      </c>
      <c r="AF44" s="222">
        <v>204</v>
      </c>
      <c r="AG44" s="222">
        <v>0</v>
      </c>
      <c r="AH44" s="35">
        <f t="shared" si="8"/>
        <v>1659350</v>
      </c>
      <c r="AI44" s="36">
        <v>59072</v>
      </c>
      <c r="AJ44" s="39">
        <v>1942654</v>
      </c>
      <c r="AK44" s="39">
        <v>730</v>
      </c>
      <c r="AL44" s="39">
        <v>4</v>
      </c>
      <c r="AM44" s="35">
        <f t="shared" si="9"/>
        <v>2002460</v>
      </c>
      <c r="AN44" s="36">
        <v>54885</v>
      </c>
      <c r="AO44" s="39">
        <v>1742308</v>
      </c>
      <c r="AP44" s="39">
        <v>837</v>
      </c>
      <c r="AQ44" s="39">
        <v>11</v>
      </c>
      <c r="AR44" s="35">
        <f t="shared" si="2"/>
        <v>1798041</v>
      </c>
      <c r="AS44" s="36">
        <v>59978</v>
      </c>
      <c r="AT44" s="39">
        <v>6297013</v>
      </c>
      <c r="AU44" s="39">
        <v>737</v>
      </c>
      <c r="AV44" s="39">
        <v>0</v>
      </c>
      <c r="AW44" s="35">
        <f t="shared" si="10"/>
        <v>6357728</v>
      </c>
      <c r="AX44" s="36">
        <v>75841</v>
      </c>
      <c r="AY44" s="39">
        <v>1931136</v>
      </c>
      <c r="AZ44" s="39">
        <v>338</v>
      </c>
      <c r="BA44" s="39">
        <v>0</v>
      </c>
      <c r="BB44" s="35">
        <f t="shared" si="3"/>
        <v>2007315</v>
      </c>
      <c r="BC44" s="36">
        <v>44643</v>
      </c>
      <c r="BD44" s="39">
        <v>1049737</v>
      </c>
      <c r="BE44" s="39">
        <v>581</v>
      </c>
      <c r="BF44" s="39">
        <v>19</v>
      </c>
      <c r="BG44" s="35">
        <f t="shared" si="11"/>
        <v>1094980</v>
      </c>
      <c r="BH44" s="36">
        <v>64682</v>
      </c>
      <c r="BI44" s="39">
        <v>2080190</v>
      </c>
      <c r="BJ44" s="39">
        <v>169</v>
      </c>
      <c r="BK44" s="39">
        <v>0</v>
      </c>
      <c r="BL44" s="35">
        <f t="shared" si="12"/>
        <v>2145041</v>
      </c>
      <c r="BM44" s="36">
        <f>87251+CA44</f>
        <v>87234</v>
      </c>
      <c r="BN44" s="39">
        <f>6499898+CB44</f>
        <v>6499900</v>
      </c>
      <c r="BO44" s="39">
        <f>3683+CC44</f>
        <v>3711</v>
      </c>
      <c r="BP44" s="39">
        <f>32+CD44</f>
        <v>500</v>
      </c>
      <c r="BQ44" s="35">
        <f>SUM(BM44:BP44)</f>
        <v>6591345</v>
      </c>
      <c r="BR44" s="36">
        <f t="shared" si="16"/>
        <v>679169</v>
      </c>
      <c r="BS44" s="163">
        <f t="shared" si="16"/>
        <v>31425811</v>
      </c>
      <c r="BT44" s="39">
        <f t="shared" si="16"/>
        <v>9758</v>
      </c>
      <c r="BU44" s="39">
        <f t="shared" si="16"/>
        <v>80646</v>
      </c>
      <c r="BV44" s="36">
        <f t="shared" si="4"/>
        <v>32195384</v>
      </c>
      <c r="BW44" s="8"/>
      <c r="BX44" s="223">
        <f>(BV44/I44)*100</f>
        <v>100</v>
      </c>
      <c r="BY44" s="136"/>
      <c r="BZ44" s="39"/>
      <c r="CA44" s="1">
        <v>-17</v>
      </c>
      <c r="CB44" s="1">
        <v>2</v>
      </c>
      <c r="CC44" s="1">
        <v>28</v>
      </c>
      <c r="CD44" s="1">
        <v>468</v>
      </c>
    </row>
    <row r="45" spans="1:82" x14ac:dyDescent="0.2">
      <c r="A45" s="159">
        <v>39</v>
      </c>
      <c r="B45" s="160" t="s">
        <v>216</v>
      </c>
      <c r="D45" s="161"/>
      <c r="E45" s="162">
        <v>4457129</v>
      </c>
      <c r="F45" s="163">
        <v>5053403</v>
      </c>
      <c r="G45" s="163">
        <v>767908</v>
      </c>
      <c r="H45" s="163">
        <v>2660</v>
      </c>
      <c r="I45" s="35">
        <f t="shared" si="1"/>
        <v>10281100</v>
      </c>
      <c r="J45" s="36">
        <v>270747</v>
      </c>
      <c r="K45" s="39">
        <v>50275</v>
      </c>
      <c r="L45" s="39">
        <v>1528</v>
      </c>
      <c r="M45" s="39">
        <v>0</v>
      </c>
      <c r="N45" s="35">
        <f t="shared" si="15"/>
        <v>322550</v>
      </c>
      <c r="O45" s="36">
        <v>281508</v>
      </c>
      <c r="P45" s="39">
        <v>560899</v>
      </c>
      <c r="Q45" s="39">
        <v>5665</v>
      </c>
      <c r="R45" s="39">
        <v>0</v>
      </c>
      <c r="S45" s="35">
        <f t="shared" si="19"/>
        <v>848072</v>
      </c>
      <c r="T45" s="221">
        <v>307272</v>
      </c>
      <c r="U45" s="222">
        <v>260196</v>
      </c>
      <c r="V45" s="222">
        <v>6073</v>
      </c>
      <c r="W45" s="222">
        <v>0</v>
      </c>
      <c r="X45" s="35">
        <f t="shared" si="6"/>
        <v>573541</v>
      </c>
      <c r="Y45" s="221">
        <v>362464</v>
      </c>
      <c r="Z45" s="222">
        <v>622776</v>
      </c>
      <c r="AA45" s="222">
        <v>11191</v>
      </c>
      <c r="AB45" s="222">
        <v>0</v>
      </c>
      <c r="AC45" s="35">
        <f t="shared" si="7"/>
        <v>996431</v>
      </c>
      <c r="AD45" s="221">
        <v>289100</v>
      </c>
      <c r="AE45" s="222">
        <v>279452</v>
      </c>
      <c r="AF45" s="222">
        <v>15486</v>
      </c>
      <c r="AG45" s="222">
        <v>0</v>
      </c>
      <c r="AH45" s="35">
        <f t="shared" si="8"/>
        <v>584038</v>
      </c>
      <c r="AI45" s="36">
        <v>293798</v>
      </c>
      <c r="AJ45" s="39">
        <v>408278</v>
      </c>
      <c r="AK45" s="39">
        <v>155521</v>
      </c>
      <c r="AL45" s="39">
        <v>485</v>
      </c>
      <c r="AM45" s="35">
        <f t="shared" si="9"/>
        <v>858082</v>
      </c>
      <c r="AN45" s="36">
        <v>315513</v>
      </c>
      <c r="AO45" s="39">
        <v>582127</v>
      </c>
      <c r="AP45" s="39">
        <v>4187</v>
      </c>
      <c r="AQ45" s="39">
        <v>1272</v>
      </c>
      <c r="AR45" s="35">
        <f t="shared" si="2"/>
        <v>903099</v>
      </c>
      <c r="AS45" s="36">
        <v>317336</v>
      </c>
      <c r="AT45" s="39">
        <v>424754</v>
      </c>
      <c r="AU45" s="39">
        <v>6615</v>
      </c>
      <c r="AV45" s="39">
        <v>0</v>
      </c>
      <c r="AW45" s="35">
        <f t="shared" si="10"/>
        <v>748705</v>
      </c>
      <c r="AX45" s="36">
        <v>357767</v>
      </c>
      <c r="AY45" s="39">
        <v>429319</v>
      </c>
      <c r="AZ45" s="39">
        <v>37895</v>
      </c>
      <c r="BA45" s="39">
        <v>0</v>
      </c>
      <c r="BB45" s="35">
        <f t="shared" si="3"/>
        <v>824981</v>
      </c>
      <c r="BC45" s="36">
        <v>314367</v>
      </c>
      <c r="BD45" s="39">
        <v>958438</v>
      </c>
      <c r="BE45" s="39">
        <v>3684</v>
      </c>
      <c r="BF45" s="39">
        <v>0</v>
      </c>
      <c r="BG45" s="35">
        <f t="shared" si="11"/>
        <v>1276489</v>
      </c>
      <c r="BH45" s="36">
        <v>266276</v>
      </c>
      <c r="BI45" s="39">
        <v>344651</v>
      </c>
      <c r="BJ45" s="39">
        <v>7771</v>
      </c>
      <c r="BK45" s="39">
        <v>0</v>
      </c>
      <c r="BL45" s="35">
        <f t="shared" si="12"/>
        <v>618698</v>
      </c>
      <c r="BM45" s="36">
        <f>404095+CA45</f>
        <v>1080981</v>
      </c>
      <c r="BN45" s="39">
        <f>1313043+CB45</f>
        <v>132238</v>
      </c>
      <c r="BO45" s="39">
        <f>8370+CC45</f>
        <v>512292</v>
      </c>
      <c r="BP45" s="39">
        <v>903</v>
      </c>
      <c r="BQ45" s="35">
        <f t="shared" si="13"/>
        <v>1726414</v>
      </c>
      <c r="BR45" s="36">
        <f t="shared" si="16"/>
        <v>4457129</v>
      </c>
      <c r="BS45" s="163">
        <f t="shared" si="16"/>
        <v>5053403</v>
      </c>
      <c r="BT45" s="39">
        <f t="shared" si="16"/>
        <v>767908</v>
      </c>
      <c r="BU45" s="39">
        <f t="shared" si="16"/>
        <v>2660</v>
      </c>
      <c r="BV45" s="36">
        <f t="shared" si="4"/>
        <v>10281100</v>
      </c>
      <c r="BW45" s="8"/>
      <c r="BX45" s="223">
        <f t="shared" si="17"/>
        <v>100</v>
      </c>
      <c r="BY45" s="136"/>
      <c r="BZ45" s="39"/>
      <c r="CA45" s="1">
        <v>676886</v>
      </c>
      <c r="CB45" s="1">
        <v>-1180805</v>
      </c>
      <c r="CC45" s="1">
        <v>503922</v>
      </c>
      <c r="CD45" s="1">
        <v>0</v>
      </c>
    </row>
    <row r="46" spans="1:82" x14ac:dyDescent="0.2">
      <c r="A46" s="173">
        <v>40</v>
      </c>
      <c r="B46" s="174" t="s">
        <v>217</v>
      </c>
      <c r="C46" s="174"/>
      <c r="D46" s="175"/>
      <c r="E46" s="163">
        <v>266185</v>
      </c>
      <c r="F46" s="163">
        <v>807218</v>
      </c>
      <c r="G46" s="163">
        <v>2488</v>
      </c>
      <c r="H46" s="163">
        <v>122</v>
      </c>
      <c r="I46" s="35">
        <f t="shared" si="1"/>
        <v>1076013</v>
      </c>
      <c r="J46" s="36">
        <v>19773</v>
      </c>
      <c r="K46" s="39">
        <v>6153</v>
      </c>
      <c r="L46" s="39">
        <v>0</v>
      </c>
      <c r="M46" s="39">
        <v>0</v>
      </c>
      <c r="N46" s="35">
        <f t="shared" si="15"/>
        <v>25926</v>
      </c>
      <c r="O46" s="128">
        <v>20666</v>
      </c>
      <c r="P46" s="39">
        <v>12162</v>
      </c>
      <c r="Q46" s="176">
        <v>426</v>
      </c>
      <c r="R46" s="39">
        <v>0</v>
      </c>
      <c r="S46" s="35">
        <f t="shared" si="19"/>
        <v>33254</v>
      </c>
      <c r="T46" s="221">
        <v>14602</v>
      </c>
      <c r="U46" s="224">
        <v>300</v>
      </c>
      <c r="V46" s="224">
        <v>11</v>
      </c>
      <c r="W46" s="222">
        <v>0</v>
      </c>
      <c r="X46" s="35">
        <f t="shared" si="6"/>
        <v>14913</v>
      </c>
      <c r="Y46" s="225">
        <v>17895</v>
      </c>
      <c r="Z46" s="222">
        <v>100893</v>
      </c>
      <c r="AA46" s="224">
        <v>151</v>
      </c>
      <c r="AB46" s="222">
        <v>0</v>
      </c>
      <c r="AC46" s="35">
        <f t="shared" si="7"/>
        <v>118939</v>
      </c>
      <c r="AD46" s="225">
        <v>18677</v>
      </c>
      <c r="AE46" s="224">
        <v>203646</v>
      </c>
      <c r="AF46" s="224">
        <v>327</v>
      </c>
      <c r="AG46" s="222">
        <v>0</v>
      </c>
      <c r="AH46" s="35">
        <f t="shared" si="8"/>
        <v>222650</v>
      </c>
      <c r="AI46" s="36">
        <v>28765</v>
      </c>
      <c r="AJ46" s="39">
        <v>18680</v>
      </c>
      <c r="AK46" s="39">
        <v>98</v>
      </c>
      <c r="AL46" s="39">
        <v>0</v>
      </c>
      <c r="AM46" s="35">
        <f t="shared" si="9"/>
        <v>47543</v>
      </c>
      <c r="AN46" s="36">
        <v>26848</v>
      </c>
      <c r="AO46" s="39">
        <v>90699</v>
      </c>
      <c r="AP46" s="176">
        <v>423</v>
      </c>
      <c r="AQ46" s="39">
        <v>0</v>
      </c>
      <c r="AR46" s="35">
        <f>SUM(AN46:AQ46)</f>
        <v>117970</v>
      </c>
      <c r="AS46" s="36">
        <v>59591</v>
      </c>
      <c r="AT46" s="39">
        <v>11030</v>
      </c>
      <c r="AU46" s="39">
        <v>117</v>
      </c>
      <c r="AV46" s="39">
        <v>0</v>
      </c>
      <c r="AW46" s="35">
        <f t="shared" si="10"/>
        <v>70738</v>
      </c>
      <c r="AX46" s="36">
        <v>24594</v>
      </c>
      <c r="AY46" s="39">
        <v>205253</v>
      </c>
      <c r="AZ46" s="39">
        <v>62</v>
      </c>
      <c r="BA46" s="39">
        <v>0</v>
      </c>
      <c r="BB46" s="35">
        <f t="shared" si="3"/>
        <v>229909</v>
      </c>
      <c r="BC46" s="36">
        <v>11538</v>
      </c>
      <c r="BD46" s="39">
        <v>913</v>
      </c>
      <c r="BE46" s="39">
        <v>206</v>
      </c>
      <c r="BF46" s="39">
        <v>0</v>
      </c>
      <c r="BG46" s="35">
        <f t="shared" si="11"/>
        <v>12657</v>
      </c>
      <c r="BH46" s="36">
        <v>12766</v>
      </c>
      <c r="BI46" s="39">
        <v>23053</v>
      </c>
      <c r="BJ46" s="39">
        <v>0</v>
      </c>
      <c r="BK46" s="39">
        <v>0</v>
      </c>
      <c r="BL46" s="35">
        <f t="shared" si="12"/>
        <v>35819</v>
      </c>
      <c r="BM46" s="36">
        <f>10468+CA46</f>
        <v>10470</v>
      </c>
      <c r="BN46" s="39">
        <f>134504+CB46</f>
        <v>134436</v>
      </c>
      <c r="BO46" s="39">
        <f>666+CC46</f>
        <v>667</v>
      </c>
      <c r="BP46" s="39">
        <v>122</v>
      </c>
      <c r="BQ46" s="35">
        <f t="shared" si="13"/>
        <v>145695</v>
      </c>
      <c r="BR46" s="36">
        <f t="shared" si="16"/>
        <v>266185</v>
      </c>
      <c r="BS46" s="163">
        <f t="shared" si="16"/>
        <v>807218</v>
      </c>
      <c r="BT46" s="39">
        <f t="shared" si="16"/>
        <v>2488</v>
      </c>
      <c r="BU46" s="39">
        <f t="shared" si="16"/>
        <v>122</v>
      </c>
      <c r="BV46" s="36">
        <f t="shared" si="4"/>
        <v>1076013</v>
      </c>
      <c r="BW46" s="8"/>
      <c r="BX46" s="223">
        <f t="shared" si="17"/>
        <v>100</v>
      </c>
      <c r="BY46" s="136"/>
      <c r="BZ46" s="39"/>
      <c r="CA46" s="1">
        <v>2</v>
      </c>
      <c r="CB46" s="1">
        <v>-68</v>
      </c>
      <c r="CC46" s="1">
        <v>1</v>
      </c>
      <c r="CD46" s="1">
        <v>0</v>
      </c>
    </row>
    <row r="47" spans="1:82" x14ac:dyDescent="0.2">
      <c r="A47" s="177" t="s">
        <v>218</v>
      </c>
      <c r="B47" s="160"/>
      <c r="D47" s="178"/>
      <c r="E47" s="14">
        <f t="shared" ref="E47:J47" si="20">SUM(E7:E46)</f>
        <v>227594455</v>
      </c>
      <c r="F47" s="31">
        <f t="shared" si="20"/>
        <v>564515124</v>
      </c>
      <c r="G47" s="31">
        <f t="shared" si="20"/>
        <v>14438661</v>
      </c>
      <c r="H47" s="31">
        <f t="shared" si="20"/>
        <v>14363724</v>
      </c>
      <c r="I47" s="13">
        <f t="shared" si="20"/>
        <v>820911964</v>
      </c>
      <c r="J47" s="14">
        <f t="shared" si="20"/>
        <v>15465370</v>
      </c>
      <c r="K47" s="31">
        <f>SUM(K7:K46)</f>
        <v>52493898</v>
      </c>
      <c r="L47" s="31">
        <f t="shared" ref="L47:AB47" si="21">SUM(L7:L46)</f>
        <v>721457</v>
      </c>
      <c r="M47" s="31">
        <f t="shared" si="21"/>
        <v>1653</v>
      </c>
      <c r="N47" s="13">
        <f>SUM(N7:N46)</f>
        <v>68682378</v>
      </c>
      <c r="O47" s="14">
        <f>SUM(O7:O46)</f>
        <v>17157434</v>
      </c>
      <c r="P47" s="31">
        <f t="shared" si="21"/>
        <v>41820980</v>
      </c>
      <c r="Q47" s="31">
        <f t="shared" si="21"/>
        <v>666131</v>
      </c>
      <c r="R47" s="31">
        <f t="shared" si="21"/>
        <v>2170</v>
      </c>
      <c r="S47" s="13">
        <f>SUM(S7:S46)</f>
        <v>59646715</v>
      </c>
      <c r="T47" s="14">
        <f t="shared" si="21"/>
        <v>17243557</v>
      </c>
      <c r="U47" s="31">
        <f t="shared" si="21"/>
        <v>32079255</v>
      </c>
      <c r="V47" s="31">
        <f t="shared" si="21"/>
        <v>632902</v>
      </c>
      <c r="W47" s="31">
        <f t="shared" si="21"/>
        <v>81565</v>
      </c>
      <c r="X47" s="13">
        <f>SUM(X7:X46)</f>
        <v>50037279</v>
      </c>
      <c r="Y47" s="14">
        <f t="shared" si="21"/>
        <v>20286856</v>
      </c>
      <c r="Z47" s="31">
        <f t="shared" si="21"/>
        <v>85973024</v>
      </c>
      <c r="AA47" s="31">
        <f t="shared" si="21"/>
        <v>811895</v>
      </c>
      <c r="AB47" s="31">
        <f t="shared" si="21"/>
        <v>3617</v>
      </c>
      <c r="AC47" s="13">
        <f>SUM(AC7:AC46)</f>
        <v>107075392</v>
      </c>
      <c r="AD47" s="14">
        <f t="shared" ref="AD47:AL47" si="22">SUM(AD7:AD46)</f>
        <v>18057398</v>
      </c>
      <c r="AE47" s="31">
        <f t="shared" si="22"/>
        <v>35274687</v>
      </c>
      <c r="AF47" s="31">
        <f t="shared" si="22"/>
        <v>1263481</v>
      </c>
      <c r="AG47" s="31">
        <f t="shared" si="22"/>
        <v>7143</v>
      </c>
      <c r="AH47" s="13">
        <f>SUM(AH7:AH46)</f>
        <v>54602709</v>
      </c>
      <c r="AI47" s="14">
        <f t="shared" si="22"/>
        <v>18367116</v>
      </c>
      <c r="AJ47" s="31">
        <f t="shared" si="22"/>
        <v>32324799</v>
      </c>
      <c r="AK47" s="31">
        <f t="shared" si="22"/>
        <v>920619</v>
      </c>
      <c r="AL47" s="31">
        <f t="shared" si="22"/>
        <v>10982</v>
      </c>
      <c r="AM47" s="13">
        <f t="shared" ref="AM47:AV47" si="23">SUM(AM7:AM46)</f>
        <v>51623516</v>
      </c>
      <c r="AN47" s="14">
        <f>SUM(AN7:AN46)</f>
        <v>19667025</v>
      </c>
      <c r="AO47" s="31">
        <f>SUM(AO7:AO46)</f>
        <v>45261357</v>
      </c>
      <c r="AP47" s="31">
        <f>SUM(AP7:AP46)</f>
        <v>1245809</v>
      </c>
      <c r="AQ47" s="31">
        <f>SUM(AQ7:AQ46)</f>
        <v>7830</v>
      </c>
      <c r="AR47" s="13">
        <f>SUM(AR7:AR46)</f>
        <v>66182021</v>
      </c>
      <c r="AS47" s="14">
        <f t="shared" si="23"/>
        <v>19067605</v>
      </c>
      <c r="AT47" s="31">
        <f t="shared" si="23"/>
        <v>39256604</v>
      </c>
      <c r="AU47" s="31">
        <f t="shared" si="23"/>
        <v>1107054</v>
      </c>
      <c r="AV47" s="31">
        <f t="shared" si="23"/>
        <v>13598</v>
      </c>
      <c r="AW47" s="13">
        <f t="shared" ref="AW47:BU47" si="24">SUM(AW7:AW46)</f>
        <v>59444861</v>
      </c>
      <c r="AX47" s="14">
        <f>SUM(AX7:AX46)</f>
        <v>18417967</v>
      </c>
      <c r="AY47" s="31">
        <f t="shared" si="24"/>
        <v>53266197</v>
      </c>
      <c r="AZ47" s="31">
        <f t="shared" si="24"/>
        <v>1205141</v>
      </c>
      <c r="BA47" s="31">
        <f t="shared" si="24"/>
        <v>4129872</v>
      </c>
      <c r="BB47" s="13">
        <f>SUM(BB7:BB46)</f>
        <v>77019177</v>
      </c>
      <c r="BC47" s="14">
        <f t="shared" si="24"/>
        <v>18703345</v>
      </c>
      <c r="BD47" s="31">
        <f t="shared" si="24"/>
        <v>49077627</v>
      </c>
      <c r="BE47" s="31">
        <f t="shared" si="24"/>
        <v>757530</v>
      </c>
      <c r="BF47" s="31">
        <f t="shared" si="24"/>
        <v>4346818</v>
      </c>
      <c r="BG47" s="13">
        <f>SUM(BG7:BG46)</f>
        <v>72885320</v>
      </c>
      <c r="BH47" s="14">
        <f t="shared" si="24"/>
        <v>19316260</v>
      </c>
      <c r="BI47" s="31">
        <f t="shared" si="24"/>
        <v>32256642</v>
      </c>
      <c r="BJ47" s="31">
        <f t="shared" si="24"/>
        <v>999769</v>
      </c>
      <c r="BK47" s="31">
        <f t="shared" si="24"/>
        <v>5294184</v>
      </c>
      <c r="BL47" s="13">
        <f t="shared" si="24"/>
        <v>57866855</v>
      </c>
      <c r="BM47" s="14">
        <f t="shared" si="24"/>
        <v>25844522</v>
      </c>
      <c r="BN47" s="31">
        <f t="shared" si="24"/>
        <v>65430054</v>
      </c>
      <c r="BO47" s="31">
        <f t="shared" si="24"/>
        <v>4106873</v>
      </c>
      <c r="BP47" s="31">
        <f t="shared" si="24"/>
        <v>464292</v>
      </c>
      <c r="BQ47" s="13">
        <f t="shared" si="24"/>
        <v>95845741</v>
      </c>
      <c r="BR47" s="14">
        <f t="shared" si="24"/>
        <v>227594455</v>
      </c>
      <c r="BS47" s="31">
        <f t="shared" si="24"/>
        <v>564515124</v>
      </c>
      <c r="BT47" s="31">
        <f t="shared" si="24"/>
        <v>14438661</v>
      </c>
      <c r="BU47" s="31">
        <f t="shared" si="24"/>
        <v>14363724</v>
      </c>
      <c r="BV47" s="13">
        <f>SUM(BV7:BV46)</f>
        <v>820911964</v>
      </c>
      <c r="BW47" s="8"/>
      <c r="BX47" s="165">
        <f t="shared" si="17"/>
        <v>100</v>
      </c>
      <c r="BY47" s="136"/>
      <c r="BZ47" s="39"/>
      <c r="CA47" s="226">
        <f>+E47-BR47</f>
        <v>0</v>
      </c>
      <c r="CB47" s="226">
        <f>+F47-BS47</f>
        <v>0</v>
      </c>
      <c r="CC47" s="226">
        <f>+G47-BT47</f>
        <v>0</v>
      </c>
      <c r="CD47" s="226">
        <f>+H47-BU47</f>
        <v>0</v>
      </c>
    </row>
    <row r="48" spans="1:82" x14ac:dyDescent="0.2">
      <c r="A48" s="179" t="s">
        <v>219</v>
      </c>
      <c r="B48" s="160"/>
      <c r="D48" s="178"/>
      <c r="E48" s="46"/>
      <c r="F48" s="17"/>
      <c r="G48" s="17"/>
      <c r="H48" s="17"/>
      <c r="I48" s="47"/>
      <c r="J48" s="46"/>
      <c r="K48" s="17"/>
      <c r="L48" s="17"/>
      <c r="M48" s="17"/>
      <c r="N48" s="47"/>
      <c r="O48" s="46"/>
      <c r="P48" s="17"/>
      <c r="Q48" s="17"/>
      <c r="R48" s="17"/>
      <c r="S48" s="47"/>
      <c r="T48" s="46"/>
      <c r="U48" s="17"/>
      <c r="V48" s="17"/>
      <c r="W48" s="17"/>
      <c r="X48" s="47"/>
      <c r="Y48" s="46"/>
      <c r="Z48" s="17"/>
      <c r="AA48" s="17"/>
      <c r="AB48" s="17"/>
      <c r="AC48" s="47"/>
      <c r="AD48" s="46"/>
      <c r="AE48" s="17"/>
      <c r="AF48" s="17"/>
      <c r="AG48" s="17"/>
      <c r="AH48" s="47"/>
      <c r="AI48" s="46"/>
      <c r="AJ48" s="17"/>
      <c r="AK48" s="17"/>
      <c r="AL48" s="17"/>
      <c r="AM48" s="47"/>
      <c r="AN48" s="46"/>
      <c r="AO48" s="17"/>
      <c r="AP48" s="17"/>
      <c r="AQ48" s="17"/>
      <c r="AR48" s="47"/>
      <c r="AS48" s="46"/>
      <c r="AT48" s="17"/>
      <c r="AU48" s="17"/>
      <c r="AV48" s="17"/>
      <c r="AW48" s="47"/>
      <c r="AX48" s="46"/>
      <c r="AY48" s="17"/>
      <c r="AZ48" s="17"/>
      <c r="BA48" s="17"/>
      <c r="BB48" s="47"/>
      <c r="BC48" s="46"/>
      <c r="BD48" s="17"/>
      <c r="BE48" s="17"/>
      <c r="BF48" s="17"/>
      <c r="BG48" s="47"/>
      <c r="BH48" s="46"/>
      <c r="BI48" s="17"/>
      <c r="BJ48" s="17"/>
      <c r="BK48" s="17"/>
      <c r="BL48" s="47"/>
      <c r="BM48" s="46"/>
      <c r="BN48" s="17"/>
      <c r="BO48" s="17"/>
      <c r="BP48" s="17"/>
      <c r="BQ48" s="47"/>
      <c r="BR48" s="46"/>
      <c r="BS48" s="17"/>
      <c r="BT48" s="17"/>
      <c r="BU48" s="17"/>
      <c r="BV48" s="47"/>
      <c r="BW48" s="8"/>
      <c r="BX48" s="165"/>
      <c r="BY48" s="136"/>
      <c r="BZ48" s="39"/>
      <c r="CA48" s="1"/>
      <c r="CB48" s="1"/>
      <c r="CC48" s="1"/>
      <c r="CD48" s="1"/>
    </row>
    <row r="49" spans="1:82" x14ac:dyDescent="0.2">
      <c r="A49" s="156" t="s">
        <v>220</v>
      </c>
      <c r="D49" s="180"/>
      <c r="E49" s="181"/>
      <c r="F49" s="182"/>
      <c r="G49" s="182"/>
      <c r="H49" s="182"/>
      <c r="I49" s="46"/>
      <c r="J49" s="181"/>
      <c r="K49" s="182"/>
      <c r="L49" s="182"/>
      <c r="M49" s="182"/>
      <c r="N49" s="47"/>
      <c r="O49" s="181"/>
      <c r="P49" s="182"/>
      <c r="Q49" s="182"/>
      <c r="R49" s="182"/>
      <c r="S49" s="46"/>
      <c r="T49" s="181"/>
      <c r="U49" s="182"/>
      <c r="V49" s="182"/>
      <c r="W49" s="182"/>
      <c r="X49" s="46"/>
      <c r="Y49" s="181"/>
      <c r="Z49" s="182"/>
      <c r="AA49" s="182"/>
      <c r="AB49" s="182"/>
      <c r="AC49" s="46"/>
      <c r="AD49" s="181"/>
      <c r="AE49" s="182"/>
      <c r="AF49" s="182"/>
      <c r="AG49" s="182"/>
      <c r="AH49" s="46"/>
      <c r="AI49" s="181"/>
      <c r="AJ49" s="182"/>
      <c r="AK49" s="182"/>
      <c r="AL49" s="182"/>
      <c r="AM49" s="46"/>
      <c r="AN49" s="181"/>
      <c r="AO49" s="182"/>
      <c r="AP49" s="182"/>
      <c r="AQ49" s="182"/>
      <c r="AR49" s="46"/>
      <c r="AS49" s="181"/>
      <c r="AT49" s="182"/>
      <c r="AU49" s="182"/>
      <c r="AV49" s="182"/>
      <c r="AW49" s="46"/>
      <c r="AX49" s="181"/>
      <c r="AY49" s="182"/>
      <c r="AZ49" s="182"/>
      <c r="BA49" s="182"/>
      <c r="BB49" s="46"/>
      <c r="BC49" s="181"/>
      <c r="BD49" s="182"/>
      <c r="BE49" s="182"/>
      <c r="BF49" s="182"/>
      <c r="BG49" s="46"/>
      <c r="BH49" s="181"/>
      <c r="BI49" s="182"/>
      <c r="BJ49" s="182"/>
      <c r="BK49" s="182"/>
      <c r="BL49" s="46"/>
      <c r="BM49" s="181"/>
      <c r="BN49" s="182"/>
      <c r="BO49" s="182"/>
      <c r="BP49" s="182"/>
      <c r="BQ49" s="46"/>
      <c r="BR49" s="181"/>
      <c r="BS49" s="182"/>
      <c r="BT49" s="182"/>
      <c r="BU49" s="182"/>
      <c r="BV49" s="46"/>
      <c r="BW49" s="183"/>
      <c r="BX49" s="165"/>
      <c r="BY49" s="136"/>
      <c r="BZ49" s="39"/>
      <c r="CA49" s="1"/>
      <c r="CB49" s="1"/>
      <c r="CC49" s="1"/>
      <c r="CD49" s="1"/>
    </row>
    <row r="50" spans="1:82" x14ac:dyDescent="0.2">
      <c r="A50" s="159" t="s">
        <v>221</v>
      </c>
      <c r="B50" s="184"/>
      <c r="C50" s="184"/>
      <c r="D50" s="180"/>
      <c r="E50" s="163">
        <v>5681</v>
      </c>
      <c r="F50" s="163">
        <v>0</v>
      </c>
      <c r="G50" s="163">
        <v>0</v>
      </c>
      <c r="H50" s="163">
        <v>0</v>
      </c>
      <c r="I50" s="35">
        <f t="shared" ref="I50:I56" si="25">SUM(E50:H50)</f>
        <v>5681</v>
      </c>
      <c r="J50" s="162">
        <v>479</v>
      </c>
      <c r="K50" s="163">
        <v>0</v>
      </c>
      <c r="L50" s="163">
        <v>0</v>
      </c>
      <c r="M50" s="163">
        <v>0</v>
      </c>
      <c r="N50" s="35">
        <f>SUM(J50:M50)</f>
        <v>479</v>
      </c>
      <c r="O50" s="162">
        <v>452</v>
      </c>
      <c r="P50" s="163">
        <v>0</v>
      </c>
      <c r="Q50" s="163">
        <v>0</v>
      </c>
      <c r="R50" s="163">
        <v>0</v>
      </c>
      <c r="S50" s="35">
        <f>SUM(O50:R50)</f>
        <v>452</v>
      </c>
      <c r="T50" s="162">
        <v>475</v>
      </c>
      <c r="U50" s="163">
        <v>0</v>
      </c>
      <c r="V50" s="163">
        <v>0</v>
      </c>
      <c r="W50" s="163">
        <v>0</v>
      </c>
      <c r="X50" s="35">
        <f>SUM(T50:W50)</f>
        <v>475</v>
      </c>
      <c r="Y50" s="162">
        <v>475</v>
      </c>
      <c r="Z50" s="163">
        <v>0</v>
      </c>
      <c r="AA50" s="163">
        <v>0</v>
      </c>
      <c r="AB50" s="163">
        <v>0</v>
      </c>
      <c r="AC50" s="35">
        <f>SUM(Y50:AB50)</f>
        <v>475</v>
      </c>
      <c r="AD50" s="162">
        <v>475</v>
      </c>
      <c r="AE50" s="163">
        <v>0</v>
      </c>
      <c r="AF50" s="163">
        <v>0</v>
      </c>
      <c r="AG50" s="163">
        <v>0</v>
      </c>
      <c r="AH50" s="35">
        <f>SUM(AD50:AG50)</f>
        <v>475</v>
      </c>
      <c r="AI50" s="162">
        <v>475</v>
      </c>
      <c r="AJ50" s="163">
        <v>0</v>
      </c>
      <c r="AK50" s="163">
        <v>0</v>
      </c>
      <c r="AL50" s="163">
        <v>0</v>
      </c>
      <c r="AM50" s="35">
        <f>SUM(AI50:AL50)</f>
        <v>475</v>
      </c>
      <c r="AN50" s="162">
        <v>475</v>
      </c>
      <c r="AO50" s="163">
        <v>0</v>
      </c>
      <c r="AP50" s="163">
        <v>0</v>
      </c>
      <c r="AQ50" s="163">
        <v>0</v>
      </c>
      <c r="AR50" s="35">
        <f>SUM(AN50:AQ50)</f>
        <v>475</v>
      </c>
      <c r="AS50" s="162">
        <v>475</v>
      </c>
      <c r="AT50" s="163">
        <f>SUM(AT51:AT52)</f>
        <v>0</v>
      </c>
      <c r="AU50" s="163">
        <f>SUM(AU51:AU52)</f>
        <v>0</v>
      </c>
      <c r="AV50" s="163">
        <f>SUM(AV51:AV52)</f>
        <v>0</v>
      </c>
      <c r="AW50" s="35">
        <f>SUM(AS50:AV50)</f>
        <v>475</v>
      </c>
      <c r="AX50" s="162">
        <v>475</v>
      </c>
      <c r="AY50" s="163">
        <f>SUM(AY51:AY52)</f>
        <v>0</v>
      </c>
      <c r="AZ50" s="163">
        <f>SUM(AZ51:AZ52)</f>
        <v>0</v>
      </c>
      <c r="BA50" s="163">
        <f>SUM(BA51:BA52)</f>
        <v>0</v>
      </c>
      <c r="BB50" s="35">
        <f>SUM(AX50:BA50)</f>
        <v>475</v>
      </c>
      <c r="BC50" s="162">
        <v>475</v>
      </c>
      <c r="BD50" s="163">
        <f>SUM(BD51:BD52)</f>
        <v>0</v>
      </c>
      <c r="BE50" s="163">
        <f>SUM(BE51:BE52)</f>
        <v>0</v>
      </c>
      <c r="BF50" s="163">
        <f>SUM(BF51:BF52)</f>
        <v>0</v>
      </c>
      <c r="BG50" s="35">
        <f>SUM(BC50:BF50)</f>
        <v>475</v>
      </c>
      <c r="BH50" s="162">
        <v>475</v>
      </c>
      <c r="BI50" s="163">
        <f>SUM(BI51:BI52)</f>
        <v>0</v>
      </c>
      <c r="BJ50" s="163">
        <f>SUM(BJ51:BJ52)</f>
        <v>0</v>
      </c>
      <c r="BK50" s="163">
        <f>SUM(BK51:BK52)</f>
        <v>0</v>
      </c>
      <c r="BL50" s="35">
        <f>SUM(BH50:BK50)</f>
        <v>475</v>
      </c>
      <c r="BM50" s="162">
        <v>475</v>
      </c>
      <c r="BN50" s="163">
        <f>SUM(BN51:BN52)</f>
        <v>0</v>
      </c>
      <c r="BO50" s="163">
        <f>SUM(BO51:BO52)</f>
        <v>0</v>
      </c>
      <c r="BP50" s="163">
        <f>SUM(BP51:BP52)</f>
        <v>0</v>
      </c>
      <c r="BQ50" s="35">
        <f>SUM(BM50:BP50)</f>
        <v>475</v>
      </c>
      <c r="BR50" s="36">
        <f>+J50+O50+T50+Y50+AD50+AI50+AN50+AS50+AX50+BC50+BH50+BM50</f>
        <v>5681</v>
      </c>
      <c r="BS50" s="163">
        <f t="shared" ref="BS50:BU51" si="26">+K50+P50+U50+Z50+AE50+AJ50+AO50+AT50+AY50+BD50+BI50+BN50</f>
        <v>0</v>
      </c>
      <c r="BT50" s="163">
        <f t="shared" si="26"/>
        <v>0</v>
      </c>
      <c r="BU50" s="163">
        <f t="shared" si="26"/>
        <v>0</v>
      </c>
      <c r="BV50" s="35">
        <f>SUM(BR50:BU50)</f>
        <v>5681</v>
      </c>
      <c r="BW50" s="8"/>
      <c r="BX50" s="165">
        <f t="shared" si="17"/>
        <v>100</v>
      </c>
      <c r="BY50" s="136"/>
      <c r="BZ50" s="39"/>
      <c r="CA50" s="1">
        <v>0</v>
      </c>
      <c r="CB50" s="1">
        <v>0</v>
      </c>
      <c r="CC50" s="1">
        <v>0</v>
      </c>
      <c r="CD50" s="1">
        <v>0</v>
      </c>
    </row>
    <row r="51" spans="1:82" x14ac:dyDescent="0.2">
      <c r="A51" s="159" t="s">
        <v>222</v>
      </c>
      <c r="B51" s="184"/>
      <c r="C51" s="137"/>
      <c r="D51" s="178" t="s">
        <v>55</v>
      </c>
      <c r="E51" s="163">
        <v>493161</v>
      </c>
      <c r="F51" s="163">
        <v>0</v>
      </c>
      <c r="G51" s="163">
        <v>0</v>
      </c>
      <c r="H51" s="163">
        <v>0</v>
      </c>
      <c r="I51" s="35">
        <f t="shared" si="25"/>
        <v>493161</v>
      </c>
      <c r="J51" s="227">
        <v>41097</v>
      </c>
      <c r="K51" s="163">
        <v>0</v>
      </c>
      <c r="L51" s="163">
        <v>0</v>
      </c>
      <c r="M51" s="163">
        <v>0</v>
      </c>
      <c r="N51" s="35">
        <f>SUM(J51:M51)</f>
        <v>41097</v>
      </c>
      <c r="O51" s="162">
        <v>41097</v>
      </c>
      <c r="P51" s="163">
        <v>0</v>
      </c>
      <c r="Q51" s="163">
        <v>0</v>
      </c>
      <c r="R51" s="163">
        <v>0</v>
      </c>
      <c r="S51" s="35">
        <f>SUM(O51:R51)</f>
        <v>41097</v>
      </c>
      <c r="T51" s="162">
        <v>41097</v>
      </c>
      <c r="U51" s="163">
        <v>0</v>
      </c>
      <c r="V51" s="163">
        <v>0</v>
      </c>
      <c r="W51" s="163">
        <v>0</v>
      </c>
      <c r="X51" s="35">
        <f>SUM(T51:W51)</f>
        <v>41097</v>
      </c>
      <c r="Y51" s="162">
        <v>41097</v>
      </c>
      <c r="Z51" s="163">
        <v>0</v>
      </c>
      <c r="AA51" s="163">
        <v>0</v>
      </c>
      <c r="AB51" s="163">
        <v>0</v>
      </c>
      <c r="AC51" s="35">
        <f>SUM(Y51:AB51)</f>
        <v>41097</v>
      </c>
      <c r="AD51" s="162">
        <v>41097</v>
      </c>
      <c r="AE51" s="163">
        <v>0</v>
      </c>
      <c r="AF51" s="163">
        <v>0</v>
      </c>
      <c r="AG51" s="163">
        <v>0</v>
      </c>
      <c r="AH51" s="35">
        <f>SUM(AD51:AG51)</f>
        <v>41097</v>
      </c>
      <c r="AI51" s="162">
        <v>41097</v>
      </c>
      <c r="AJ51" s="163">
        <v>0</v>
      </c>
      <c r="AK51" s="163">
        <v>0</v>
      </c>
      <c r="AL51" s="163">
        <v>0</v>
      </c>
      <c r="AM51" s="35">
        <f>SUM(AI51:AL51)</f>
        <v>41097</v>
      </c>
      <c r="AN51" s="162">
        <v>41097</v>
      </c>
      <c r="AO51" s="163">
        <v>0</v>
      </c>
      <c r="AP51" s="163">
        <v>0</v>
      </c>
      <c r="AQ51" s="163">
        <v>0</v>
      </c>
      <c r="AR51" s="35">
        <f>SUM(AN51:AQ51)</f>
        <v>41097</v>
      </c>
      <c r="AS51" s="162">
        <v>41097</v>
      </c>
      <c r="AT51" s="163">
        <v>0</v>
      </c>
      <c r="AU51" s="163">
        <v>0</v>
      </c>
      <c r="AV51" s="163">
        <v>0</v>
      </c>
      <c r="AW51" s="35">
        <f>SUM(AS51:AV51)</f>
        <v>41097</v>
      </c>
      <c r="AX51" s="162">
        <v>40197</v>
      </c>
      <c r="AY51" s="163">
        <v>0</v>
      </c>
      <c r="AZ51" s="163">
        <v>0</v>
      </c>
      <c r="BA51" s="163">
        <v>0</v>
      </c>
      <c r="BB51" s="35">
        <f>SUM(AX51:BA51)</f>
        <v>40197</v>
      </c>
      <c r="BC51" s="162">
        <v>41097</v>
      </c>
      <c r="BD51" s="163">
        <v>0</v>
      </c>
      <c r="BE51" s="163">
        <v>0</v>
      </c>
      <c r="BF51" s="163">
        <v>0</v>
      </c>
      <c r="BG51" s="35">
        <f>SUM(BC51:BF51)</f>
        <v>41097</v>
      </c>
      <c r="BH51" s="162">
        <v>41097</v>
      </c>
      <c r="BI51" s="163">
        <v>0</v>
      </c>
      <c r="BJ51" s="163">
        <v>0</v>
      </c>
      <c r="BK51" s="163">
        <v>0</v>
      </c>
      <c r="BL51" s="35">
        <f>SUM(BH51:BK51)</f>
        <v>41097</v>
      </c>
      <c r="BM51" s="162">
        <f>41094+CA51</f>
        <v>41994</v>
      </c>
      <c r="BN51" s="163">
        <v>0</v>
      </c>
      <c r="BO51" s="163">
        <v>0</v>
      </c>
      <c r="BP51" s="163">
        <v>0</v>
      </c>
      <c r="BQ51" s="35">
        <f>SUM(BM51:BP51)</f>
        <v>41994</v>
      </c>
      <c r="BR51" s="36">
        <f>+J51+O51+T51+Y51+AD51+AI51+AN51+AS51+AX51+BC51+BH51+BM51</f>
        <v>493161</v>
      </c>
      <c r="BS51" s="163">
        <f t="shared" si="26"/>
        <v>0</v>
      </c>
      <c r="BT51" s="163">
        <f t="shared" si="26"/>
        <v>0</v>
      </c>
      <c r="BU51" s="163">
        <f t="shared" si="26"/>
        <v>0</v>
      </c>
      <c r="BV51" s="36">
        <f>SUM(BR51:BU51)</f>
        <v>493161</v>
      </c>
      <c r="BW51" s="8"/>
      <c r="BX51" s="165">
        <f t="shared" si="17"/>
        <v>100</v>
      </c>
      <c r="BY51" s="136"/>
      <c r="BZ51" s="39"/>
      <c r="CA51" s="1">
        <v>900</v>
      </c>
      <c r="CB51" s="1">
        <v>0</v>
      </c>
      <c r="CC51" s="1">
        <v>0</v>
      </c>
      <c r="CD51" s="1">
        <v>0</v>
      </c>
    </row>
    <row r="52" spans="1:82" x14ac:dyDescent="0.2">
      <c r="A52" s="159" t="s">
        <v>223</v>
      </c>
      <c r="B52" s="184"/>
      <c r="C52" s="137"/>
      <c r="D52" s="185"/>
      <c r="E52" s="163">
        <f>SUM(E53:E54)</f>
        <v>181849081.5</v>
      </c>
      <c r="F52" s="163">
        <f>SUM(F53:F54)</f>
        <v>0</v>
      </c>
      <c r="G52" s="163">
        <f>SUM(G53:G54)</f>
        <v>0</v>
      </c>
      <c r="H52" s="163">
        <f>SUM(H53:H54)</f>
        <v>0</v>
      </c>
      <c r="I52" s="35">
        <f>SUM(I53:I54)</f>
        <v>181849081.5</v>
      </c>
      <c r="J52" s="227">
        <f t="shared" ref="J52:AG52" si="27">SUM(J53:J54)</f>
        <v>3044520</v>
      </c>
      <c r="K52" s="163">
        <f t="shared" si="27"/>
        <v>0</v>
      </c>
      <c r="L52" s="163">
        <f t="shared" si="27"/>
        <v>0</v>
      </c>
      <c r="M52" s="163">
        <f t="shared" si="27"/>
        <v>0</v>
      </c>
      <c r="N52" s="35">
        <f>SUM(N53:N54)</f>
        <v>3044520</v>
      </c>
      <c r="O52" s="162">
        <f>SUM(O53:O54)</f>
        <v>3265623</v>
      </c>
      <c r="P52" s="163">
        <f t="shared" si="27"/>
        <v>0</v>
      </c>
      <c r="Q52" s="163">
        <f t="shared" si="27"/>
        <v>0</v>
      </c>
      <c r="R52" s="163">
        <f t="shared" si="27"/>
        <v>0</v>
      </c>
      <c r="S52" s="35">
        <f>SUM(S53:S54)</f>
        <v>3265623</v>
      </c>
      <c r="T52" s="162">
        <f>SUM(T53:T54)</f>
        <v>18021147</v>
      </c>
      <c r="U52" s="163">
        <f t="shared" si="27"/>
        <v>0</v>
      </c>
      <c r="V52" s="163">
        <f t="shared" si="27"/>
        <v>0</v>
      </c>
      <c r="W52" s="163">
        <f t="shared" si="27"/>
        <v>0</v>
      </c>
      <c r="X52" s="35">
        <f>SUM(X53:X54)</f>
        <v>18021147</v>
      </c>
      <c r="Y52" s="162">
        <f t="shared" si="27"/>
        <v>23606004</v>
      </c>
      <c r="Z52" s="163">
        <f>SUM(Z53:Z54)</f>
        <v>0</v>
      </c>
      <c r="AA52" s="163">
        <f t="shared" si="27"/>
        <v>0</v>
      </c>
      <c r="AB52" s="163">
        <f t="shared" si="27"/>
        <v>0</v>
      </c>
      <c r="AC52" s="35">
        <f>SUM(AC53:AC54)</f>
        <v>23606004</v>
      </c>
      <c r="AD52" s="162">
        <f t="shared" si="27"/>
        <v>23939646</v>
      </c>
      <c r="AE52" s="163">
        <f t="shared" si="27"/>
        <v>0</v>
      </c>
      <c r="AF52" s="163">
        <f t="shared" si="27"/>
        <v>0</v>
      </c>
      <c r="AG52" s="163">
        <f t="shared" si="27"/>
        <v>0</v>
      </c>
      <c r="AH52" s="35">
        <f>SUM(AH53:AH54)</f>
        <v>23939646</v>
      </c>
      <c r="AI52" s="228">
        <v>15407679</v>
      </c>
      <c r="AJ52" s="163">
        <v>0</v>
      </c>
      <c r="AK52" s="163">
        <v>0</v>
      </c>
      <c r="AL52" s="163">
        <v>0</v>
      </c>
      <c r="AM52" s="35">
        <f t="shared" ref="AM52:BV52" si="28">SUM(AM53:AM54)</f>
        <v>15407679</v>
      </c>
      <c r="AN52" s="162">
        <f>SUM(AN53:AN54)</f>
        <v>4319474</v>
      </c>
      <c r="AO52" s="163">
        <f t="shared" si="28"/>
        <v>0</v>
      </c>
      <c r="AP52" s="163">
        <f t="shared" si="28"/>
        <v>0</v>
      </c>
      <c r="AQ52" s="163">
        <f t="shared" si="28"/>
        <v>0</v>
      </c>
      <c r="AR52" s="35">
        <f t="shared" si="28"/>
        <v>4319474</v>
      </c>
      <c r="AS52" s="162">
        <f t="shared" si="28"/>
        <v>3692577</v>
      </c>
      <c r="AT52" s="163">
        <f t="shared" si="28"/>
        <v>0</v>
      </c>
      <c r="AU52" s="163">
        <f t="shared" si="28"/>
        <v>0</v>
      </c>
      <c r="AV52" s="163">
        <f t="shared" si="28"/>
        <v>0</v>
      </c>
      <c r="AW52" s="35">
        <f t="shared" si="28"/>
        <v>3692577</v>
      </c>
      <c r="AX52" s="162">
        <f>SUM(AX53:AX54)</f>
        <v>19920478</v>
      </c>
      <c r="AY52" s="163">
        <f>SUM(AY53:AY54)</f>
        <v>0</v>
      </c>
      <c r="AZ52" s="163">
        <f>SUM(AZ53:AZ54)</f>
        <v>0</v>
      </c>
      <c r="BA52" s="163">
        <f>SUM(BA53:BA54)</f>
        <v>0</v>
      </c>
      <c r="BB52" s="35">
        <f t="shared" si="28"/>
        <v>19920478</v>
      </c>
      <c r="BC52" s="162">
        <f>SUM(BC53:BC54)</f>
        <v>25673373</v>
      </c>
      <c r="BD52" s="163">
        <f t="shared" si="28"/>
        <v>0</v>
      </c>
      <c r="BE52" s="163">
        <f t="shared" si="28"/>
        <v>0</v>
      </c>
      <c r="BF52" s="163">
        <f t="shared" si="28"/>
        <v>0</v>
      </c>
      <c r="BG52" s="35">
        <f>SUM(BG53:BG54)</f>
        <v>25673373</v>
      </c>
      <c r="BH52" s="162">
        <f>SUM(BH53:BH54)</f>
        <v>25517054.761</v>
      </c>
      <c r="BI52" s="163">
        <f t="shared" si="28"/>
        <v>0</v>
      </c>
      <c r="BJ52" s="163">
        <f t="shared" si="28"/>
        <v>0</v>
      </c>
      <c r="BK52" s="163">
        <f t="shared" si="28"/>
        <v>0</v>
      </c>
      <c r="BL52" s="35">
        <f t="shared" si="28"/>
        <v>25517054.761</v>
      </c>
      <c r="BM52" s="162">
        <f t="shared" si="28"/>
        <v>15441505.738999987</v>
      </c>
      <c r="BN52" s="163">
        <f t="shared" si="28"/>
        <v>0</v>
      </c>
      <c r="BO52" s="163">
        <f t="shared" si="28"/>
        <v>0</v>
      </c>
      <c r="BP52" s="163">
        <f t="shared" si="28"/>
        <v>0</v>
      </c>
      <c r="BQ52" s="35">
        <f t="shared" si="28"/>
        <v>15441505.738999987</v>
      </c>
      <c r="BR52" s="36">
        <f>SUM(BR53:BR54)</f>
        <v>181849081.5</v>
      </c>
      <c r="BS52" s="163">
        <f t="shared" si="28"/>
        <v>0</v>
      </c>
      <c r="BT52" s="163">
        <f t="shared" si="28"/>
        <v>0</v>
      </c>
      <c r="BU52" s="163">
        <f t="shared" si="28"/>
        <v>0</v>
      </c>
      <c r="BV52" s="36">
        <f t="shared" si="28"/>
        <v>181849081.5</v>
      </c>
      <c r="BW52" s="8"/>
      <c r="BX52" s="165">
        <f>(BV52/I52)*100</f>
        <v>100</v>
      </c>
      <c r="BY52" s="136"/>
      <c r="BZ52" s="136"/>
      <c r="CA52" s="1">
        <v>-1359.9640000164509</v>
      </c>
      <c r="CB52" s="1">
        <v>0</v>
      </c>
      <c r="CC52" s="1">
        <v>0</v>
      </c>
      <c r="CD52" s="1">
        <v>0</v>
      </c>
    </row>
    <row r="53" spans="1:82" s="187" customFormat="1" x14ac:dyDescent="0.2">
      <c r="A53" s="186" t="s">
        <v>99</v>
      </c>
      <c r="C53" s="188"/>
      <c r="D53" s="185"/>
      <c r="E53" s="189">
        <f>181797382.25</f>
        <v>181797382.25</v>
      </c>
      <c r="F53" s="189">
        <v>0</v>
      </c>
      <c r="G53" s="189">
        <v>0</v>
      </c>
      <c r="H53" s="189">
        <v>0</v>
      </c>
      <c r="I53" s="61">
        <f>SUM(E53:H53)</f>
        <v>181797382.25</v>
      </c>
      <c r="J53" s="229">
        <f>3043340+413</f>
        <v>3043753</v>
      </c>
      <c r="K53" s="189">
        <v>0</v>
      </c>
      <c r="L53" s="189">
        <v>0</v>
      </c>
      <c r="M53" s="189">
        <v>0</v>
      </c>
      <c r="N53" s="61">
        <f t="shared" ref="N53:N58" si="29">SUM(J53:M53)</f>
        <v>3043753</v>
      </c>
      <c r="O53" s="190">
        <f>3261585+3772</f>
        <v>3265357</v>
      </c>
      <c r="P53" s="189">
        <v>0</v>
      </c>
      <c r="Q53" s="189">
        <v>0</v>
      </c>
      <c r="R53" s="189">
        <v>0</v>
      </c>
      <c r="S53" s="61">
        <f t="shared" ref="S53:S58" si="30">SUM(O53:R53)</f>
        <v>3265357</v>
      </c>
      <c r="T53" s="190">
        <f>18016906</f>
        <v>18016906</v>
      </c>
      <c r="U53" s="189">
        <v>0</v>
      </c>
      <c r="V53" s="189">
        <v>0</v>
      </c>
      <c r="W53" s="189">
        <v>0</v>
      </c>
      <c r="X53" s="61">
        <f t="shared" ref="X53:X58" si="31">SUM(T53:W53)</f>
        <v>18016906</v>
      </c>
      <c r="Y53" s="190">
        <v>23604379</v>
      </c>
      <c r="Z53" s="189">
        <v>0</v>
      </c>
      <c r="AA53" s="189">
        <v>0</v>
      </c>
      <c r="AB53" s="189">
        <v>0</v>
      </c>
      <c r="AC53" s="61">
        <f t="shared" ref="AC53:AC58" si="32">SUM(Y53:AB53)</f>
        <v>23604379</v>
      </c>
      <c r="AD53" s="190">
        <v>23938342</v>
      </c>
      <c r="AE53" s="189">
        <v>0</v>
      </c>
      <c r="AF53" s="189">
        <v>0</v>
      </c>
      <c r="AG53" s="189">
        <v>0</v>
      </c>
      <c r="AH53" s="61">
        <f t="shared" ref="AH53:AH58" si="33">SUM(AD53:AG53)</f>
        <v>23938342</v>
      </c>
      <c r="AI53" s="228">
        <v>15407005</v>
      </c>
      <c r="AJ53" s="189">
        <v>0</v>
      </c>
      <c r="AK53" s="189">
        <v>0</v>
      </c>
      <c r="AL53" s="189">
        <v>0</v>
      </c>
      <c r="AM53" s="61">
        <f t="shared" ref="AM53:AM58" si="34">SUM(AI53:AL53)</f>
        <v>15407005</v>
      </c>
      <c r="AN53" s="228">
        <v>4318676</v>
      </c>
      <c r="AO53" s="189">
        <v>0</v>
      </c>
      <c r="AP53" s="189">
        <v>0</v>
      </c>
      <c r="AQ53" s="189">
        <v>0</v>
      </c>
      <c r="AR53" s="61">
        <f t="shared" ref="AR53:AR66" si="35">SUM(AN53:AQ53)</f>
        <v>4318676</v>
      </c>
      <c r="AS53" s="228">
        <v>3655035</v>
      </c>
      <c r="AT53" s="189">
        <v>0</v>
      </c>
      <c r="AU53" s="189">
        <v>0</v>
      </c>
      <c r="AV53" s="189">
        <v>0</v>
      </c>
      <c r="AW53" s="61">
        <f t="shared" ref="AW53:AW65" si="36">SUM(AS53:AV53)</f>
        <v>3655035</v>
      </c>
      <c r="AX53" s="228">
        <v>19919146</v>
      </c>
      <c r="AY53" s="189">
        <v>0</v>
      </c>
      <c r="AZ53" s="189">
        <v>0</v>
      </c>
      <c r="BA53" s="189">
        <v>0</v>
      </c>
      <c r="BB53" s="61">
        <f t="shared" ref="BB53:BB66" si="37">SUM(AX53:BA53)</f>
        <v>19919146</v>
      </c>
      <c r="BC53" s="228">
        <v>25671785</v>
      </c>
      <c r="BD53" s="189">
        <v>0</v>
      </c>
      <c r="BE53" s="189">
        <v>0</v>
      </c>
      <c r="BF53" s="189">
        <v>0</v>
      </c>
      <c r="BG53" s="61">
        <f t="shared" ref="BG53:BG58" si="38">SUM(BC53:BF53)</f>
        <v>25671785</v>
      </c>
      <c r="BH53" s="190">
        <v>25516460.425999999</v>
      </c>
      <c r="BI53" s="189">
        <v>0</v>
      </c>
      <c r="BJ53" s="189">
        <v>0</v>
      </c>
      <c r="BK53" s="189">
        <v>0</v>
      </c>
      <c r="BL53" s="61">
        <f t="shared" ref="BL53:BL66" si="39">SUM(BH53:BK53)</f>
        <v>25516460.425999999</v>
      </c>
      <c r="BM53" s="228">
        <f>15440435.448+101+CA53</f>
        <v>15440537.823999988</v>
      </c>
      <c r="BN53" s="189">
        <v>0</v>
      </c>
      <c r="BO53" s="189">
        <v>0</v>
      </c>
      <c r="BP53" s="189">
        <v>0</v>
      </c>
      <c r="BQ53" s="61">
        <f t="shared" ref="BQ53:BQ66" si="40">SUM(BM53:BP53)</f>
        <v>15440537.823999988</v>
      </c>
      <c r="BR53" s="63">
        <f>+J53+O53+T53+Y53+AD53+AI53+AN53+AS53+AX53+BC53+BH53+BM53</f>
        <v>181797382.25</v>
      </c>
      <c r="BS53" s="189">
        <f t="shared" ref="BR53:BU57" si="41">+K53+P53+U53+Z53+AE53+AJ53+AO53+AT53+AY53+BD53+BI53+BN53</f>
        <v>0</v>
      </c>
      <c r="BT53" s="189">
        <f t="shared" si="41"/>
        <v>0</v>
      </c>
      <c r="BU53" s="189">
        <f t="shared" si="41"/>
        <v>0</v>
      </c>
      <c r="BV53" s="63">
        <f t="shared" ref="BV53:BV58" si="42">SUM(BR53:BU53)</f>
        <v>181797382.25</v>
      </c>
      <c r="BW53" s="40"/>
      <c r="BX53" s="192">
        <f t="shared" si="17"/>
        <v>100</v>
      </c>
      <c r="BY53" s="188"/>
      <c r="BZ53" s="188"/>
      <c r="CA53" s="1">
        <v>1.3759999871253967</v>
      </c>
      <c r="CB53" s="1">
        <v>0</v>
      </c>
      <c r="CC53" s="1">
        <v>0</v>
      </c>
      <c r="CD53" s="1">
        <v>0</v>
      </c>
    </row>
    <row r="54" spans="1:82" s="187" customFormat="1" x14ac:dyDescent="0.2">
      <c r="A54" s="186" t="s">
        <v>224</v>
      </c>
      <c r="C54" s="188"/>
      <c r="D54" s="185"/>
      <c r="E54" s="189">
        <f>7904+43795+0.25</f>
        <v>51699.25</v>
      </c>
      <c r="F54" s="189">
        <v>0</v>
      </c>
      <c r="G54" s="189">
        <v>0</v>
      </c>
      <c r="H54" s="189">
        <v>0</v>
      </c>
      <c r="I54" s="61">
        <f>SUM(E54:H54)</f>
        <v>51699.25</v>
      </c>
      <c r="J54" s="229">
        <f>752+15</f>
        <v>767</v>
      </c>
      <c r="K54" s="189">
        <v>0</v>
      </c>
      <c r="L54" s="189">
        <v>0</v>
      </c>
      <c r="M54" s="189">
        <v>0</v>
      </c>
      <c r="N54" s="61">
        <f t="shared" si="29"/>
        <v>767</v>
      </c>
      <c r="O54" s="190">
        <f>165+101</f>
        <v>266</v>
      </c>
      <c r="P54" s="189">
        <v>0</v>
      </c>
      <c r="Q54" s="189">
        <v>0</v>
      </c>
      <c r="R54" s="189">
        <v>0</v>
      </c>
      <c r="S54" s="61">
        <f t="shared" si="30"/>
        <v>266</v>
      </c>
      <c r="T54" s="190">
        <f>4241</f>
        <v>4241</v>
      </c>
      <c r="U54" s="189">
        <v>0</v>
      </c>
      <c r="V54" s="189">
        <v>0</v>
      </c>
      <c r="W54" s="189">
        <v>0</v>
      </c>
      <c r="X54" s="61">
        <f t="shared" si="31"/>
        <v>4241</v>
      </c>
      <c r="Y54" s="190">
        <f>1625</f>
        <v>1625</v>
      </c>
      <c r="Z54" s="189">
        <v>0</v>
      </c>
      <c r="AA54" s="189">
        <v>0</v>
      </c>
      <c r="AB54" s="189">
        <v>0</v>
      </c>
      <c r="AC54" s="61">
        <f t="shared" si="32"/>
        <v>1625</v>
      </c>
      <c r="AD54" s="190">
        <v>1304</v>
      </c>
      <c r="AE54" s="189">
        <v>0</v>
      </c>
      <c r="AF54" s="189">
        <v>0</v>
      </c>
      <c r="AG54" s="189">
        <v>0</v>
      </c>
      <c r="AH54" s="61">
        <f t="shared" si="33"/>
        <v>1304</v>
      </c>
      <c r="AI54" s="228">
        <v>674</v>
      </c>
      <c r="AJ54" s="189">
        <v>0</v>
      </c>
      <c r="AK54" s="189">
        <v>0</v>
      </c>
      <c r="AL54" s="189">
        <v>0</v>
      </c>
      <c r="AM54" s="61">
        <f t="shared" si="34"/>
        <v>674</v>
      </c>
      <c r="AN54" s="228">
        <v>798</v>
      </c>
      <c r="AO54" s="189">
        <v>0</v>
      </c>
      <c r="AP54" s="189">
        <v>0</v>
      </c>
      <c r="AQ54" s="189">
        <v>0</v>
      </c>
      <c r="AR54" s="61">
        <f t="shared" si="35"/>
        <v>798</v>
      </c>
      <c r="AS54" s="228">
        <v>37542</v>
      </c>
      <c r="AT54" s="189">
        <v>0</v>
      </c>
      <c r="AU54" s="189">
        <v>0</v>
      </c>
      <c r="AV54" s="189">
        <v>0</v>
      </c>
      <c r="AW54" s="61">
        <f t="shared" si="36"/>
        <v>37542</v>
      </c>
      <c r="AX54" s="228">
        <v>1332</v>
      </c>
      <c r="AY54" s="189">
        <v>0</v>
      </c>
      <c r="AZ54" s="189">
        <v>0</v>
      </c>
      <c r="BA54" s="189">
        <v>0</v>
      </c>
      <c r="BB54" s="61">
        <f t="shared" si="37"/>
        <v>1332</v>
      </c>
      <c r="BC54" s="228">
        <v>1588</v>
      </c>
      <c r="BD54" s="189">
        <v>0</v>
      </c>
      <c r="BE54" s="189">
        <v>0</v>
      </c>
      <c r="BF54" s="189">
        <v>0</v>
      </c>
      <c r="BG54" s="61">
        <f t="shared" si="38"/>
        <v>1588</v>
      </c>
      <c r="BH54" s="190">
        <v>594.33500000000004</v>
      </c>
      <c r="BI54" s="189">
        <v>0</v>
      </c>
      <c r="BJ54" s="189">
        <v>0</v>
      </c>
      <c r="BK54" s="189">
        <v>0</v>
      </c>
      <c r="BL54" s="61">
        <f t="shared" si="39"/>
        <v>594.33500000000004</v>
      </c>
      <c r="BM54" s="228">
        <f>2304.255+25+CA54</f>
        <v>967.9150000000036</v>
      </c>
      <c r="BN54" s="189">
        <v>0</v>
      </c>
      <c r="BO54" s="189">
        <v>0</v>
      </c>
      <c r="BP54" s="189">
        <v>0</v>
      </c>
      <c r="BQ54" s="61">
        <f t="shared" si="40"/>
        <v>967.9150000000036</v>
      </c>
      <c r="BR54" s="63">
        <f t="shared" si="41"/>
        <v>51699.25</v>
      </c>
      <c r="BS54" s="189">
        <f t="shared" si="41"/>
        <v>0</v>
      </c>
      <c r="BT54" s="189">
        <f t="shared" si="41"/>
        <v>0</v>
      </c>
      <c r="BU54" s="189">
        <f t="shared" si="41"/>
        <v>0</v>
      </c>
      <c r="BV54" s="63">
        <f t="shared" si="42"/>
        <v>51699.25</v>
      </c>
      <c r="BW54" s="40"/>
      <c r="BX54" s="192">
        <f>(BV54/I54)*100</f>
        <v>100</v>
      </c>
      <c r="BY54" s="188"/>
      <c r="BZ54" s="188"/>
      <c r="CA54" s="1">
        <v>-1361.3399999999965</v>
      </c>
      <c r="CB54" s="1">
        <v>0</v>
      </c>
      <c r="CC54" s="1">
        <v>0</v>
      </c>
      <c r="CD54" s="1">
        <v>0</v>
      </c>
    </row>
    <row r="55" spans="1:82" x14ac:dyDescent="0.2">
      <c r="A55" s="159" t="s">
        <v>225</v>
      </c>
      <c r="B55" s="184"/>
      <c r="C55" s="137"/>
      <c r="D55" s="178"/>
      <c r="E55" s="163">
        <v>0</v>
      </c>
      <c r="F55" s="163">
        <v>470286510</v>
      </c>
      <c r="G55" s="163">
        <v>0</v>
      </c>
      <c r="H55" s="163">
        <v>0</v>
      </c>
      <c r="I55" s="35">
        <f t="shared" si="25"/>
        <v>470286510</v>
      </c>
      <c r="J55" s="227">
        <v>0</v>
      </c>
      <c r="K55" s="163">
        <v>39190547</v>
      </c>
      <c r="L55" s="163">
        <v>0</v>
      </c>
      <c r="M55" s="163">
        <v>0</v>
      </c>
      <c r="N55" s="35">
        <f t="shared" si="29"/>
        <v>39190547</v>
      </c>
      <c r="O55" s="162">
        <v>0</v>
      </c>
      <c r="P55" s="163">
        <v>39190546</v>
      </c>
      <c r="Q55" s="163">
        <v>0</v>
      </c>
      <c r="R55" s="163">
        <v>0</v>
      </c>
      <c r="S55" s="35">
        <f t="shared" si="30"/>
        <v>39190546</v>
      </c>
      <c r="T55" s="230">
        <v>0</v>
      </c>
      <c r="U55" s="231">
        <v>39190546</v>
      </c>
      <c r="V55" s="231">
        <v>0</v>
      </c>
      <c r="W55" s="231">
        <v>0</v>
      </c>
      <c r="X55" s="35">
        <f t="shared" si="31"/>
        <v>39190546</v>
      </c>
      <c r="Y55" s="162">
        <v>0</v>
      </c>
      <c r="Z55" s="163">
        <v>39190545</v>
      </c>
      <c r="AA55" s="163">
        <v>0</v>
      </c>
      <c r="AB55" s="163">
        <v>0</v>
      </c>
      <c r="AC55" s="35">
        <f t="shared" si="32"/>
        <v>39190545</v>
      </c>
      <c r="AD55" s="162">
        <v>0</v>
      </c>
      <c r="AE55" s="163">
        <v>39190544</v>
      </c>
      <c r="AF55" s="163">
        <v>0</v>
      </c>
      <c r="AG55" s="163">
        <v>0</v>
      </c>
      <c r="AH55" s="35">
        <f t="shared" si="33"/>
        <v>39190544</v>
      </c>
      <c r="AI55" s="162">
        <v>0</v>
      </c>
      <c r="AJ55" s="189">
        <v>39190543</v>
      </c>
      <c r="AK55" s="163">
        <v>0</v>
      </c>
      <c r="AL55" s="163">
        <v>0</v>
      </c>
      <c r="AM55" s="35">
        <f t="shared" si="34"/>
        <v>39190543</v>
      </c>
      <c r="AN55" s="162">
        <v>0</v>
      </c>
      <c r="AO55" s="163">
        <v>39190542</v>
      </c>
      <c r="AP55" s="163">
        <v>0</v>
      </c>
      <c r="AQ55" s="163">
        <v>0</v>
      </c>
      <c r="AR55" s="35">
        <f t="shared" si="35"/>
        <v>39190542</v>
      </c>
      <c r="AS55" s="162">
        <v>0</v>
      </c>
      <c r="AT55" s="232">
        <v>39190540</v>
      </c>
      <c r="AU55" s="163">
        <v>0</v>
      </c>
      <c r="AV55" s="163">
        <v>0</v>
      </c>
      <c r="AW55" s="35">
        <f t="shared" si="36"/>
        <v>39190540</v>
      </c>
      <c r="AX55" s="162">
        <v>0</v>
      </c>
      <c r="AY55" s="189">
        <v>39190540</v>
      </c>
      <c r="AZ55" s="163">
        <v>0</v>
      </c>
      <c r="BA55" s="163">
        <v>0</v>
      </c>
      <c r="BB55" s="35">
        <f t="shared" si="37"/>
        <v>39190540</v>
      </c>
      <c r="BC55" s="228">
        <v>0</v>
      </c>
      <c r="BD55" s="189">
        <v>39190539</v>
      </c>
      <c r="BE55" s="163">
        <v>0</v>
      </c>
      <c r="BF55" s="163">
        <v>0</v>
      </c>
      <c r="BG55" s="35">
        <f t="shared" si="38"/>
        <v>39190539</v>
      </c>
      <c r="BH55" s="162">
        <v>0</v>
      </c>
      <c r="BI55" s="163">
        <v>39190539</v>
      </c>
      <c r="BJ55" s="163">
        <v>0</v>
      </c>
      <c r="BK55" s="163">
        <v>0</v>
      </c>
      <c r="BL55" s="35">
        <f t="shared" si="39"/>
        <v>39190539</v>
      </c>
      <c r="BM55" s="162">
        <v>0</v>
      </c>
      <c r="BN55" s="189">
        <v>39190539</v>
      </c>
      <c r="BO55" s="163">
        <v>0</v>
      </c>
      <c r="BP55" s="163">
        <v>0</v>
      </c>
      <c r="BQ55" s="35">
        <f t="shared" si="40"/>
        <v>39190539</v>
      </c>
      <c r="BR55" s="36">
        <f t="shared" si="41"/>
        <v>0</v>
      </c>
      <c r="BS55" s="163">
        <f>+K55+P55+U55+Z55+AE55+AJ55+AO55+AT55+AY55+BD55+BI55+BN55</f>
        <v>470286510</v>
      </c>
      <c r="BT55" s="163">
        <f t="shared" si="41"/>
        <v>0</v>
      </c>
      <c r="BU55" s="163">
        <f t="shared" si="41"/>
        <v>0</v>
      </c>
      <c r="BV55" s="35">
        <f>SUM(BR55:BU55)</f>
        <v>470286510</v>
      </c>
      <c r="BW55" s="8"/>
      <c r="BX55" s="165">
        <f t="shared" si="17"/>
        <v>100</v>
      </c>
      <c r="BY55" s="1"/>
      <c r="CA55" s="1">
        <v>0</v>
      </c>
      <c r="CB55" s="1">
        <v>0</v>
      </c>
      <c r="CC55" s="1">
        <v>0</v>
      </c>
      <c r="CD55" s="1">
        <v>0</v>
      </c>
    </row>
    <row r="56" spans="1:82" x14ac:dyDescent="0.2">
      <c r="A56" s="159" t="s">
        <v>226</v>
      </c>
      <c r="B56" s="184"/>
      <c r="C56" s="137"/>
      <c r="D56" s="180"/>
      <c r="E56" s="163">
        <v>0</v>
      </c>
      <c r="F56" s="163">
        <v>12468554</v>
      </c>
      <c r="G56" s="163">
        <v>0</v>
      </c>
      <c r="H56" s="163">
        <v>0</v>
      </c>
      <c r="I56" s="35">
        <f t="shared" si="25"/>
        <v>12468554</v>
      </c>
      <c r="J56" s="227">
        <v>0</v>
      </c>
      <c r="K56" s="163">
        <v>0</v>
      </c>
      <c r="L56" s="163">
        <v>0</v>
      </c>
      <c r="M56" s="163">
        <v>0</v>
      </c>
      <c r="N56" s="35">
        <f t="shared" si="29"/>
        <v>0</v>
      </c>
      <c r="O56" s="162">
        <v>0</v>
      </c>
      <c r="P56" s="163">
        <v>0</v>
      </c>
      <c r="Q56" s="163">
        <v>0</v>
      </c>
      <c r="R56" s="163">
        <v>0</v>
      </c>
      <c r="S56" s="35">
        <f t="shared" si="30"/>
        <v>0</v>
      </c>
      <c r="T56" s="230">
        <v>0</v>
      </c>
      <c r="U56" s="231">
        <v>0</v>
      </c>
      <c r="V56" s="231">
        <v>0</v>
      </c>
      <c r="W56" s="231">
        <v>0</v>
      </c>
      <c r="X56" s="35">
        <f t="shared" si="31"/>
        <v>0</v>
      </c>
      <c r="Y56" s="230">
        <v>0</v>
      </c>
      <c r="Z56" s="231">
        <v>0</v>
      </c>
      <c r="AA56" s="163">
        <v>0</v>
      </c>
      <c r="AB56" s="231">
        <v>0</v>
      </c>
      <c r="AC56" s="35">
        <f t="shared" si="32"/>
        <v>0</v>
      </c>
      <c r="AD56" s="230">
        <v>0</v>
      </c>
      <c r="AE56" s="231">
        <v>4156184</v>
      </c>
      <c r="AF56" s="231">
        <v>0</v>
      </c>
      <c r="AG56" s="231">
        <v>0</v>
      </c>
      <c r="AH56" s="35">
        <f t="shared" si="33"/>
        <v>4156184</v>
      </c>
      <c r="AI56" s="162">
        <v>0</v>
      </c>
      <c r="AJ56" s="189">
        <v>0</v>
      </c>
      <c r="AK56" s="163">
        <v>0</v>
      </c>
      <c r="AL56" s="163">
        <v>0</v>
      </c>
      <c r="AM56" s="35">
        <f t="shared" si="34"/>
        <v>0</v>
      </c>
      <c r="AN56" s="162">
        <v>0</v>
      </c>
      <c r="AO56" s="189">
        <v>0</v>
      </c>
      <c r="AP56" s="163">
        <v>0</v>
      </c>
      <c r="AQ56" s="163">
        <v>0</v>
      </c>
      <c r="AR56" s="35">
        <f t="shared" si="35"/>
        <v>0</v>
      </c>
      <c r="AS56" s="162">
        <v>0</v>
      </c>
      <c r="AT56" s="189">
        <v>0</v>
      </c>
      <c r="AU56" s="163">
        <v>0</v>
      </c>
      <c r="AV56" s="163">
        <v>0</v>
      </c>
      <c r="AW56" s="35">
        <f t="shared" si="36"/>
        <v>0</v>
      </c>
      <c r="AX56" s="162">
        <v>0</v>
      </c>
      <c r="AY56" s="189">
        <v>4156184</v>
      </c>
      <c r="AZ56" s="163">
        <v>0</v>
      </c>
      <c r="BA56" s="163">
        <v>0</v>
      </c>
      <c r="BB56" s="35">
        <f t="shared" si="37"/>
        <v>4156184</v>
      </c>
      <c r="BC56" s="228">
        <v>0</v>
      </c>
      <c r="BD56" s="189">
        <v>0</v>
      </c>
      <c r="BE56" s="163">
        <v>0</v>
      </c>
      <c r="BF56" s="163">
        <v>0</v>
      </c>
      <c r="BG56" s="35">
        <f t="shared" si="38"/>
        <v>0</v>
      </c>
      <c r="BH56" s="162">
        <v>0</v>
      </c>
      <c r="BI56" s="189">
        <v>0</v>
      </c>
      <c r="BJ56" s="163">
        <v>0</v>
      </c>
      <c r="BK56" s="163">
        <v>0</v>
      </c>
      <c r="BL56" s="35">
        <f t="shared" si="39"/>
        <v>0</v>
      </c>
      <c r="BM56" s="162">
        <v>0</v>
      </c>
      <c r="BN56" s="189">
        <v>4156186</v>
      </c>
      <c r="BO56" s="163">
        <v>0</v>
      </c>
      <c r="BP56" s="163">
        <v>0</v>
      </c>
      <c r="BQ56" s="35">
        <f t="shared" si="40"/>
        <v>4156186</v>
      </c>
      <c r="BR56" s="36">
        <f t="shared" si="41"/>
        <v>0</v>
      </c>
      <c r="BS56" s="163">
        <f>+K56+P56+U56+Z56+AE56+AJ56+AO56+AT56+AY56+BD56+BI56+BN56</f>
        <v>12468554</v>
      </c>
      <c r="BT56" s="163">
        <f t="shared" si="41"/>
        <v>0</v>
      </c>
      <c r="BU56" s="163">
        <f>+M56+R56+W56+AB56+AG56+AL56+AQ56+AV56+BA56+BF56+BK56+BP56</f>
        <v>0</v>
      </c>
      <c r="BV56" s="35">
        <f>SUM(BR56:BU56)</f>
        <v>12468554</v>
      </c>
      <c r="BW56" s="8"/>
      <c r="BX56" s="165">
        <f t="shared" si="17"/>
        <v>100</v>
      </c>
      <c r="CA56" s="1">
        <v>0</v>
      </c>
      <c r="CB56" s="1">
        <v>0</v>
      </c>
      <c r="CC56" s="1">
        <v>0</v>
      </c>
      <c r="CD56" s="1">
        <v>0</v>
      </c>
    </row>
    <row r="57" spans="1:82" x14ac:dyDescent="0.2">
      <c r="A57" s="159" t="s">
        <v>227</v>
      </c>
      <c r="B57" s="184"/>
      <c r="C57" s="137"/>
      <c r="D57" s="178" t="s">
        <v>57</v>
      </c>
      <c r="E57" s="163">
        <v>0</v>
      </c>
      <c r="F57" s="163">
        <v>0</v>
      </c>
      <c r="G57" s="163">
        <v>0</v>
      </c>
      <c r="H57" s="163">
        <v>161607</v>
      </c>
      <c r="I57" s="35">
        <f>SUM(E57:H57)</f>
        <v>161607</v>
      </c>
      <c r="J57" s="227">
        <v>0</v>
      </c>
      <c r="K57" s="233">
        <v>0</v>
      </c>
      <c r="L57" s="233">
        <v>0</v>
      </c>
      <c r="M57" s="233">
        <f>-[56]original!$G$40</f>
        <v>141994</v>
      </c>
      <c r="N57" s="35">
        <f t="shared" si="29"/>
        <v>141994</v>
      </c>
      <c r="O57" s="162">
        <v>0</v>
      </c>
      <c r="P57" s="163">
        <v>0</v>
      </c>
      <c r="Q57" s="163">
        <v>0</v>
      </c>
      <c r="R57" s="163">
        <f>-[57]original!$H$40</f>
        <v>68</v>
      </c>
      <c r="S57" s="35">
        <f t="shared" si="30"/>
        <v>68</v>
      </c>
      <c r="T57" s="230">
        <v>0</v>
      </c>
      <c r="U57" s="231">
        <v>0</v>
      </c>
      <c r="V57" s="231">
        <v>0</v>
      </c>
      <c r="W57" s="231">
        <f>-[58]original!$I$40</f>
        <v>47</v>
      </c>
      <c r="X57" s="35">
        <f t="shared" si="31"/>
        <v>47</v>
      </c>
      <c r="Y57" s="230">
        <v>0</v>
      </c>
      <c r="Z57" s="231">
        <v>0</v>
      </c>
      <c r="AA57" s="163">
        <v>0</v>
      </c>
      <c r="AB57" s="231">
        <f>-[59]original!$J$40</f>
        <v>35</v>
      </c>
      <c r="AC57" s="35">
        <f t="shared" si="32"/>
        <v>35</v>
      </c>
      <c r="AD57" s="230">
        <v>0</v>
      </c>
      <c r="AE57" s="231">
        <v>0</v>
      </c>
      <c r="AF57" s="231">
        <v>0</v>
      </c>
      <c r="AG57" s="231">
        <f>-[60]original!$K$40</f>
        <v>280</v>
      </c>
      <c r="AH57" s="35">
        <f t="shared" si="33"/>
        <v>280</v>
      </c>
      <c r="AI57" s="162">
        <v>0</v>
      </c>
      <c r="AJ57" s="189">
        <v>0</v>
      </c>
      <c r="AK57" s="163">
        <v>0</v>
      </c>
      <c r="AL57" s="163">
        <v>7510</v>
      </c>
      <c r="AM57" s="35">
        <f t="shared" si="34"/>
        <v>7510</v>
      </c>
      <c r="AN57" s="162">
        <v>0</v>
      </c>
      <c r="AO57" s="189">
        <v>0</v>
      </c>
      <c r="AP57" s="163">
        <v>0</v>
      </c>
      <c r="AQ57" s="163">
        <f>-[61]original!$M$40</f>
        <v>11592</v>
      </c>
      <c r="AR57" s="35">
        <f>SUM(AN57:AQ57)</f>
        <v>11592</v>
      </c>
      <c r="AS57" s="162">
        <v>0</v>
      </c>
      <c r="AT57" s="189">
        <v>0</v>
      </c>
      <c r="AU57" s="163">
        <v>0</v>
      </c>
      <c r="AV57" s="234">
        <f>-[62]original!$N$40</f>
        <v>18</v>
      </c>
      <c r="AW57" s="35">
        <f>SUM(AS57:AV57)</f>
        <v>18</v>
      </c>
      <c r="AX57" s="162">
        <v>0</v>
      </c>
      <c r="AY57" s="189">
        <v>0</v>
      </c>
      <c r="AZ57" s="163">
        <v>0</v>
      </c>
      <c r="BA57" s="163">
        <f>-[44]original!$AC$40</f>
        <v>0</v>
      </c>
      <c r="BB57" s="35">
        <f>SUM(AX57:BA57)</f>
        <v>0</v>
      </c>
      <c r="BC57" s="228">
        <v>0</v>
      </c>
      <c r="BD57" s="189">
        <v>0</v>
      </c>
      <c r="BE57" s="163">
        <v>0</v>
      </c>
      <c r="BF57" s="163">
        <f>-[63]original!$P$40</f>
        <v>0</v>
      </c>
      <c r="BG57" s="35">
        <f t="shared" si="38"/>
        <v>0</v>
      </c>
      <c r="BH57" s="162">
        <v>0</v>
      </c>
      <c r="BI57" s="189">
        <v>0</v>
      </c>
      <c r="BJ57" s="163">
        <v>0</v>
      </c>
      <c r="BK57" s="163">
        <f>-[46]original!$AE$40</f>
        <v>60</v>
      </c>
      <c r="BL57" s="35">
        <f t="shared" si="39"/>
        <v>60</v>
      </c>
      <c r="BM57" s="162">
        <v>0</v>
      </c>
      <c r="BN57" s="189">
        <v>0</v>
      </c>
      <c r="BO57" s="163">
        <v>0</v>
      </c>
      <c r="BP57" s="163">
        <f>+[64]original!$R$40+CD57</f>
        <v>3</v>
      </c>
      <c r="BQ57" s="35">
        <f>SUM(BM57:BP57)</f>
        <v>3</v>
      </c>
      <c r="BR57" s="36">
        <f>+J57+O57+T57+Y57+AD57+AI57+AN57+AS57+AX57+BC57+BH57+BM57</f>
        <v>0</v>
      </c>
      <c r="BS57" s="163">
        <f t="shared" si="41"/>
        <v>0</v>
      </c>
      <c r="BT57" s="163">
        <f t="shared" si="41"/>
        <v>0</v>
      </c>
      <c r="BU57" s="163">
        <f>+M57+R57+W57+AB57+AG57+AL57+AQ57+AV57+BA57+BF57+BK57+BP57</f>
        <v>161607</v>
      </c>
      <c r="BV57" s="35">
        <f>SUM(BR57:BU57)</f>
        <v>161607</v>
      </c>
      <c r="BW57" s="8"/>
      <c r="BX57" s="165">
        <f t="shared" si="17"/>
        <v>100</v>
      </c>
      <c r="CA57" s="1">
        <v>0</v>
      </c>
      <c r="CB57" s="1">
        <v>0</v>
      </c>
      <c r="CC57" s="1">
        <v>0</v>
      </c>
      <c r="CD57" s="1">
        <v>4</v>
      </c>
    </row>
    <row r="58" spans="1:82" ht="13.9" hidden="1" customHeight="1" x14ac:dyDescent="0.2">
      <c r="A58" s="143"/>
      <c r="B58" s="137" t="s">
        <v>251</v>
      </c>
      <c r="D58" s="185" t="s">
        <v>84</v>
      </c>
      <c r="E58" s="163">
        <v>0</v>
      </c>
      <c r="F58" s="163">
        <v>0</v>
      </c>
      <c r="G58" s="163">
        <v>0</v>
      </c>
      <c r="H58" s="163">
        <v>0</v>
      </c>
      <c r="I58" s="35">
        <f>SUM(E58:H58)</f>
        <v>0</v>
      </c>
      <c r="J58" s="227">
        <v>0</v>
      </c>
      <c r="K58" s="233">
        <v>0</v>
      </c>
      <c r="L58" s="233">
        <v>0</v>
      </c>
      <c r="M58" s="233">
        <v>0</v>
      </c>
      <c r="N58" s="35">
        <f t="shared" si="29"/>
        <v>0</v>
      </c>
      <c r="O58" s="162">
        <v>0</v>
      </c>
      <c r="P58" s="163">
        <v>0</v>
      </c>
      <c r="Q58" s="163">
        <v>0</v>
      </c>
      <c r="R58" s="163">
        <v>0</v>
      </c>
      <c r="S58" s="35">
        <f t="shared" si="30"/>
        <v>0</v>
      </c>
      <c r="T58" s="162">
        <v>0</v>
      </c>
      <c r="U58" s="163">
        <v>0</v>
      </c>
      <c r="V58" s="163">
        <v>0</v>
      </c>
      <c r="W58" s="163">
        <v>0</v>
      </c>
      <c r="X58" s="35">
        <f t="shared" si="31"/>
        <v>0</v>
      </c>
      <c r="Y58" s="162">
        <v>0</v>
      </c>
      <c r="Z58" s="163">
        <v>0</v>
      </c>
      <c r="AA58" s="163">
        <v>0</v>
      </c>
      <c r="AB58" s="163">
        <v>0</v>
      </c>
      <c r="AC58" s="35">
        <f t="shared" si="32"/>
        <v>0</v>
      </c>
      <c r="AD58" s="162">
        <v>0</v>
      </c>
      <c r="AE58" s="163">
        <v>0</v>
      </c>
      <c r="AF58" s="163">
        <v>0</v>
      </c>
      <c r="AG58" s="163">
        <v>0</v>
      </c>
      <c r="AH58" s="35">
        <f t="shared" si="33"/>
        <v>0</v>
      </c>
      <c r="AI58" s="162">
        <v>0</v>
      </c>
      <c r="AJ58" s="189">
        <v>0</v>
      </c>
      <c r="AK58" s="163">
        <v>0</v>
      </c>
      <c r="AL58" s="163">
        <v>0</v>
      </c>
      <c r="AM58" s="35">
        <f t="shared" si="34"/>
        <v>0</v>
      </c>
      <c r="AN58" s="162">
        <v>0</v>
      </c>
      <c r="AO58" s="189">
        <v>0</v>
      </c>
      <c r="AP58" s="163">
        <v>0</v>
      </c>
      <c r="AQ58" s="163">
        <v>0</v>
      </c>
      <c r="AR58" s="35">
        <f>SUM(AN58:AQ58)</f>
        <v>0</v>
      </c>
      <c r="AS58" s="162">
        <v>0</v>
      </c>
      <c r="AT58" s="189">
        <v>0</v>
      </c>
      <c r="AU58" s="163">
        <v>0</v>
      </c>
      <c r="AV58" s="163">
        <v>0</v>
      </c>
      <c r="AW58" s="35">
        <f>SUM(AS58:AV58)</f>
        <v>0</v>
      </c>
      <c r="AX58" s="162">
        <v>0</v>
      </c>
      <c r="AY58" s="189">
        <v>0</v>
      </c>
      <c r="AZ58" s="163">
        <v>0</v>
      </c>
      <c r="BA58" s="163">
        <v>0</v>
      </c>
      <c r="BB58" s="35">
        <f>SUM(AX58:BA58)</f>
        <v>0</v>
      </c>
      <c r="BC58" s="228">
        <v>0</v>
      </c>
      <c r="BD58" s="189">
        <v>0</v>
      </c>
      <c r="BE58" s="163">
        <v>0</v>
      </c>
      <c r="BF58" s="163">
        <v>0</v>
      </c>
      <c r="BG58" s="35">
        <f t="shared" si="38"/>
        <v>0</v>
      </c>
      <c r="BH58" s="162">
        <v>0</v>
      </c>
      <c r="BI58" s="189">
        <v>0</v>
      </c>
      <c r="BJ58" s="163">
        <v>0</v>
      </c>
      <c r="BK58" s="163">
        <v>0</v>
      </c>
      <c r="BL58" s="35"/>
      <c r="BM58" s="162">
        <v>0</v>
      </c>
      <c r="BN58" s="189">
        <v>0</v>
      </c>
      <c r="BO58" s="163">
        <v>0</v>
      </c>
      <c r="BP58" s="163">
        <v>0</v>
      </c>
      <c r="BQ58" s="35"/>
      <c r="BR58" s="36">
        <f>+J58+O58+T58+Y58+AD58+AI58+AN58+AS58+AX58+BC58+BH58+BM58</f>
        <v>0</v>
      </c>
      <c r="BS58" s="163">
        <f>+K58+P58+U58+Z58+AE58+AJ58+AO58+AT58+AY58+BD58+BI58+BN58</f>
        <v>0</v>
      </c>
      <c r="BT58" s="163">
        <f>+L58+Q58+V58+AA58+AF58+AK58+AP58+AU58+AZ58+BE58+BJ58+BO58</f>
        <v>0</v>
      </c>
      <c r="BU58" s="163">
        <f>+M58+R58+W58+AB58+AG58+AL58+AQ58+AV58+BA58+BF58+BK58+BP58</f>
        <v>0</v>
      </c>
      <c r="BV58" s="36">
        <f t="shared" si="42"/>
        <v>0</v>
      </c>
      <c r="BW58" s="8"/>
      <c r="BX58" s="165">
        <v>0</v>
      </c>
      <c r="CA58" s="1">
        <v>0</v>
      </c>
      <c r="CB58" s="1">
        <v>0</v>
      </c>
      <c r="CC58" s="1">
        <v>0</v>
      </c>
      <c r="CD58" s="1">
        <v>0</v>
      </c>
    </row>
    <row r="59" spans="1:82" ht="13.9" hidden="1" customHeight="1" x14ac:dyDescent="0.2">
      <c r="A59" s="143"/>
      <c r="B59" s="235"/>
      <c r="C59" s="188"/>
      <c r="D59" s="178"/>
      <c r="E59" s="163"/>
      <c r="F59" s="163"/>
      <c r="G59" s="163"/>
      <c r="H59" s="163"/>
      <c r="I59" s="35"/>
      <c r="J59" s="227">
        <v>0</v>
      </c>
      <c r="K59" s="233">
        <v>0</v>
      </c>
      <c r="L59" s="163"/>
      <c r="M59" s="233"/>
      <c r="N59" s="47"/>
      <c r="O59" s="162">
        <v>0</v>
      </c>
      <c r="P59" s="163">
        <v>0</v>
      </c>
      <c r="Q59" s="163">
        <v>0</v>
      </c>
      <c r="R59" s="163">
        <v>0</v>
      </c>
      <c r="S59" s="47"/>
      <c r="T59" s="162">
        <v>0</v>
      </c>
      <c r="U59" s="163">
        <v>0</v>
      </c>
      <c r="V59" s="163">
        <v>0</v>
      </c>
      <c r="W59" s="163">
        <v>0</v>
      </c>
      <c r="X59" s="35"/>
      <c r="Y59" s="162">
        <v>0</v>
      </c>
      <c r="Z59" s="163">
        <v>0</v>
      </c>
      <c r="AA59" s="163">
        <v>0</v>
      </c>
      <c r="AB59" s="163">
        <v>0</v>
      </c>
      <c r="AC59" s="35"/>
      <c r="AD59" s="162">
        <v>0</v>
      </c>
      <c r="AE59" s="163">
        <v>0</v>
      </c>
      <c r="AF59" s="163">
        <v>0</v>
      </c>
      <c r="AG59" s="163">
        <v>0</v>
      </c>
      <c r="AH59" s="35"/>
      <c r="AI59" s="162">
        <v>0</v>
      </c>
      <c r="AJ59" s="189">
        <v>0</v>
      </c>
      <c r="AK59" s="163">
        <v>0</v>
      </c>
      <c r="AL59" s="163">
        <v>0</v>
      </c>
      <c r="AM59" s="47"/>
      <c r="AN59" s="162">
        <v>0</v>
      </c>
      <c r="AO59" s="189">
        <v>0</v>
      </c>
      <c r="AP59" s="163"/>
      <c r="AQ59" s="163"/>
      <c r="AR59" s="35"/>
      <c r="AS59" s="162">
        <v>0</v>
      </c>
      <c r="AT59" s="189">
        <v>0</v>
      </c>
      <c r="AU59" s="163"/>
      <c r="AV59" s="163"/>
      <c r="AW59" s="35"/>
      <c r="AX59" s="162">
        <v>0</v>
      </c>
      <c r="AY59" s="189">
        <v>0</v>
      </c>
      <c r="AZ59" s="163">
        <v>0</v>
      </c>
      <c r="BA59" s="163">
        <v>0</v>
      </c>
      <c r="BB59" s="35"/>
      <c r="BC59" s="228">
        <v>0</v>
      </c>
      <c r="BD59" s="189">
        <v>0</v>
      </c>
      <c r="BE59" s="163">
        <v>0</v>
      </c>
      <c r="BF59" s="163">
        <v>0</v>
      </c>
      <c r="BG59" s="35"/>
      <c r="BH59" s="162">
        <v>0</v>
      </c>
      <c r="BI59" s="189">
        <v>0</v>
      </c>
      <c r="BJ59" s="163">
        <v>0</v>
      </c>
      <c r="BK59" s="163">
        <v>0</v>
      </c>
      <c r="BL59" s="35"/>
      <c r="BM59" s="162">
        <v>0</v>
      </c>
      <c r="BN59" s="189">
        <v>0</v>
      </c>
      <c r="BO59" s="163">
        <v>0</v>
      </c>
      <c r="BP59" s="163">
        <v>0</v>
      </c>
      <c r="BQ59" s="35"/>
      <c r="BR59" s="36"/>
      <c r="BS59" s="163"/>
      <c r="BT59" s="163"/>
      <c r="BU59" s="163"/>
      <c r="BV59" s="36"/>
      <c r="BW59" s="8"/>
      <c r="BX59" s="165" t="e">
        <f t="shared" si="17"/>
        <v>#DIV/0!</v>
      </c>
      <c r="CA59" s="1">
        <v>0</v>
      </c>
      <c r="CB59" s="1">
        <v>0</v>
      </c>
      <c r="CC59" s="1">
        <v>0</v>
      </c>
      <c r="CD59" s="1">
        <v>0</v>
      </c>
    </row>
    <row r="60" spans="1:82" ht="13.9" hidden="1" customHeight="1" x14ac:dyDescent="0.2">
      <c r="A60" s="143"/>
      <c r="B60" s="235"/>
      <c r="C60" s="188"/>
      <c r="D60" s="178"/>
      <c r="E60" s="163"/>
      <c r="F60" s="163"/>
      <c r="G60" s="163"/>
      <c r="H60" s="163"/>
      <c r="I60" s="35"/>
      <c r="J60" s="227">
        <v>0</v>
      </c>
      <c r="K60" s="233">
        <v>0</v>
      </c>
      <c r="L60" s="163"/>
      <c r="M60" s="233"/>
      <c r="N60" s="47"/>
      <c r="O60" s="162">
        <v>0</v>
      </c>
      <c r="P60" s="163">
        <v>0</v>
      </c>
      <c r="Q60" s="163">
        <v>0</v>
      </c>
      <c r="R60" s="163">
        <v>0</v>
      </c>
      <c r="S60" s="47"/>
      <c r="T60" s="162">
        <v>0</v>
      </c>
      <c r="U60" s="163">
        <v>0</v>
      </c>
      <c r="V60" s="163">
        <v>0</v>
      </c>
      <c r="W60" s="163">
        <v>0</v>
      </c>
      <c r="X60" s="35"/>
      <c r="Y60" s="162">
        <v>0</v>
      </c>
      <c r="Z60" s="163">
        <v>0</v>
      </c>
      <c r="AA60" s="163">
        <v>0</v>
      </c>
      <c r="AB60" s="163">
        <v>0</v>
      </c>
      <c r="AC60" s="35"/>
      <c r="AD60" s="162">
        <v>0</v>
      </c>
      <c r="AE60" s="163">
        <v>0</v>
      </c>
      <c r="AF60" s="163">
        <v>0</v>
      </c>
      <c r="AG60" s="163">
        <v>0</v>
      </c>
      <c r="AH60" s="35"/>
      <c r="AI60" s="162">
        <v>0</v>
      </c>
      <c r="AJ60" s="189">
        <v>0</v>
      </c>
      <c r="AK60" s="163">
        <v>0</v>
      </c>
      <c r="AL60" s="163">
        <v>0</v>
      </c>
      <c r="AM60" s="47"/>
      <c r="AN60" s="162">
        <v>0</v>
      </c>
      <c r="AO60" s="189">
        <v>0</v>
      </c>
      <c r="AP60" s="163"/>
      <c r="AQ60" s="163"/>
      <c r="AR60" s="35"/>
      <c r="AS60" s="162">
        <v>0</v>
      </c>
      <c r="AT60" s="189">
        <v>0</v>
      </c>
      <c r="AU60" s="163"/>
      <c r="AV60" s="163"/>
      <c r="AW60" s="35"/>
      <c r="AX60" s="162">
        <v>0</v>
      </c>
      <c r="AY60" s="189">
        <v>0</v>
      </c>
      <c r="AZ60" s="163">
        <v>0</v>
      </c>
      <c r="BA60" s="163">
        <v>0</v>
      </c>
      <c r="BB60" s="35"/>
      <c r="BC60" s="228">
        <v>0</v>
      </c>
      <c r="BD60" s="189">
        <v>0</v>
      </c>
      <c r="BE60" s="163">
        <v>0</v>
      </c>
      <c r="BF60" s="163">
        <v>0</v>
      </c>
      <c r="BG60" s="35"/>
      <c r="BH60" s="162">
        <v>0</v>
      </c>
      <c r="BI60" s="189">
        <v>0</v>
      </c>
      <c r="BJ60" s="163">
        <v>0</v>
      </c>
      <c r="BK60" s="163">
        <v>0</v>
      </c>
      <c r="BL60" s="35"/>
      <c r="BM60" s="162">
        <v>0</v>
      </c>
      <c r="BN60" s="189">
        <v>0</v>
      </c>
      <c r="BO60" s="163">
        <v>0</v>
      </c>
      <c r="BP60" s="163">
        <v>0</v>
      </c>
      <c r="BQ60" s="35"/>
      <c r="BR60" s="36"/>
      <c r="BS60" s="163"/>
      <c r="BT60" s="163"/>
      <c r="BU60" s="163"/>
      <c r="BV60" s="36"/>
      <c r="BW60" s="8"/>
      <c r="BX60" s="165" t="e">
        <f t="shared" si="17"/>
        <v>#DIV/0!</v>
      </c>
      <c r="CA60" s="1">
        <v>0</v>
      </c>
      <c r="CB60" s="1">
        <v>0</v>
      </c>
      <c r="CC60" s="1">
        <v>0</v>
      </c>
      <c r="CD60" s="1">
        <v>0</v>
      </c>
    </row>
    <row r="61" spans="1:82" ht="13.9" hidden="1" customHeight="1" x14ac:dyDescent="0.2">
      <c r="A61" s="143"/>
      <c r="B61" s="235"/>
      <c r="D61" s="178"/>
      <c r="E61" s="163"/>
      <c r="F61" s="163"/>
      <c r="G61" s="163"/>
      <c r="H61" s="163"/>
      <c r="I61" s="35"/>
      <c r="J61" s="227">
        <v>0</v>
      </c>
      <c r="K61" s="233">
        <v>0</v>
      </c>
      <c r="L61" s="163"/>
      <c r="M61" s="233"/>
      <c r="N61" s="47"/>
      <c r="O61" s="162">
        <v>0</v>
      </c>
      <c r="P61" s="163">
        <v>0</v>
      </c>
      <c r="Q61" s="163">
        <v>0</v>
      </c>
      <c r="R61" s="163">
        <v>0</v>
      </c>
      <c r="S61" s="47"/>
      <c r="T61" s="162">
        <v>0</v>
      </c>
      <c r="U61" s="163">
        <v>0</v>
      </c>
      <c r="V61" s="163">
        <v>0</v>
      </c>
      <c r="W61" s="163">
        <v>0</v>
      </c>
      <c r="X61" s="35"/>
      <c r="Y61" s="162">
        <v>0</v>
      </c>
      <c r="Z61" s="163">
        <v>0</v>
      </c>
      <c r="AA61" s="163">
        <v>0</v>
      </c>
      <c r="AB61" s="163">
        <v>0</v>
      </c>
      <c r="AC61" s="35"/>
      <c r="AD61" s="162">
        <v>0</v>
      </c>
      <c r="AE61" s="163">
        <v>0</v>
      </c>
      <c r="AF61" s="163">
        <v>0</v>
      </c>
      <c r="AG61" s="163">
        <v>0</v>
      </c>
      <c r="AH61" s="35"/>
      <c r="AI61" s="162">
        <v>0</v>
      </c>
      <c r="AJ61" s="189">
        <v>0</v>
      </c>
      <c r="AK61" s="163">
        <v>0</v>
      </c>
      <c r="AL61" s="163">
        <v>0</v>
      </c>
      <c r="AM61" s="47"/>
      <c r="AN61" s="162">
        <v>0</v>
      </c>
      <c r="AO61" s="189">
        <v>0</v>
      </c>
      <c r="AP61" s="163"/>
      <c r="AQ61" s="163"/>
      <c r="AR61" s="35"/>
      <c r="AS61" s="162">
        <v>0</v>
      </c>
      <c r="AT61" s="189">
        <v>0</v>
      </c>
      <c r="AU61" s="163"/>
      <c r="AV61" s="163"/>
      <c r="AW61" s="35"/>
      <c r="AX61" s="162">
        <v>0</v>
      </c>
      <c r="AY61" s="189">
        <v>0</v>
      </c>
      <c r="AZ61" s="163">
        <v>0</v>
      </c>
      <c r="BA61" s="163">
        <v>0</v>
      </c>
      <c r="BB61" s="35"/>
      <c r="BC61" s="228">
        <v>0</v>
      </c>
      <c r="BD61" s="189">
        <v>0</v>
      </c>
      <c r="BE61" s="163">
        <v>0</v>
      </c>
      <c r="BF61" s="163">
        <v>0</v>
      </c>
      <c r="BG61" s="35"/>
      <c r="BH61" s="162">
        <v>0</v>
      </c>
      <c r="BI61" s="189">
        <v>0</v>
      </c>
      <c r="BJ61" s="163">
        <v>0</v>
      </c>
      <c r="BK61" s="163">
        <v>0</v>
      </c>
      <c r="BL61" s="35"/>
      <c r="BM61" s="162">
        <v>0</v>
      </c>
      <c r="BN61" s="189">
        <v>0</v>
      </c>
      <c r="BO61" s="163">
        <v>0</v>
      </c>
      <c r="BP61" s="163">
        <v>0</v>
      </c>
      <c r="BQ61" s="35"/>
      <c r="BR61" s="36"/>
      <c r="BS61" s="163"/>
      <c r="BT61" s="163"/>
      <c r="BU61" s="163"/>
      <c r="BV61" s="36"/>
      <c r="BW61" s="8"/>
      <c r="BX61" s="165" t="e">
        <f t="shared" si="17"/>
        <v>#DIV/0!</v>
      </c>
      <c r="CA61" s="1">
        <v>0</v>
      </c>
      <c r="CB61" s="1">
        <v>0</v>
      </c>
      <c r="CC61" s="1">
        <v>0</v>
      </c>
      <c r="CD61" s="1">
        <v>0</v>
      </c>
    </row>
    <row r="62" spans="1:82" ht="13.9" hidden="1" customHeight="1" x14ac:dyDescent="0.2">
      <c r="A62" s="143"/>
      <c r="B62" s="235"/>
      <c r="D62" s="178"/>
      <c r="E62" s="163"/>
      <c r="F62" s="163"/>
      <c r="G62" s="163"/>
      <c r="H62" s="163"/>
      <c r="I62" s="35"/>
      <c r="J62" s="227">
        <v>0</v>
      </c>
      <c r="K62" s="233">
        <v>0</v>
      </c>
      <c r="L62" s="163"/>
      <c r="M62" s="233"/>
      <c r="N62" s="47"/>
      <c r="O62" s="162">
        <v>0</v>
      </c>
      <c r="P62" s="163">
        <v>0</v>
      </c>
      <c r="Q62" s="163">
        <v>0</v>
      </c>
      <c r="R62" s="163">
        <v>0</v>
      </c>
      <c r="S62" s="47"/>
      <c r="T62" s="162">
        <v>0</v>
      </c>
      <c r="U62" s="163">
        <v>0</v>
      </c>
      <c r="V62" s="163">
        <v>0</v>
      </c>
      <c r="W62" s="163">
        <v>0</v>
      </c>
      <c r="X62" s="35"/>
      <c r="Y62" s="162">
        <v>0</v>
      </c>
      <c r="Z62" s="163">
        <v>0</v>
      </c>
      <c r="AA62" s="163">
        <v>0</v>
      </c>
      <c r="AB62" s="163">
        <v>0</v>
      </c>
      <c r="AC62" s="35"/>
      <c r="AD62" s="162">
        <v>0</v>
      </c>
      <c r="AE62" s="163">
        <v>0</v>
      </c>
      <c r="AF62" s="163">
        <v>0</v>
      </c>
      <c r="AG62" s="163">
        <v>0</v>
      </c>
      <c r="AH62" s="35"/>
      <c r="AI62" s="162">
        <v>0</v>
      </c>
      <c r="AJ62" s="189">
        <v>0</v>
      </c>
      <c r="AK62" s="163">
        <v>0</v>
      </c>
      <c r="AL62" s="163">
        <v>0</v>
      </c>
      <c r="AM62" s="47"/>
      <c r="AN62" s="162">
        <v>0</v>
      </c>
      <c r="AO62" s="189">
        <v>0</v>
      </c>
      <c r="AP62" s="163"/>
      <c r="AQ62" s="163"/>
      <c r="AR62" s="35"/>
      <c r="AS62" s="162">
        <v>0</v>
      </c>
      <c r="AT62" s="189">
        <v>0</v>
      </c>
      <c r="AU62" s="163"/>
      <c r="AV62" s="163"/>
      <c r="AW62" s="35"/>
      <c r="AX62" s="162">
        <v>0</v>
      </c>
      <c r="AY62" s="189">
        <v>0</v>
      </c>
      <c r="AZ62" s="163">
        <v>0</v>
      </c>
      <c r="BA62" s="163">
        <v>0</v>
      </c>
      <c r="BB62" s="35"/>
      <c r="BC62" s="228">
        <v>0</v>
      </c>
      <c r="BD62" s="189">
        <v>0</v>
      </c>
      <c r="BE62" s="163">
        <v>0</v>
      </c>
      <c r="BF62" s="163">
        <v>0</v>
      </c>
      <c r="BG62" s="35"/>
      <c r="BH62" s="162">
        <v>0</v>
      </c>
      <c r="BI62" s="189">
        <v>0</v>
      </c>
      <c r="BJ62" s="163">
        <v>0</v>
      </c>
      <c r="BK62" s="163">
        <v>0</v>
      </c>
      <c r="BL62" s="35"/>
      <c r="BM62" s="162">
        <v>0</v>
      </c>
      <c r="BN62" s="189">
        <v>0</v>
      </c>
      <c r="BO62" s="163">
        <v>0</v>
      </c>
      <c r="BP62" s="163">
        <v>0</v>
      </c>
      <c r="BQ62" s="35"/>
      <c r="BR62" s="36"/>
      <c r="BS62" s="163"/>
      <c r="BT62" s="163"/>
      <c r="BU62" s="163"/>
      <c r="BV62" s="36"/>
      <c r="BW62" s="8"/>
      <c r="BX62" s="165" t="e">
        <f t="shared" si="17"/>
        <v>#DIV/0!</v>
      </c>
      <c r="CA62" s="1">
        <v>0</v>
      </c>
      <c r="CB62" s="1">
        <v>0</v>
      </c>
      <c r="CC62" s="1">
        <v>0</v>
      </c>
      <c r="CD62" s="1">
        <v>0</v>
      </c>
    </row>
    <row r="63" spans="1:82" x14ac:dyDescent="0.2">
      <c r="A63" s="159" t="s">
        <v>234</v>
      </c>
      <c r="B63" s="184"/>
      <c r="C63" s="184"/>
      <c r="D63" s="180"/>
      <c r="E63" s="163">
        <v>0</v>
      </c>
      <c r="F63" s="163">
        <v>17479896</v>
      </c>
      <c r="G63" s="163">
        <v>0</v>
      </c>
      <c r="H63" s="163">
        <v>0</v>
      </c>
      <c r="I63" s="35">
        <f>SUM(E63:H63)</f>
        <v>17479896</v>
      </c>
      <c r="J63" s="227">
        <v>0</v>
      </c>
      <c r="K63" s="233">
        <f>938+1588700</f>
        <v>1589638</v>
      </c>
      <c r="L63" s="163">
        <v>0</v>
      </c>
      <c r="M63" s="233">
        <v>0</v>
      </c>
      <c r="N63" s="35">
        <f>SUM(J63:M63)</f>
        <v>1589638</v>
      </c>
      <c r="O63" s="162">
        <v>0</v>
      </c>
      <c r="P63" s="163">
        <v>1313746</v>
      </c>
      <c r="Q63" s="163">
        <v>0</v>
      </c>
      <c r="R63" s="163">
        <v>0</v>
      </c>
      <c r="S63" s="35">
        <f>SUM(O63:R63)</f>
        <v>1313746</v>
      </c>
      <c r="T63" s="230">
        <v>0</v>
      </c>
      <c r="U63" s="231">
        <f>1250688+939</f>
        <v>1251627</v>
      </c>
      <c r="V63" s="231">
        <v>0</v>
      </c>
      <c r="W63" s="231">
        <v>0</v>
      </c>
      <c r="X63" s="35">
        <f>SUM(T63:W63)</f>
        <v>1251627</v>
      </c>
      <c r="Y63" s="230">
        <v>0</v>
      </c>
      <c r="Z63" s="231">
        <v>1486135</v>
      </c>
      <c r="AA63" s="163">
        <v>0</v>
      </c>
      <c r="AB63" s="231">
        <v>0</v>
      </c>
      <c r="AC63" s="35">
        <f>SUM(Y63:AB63)</f>
        <v>1486135</v>
      </c>
      <c r="AD63" s="230">
        <v>0</v>
      </c>
      <c r="AE63" s="231">
        <v>1368820</v>
      </c>
      <c r="AF63" s="231">
        <v>0</v>
      </c>
      <c r="AG63" s="231">
        <v>0</v>
      </c>
      <c r="AH63" s="35">
        <f>SUM(AD63:AG63)</f>
        <v>1368820</v>
      </c>
      <c r="AI63" s="162">
        <v>0</v>
      </c>
      <c r="AJ63" s="189">
        <v>1429908</v>
      </c>
      <c r="AK63" s="163">
        <v>0</v>
      </c>
      <c r="AL63" s="163">
        <v>0</v>
      </c>
      <c r="AM63" s="35">
        <f>SUM(AI63:AL63)</f>
        <v>1429908</v>
      </c>
      <c r="AN63" s="162">
        <v>0</v>
      </c>
      <c r="AO63" s="163">
        <v>1137501</v>
      </c>
      <c r="AP63" s="163">
        <v>0</v>
      </c>
      <c r="AQ63" s="163">
        <v>0</v>
      </c>
      <c r="AR63" s="35">
        <f t="shared" si="35"/>
        <v>1137501</v>
      </c>
      <c r="AS63" s="162">
        <v>0</v>
      </c>
      <c r="AT63" s="189">
        <v>1494381</v>
      </c>
      <c r="AU63" s="163">
        <v>0</v>
      </c>
      <c r="AV63" s="163">
        <v>0</v>
      </c>
      <c r="AW63" s="35">
        <f t="shared" si="36"/>
        <v>1494381</v>
      </c>
      <c r="AX63" s="162">
        <v>0</v>
      </c>
      <c r="AY63" s="189">
        <v>1760319</v>
      </c>
      <c r="AZ63" s="163">
        <v>0</v>
      </c>
      <c r="BA63" s="163">
        <v>0</v>
      </c>
      <c r="BB63" s="35">
        <f t="shared" si="37"/>
        <v>1760319</v>
      </c>
      <c r="BC63" s="228">
        <v>0</v>
      </c>
      <c r="BD63" s="189">
        <v>1593018</v>
      </c>
      <c r="BE63" s="163">
        <v>0</v>
      </c>
      <c r="BF63" s="163">
        <v>0</v>
      </c>
      <c r="BG63" s="35">
        <f>SUM(BC63:BF63)</f>
        <v>1593018</v>
      </c>
      <c r="BH63" s="162">
        <v>0</v>
      </c>
      <c r="BI63" s="163">
        <v>1637317</v>
      </c>
      <c r="BJ63" s="163">
        <v>0</v>
      </c>
      <c r="BK63" s="163">
        <v>0</v>
      </c>
      <c r="BL63" s="35">
        <f t="shared" si="39"/>
        <v>1637317</v>
      </c>
      <c r="BM63" s="162">
        <v>0</v>
      </c>
      <c r="BN63" s="189">
        <f>1417485+CB63</f>
        <v>1417486</v>
      </c>
      <c r="BO63" s="163">
        <v>0</v>
      </c>
      <c r="BP63" s="163">
        <v>0</v>
      </c>
      <c r="BQ63" s="35">
        <f t="shared" si="40"/>
        <v>1417486</v>
      </c>
      <c r="BR63" s="36">
        <f t="shared" ref="BR63:BU66" si="43">+J63+O63+T63+Y63+AD63+AI63+AN63+AS63+AX63+BC63+BH63+BM63</f>
        <v>0</v>
      </c>
      <c r="BS63" s="163">
        <f>+K63+P63+U63+Z63+AE63+AJ63+AO63+AT63+AY63+BD63+BI63+BN63</f>
        <v>17479896</v>
      </c>
      <c r="BT63" s="163">
        <f t="shared" si="43"/>
        <v>0</v>
      </c>
      <c r="BU63" s="163">
        <f t="shared" si="43"/>
        <v>0</v>
      </c>
      <c r="BV63" s="36">
        <f>SUM(BR63:BU63)</f>
        <v>17479896</v>
      </c>
      <c r="BW63" s="8"/>
      <c r="BX63" s="165">
        <f t="shared" si="17"/>
        <v>100</v>
      </c>
      <c r="CA63" s="1">
        <v>0</v>
      </c>
      <c r="CB63" s="1">
        <v>1</v>
      </c>
      <c r="CC63" s="1">
        <v>0</v>
      </c>
      <c r="CD63" s="1">
        <v>0</v>
      </c>
    </row>
    <row r="64" spans="1:82" x14ac:dyDescent="0.2">
      <c r="A64" s="159" t="s">
        <v>235</v>
      </c>
      <c r="B64" s="184"/>
      <c r="C64" s="137"/>
      <c r="D64" s="180"/>
      <c r="E64" s="163">
        <v>2013598</v>
      </c>
      <c r="F64" s="163">
        <v>33787</v>
      </c>
      <c r="G64" s="163">
        <v>0</v>
      </c>
      <c r="H64" s="163">
        <v>0</v>
      </c>
      <c r="I64" s="35">
        <f>SUM(E64:H64)</f>
        <v>2047385</v>
      </c>
      <c r="J64" s="227">
        <v>163655</v>
      </c>
      <c r="K64" s="233">
        <v>231</v>
      </c>
      <c r="L64" s="163">
        <v>0</v>
      </c>
      <c r="M64" s="233">
        <v>0</v>
      </c>
      <c r="N64" s="35">
        <f>SUM(J64:M64)</f>
        <v>163886</v>
      </c>
      <c r="O64" s="162">
        <v>164038</v>
      </c>
      <c r="P64" s="163">
        <v>2835</v>
      </c>
      <c r="Q64" s="163">
        <v>0</v>
      </c>
      <c r="R64" s="163">
        <v>0</v>
      </c>
      <c r="S64" s="35">
        <f>SUM(O64:R64)</f>
        <v>166873</v>
      </c>
      <c r="T64" s="230">
        <v>162965</v>
      </c>
      <c r="U64" s="231">
        <v>5069</v>
      </c>
      <c r="V64" s="231">
        <v>0</v>
      </c>
      <c r="W64" s="231">
        <v>0</v>
      </c>
      <c r="X64" s="35">
        <f>SUM(T64:W64)</f>
        <v>168034</v>
      </c>
      <c r="Y64" s="230">
        <v>164646</v>
      </c>
      <c r="Z64" s="231">
        <v>1880</v>
      </c>
      <c r="AA64" s="163">
        <v>0</v>
      </c>
      <c r="AB64" s="231">
        <v>0</v>
      </c>
      <c r="AC64" s="35">
        <f>SUM(Y64:AB64)</f>
        <v>166526</v>
      </c>
      <c r="AD64" s="230">
        <v>162603</v>
      </c>
      <c r="AE64" s="231">
        <v>2816</v>
      </c>
      <c r="AF64" s="231">
        <v>0</v>
      </c>
      <c r="AG64" s="231">
        <v>0</v>
      </c>
      <c r="AH64" s="35">
        <f>SUM(AD64:AG64)</f>
        <v>165419</v>
      </c>
      <c r="AI64" s="162">
        <v>162188</v>
      </c>
      <c r="AJ64" s="189">
        <v>2526</v>
      </c>
      <c r="AK64" s="163">
        <v>0</v>
      </c>
      <c r="AL64" s="163">
        <v>0</v>
      </c>
      <c r="AM64" s="35">
        <f>SUM(AI64:AL64)</f>
        <v>164714</v>
      </c>
      <c r="AN64" s="162">
        <v>162951</v>
      </c>
      <c r="AO64" s="163">
        <v>3520</v>
      </c>
      <c r="AP64" s="163">
        <v>0</v>
      </c>
      <c r="AQ64" s="163">
        <v>0</v>
      </c>
      <c r="AR64" s="35">
        <f t="shared" si="35"/>
        <v>166471</v>
      </c>
      <c r="AS64" s="162">
        <v>160865</v>
      </c>
      <c r="AT64" s="189">
        <v>1660</v>
      </c>
      <c r="AU64" s="163">
        <v>0</v>
      </c>
      <c r="AV64" s="163">
        <v>0</v>
      </c>
      <c r="AW64" s="35">
        <f t="shared" si="36"/>
        <v>162525</v>
      </c>
      <c r="AX64" s="162">
        <v>161643</v>
      </c>
      <c r="AY64" s="189">
        <v>929</v>
      </c>
      <c r="AZ64" s="163">
        <v>0</v>
      </c>
      <c r="BA64" s="163">
        <v>0</v>
      </c>
      <c r="BB64" s="35">
        <f>SUM(AX64:BA64)</f>
        <v>162572</v>
      </c>
      <c r="BC64" s="228">
        <v>206744</v>
      </c>
      <c r="BD64" s="189">
        <v>3735</v>
      </c>
      <c r="BE64" s="163">
        <v>0</v>
      </c>
      <c r="BF64" s="163">
        <v>0</v>
      </c>
      <c r="BG64" s="35">
        <f>SUM(BC64:BF64)</f>
        <v>210479</v>
      </c>
      <c r="BH64" s="230">
        <v>170150</v>
      </c>
      <c r="BI64" s="231">
        <v>4030</v>
      </c>
      <c r="BJ64" s="163">
        <v>0</v>
      </c>
      <c r="BK64" s="163">
        <v>0</v>
      </c>
      <c r="BL64" s="35">
        <f t="shared" si="39"/>
        <v>174180</v>
      </c>
      <c r="BM64" s="162">
        <f>171312+CA64</f>
        <v>171150</v>
      </c>
      <c r="BN64" s="189">
        <f>4554+CB64</f>
        <v>4556</v>
      </c>
      <c r="BO64" s="163">
        <v>0</v>
      </c>
      <c r="BP64" s="163">
        <v>0</v>
      </c>
      <c r="BQ64" s="35">
        <f t="shared" si="40"/>
        <v>175706</v>
      </c>
      <c r="BR64" s="36">
        <f>+J64+O64+T64+Y64+AD64+AI64+AN64+AS64+AX64+BC64+BH64+BM64</f>
        <v>2013598</v>
      </c>
      <c r="BS64" s="163">
        <f>+K64+P64+U64+Z64+AE64+AJ64+AO64+AT64+AY64+BD64+BI64+BN64</f>
        <v>33787</v>
      </c>
      <c r="BT64" s="163">
        <f t="shared" si="43"/>
        <v>0</v>
      </c>
      <c r="BU64" s="163">
        <f t="shared" si="43"/>
        <v>0</v>
      </c>
      <c r="BV64" s="36">
        <f>SUM(BR64:BU64)</f>
        <v>2047385</v>
      </c>
      <c r="BW64" s="8"/>
      <c r="BX64" s="165">
        <f t="shared" si="17"/>
        <v>100</v>
      </c>
      <c r="CA64" s="1">
        <v>-162</v>
      </c>
      <c r="CB64" s="1">
        <v>2</v>
      </c>
      <c r="CC64" s="1">
        <v>0</v>
      </c>
      <c r="CD64" s="1">
        <v>0</v>
      </c>
    </row>
    <row r="65" spans="1:82" x14ac:dyDescent="0.2">
      <c r="A65" s="193" t="s">
        <v>236</v>
      </c>
      <c r="B65" s="194"/>
      <c r="C65" s="137"/>
      <c r="D65" s="180"/>
      <c r="E65" s="163">
        <v>956209</v>
      </c>
      <c r="F65" s="163">
        <v>65980</v>
      </c>
      <c r="G65" s="163">
        <v>0</v>
      </c>
      <c r="H65" s="163">
        <v>0</v>
      </c>
      <c r="I65" s="35">
        <f>SUM(E65:H65)</f>
        <v>1022189</v>
      </c>
      <c r="J65" s="227">
        <v>73497</v>
      </c>
      <c r="K65" s="233">
        <v>9264</v>
      </c>
      <c r="L65" s="163">
        <v>0</v>
      </c>
      <c r="M65" s="233">
        <v>0</v>
      </c>
      <c r="N65" s="35">
        <f>SUM(J65:M65)</f>
        <v>82761</v>
      </c>
      <c r="O65" s="162">
        <v>81457</v>
      </c>
      <c r="P65" s="163">
        <v>6926</v>
      </c>
      <c r="Q65" s="163">
        <v>0</v>
      </c>
      <c r="R65" s="163">
        <v>0</v>
      </c>
      <c r="S65" s="35">
        <f>SUM(O65:R65)</f>
        <v>88383</v>
      </c>
      <c r="T65" s="230">
        <v>79074</v>
      </c>
      <c r="U65" s="231">
        <v>1637</v>
      </c>
      <c r="V65" s="231">
        <v>0</v>
      </c>
      <c r="W65" s="231">
        <v>0</v>
      </c>
      <c r="X65" s="35">
        <f>SUM(T65:W65)</f>
        <v>80711</v>
      </c>
      <c r="Y65" s="230">
        <v>81360</v>
      </c>
      <c r="Z65" s="231">
        <v>5650</v>
      </c>
      <c r="AA65" s="231">
        <v>0</v>
      </c>
      <c r="AB65" s="231">
        <v>0</v>
      </c>
      <c r="AC65" s="35">
        <f>SUM(Y65:AB65)</f>
        <v>87010</v>
      </c>
      <c r="AD65" s="230">
        <v>76447</v>
      </c>
      <c r="AE65" s="231">
        <v>8066</v>
      </c>
      <c r="AF65" s="231">
        <v>0</v>
      </c>
      <c r="AG65" s="231">
        <v>0</v>
      </c>
      <c r="AH65" s="35">
        <f>SUM(AD65:AG65)</f>
        <v>84513</v>
      </c>
      <c r="AI65" s="162">
        <v>77222</v>
      </c>
      <c r="AJ65" s="189">
        <v>5931</v>
      </c>
      <c r="AK65" s="163">
        <v>0</v>
      </c>
      <c r="AL65" s="163">
        <v>0</v>
      </c>
      <c r="AM65" s="35">
        <f>SUM(AI65:AL65)</f>
        <v>83153</v>
      </c>
      <c r="AN65" s="162">
        <v>77049</v>
      </c>
      <c r="AO65" s="163">
        <v>11154</v>
      </c>
      <c r="AP65" s="163">
        <v>0</v>
      </c>
      <c r="AQ65" s="163">
        <v>0</v>
      </c>
      <c r="AR65" s="35">
        <f t="shared" si="35"/>
        <v>88203</v>
      </c>
      <c r="AS65" s="162">
        <v>81309</v>
      </c>
      <c r="AT65" s="189">
        <v>1540</v>
      </c>
      <c r="AU65" s="163">
        <v>0</v>
      </c>
      <c r="AV65" s="163">
        <v>0</v>
      </c>
      <c r="AW65" s="35">
        <f t="shared" si="36"/>
        <v>82849</v>
      </c>
      <c r="AX65" s="162">
        <v>76840</v>
      </c>
      <c r="AY65" s="189">
        <v>272</v>
      </c>
      <c r="AZ65" s="163">
        <v>0</v>
      </c>
      <c r="BA65" s="163">
        <v>0</v>
      </c>
      <c r="BB65" s="35">
        <f t="shared" si="37"/>
        <v>77112</v>
      </c>
      <c r="BC65" s="228">
        <v>87217</v>
      </c>
      <c r="BD65" s="189">
        <v>3110</v>
      </c>
      <c r="BE65" s="163">
        <v>0</v>
      </c>
      <c r="BF65" s="163">
        <v>0</v>
      </c>
      <c r="BG65" s="35">
        <f>SUM(BC65:BF65)</f>
        <v>90327</v>
      </c>
      <c r="BH65" s="230">
        <v>78893</v>
      </c>
      <c r="BI65" s="231">
        <v>6585</v>
      </c>
      <c r="BJ65" s="163">
        <v>0</v>
      </c>
      <c r="BK65" s="163">
        <v>0</v>
      </c>
      <c r="BL65" s="35">
        <f>SUM(BH65:BK65)</f>
        <v>85478</v>
      </c>
      <c r="BM65" s="162">
        <f>86125+CA65</f>
        <v>85844</v>
      </c>
      <c r="BN65" s="189">
        <f>9619+CB65</f>
        <v>5845</v>
      </c>
      <c r="BO65" s="163">
        <v>0</v>
      </c>
      <c r="BP65" s="163">
        <v>0</v>
      </c>
      <c r="BQ65" s="35">
        <f t="shared" si="40"/>
        <v>91689</v>
      </c>
      <c r="BR65" s="36">
        <f>+J65+O65+T65+Y65+AD65+AI65+AN65+AS65+AX65+BC65+BH65+BM65</f>
        <v>956209</v>
      </c>
      <c r="BS65" s="163">
        <f>+K65+P65+U65+Z65+AE65+AJ65+AO65+AT65+AY65+BD65+BI65+BN65</f>
        <v>65980</v>
      </c>
      <c r="BT65" s="163">
        <f t="shared" si="43"/>
        <v>0</v>
      </c>
      <c r="BU65" s="163">
        <f t="shared" si="43"/>
        <v>0</v>
      </c>
      <c r="BV65" s="36">
        <f>SUM(BR65:BU65)</f>
        <v>1022189</v>
      </c>
      <c r="BW65" s="8"/>
      <c r="BX65" s="165">
        <f t="shared" si="17"/>
        <v>100</v>
      </c>
      <c r="CA65" s="1">
        <v>-281</v>
      </c>
      <c r="CB65" s="1">
        <v>-3774</v>
      </c>
      <c r="CC65" s="1">
        <v>0</v>
      </c>
      <c r="CD65" s="1">
        <v>0</v>
      </c>
    </row>
    <row r="66" spans="1:82" s="136" customFormat="1" x14ac:dyDescent="0.2">
      <c r="A66" s="173" t="s">
        <v>237</v>
      </c>
      <c r="B66" s="195"/>
      <c r="C66" s="196"/>
      <c r="D66" s="175"/>
      <c r="E66" s="163">
        <v>0</v>
      </c>
      <c r="F66" s="163">
        <v>2976</v>
      </c>
      <c r="G66" s="163">
        <v>0</v>
      </c>
      <c r="H66" s="163">
        <v>0</v>
      </c>
      <c r="I66" s="35">
        <f>SUM(E66:H66)</f>
        <v>2976</v>
      </c>
      <c r="J66" s="227">
        <v>0</v>
      </c>
      <c r="K66" s="233">
        <v>0</v>
      </c>
      <c r="L66" s="163">
        <v>0</v>
      </c>
      <c r="M66" s="233">
        <v>0</v>
      </c>
      <c r="N66" s="35">
        <f>SUM(J66:M66)</f>
        <v>0</v>
      </c>
      <c r="O66" s="162">
        <v>0</v>
      </c>
      <c r="P66" s="163">
        <v>0</v>
      </c>
      <c r="Q66" s="163">
        <v>0</v>
      </c>
      <c r="R66" s="163">
        <v>0</v>
      </c>
      <c r="S66" s="36">
        <f>SUM(O66:R66)</f>
        <v>0</v>
      </c>
      <c r="T66" s="230">
        <v>0</v>
      </c>
      <c r="U66" s="231">
        <v>0</v>
      </c>
      <c r="V66" s="231">
        <v>0</v>
      </c>
      <c r="W66" s="231">
        <v>0</v>
      </c>
      <c r="X66" s="35">
        <f>SUM(T66:W66)</f>
        <v>0</v>
      </c>
      <c r="Y66" s="230">
        <v>0</v>
      </c>
      <c r="Z66" s="231">
        <v>0</v>
      </c>
      <c r="AA66" s="231">
        <v>0</v>
      </c>
      <c r="AB66" s="231">
        <v>0</v>
      </c>
      <c r="AC66" s="35">
        <f>SUM(Y66:AB66)</f>
        <v>0</v>
      </c>
      <c r="AD66" s="230">
        <v>0</v>
      </c>
      <c r="AE66" s="231">
        <v>0</v>
      </c>
      <c r="AF66" s="231">
        <v>0</v>
      </c>
      <c r="AG66" s="231">
        <v>0</v>
      </c>
      <c r="AH66" s="35">
        <f>SUM(AD66:AG66)</f>
        <v>0</v>
      </c>
      <c r="AI66" s="162">
        <v>0</v>
      </c>
      <c r="AJ66" s="163">
        <v>0</v>
      </c>
      <c r="AK66" s="163">
        <v>0</v>
      </c>
      <c r="AL66" s="163">
        <v>0</v>
      </c>
      <c r="AM66" s="36">
        <f>SUM(AI66:AL66)</f>
        <v>0</v>
      </c>
      <c r="AN66" s="162">
        <v>0</v>
      </c>
      <c r="AO66" s="163">
        <v>0</v>
      </c>
      <c r="AP66" s="163">
        <v>0</v>
      </c>
      <c r="AQ66" s="163">
        <v>0</v>
      </c>
      <c r="AR66" s="36">
        <f t="shared" si="35"/>
        <v>0</v>
      </c>
      <c r="AS66" s="162">
        <v>0</v>
      </c>
      <c r="AT66" s="163">
        <v>0</v>
      </c>
      <c r="AU66" s="163">
        <v>0</v>
      </c>
      <c r="AV66" s="163">
        <v>0</v>
      </c>
      <c r="AW66" s="36">
        <f>SUM(AS66:AV66)</f>
        <v>0</v>
      </c>
      <c r="AX66" s="162">
        <v>0</v>
      </c>
      <c r="AY66" s="163">
        <v>0</v>
      </c>
      <c r="AZ66" s="163">
        <v>0</v>
      </c>
      <c r="BA66" s="163">
        <v>0</v>
      </c>
      <c r="BB66" s="36">
        <f t="shared" si="37"/>
        <v>0</v>
      </c>
      <c r="BC66" s="162">
        <v>0</v>
      </c>
      <c r="BD66" s="189">
        <v>2976</v>
      </c>
      <c r="BE66" s="163">
        <v>0</v>
      </c>
      <c r="BF66" s="163">
        <v>0</v>
      </c>
      <c r="BG66" s="36">
        <f>SUM(BC66:BF66)</f>
        <v>2976</v>
      </c>
      <c r="BH66" s="162">
        <v>0</v>
      </c>
      <c r="BI66" s="163">
        <v>0</v>
      </c>
      <c r="BJ66" s="163">
        <v>0</v>
      </c>
      <c r="BK66" s="163">
        <v>0</v>
      </c>
      <c r="BL66" s="36">
        <f t="shared" si="39"/>
        <v>0</v>
      </c>
      <c r="BM66" s="162">
        <v>0</v>
      </c>
      <c r="BN66" s="163">
        <v>0</v>
      </c>
      <c r="BO66" s="163">
        <v>0</v>
      </c>
      <c r="BP66" s="163">
        <v>0</v>
      </c>
      <c r="BQ66" s="36">
        <f t="shared" si="40"/>
        <v>0</v>
      </c>
      <c r="BR66" s="36">
        <f t="shared" si="43"/>
        <v>0</v>
      </c>
      <c r="BS66" s="163">
        <f t="shared" si="43"/>
        <v>2976</v>
      </c>
      <c r="BT66" s="163">
        <f t="shared" si="43"/>
        <v>0</v>
      </c>
      <c r="BU66" s="163">
        <f t="shared" si="43"/>
        <v>0</v>
      </c>
      <c r="BV66" s="36">
        <f>SUM(BR66:BU66)</f>
        <v>2976</v>
      </c>
      <c r="BW66" s="8"/>
      <c r="BX66" s="165">
        <f>(BV66/I66)*100</f>
        <v>100</v>
      </c>
      <c r="CA66" s="1">
        <v>0</v>
      </c>
      <c r="CB66" s="1">
        <v>0</v>
      </c>
      <c r="CC66" s="1">
        <v>0</v>
      </c>
      <c r="CD66" s="1">
        <v>0</v>
      </c>
    </row>
    <row r="67" spans="1:82" x14ac:dyDescent="0.2">
      <c r="A67" s="156" t="s">
        <v>238</v>
      </c>
      <c r="B67" s="160"/>
      <c r="D67" s="180"/>
      <c r="E67" s="14">
        <f>SUM(E50:E66)-E52</f>
        <v>185317730.5</v>
      </c>
      <c r="F67" s="31">
        <f>SUM(F50:F66)-F52</f>
        <v>500337703</v>
      </c>
      <c r="G67" s="31">
        <f>SUM(G50:G66)-G52</f>
        <v>0</v>
      </c>
      <c r="H67" s="12">
        <f>SUM(H50:H66)-H52</f>
        <v>161607</v>
      </c>
      <c r="I67" s="13">
        <f t="shared" ref="I67:BP67" si="44">SUM(I50:I66)-I52</f>
        <v>685817040.5</v>
      </c>
      <c r="J67" s="236">
        <f t="shared" si="44"/>
        <v>3323248</v>
      </c>
      <c r="K67" s="74">
        <f t="shared" si="44"/>
        <v>40789680</v>
      </c>
      <c r="L67" s="74">
        <f t="shared" si="44"/>
        <v>0</v>
      </c>
      <c r="M67" s="74">
        <f t="shared" si="44"/>
        <v>141994</v>
      </c>
      <c r="N67" s="237">
        <f t="shared" si="44"/>
        <v>44254922</v>
      </c>
      <c r="O67" s="74">
        <f t="shared" si="44"/>
        <v>3552667</v>
      </c>
      <c r="P67" s="74">
        <f t="shared" si="44"/>
        <v>40514053</v>
      </c>
      <c r="Q67" s="74">
        <f t="shared" si="44"/>
        <v>0</v>
      </c>
      <c r="R67" s="74">
        <f t="shared" si="44"/>
        <v>68</v>
      </c>
      <c r="S67" s="238">
        <f t="shared" si="44"/>
        <v>44066788</v>
      </c>
      <c r="T67" s="74">
        <f t="shared" si="44"/>
        <v>18304758</v>
      </c>
      <c r="U67" s="74">
        <f t="shared" si="44"/>
        <v>40448879</v>
      </c>
      <c r="V67" s="74">
        <f t="shared" si="44"/>
        <v>0</v>
      </c>
      <c r="W67" s="74">
        <f t="shared" si="44"/>
        <v>47</v>
      </c>
      <c r="X67" s="238">
        <f t="shared" si="44"/>
        <v>58753684</v>
      </c>
      <c r="Y67" s="74">
        <f t="shared" si="44"/>
        <v>23893582</v>
      </c>
      <c r="Z67" s="74">
        <f t="shared" si="44"/>
        <v>40684210</v>
      </c>
      <c r="AA67" s="74">
        <f t="shared" si="44"/>
        <v>0</v>
      </c>
      <c r="AB67" s="74">
        <f t="shared" si="44"/>
        <v>35</v>
      </c>
      <c r="AC67" s="238">
        <f t="shared" si="44"/>
        <v>64577827</v>
      </c>
      <c r="AD67" s="74">
        <f t="shared" si="44"/>
        <v>24220268</v>
      </c>
      <c r="AE67" s="74">
        <f t="shared" si="44"/>
        <v>44726430</v>
      </c>
      <c r="AF67" s="74">
        <f t="shared" si="44"/>
        <v>0</v>
      </c>
      <c r="AG67" s="74">
        <f t="shared" si="44"/>
        <v>280</v>
      </c>
      <c r="AH67" s="238">
        <f t="shared" si="44"/>
        <v>68946978</v>
      </c>
      <c r="AI67" s="74">
        <f t="shared" si="44"/>
        <v>15688661</v>
      </c>
      <c r="AJ67" s="74">
        <f t="shared" si="44"/>
        <v>40628908</v>
      </c>
      <c r="AK67" s="74">
        <f t="shared" si="44"/>
        <v>0</v>
      </c>
      <c r="AL67" s="74">
        <f t="shared" si="44"/>
        <v>7510</v>
      </c>
      <c r="AM67" s="238">
        <f t="shared" si="44"/>
        <v>56325079</v>
      </c>
      <c r="AN67" s="74">
        <f t="shared" si="44"/>
        <v>4601046</v>
      </c>
      <c r="AO67" s="74">
        <f t="shared" si="44"/>
        <v>40342717</v>
      </c>
      <c r="AP67" s="74">
        <f t="shared" si="44"/>
        <v>0</v>
      </c>
      <c r="AQ67" s="74">
        <f t="shared" si="44"/>
        <v>11592</v>
      </c>
      <c r="AR67" s="238">
        <f t="shared" si="44"/>
        <v>44955355</v>
      </c>
      <c r="AS67" s="74">
        <f t="shared" si="44"/>
        <v>3976323</v>
      </c>
      <c r="AT67" s="74">
        <f t="shared" si="44"/>
        <v>40688121</v>
      </c>
      <c r="AU67" s="74">
        <f t="shared" si="44"/>
        <v>0</v>
      </c>
      <c r="AV67" s="74">
        <f t="shared" si="44"/>
        <v>18</v>
      </c>
      <c r="AW67" s="238">
        <f t="shared" si="44"/>
        <v>44664462</v>
      </c>
      <c r="AX67" s="74">
        <f t="shared" si="44"/>
        <v>20199633</v>
      </c>
      <c r="AY67" s="74">
        <f t="shared" si="44"/>
        <v>45108244</v>
      </c>
      <c r="AZ67" s="74">
        <f t="shared" si="44"/>
        <v>0</v>
      </c>
      <c r="BA67" s="74">
        <f t="shared" si="44"/>
        <v>0</v>
      </c>
      <c r="BB67" s="238">
        <f t="shared" si="44"/>
        <v>65307877</v>
      </c>
      <c r="BC67" s="74">
        <f t="shared" si="44"/>
        <v>26008906</v>
      </c>
      <c r="BD67" s="74">
        <f t="shared" si="44"/>
        <v>40793378</v>
      </c>
      <c r="BE67" s="74">
        <f t="shared" si="44"/>
        <v>0</v>
      </c>
      <c r="BF67" s="74">
        <f t="shared" si="44"/>
        <v>0</v>
      </c>
      <c r="BG67" s="238">
        <f t="shared" si="44"/>
        <v>66802284</v>
      </c>
      <c r="BH67" s="74">
        <f t="shared" si="44"/>
        <v>25807669.761</v>
      </c>
      <c r="BI67" s="74">
        <f t="shared" si="44"/>
        <v>40838471</v>
      </c>
      <c r="BJ67" s="74">
        <f t="shared" si="44"/>
        <v>0</v>
      </c>
      <c r="BK67" s="74">
        <f t="shared" si="44"/>
        <v>60</v>
      </c>
      <c r="BL67" s="238">
        <f t="shared" si="44"/>
        <v>66646200.761</v>
      </c>
      <c r="BM67" s="74">
        <f t="shared" si="44"/>
        <v>15740968.738999987</v>
      </c>
      <c r="BN67" s="74">
        <f t="shared" si="44"/>
        <v>44774612</v>
      </c>
      <c r="BO67" s="74">
        <f t="shared" si="44"/>
        <v>0</v>
      </c>
      <c r="BP67" s="74">
        <f t="shared" si="44"/>
        <v>3</v>
      </c>
      <c r="BQ67" s="238">
        <f t="shared" ref="BQ67:BV67" si="45">SUM(BQ50:BQ66)-BQ52</f>
        <v>60515583.738999985</v>
      </c>
      <c r="BR67" s="74">
        <f t="shared" si="45"/>
        <v>185317730.5</v>
      </c>
      <c r="BS67" s="74">
        <f t="shared" si="45"/>
        <v>500337703</v>
      </c>
      <c r="BT67" s="74">
        <f t="shared" si="45"/>
        <v>0</v>
      </c>
      <c r="BU67" s="74">
        <f t="shared" si="45"/>
        <v>161607</v>
      </c>
      <c r="BV67" s="237">
        <f t="shared" si="45"/>
        <v>685817040.5</v>
      </c>
      <c r="BW67" s="9"/>
      <c r="BX67" s="165">
        <f t="shared" si="17"/>
        <v>100</v>
      </c>
      <c r="CA67" s="72">
        <v>-902.96400001645088</v>
      </c>
      <c r="CB67" s="72">
        <v>-3771</v>
      </c>
      <c r="CC67" s="72">
        <v>0</v>
      </c>
      <c r="CD67" s="72">
        <v>4</v>
      </c>
    </row>
    <row r="68" spans="1:82" ht="13.5" hidden="1" customHeight="1" x14ac:dyDescent="0.2">
      <c r="A68" s="179" t="s">
        <v>239</v>
      </c>
      <c r="B68" s="160"/>
      <c r="D68" s="178" t="s">
        <v>84</v>
      </c>
      <c r="E68" s="163">
        <v>0</v>
      </c>
      <c r="F68" s="163">
        <v>0</v>
      </c>
      <c r="G68" s="163">
        <v>0</v>
      </c>
      <c r="H68" s="204">
        <v>0</v>
      </c>
      <c r="I68" s="35">
        <v>0</v>
      </c>
      <c r="J68" s="216">
        <v>0</v>
      </c>
      <c r="K68" s="216">
        <v>0</v>
      </c>
      <c r="L68" s="216">
        <v>0</v>
      </c>
      <c r="M68" s="216">
        <v>0</v>
      </c>
      <c r="N68" s="37">
        <f>SUM(J68:M68)</f>
        <v>0</v>
      </c>
      <c r="O68" s="163">
        <f>600000-600000</f>
        <v>0</v>
      </c>
      <c r="P68" s="163">
        <v>0</v>
      </c>
      <c r="Q68" s="163">
        <v>0</v>
      </c>
      <c r="R68" s="163">
        <v>0</v>
      </c>
      <c r="S68" s="35">
        <f>SUM(O68:R68)</f>
        <v>0</v>
      </c>
      <c r="T68" s="163">
        <f>600000-600000</f>
        <v>0</v>
      </c>
      <c r="U68" s="163">
        <v>0</v>
      </c>
      <c r="V68" s="163">
        <v>0</v>
      </c>
      <c r="W68" s="163">
        <v>0</v>
      </c>
      <c r="X68" s="35">
        <f>SUM(T68:W68)</f>
        <v>0</v>
      </c>
      <c r="Y68" s="163">
        <v>0</v>
      </c>
      <c r="Z68" s="163">
        <v>0</v>
      </c>
      <c r="AA68" s="163">
        <v>0</v>
      </c>
      <c r="AB68" s="163">
        <v>0</v>
      </c>
      <c r="AC68" s="35">
        <f>SUM(Y68:AB68)</f>
        <v>0</v>
      </c>
      <c r="AD68" s="163">
        <f>600000-600000</f>
        <v>0</v>
      </c>
      <c r="AE68" s="163">
        <v>0</v>
      </c>
      <c r="AF68" s="163">
        <v>0</v>
      </c>
      <c r="AG68" s="163">
        <v>0</v>
      </c>
      <c r="AH68" s="35">
        <f>SUM(AD68:AG68)</f>
        <v>0</v>
      </c>
      <c r="AI68" s="163">
        <f>600000-600000</f>
        <v>0</v>
      </c>
      <c r="AJ68" s="163">
        <v>0</v>
      </c>
      <c r="AK68" s="163">
        <v>0</v>
      </c>
      <c r="AL68" s="163">
        <v>0</v>
      </c>
      <c r="AM68" s="35">
        <f>SUM(AI68:AL68)</f>
        <v>0</v>
      </c>
      <c r="AN68" s="163">
        <v>0</v>
      </c>
      <c r="AO68" s="163">
        <v>0</v>
      </c>
      <c r="AP68" s="163">
        <v>0</v>
      </c>
      <c r="AQ68" s="163">
        <v>0</v>
      </c>
      <c r="AR68" s="35">
        <f>SUM(AN68:AQ68)</f>
        <v>0</v>
      </c>
      <c r="AS68" s="163">
        <f>600000-600000</f>
        <v>0</v>
      </c>
      <c r="AT68" s="163">
        <v>0</v>
      </c>
      <c r="AU68" s="163">
        <v>0</v>
      </c>
      <c r="AV68" s="163">
        <v>0</v>
      </c>
      <c r="AW68" s="35">
        <f>SUM(AS68:AV68)</f>
        <v>0</v>
      </c>
      <c r="AX68" s="163">
        <f>600000-600000</f>
        <v>0</v>
      </c>
      <c r="AY68" s="163">
        <v>0</v>
      </c>
      <c r="AZ68" s="163">
        <v>0</v>
      </c>
      <c r="BA68" s="163">
        <v>0</v>
      </c>
      <c r="BB68" s="35">
        <f>SUM(AX68:BA68)</f>
        <v>0</v>
      </c>
      <c r="BC68" s="163">
        <f>600000-600000</f>
        <v>0</v>
      </c>
      <c r="BD68" s="163">
        <v>0</v>
      </c>
      <c r="BE68" s="163">
        <v>0</v>
      </c>
      <c r="BF68" s="163">
        <v>0</v>
      </c>
      <c r="BG68" s="35">
        <f>SUM(BC68:BF68)</f>
        <v>0</v>
      </c>
      <c r="BH68" s="163">
        <f>600000-600000</f>
        <v>0</v>
      </c>
      <c r="BI68" s="163">
        <v>0</v>
      </c>
      <c r="BJ68" s="163">
        <v>0</v>
      </c>
      <c r="BK68" s="163">
        <v>0</v>
      </c>
      <c r="BL68" s="35">
        <f>SUM(BH68:BK68)</f>
        <v>0</v>
      </c>
      <c r="BM68" s="163">
        <f>600000-600000</f>
        <v>0</v>
      </c>
      <c r="BN68" s="163">
        <v>0</v>
      </c>
      <c r="BO68" s="163">
        <v>0</v>
      </c>
      <c r="BP68" s="163">
        <v>0</v>
      </c>
      <c r="BQ68" s="35">
        <f>SUM(BM68:BP68)</f>
        <v>0</v>
      </c>
      <c r="BR68" s="163">
        <v>0</v>
      </c>
      <c r="BS68" s="163">
        <v>0</v>
      </c>
      <c r="BT68" s="163">
        <v>0</v>
      </c>
      <c r="BU68" s="163">
        <v>0</v>
      </c>
      <c r="BV68" s="37">
        <f>SUM(BR68:BU68)</f>
        <v>0</v>
      </c>
      <c r="BW68" s="2"/>
      <c r="BX68" s="165">
        <v>0</v>
      </c>
      <c r="CA68" s="1">
        <v>0</v>
      </c>
      <c r="CB68" s="1">
        <v>0</v>
      </c>
      <c r="CC68" s="1">
        <v>0</v>
      </c>
      <c r="CD68" s="1">
        <v>0</v>
      </c>
    </row>
    <row r="69" spans="1:82" ht="13.5" hidden="1" customHeight="1" x14ac:dyDescent="0.2">
      <c r="A69" s="197" t="s">
        <v>172</v>
      </c>
      <c r="B69" s="198"/>
      <c r="C69" s="198"/>
      <c r="D69" s="199"/>
      <c r="E69" s="200">
        <f>+E47+E67+E68</f>
        <v>412912185.5</v>
      </c>
      <c r="F69" s="201">
        <f t="shared" ref="F69:M69" si="46">+F47+F67+F68</f>
        <v>1064852827</v>
      </c>
      <c r="G69" s="201">
        <f t="shared" si="46"/>
        <v>14438661</v>
      </c>
      <c r="H69" s="239">
        <f t="shared" si="46"/>
        <v>14525331</v>
      </c>
      <c r="I69" s="202">
        <f t="shared" si="46"/>
        <v>1506729004.5</v>
      </c>
      <c r="J69" s="200">
        <f>+J47+J67+J68</f>
        <v>18788618</v>
      </c>
      <c r="K69" s="201">
        <f t="shared" si="46"/>
        <v>93283578</v>
      </c>
      <c r="L69" s="201">
        <f t="shared" si="46"/>
        <v>721457</v>
      </c>
      <c r="M69" s="239">
        <f t="shared" si="46"/>
        <v>143647</v>
      </c>
      <c r="N69" s="203">
        <f>+N47+N67+N68</f>
        <v>112937300</v>
      </c>
      <c r="O69" s="201">
        <f>+O47+O67+O68</f>
        <v>20710101</v>
      </c>
      <c r="P69" s="201">
        <f>+P47+P67+P68</f>
        <v>82335033</v>
      </c>
      <c r="Q69" s="201">
        <f>+Q47+Q67+Q68</f>
        <v>666131</v>
      </c>
      <c r="R69" s="201">
        <f>+R47+R67+R68</f>
        <v>2238</v>
      </c>
      <c r="S69" s="202">
        <f>+S47+S67</f>
        <v>103713503</v>
      </c>
      <c r="T69" s="201">
        <f>+T47+T67+T68</f>
        <v>35548315</v>
      </c>
      <c r="U69" s="201">
        <f>+U47+U67+U68</f>
        <v>72528134</v>
      </c>
      <c r="V69" s="201">
        <f>+V47+V67+V68</f>
        <v>632902</v>
      </c>
      <c r="W69" s="201">
        <f>+W47+W67+W68</f>
        <v>81612</v>
      </c>
      <c r="X69" s="202">
        <f>+X47+X67</f>
        <v>108790963</v>
      </c>
      <c r="Y69" s="201">
        <f>+Y47+Y67+Y68</f>
        <v>44180438</v>
      </c>
      <c r="Z69" s="201">
        <f>+Z47+Z67+Z68</f>
        <v>126657234</v>
      </c>
      <c r="AA69" s="201">
        <f>+AA47+AA67+AA68</f>
        <v>811895</v>
      </c>
      <c r="AB69" s="201">
        <f>+AB47+AB67+AB68</f>
        <v>3652</v>
      </c>
      <c r="AC69" s="202">
        <f>+AC47+AC67</f>
        <v>171653219</v>
      </c>
      <c r="AD69" s="201">
        <f>+AD47+AD67+AD68</f>
        <v>42277666</v>
      </c>
      <c r="AE69" s="201">
        <f>+AE47+AE67+AE68</f>
        <v>80001117</v>
      </c>
      <c r="AF69" s="201">
        <f>+AF47+AF67+AF68</f>
        <v>1263481</v>
      </c>
      <c r="AG69" s="201">
        <f>+AG47+AG67+AG68</f>
        <v>7423</v>
      </c>
      <c r="AH69" s="202">
        <f>+AH47+AH67</f>
        <v>123549687</v>
      </c>
      <c r="AI69" s="201">
        <f>+AI47+AI67+AI68</f>
        <v>34055777</v>
      </c>
      <c r="AJ69" s="201">
        <f>+AJ47+AJ67+AJ68</f>
        <v>72953707</v>
      </c>
      <c r="AK69" s="201">
        <f>+AK47+AK67+AK68</f>
        <v>920619</v>
      </c>
      <c r="AL69" s="201">
        <f>+AL47+AL67+AL68</f>
        <v>18492</v>
      </c>
      <c r="AM69" s="202">
        <f>+AM47+AM67</f>
        <v>107948595</v>
      </c>
      <c r="AN69" s="201">
        <f>+AN47+AN67+AN68</f>
        <v>24268071</v>
      </c>
      <c r="AO69" s="201">
        <f>+AO47+AO67+AO68</f>
        <v>85604074</v>
      </c>
      <c r="AP69" s="201">
        <f>+AP47+AP67+AP68</f>
        <v>1245809</v>
      </c>
      <c r="AQ69" s="201">
        <f>+AQ47+AQ67+AQ68</f>
        <v>19422</v>
      </c>
      <c r="AR69" s="202">
        <f>+AR47+AR67</f>
        <v>111137376</v>
      </c>
      <c r="AS69" s="201">
        <f>+AS47+AS67+AS68</f>
        <v>23043928</v>
      </c>
      <c r="AT69" s="201">
        <f>+AT47+AT67+AT68</f>
        <v>79944725</v>
      </c>
      <c r="AU69" s="201">
        <f>+AU47+AU67+AU68</f>
        <v>1107054</v>
      </c>
      <c r="AV69" s="201">
        <f>+AV47+AV67+AV68</f>
        <v>13616</v>
      </c>
      <c r="AW69" s="202">
        <f>+AW47+AW67</f>
        <v>104109323</v>
      </c>
      <c r="AX69" s="201">
        <f>+AX47+AX67+AX68</f>
        <v>38617600</v>
      </c>
      <c r="AY69" s="201">
        <f>+AY47+AY67+AY68</f>
        <v>98374441</v>
      </c>
      <c r="AZ69" s="201">
        <f>+AZ47+AZ67+AZ68</f>
        <v>1205141</v>
      </c>
      <c r="BA69" s="201">
        <f>+BA47+BA67+BA68</f>
        <v>4129872</v>
      </c>
      <c r="BB69" s="202">
        <f>+BB47+BB67</f>
        <v>142327054</v>
      </c>
      <c r="BC69" s="201">
        <f>+BC47+BC67+BC68</f>
        <v>44712251</v>
      </c>
      <c r="BD69" s="201">
        <f>+BD47+BD67+BD68</f>
        <v>89871005</v>
      </c>
      <c r="BE69" s="201">
        <f>+BE47+BE67+BE68</f>
        <v>757530</v>
      </c>
      <c r="BF69" s="201">
        <f>+BF47+BF67+BF68</f>
        <v>4346818</v>
      </c>
      <c r="BG69" s="202">
        <f>+BG47+BG67</f>
        <v>139687604</v>
      </c>
      <c r="BH69" s="201">
        <f>+BH47+BH67+BH68</f>
        <v>45123929.761</v>
      </c>
      <c r="BI69" s="201">
        <f>+BI47+BI67+BI68</f>
        <v>73095113</v>
      </c>
      <c r="BJ69" s="201">
        <f>+BJ47+BJ67+BJ68</f>
        <v>999769</v>
      </c>
      <c r="BK69" s="201">
        <f>+BK47+BK67+BK68</f>
        <v>5294244</v>
      </c>
      <c r="BL69" s="202">
        <f>+BL47+BL67</f>
        <v>124513055.76100001</v>
      </c>
      <c r="BM69" s="201">
        <f>+BM47+BM67+BM68</f>
        <v>41585490.738999985</v>
      </c>
      <c r="BN69" s="201">
        <f>+BN47+BN67+BN68</f>
        <v>110204666</v>
      </c>
      <c r="BO69" s="201">
        <f>+BO47+BO67+BO68</f>
        <v>4106873</v>
      </c>
      <c r="BP69" s="201">
        <f>+BP47+BP67+BP68</f>
        <v>464295</v>
      </c>
      <c r="BQ69" s="202">
        <f>+BQ47+BQ67</f>
        <v>156361324.73899999</v>
      </c>
      <c r="BR69" s="201">
        <f>+BR47+BR67+BR68</f>
        <v>412912185.5</v>
      </c>
      <c r="BS69" s="201">
        <f>+BS47+BS67+BS68</f>
        <v>1064852827</v>
      </c>
      <c r="BT69" s="201">
        <f>+BT47+BT67+BT68</f>
        <v>14438661</v>
      </c>
      <c r="BU69" s="239">
        <f>+BU47+BU67+BU68</f>
        <v>14525331</v>
      </c>
      <c r="BV69" s="203">
        <f>+BV47+BV67+BV68</f>
        <v>1506729004.5</v>
      </c>
      <c r="BW69" s="2"/>
      <c r="BX69" s="165">
        <f>(BV69/I69)*100</f>
        <v>100</v>
      </c>
      <c r="CA69" s="1">
        <v>1981632.0360000134</v>
      </c>
      <c r="CB69" s="1">
        <v>-1558378</v>
      </c>
      <c r="CC69" s="1">
        <v>803592</v>
      </c>
      <c r="CD69" s="1">
        <v>412956</v>
      </c>
    </row>
    <row r="70" spans="1:82" ht="13.5" hidden="1" customHeight="1" x14ac:dyDescent="0.2">
      <c r="A70" s="179" t="s">
        <v>252</v>
      </c>
      <c r="B70" s="136"/>
      <c r="D70" s="180"/>
      <c r="E70" s="162">
        <v>0</v>
      </c>
      <c r="F70" s="163">
        <v>0</v>
      </c>
      <c r="G70" s="163">
        <v>0</v>
      </c>
      <c r="H70" s="204">
        <v>0</v>
      </c>
      <c r="I70" s="34">
        <v>0</v>
      </c>
      <c r="J70" s="216">
        <v>0</v>
      </c>
      <c r="K70" s="216">
        <v>0</v>
      </c>
      <c r="L70" s="216">
        <v>0</v>
      </c>
      <c r="M70" s="240">
        <v>0</v>
      </c>
      <c r="N70" s="37">
        <f>SUM(J70:M70)</f>
        <v>0</v>
      </c>
      <c r="O70" s="163">
        <f>2500000-2500000</f>
        <v>0</v>
      </c>
      <c r="P70" s="163">
        <v>0</v>
      </c>
      <c r="Q70" s="163">
        <v>0</v>
      </c>
      <c r="R70" s="163">
        <v>0</v>
      </c>
      <c r="S70" s="35">
        <f>SUM(O70:R70)</f>
        <v>0</v>
      </c>
      <c r="T70" s="163">
        <f>2500000-2500000</f>
        <v>0</v>
      </c>
      <c r="U70" s="163">
        <v>0</v>
      </c>
      <c r="V70" s="163">
        <v>0</v>
      </c>
      <c r="W70" s="163">
        <v>0</v>
      </c>
      <c r="X70" s="35">
        <f>SUM(T70:W70)</f>
        <v>0</v>
      </c>
      <c r="Y70" s="163">
        <f>2500000-2500000</f>
        <v>0</v>
      </c>
      <c r="Z70" s="163">
        <v>0</v>
      </c>
      <c r="AA70" s="163">
        <v>0</v>
      </c>
      <c r="AB70" s="163">
        <v>0</v>
      </c>
      <c r="AC70" s="35">
        <f>SUM(Y70:AB70)</f>
        <v>0</v>
      </c>
      <c r="AD70" s="163">
        <f>2500000-2500000</f>
        <v>0</v>
      </c>
      <c r="AE70" s="163">
        <v>0</v>
      </c>
      <c r="AF70" s="163">
        <v>0</v>
      </c>
      <c r="AG70" s="163">
        <v>0</v>
      </c>
      <c r="AH70" s="35">
        <f>SUM(AD70:AG70)</f>
        <v>0</v>
      </c>
      <c r="AI70" s="163">
        <f>2500000-2500000</f>
        <v>0</v>
      </c>
      <c r="AJ70" s="163">
        <v>0</v>
      </c>
      <c r="AK70" s="163">
        <v>0</v>
      </c>
      <c r="AL70" s="163">
        <v>0</v>
      </c>
      <c r="AM70" s="35">
        <f>SUM(AI70:AL70)</f>
        <v>0</v>
      </c>
      <c r="AN70" s="163">
        <f>2500000-2500000</f>
        <v>0</v>
      </c>
      <c r="AO70" s="163">
        <v>0</v>
      </c>
      <c r="AP70" s="163">
        <v>0</v>
      </c>
      <c r="AQ70" s="163">
        <v>0</v>
      </c>
      <c r="AR70" s="35">
        <f>SUM(AN70:AQ70)</f>
        <v>0</v>
      </c>
      <c r="AS70" s="163">
        <f>2500000-2500000</f>
        <v>0</v>
      </c>
      <c r="AT70" s="163">
        <v>0</v>
      </c>
      <c r="AU70" s="163">
        <v>0</v>
      </c>
      <c r="AV70" s="163">
        <v>0</v>
      </c>
      <c r="AW70" s="35">
        <f>SUM(AS70:AV70)</f>
        <v>0</v>
      </c>
      <c r="AX70" s="163">
        <f>2500000-2500000</f>
        <v>0</v>
      </c>
      <c r="AY70" s="163">
        <v>0</v>
      </c>
      <c r="AZ70" s="163">
        <v>0</v>
      </c>
      <c r="BA70" s="163">
        <v>0</v>
      </c>
      <c r="BB70" s="35">
        <f>SUM(AX70:BA70)</f>
        <v>0</v>
      </c>
      <c r="BC70" s="163">
        <f>2500000-2500000</f>
        <v>0</v>
      </c>
      <c r="BD70" s="163">
        <v>0</v>
      </c>
      <c r="BE70" s="163">
        <v>0</v>
      </c>
      <c r="BF70" s="163"/>
      <c r="BG70" s="35">
        <f>SUM(BC70:BE70)</f>
        <v>0</v>
      </c>
      <c r="BH70" s="163">
        <f>2500000-2500000</f>
        <v>0</v>
      </c>
      <c r="BI70" s="163">
        <v>0</v>
      </c>
      <c r="BJ70" s="163">
        <v>0</v>
      </c>
      <c r="BK70" s="163"/>
      <c r="BL70" s="35">
        <f>SUM(BH70:BJ70)</f>
        <v>0</v>
      </c>
      <c r="BM70" s="163">
        <f>2500000-2500000</f>
        <v>0</v>
      </c>
      <c r="BN70" s="163">
        <v>0</v>
      </c>
      <c r="BO70" s="163">
        <v>0</v>
      </c>
      <c r="BP70" s="163"/>
      <c r="BQ70" s="35">
        <f>SUM(BM70:BO70)</f>
        <v>0</v>
      </c>
      <c r="BR70" s="163">
        <v>0</v>
      </c>
      <c r="BS70" s="163">
        <v>0</v>
      </c>
      <c r="BT70" s="163">
        <v>0</v>
      </c>
      <c r="BU70" s="163">
        <v>0</v>
      </c>
      <c r="BV70" s="37">
        <f>SUM(BR70:BU70)</f>
        <v>0</v>
      </c>
      <c r="BW70" s="2"/>
      <c r="BX70" s="165" t="e">
        <f t="shared" si="17"/>
        <v>#DIV/0!</v>
      </c>
      <c r="CA70" s="1">
        <v>0</v>
      </c>
      <c r="CB70" s="1">
        <v>0</v>
      </c>
      <c r="CC70" s="1">
        <v>0</v>
      </c>
      <c r="CD70" s="1">
        <v>0</v>
      </c>
    </row>
    <row r="71" spans="1:82" ht="13.5" hidden="1" customHeight="1" x14ac:dyDescent="0.2">
      <c r="A71" s="179" t="s">
        <v>243</v>
      </c>
      <c r="B71" s="136"/>
      <c r="D71" s="180"/>
      <c r="E71" s="163">
        <v>0</v>
      </c>
      <c r="F71" s="163">
        <v>0</v>
      </c>
      <c r="G71" s="163">
        <v>0</v>
      </c>
      <c r="H71" s="204">
        <v>0</v>
      </c>
      <c r="I71" s="35"/>
      <c r="J71" s="216"/>
      <c r="K71" s="216"/>
      <c r="L71" s="216"/>
      <c r="M71" s="216"/>
      <c r="N71" s="37"/>
      <c r="O71" s="163"/>
      <c r="P71" s="163"/>
      <c r="Q71" s="163"/>
      <c r="R71" s="163"/>
      <c r="S71" s="35"/>
      <c r="T71" s="163"/>
      <c r="U71" s="163"/>
      <c r="V71" s="163"/>
      <c r="W71" s="163"/>
      <c r="X71" s="35"/>
      <c r="Y71" s="163"/>
      <c r="Z71" s="163"/>
      <c r="AA71" s="163"/>
      <c r="AB71" s="163"/>
      <c r="AC71" s="35"/>
      <c r="AD71" s="163"/>
      <c r="AE71" s="163"/>
      <c r="AF71" s="163"/>
      <c r="AG71" s="163"/>
      <c r="AH71" s="35"/>
      <c r="AI71" s="163"/>
      <c r="AJ71" s="163"/>
      <c r="AK71" s="163"/>
      <c r="AL71" s="163"/>
      <c r="AM71" s="35"/>
      <c r="AN71" s="163"/>
      <c r="AO71" s="163"/>
      <c r="AP71" s="163"/>
      <c r="AQ71" s="163"/>
      <c r="AR71" s="35"/>
      <c r="AS71" s="163"/>
      <c r="AT71" s="163"/>
      <c r="AU71" s="163"/>
      <c r="AV71" s="163"/>
      <c r="AW71" s="35"/>
      <c r="AX71" s="163">
        <v>0</v>
      </c>
      <c r="AY71" s="163">
        <v>0</v>
      </c>
      <c r="AZ71" s="163">
        <v>0</v>
      </c>
      <c r="BA71" s="163">
        <v>0</v>
      </c>
      <c r="BB71" s="35">
        <f>SUM(AX71:BA71)</f>
        <v>0</v>
      </c>
      <c r="BC71" s="163">
        <v>0</v>
      </c>
      <c r="BD71" s="163">
        <v>0</v>
      </c>
      <c r="BE71" s="163">
        <v>0</v>
      </c>
      <c r="BF71" s="163">
        <v>0</v>
      </c>
      <c r="BG71" s="35">
        <f>SUM(BC71:BF71)</f>
        <v>0</v>
      </c>
      <c r="BH71" s="163">
        <v>0</v>
      </c>
      <c r="BI71" s="163">
        <v>0</v>
      </c>
      <c r="BJ71" s="163">
        <v>0</v>
      </c>
      <c r="BK71" s="163">
        <v>0</v>
      </c>
      <c r="BL71" s="35">
        <f>SUM(BH71:BK71)</f>
        <v>0</v>
      </c>
      <c r="BM71" s="163">
        <v>0</v>
      </c>
      <c r="BN71" s="163">
        <v>0</v>
      </c>
      <c r="BO71" s="163">
        <v>0</v>
      </c>
      <c r="BP71" s="163">
        <v>0</v>
      </c>
      <c r="BQ71" s="35">
        <f>SUM(BM71:BP71)</f>
        <v>0</v>
      </c>
      <c r="BR71" s="163">
        <v>0</v>
      </c>
      <c r="BS71" s="163">
        <v>0</v>
      </c>
      <c r="BT71" s="163">
        <v>0</v>
      </c>
      <c r="BU71" s="163">
        <v>0</v>
      </c>
      <c r="BV71" s="37">
        <f>SUM(BR71:BU71)</f>
        <v>0</v>
      </c>
      <c r="BW71" s="2"/>
      <c r="BX71" s="165"/>
      <c r="CA71" s="1">
        <v>0</v>
      </c>
      <c r="CB71" s="1">
        <v>0</v>
      </c>
      <c r="CC71" s="1">
        <v>0</v>
      </c>
      <c r="CD71" s="1">
        <v>0</v>
      </c>
    </row>
    <row r="72" spans="1:82" ht="13.5" hidden="1" customHeight="1" x14ac:dyDescent="0.2">
      <c r="A72" s="179" t="s">
        <v>253</v>
      </c>
      <c r="B72" s="136"/>
      <c r="D72" s="180"/>
      <c r="E72" s="163">
        <v>0</v>
      </c>
      <c r="F72" s="163">
        <v>0</v>
      </c>
      <c r="G72" s="163">
        <v>0</v>
      </c>
      <c r="H72" s="204">
        <v>0</v>
      </c>
      <c r="I72" s="35"/>
      <c r="J72" s="216"/>
      <c r="K72" s="216"/>
      <c r="L72" s="216"/>
      <c r="M72" s="216"/>
      <c r="N72" s="37"/>
      <c r="O72" s="163"/>
      <c r="P72" s="163"/>
      <c r="Q72" s="163"/>
      <c r="R72" s="163"/>
      <c r="S72" s="35"/>
      <c r="T72" s="163"/>
      <c r="U72" s="163"/>
      <c r="V72" s="163"/>
      <c r="W72" s="163"/>
      <c r="X72" s="35"/>
      <c r="Y72" s="163"/>
      <c r="Z72" s="163"/>
      <c r="AA72" s="163"/>
      <c r="AB72" s="163"/>
      <c r="AC72" s="35"/>
      <c r="AD72" s="163"/>
      <c r="AE72" s="163"/>
      <c r="AF72" s="163"/>
      <c r="AG72" s="163"/>
      <c r="AH72" s="35"/>
      <c r="AI72" s="163"/>
      <c r="AJ72" s="163"/>
      <c r="AK72" s="163"/>
      <c r="AL72" s="163"/>
      <c r="AM72" s="35"/>
      <c r="AN72" s="163"/>
      <c r="AO72" s="163"/>
      <c r="AP72" s="163"/>
      <c r="AQ72" s="163"/>
      <c r="AR72" s="35"/>
      <c r="AS72" s="163"/>
      <c r="AT72" s="163"/>
      <c r="AU72" s="163"/>
      <c r="AV72" s="163"/>
      <c r="AW72" s="35"/>
      <c r="AX72" s="163">
        <v>0</v>
      </c>
      <c r="AY72" s="163">
        <v>0</v>
      </c>
      <c r="AZ72" s="163">
        <v>0</v>
      </c>
      <c r="BA72" s="163">
        <v>0</v>
      </c>
      <c r="BB72" s="35">
        <f>SUM(AX72:BA72)</f>
        <v>0</v>
      </c>
      <c r="BC72" s="163">
        <v>0</v>
      </c>
      <c r="BD72" s="163">
        <v>0</v>
      </c>
      <c r="BE72" s="163">
        <v>0</v>
      </c>
      <c r="BF72" s="163">
        <v>0</v>
      </c>
      <c r="BG72" s="35">
        <f>SUM(BC72:BF72)</f>
        <v>0</v>
      </c>
      <c r="BH72" s="163">
        <v>0</v>
      </c>
      <c r="BI72" s="163">
        <v>0</v>
      </c>
      <c r="BJ72" s="163">
        <v>0</v>
      </c>
      <c r="BK72" s="163">
        <v>0</v>
      </c>
      <c r="BL72" s="35">
        <f>SUM(BH72:BK72)</f>
        <v>0</v>
      </c>
      <c r="BM72" s="163">
        <v>0</v>
      </c>
      <c r="BN72" s="163">
        <v>0</v>
      </c>
      <c r="BO72" s="163">
        <v>0</v>
      </c>
      <c r="BP72" s="163">
        <v>0</v>
      </c>
      <c r="BQ72" s="35">
        <f>SUM(BM72:BP72)</f>
        <v>0</v>
      </c>
      <c r="BR72" s="163">
        <v>0</v>
      </c>
      <c r="BS72" s="163">
        <v>0</v>
      </c>
      <c r="BT72" s="163">
        <v>0</v>
      </c>
      <c r="BU72" s="163">
        <v>0</v>
      </c>
      <c r="BV72" s="37">
        <f>SUM(BR72:BU72)</f>
        <v>0</v>
      </c>
      <c r="BW72" s="2"/>
      <c r="BX72" s="165"/>
      <c r="CA72" s="1">
        <v>0</v>
      </c>
      <c r="CB72" s="1">
        <v>0</v>
      </c>
      <c r="CC72" s="1">
        <v>0</v>
      </c>
      <c r="CD72" s="1">
        <v>0</v>
      </c>
    </row>
    <row r="73" spans="1:82" x14ac:dyDescent="0.2">
      <c r="A73" s="197" t="s">
        <v>244</v>
      </c>
      <c r="B73" s="206"/>
      <c r="C73" s="198"/>
      <c r="D73" s="207"/>
      <c r="E73" s="208">
        <f>+E69</f>
        <v>412912185.5</v>
      </c>
      <c r="F73" s="208">
        <f>+F69</f>
        <v>1064852827</v>
      </c>
      <c r="G73" s="208">
        <f>+G69</f>
        <v>14438661</v>
      </c>
      <c r="H73" s="241">
        <f>+H69</f>
        <v>14525331</v>
      </c>
      <c r="I73" s="209">
        <f>+I69+I70+I71+I72</f>
        <v>1506729004.5</v>
      </c>
      <c r="J73" s="81">
        <f t="shared" ref="J73:BU73" si="47">+J69+J70</f>
        <v>18788618</v>
      </c>
      <c r="K73" s="81">
        <f t="shared" si="47"/>
        <v>93283578</v>
      </c>
      <c r="L73" s="81">
        <f t="shared" si="47"/>
        <v>721457</v>
      </c>
      <c r="M73" s="81">
        <f t="shared" si="47"/>
        <v>143647</v>
      </c>
      <c r="N73" s="211">
        <f t="shared" si="47"/>
        <v>112937300</v>
      </c>
      <c r="O73" s="208">
        <f t="shared" si="47"/>
        <v>20710101</v>
      </c>
      <c r="P73" s="208">
        <f t="shared" si="47"/>
        <v>82335033</v>
      </c>
      <c r="Q73" s="208">
        <f t="shared" si="47"/>
        <v>666131</v>
      </c>
      <c r="R73" s="208">
        <f t="shared" si="47"/>
        <v>2238</v>
      </c>
      <c r="S73" s="209">
        <f t="shared" si="47"/>
        <v>103713503</v>
      </c>
      <c r="T73" s="208">
        <f t="shared" si="47"/>
        <v>35548315</v>
      </c>
      <c r="U73" s="208">
        <f t="shared" si="47"/>
        <v>72528134</v>
      </c>
      <c r="V73" s="208">
        <f t="shared" si="47"/>
        <v>632902</v>
      </c>
      <c r="W73" s="208">
        <f t="shared" si="47"/>
        <v>81612</v>
      </c>
      <c r="X73" s="209">
        <f t="shared" si="47"/>
        <v>108790963</v>
      </c>
      <c r="Y73" s="208">
        <f t="shared" si="47"/>
        <v>44180438</v>
      </c>
      <c r="Z73" s="208">
        <f t="shared" si="47"/>
        <v>126657234</v>
      </c>
      <c r="AA73" s="208">
        <f t="shared" si="47"/>
        <v>811895</v>
      </c>
      <c r="AB73" s="208">
        <f t="shared" si="47"/>
        <v>3652</v>
      </c>
      <c r="AC73" s="209">
        <f t="shared" si="47"/>
        <v>171653219</v>
      </c>
      <c r="AD73" s="208">
        <f t="shared" si="47"/>
        <v>42277666</v>
      </c>
      <c r="AE73" s="208">
        <f t="shared" si="47"/>
        <v>80001117</v>
      </c>
      <c r="AF73" s="208">
        <f t="shared" si="47"/>
        <v>1263481</v>
      </c>
      <c r="AG73" s="208">
        <f t="shared" si="47"/>
        <v>7423</v>
      </c>
      <c r="AH73" s="209">
        <f t="shared" si="47"/>
        <v>123549687</v>
      </c>
      <c r="AI73" s="208">
        <f t="shared" si="47"/>
        <v>34055777</v>
      </c>
      <c r="AJ73" s="208">
        <f t="shared" si="47"/>
        <v>72953707</v>
      </c>
      <c r="AK73" s="208">
        <f t="shared" si="47"/>
        <v>920619</v>
      </c>
      <c r="AL73" s="208">
        <f t="shared" si="47"/>
        <v>18492</v>
      </c>
      <c r="AM73" s="209">
        <f t="shared" si="47"/>
        <v>107948595</v>
      </c>
      <c r="AN73" s="208">
        <f t="shared" si="47"/>
        <v>24268071</v>
      </c>
      <c r="AO73" s="208">
        <f t="shared" si="47"/>
        <v>85604074</v>
      </c>
      <c r="AP73" s="208">
        <f t="shared" si="47"/>
        <v>1245809</v>
      </c>
      <c r="AQ73" s="208">
        <f t="shared" si="47"/>
        <v>19422</v>
      </c>
      <c r="AR73" s="209">
        <f t="shared" si="47"/>
        <v>111137376</v>
      </c>
      <c r="AS73" s="208">
        <f t="shared" si="47"/>
        <v>23043928</v>
      </c>
      <c r="AT73" s="208">
        <f t="shared" si="47"/>
        <v>79944725</v>
      </c>
      <c r="AU73" s="208">
        <f t="shared" si="47"/>
        <v>1107054</v>
      </c>
      <c r="AV73" s="208">
        <f t="shared" si="47"/>
        <v>13616</v>
      </c>
      <c r="AW73" s="209">
        <f t="shared" si="47"/>
        <v>104109323</v>
      </c>
      <c r="AX73" s="208">
        <f t="shared" si="47"/>
        <v>38617600</v>
      </c>
      <c r="AY73" s="208">
        <f t="shared" si="47"/>
        <v>98374441</v>
      </c>
      <c r="AZ73" s="208">
        <f t="shared" si="47"/>
        <v>1205141</v>
      </c>
      <c r="BA73" s="208">
        <f t="shared" si="47"/>
        <v>4129872</v>
      </c>
      <c r="BB73" s="209">
        <f t="shared" si="47"/>
        <v>142327054</v>
      </c>
      <c r="BC73" s="208">
        <f t="shared" si="47"/>
        <v>44712251</v>
      </c>
      <c r="BD73" s="208">
        <f t="shared" si="47"/>
        <v>89871005</v>
      </c>
      <c r="BE73" s="208">
        <f t="shared" si="47"/>
        <v>757530</v>
      </c>
      <c r="BF73" s="208">
        <f t="shared" si="47"/>
        <v>4346818</v>
      </c>
      <c r="BG73" s="209">
        <f t="shared" si="47"/>
        <v>139687604</v>
      </c>
      <c r="BH73" s="208">
        <f t="shared" si="47"/>
        <v>45123929.761</v>
      </c>
      <c r="BI73" s="208">
        <f t="shared" si="47"/>
        <v>73095113</v>
      </c>
      <c r="BJ73" s="208">
        <f t="shared" si="47"/>
        <v>999769</v>
      </c>
      <c r="BK73" s="208">
        <f t="shared" si="47"/>
        <v>5294244</v>
      </c>
      <c r="BL73" s="209">
        <f t="shared" si="47"/>
        <v>124513055.76100001</v>
      </c>
      <c r="BM73" s="208">
        <f t="shared" si="47"/>
        <v>41585490.738999985</v>
      </c>
      <c r="BN73" s="208">
        <f t="shared" si="47"/>
        <v>110204666</v>
      </c>
      <c r="BO73" s="208">
        <f t="shared" si="47"/>
        <v>4106873</v>
      </c>
      <c r="BP73" s="208">
        <f t="shared" si="47"/>
        <v>464295</v>
      </c>
      <c r="BQ73" s="209">
        <f t="shared" si="47"/>
        <v>156361324.73899999</v>
      </c>
      <c r="BR73" s="208">
        <f t="shared" si="47"/>
        <v>412912185.5</v>
      </c>
      <c r="BS73" s="208">
        <f t="shared" si="47"/>
        <v>1064852827</v>
      </c>
      <c r="BT73" s="208">
        <f t="shared" si="47"/>
        <v>14438661</v>
      </c>
      <c r="BU73" s="208">
        <f t="shared" si="47"/>
        <v>14525331</v>
      </c>
      <c r="BV73" s="211">
        <f t="shared" ref="BV73" si="48">+BV69+BV70</f>
        <v>1506729004.5</v>
      </c>
      <c r="BW73" s="212"/>
      <c r="BX73" s="165">
        <f>(BV73/I73)*100</f>
        <v>100</v>
      </c>
      <c r="CA73" s="72">
        <f>+E73-BR73</f>
        <v>0</v>
      </c>
      <c r="CB73" s="72">
        <f>+F73-BS73</f>
        <v>0</v>
      </c>
      <c r="CC73" s="72">
        <f>+G73-BT73</f>
        <v>0</v>
      </c>
      <c r="CD73" s="72">
        <f>+H73-BU73</f>
        <v>0</v>
      </c>
    </row>
    <row r="74" spans="1:82" ht="12" customHeight="1" x14ac:dyDescent="0.2">
      <c r="A74" s="213" t="s">
        <v>245</v>
      </c>
      <c r="B74" s="214"/>
      <c r="C74" s="214"/>
      <c r="D74" s="160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</row>
    <row r="75" spans="1:82" x14ac:dyDescent="0.2">
      <c r="A75" s="187" t="s">
        <v>254</v>
      </c>
      <c r="B75" s="217"/>
      <c r="C75" s="217"/>
      <c r="D75" s="217"/>
      <c r="E75" s="217"/>
      <c r="F75" s="217"/>
      <c r="G75" s="217"/>
      <c r="H75" s="217"/>
      <c r="I75" s="54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42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</row>
    <row r="76" spans="1:82" x14ac:dyDescent="0.2">
      <c r="A76" s="188" t="s">
        <v>248</v>
      </c>
      <c r="B76" s="188"/>
      <c r="C76" s="188"/>
      <c r="D76" s="188"/>
      <c r="E76" s="188"/>
      <c r="F76" s="188"/>
      <c r="G76" s="188"/>
      <c r="H76" s="188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</row>
    <row r="77" spans="1:82" s="187" customFormat="1" x14ac:dyDescent="0.2">
      <c r="C77" s="188"/>
    </row>
    <row r="78" spans="1:82" x14ac:dyDescent="0.2">
      <c r="B78" s="168"/>
      <c r="C78" s="160"/>
      <c r="D78" s="160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136"/>
    </row>
    <row r="79" spans="1:82" x14ac:dyDescent="0.2">
      <c r="B79" s="168"/>
      <c r="C79" s="160"/>
      <c r="D79" s="160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136"/>
    </row>
    <row r="80" spans="1:82" x14ac:dyDescent="0.2">
      <c r="B80" s="168"/>
      <c r="C80" s="160"/>
      <c r="D80" s="160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136"/>
    </row>
    <row r="81" spans="2:75" x14ac:dyDescent="0.2">
      <c r="B81" s="168"/>
      <c r="C81" s="160"/>
      <c r="D81" s="160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136"/>
    </row>
    <row r="82" spans="2:75" x14ac:dyDescent="0.2">
      <c r="B82" s="168"/>
      <c r="C82" s="160"/>
      <c r="D82" s="160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136"/>
    </row>
    <row r="83" spans="2:75" x14ac:dyDescent="0.2">
      <c r="B83" s="168"/>
      <c r="C83" s="160"/>
      <c r="D83" s="160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136"/>
    </row>
    <row r="84" spans="2:75" x14ac:dyDescent="0.2">
      <c r="B84" s="168"/>
      <c r="C84" s="160"/>
      <c r="D84" s="160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</row>
    <row r="85" spans="2:75" x14ac:dyDescent="0.2">
      <c r="B85" s="168"/>
      <c r="C85" s="160"/>
      <c r="D85" s="160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</row>
    <row r="86" spans="2:75" x14ac:dyDescent="0.2">
      <c r="B86" s="168"/>
      <c r="C86" s="160"/>
      <c r="D86" s="160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</row>
    <row r="87" spans="2:75" x14ac:dyDescent="0.2">
      <c r="B87" s="168"/>
      <c r="C87" s="160"/>
      <c r="D87" s="160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</row>
    <row r="88" spans="2:75" x14ac:dyDescent="0.2">
      <c r="B88" s="168"/>
      <c r="C88" s="160"/>
      <c r="D88" s="160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</row>
    <row r="89" spans="2:75" x14ac:dyDescent="0.2">
      <c r="B89" s="168"/>
      <c r="C89" s="160"/>
      <c r="D89" s="160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</row>
    <row r="90" spans="2:75" x14ac:dyDescent="0.2">
      <c r="B90" s="168"/>
      <c r="C90" s="160"/>
      <c r="D90" s="160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</row>
    <row r="91" spans="2:75" x14ac:dyDescent="0.2">
      <c r="B91" s="168"/>
      <c r="C91" s="160"/>
      <c r="D91" s="160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</row>
    <row r="92" spans="2:75" x14ac:dyDescent="0.2">
      <c r="B92" s="168"/>
      <c r="C92" s="160"/>
      <c r="D92" s="160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</row>
    <row r="93" spans="2:75" x14ac:dyDescent="0.2">
      <c r="B93" s="168"/>
      <c r="C93" s="160"/>
      <c r="D93" s="160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</row>
    <row r="94" spans="2:75" x14ac:dyDescent="0.2">
      <c r="B94" s="168"/>
      <c r="C94" s="160"/>
      <c r="D94" s="160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</row>
    <row r="95" spans="2:75" x14ac:dyDescent="0.2">
      <c r="B95" s="168"/>
      <c r="C95" s="160"/>
      <c r="D95" s="160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</row>
    <row r="96" spans="2:75" x14ac:dyDescent="0.2">
      <c r="B96" s="168"/>
      <c r="C96" s="160"/>
      <c r="D96" s="160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</row>
    <row r="97" spans="2:74" x14ac:dyDescent="0.2">
      <c r="B97" s="168"/>
      <c r="C97" s="160"/>
      <c r="D97" s="160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</row>
    <row r="98" spans="2:74" x14ac:dyDescent="0.2">
      <c r="B98" s="168"/>
      <c r="C98" s="160"/>
      <c r="D98" s="160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</row>
    <row r="99" spans="2:74" x14ac:dyDescent="0.2">
      <c r="B99" s="168"/>
      <c r="C99" s="160"/>
      <c r="D99" s="160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</row>
    <row r="100" spans="2:74" x14ac:dyDescent="0.2">
      <c r="B100" s="168"/>
      <c r="C100" s="160"/>
      <c r="D100" s="160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</row>
    <row r="101" spans="2:74" x14ac:dyDescent="0.2">
      <c r="B101" s="168"/>
      <c r="C101" s="160"/>
      <c r="D101" s="160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</row>
    <row r="102" spans="2:74" x14ac:dyDescent="0.2">
      <c r="B102" s="168"/>
      <c r="C102" s="160"/>
      <c r="D102" s="160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</row>
    <row r="103" spans="2:74" x14ac:dyDescent="0.2">
      <c r="B103" s="168"/>
      <c r="C103" s="160"/>
      <c r="D103" s="160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</row>
    <row r="104" spans="2:74" x14ac:dyDescent="0.2">
      <c r="B104" s="136"/>
      <c r="D104" s="13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2:74" x14ac:dyDescent="0.2">
      <c r="B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</row>
    <row r="106" spans="2:74" x14ac:dyDescent="0.2">
      <c r="B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</row>
    <row r="107" spans="2:74" x14ac:dyDescent="0.2">
      <c r="B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</row>
    <row r="108" spans="2:74" x14ac:dyDescent="0.2">
      <c r="B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</row>
    <row r="109" spans="2:74" x14ac:dyDescent="0.2">
      <c r="B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</row>
    <row r="110" spans="2:74" x14ac:dyDescent="0.2">
      <c r="B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</row>
    <row r="111" spans="2:74" x14ac:dyDescent="0.2">
      <c r="B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</row>
    <row r="112" spans="2:74" x14ac:dyDescent="0.2">
      <c r="B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</row>
    <row r="113" spans="2:74" x14ac:dyDescent="0.2">
      <c r="B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</row>
    <row r="114" spans="2:74" x14ac:dyDescent="0.2">
      <c r="B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</row>
    <row r="115" spans="2:74" x14ac:dyDescent="0.2">
      <c r="B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</row>
    <row r="116" spans="2:74" x14ac:dyDescent="0.2">
      <c r="B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</row>
    <row r="117" spans="2:74" x14ac:dyDescent="0.2">
      <c r="B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</row>
    <row r="118" spans="2:74" x14ac:dyDescent="0.2">
      <c r="B118" s="136"/>
      <c r="D118" s="136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</row>
    <row r="119" spans="2:74" x14ac:dyDescent="0.2">
      <c r="B119" s="136"/>
      <c r="D119" s="136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</row>
    <row r="120" spans="2:74" x14ac:dyDescent="0.2">
      <c r="B120" s="168"/>
      <c r="C120" s="160"/>
      <c r="D120" s="160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</row>
    <row r="121" spans="2:74" x14ac:dyDescent="0.2">
      <c r="B121" s="168"/>
      <c r="C121" s="168"/>
      <c r="D121" s="168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</row>
    <row r="122" spans="2:74" x14ac:dyDescent="0.2">
      <c r="B122" s="168"/>
      <c r="C122" s="160"/>
      <c r="D122" s="160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</row>
    <row r="123" spans="2:74" x14ac:dyDescent="0.2">
      <c r="B123" s="219"/>
      <c r="C123" s="160"/>
      <c r="D123" s="160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</row>
    <row r="124" spans="2:74" x14ac:dyDescent="0.2">
      <c r="B124" s="168"/>
      <c r="C124" s="160"/>
      <c r="D124" s="160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</row>
    <row r="125" spans="2:74" x14ac:dyDescent="0.2">
      <c r="B125" s="168"/>
      <c r="C125" s="160"/>
      <c r="D125" s="160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</row>
    <row r="126" spans="2:74" x14ac:dyDescent="0.2">
      <c r="B126" s="168"/>
      <c r="C126" s="160"/>
      <c r="D126" s="160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</row>
    <row r="127" spans="2:74" x14ac:dyDescent="0.2">
      <c r="B127" s="168"/>
      <c r="C127" s="160"/>
      <c r="D127" s="160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</row>
    <row r="128" spans="2:74" x14ac:dyDescent="0.2">
      <c r="B128" s="168"/>
      <c r="C128" s="160"/>
      <c r="D128" s="160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</row>
    <row r="129" spans="2:74" x14ac:dyDescent="0.2">
      <c r="B129" s="168"/>
      <c r="C129" s="160"/>
      <c r="D129" s="160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</row>
    <row r="130" spans="2:74" x14ac:dyDescent="0.2">
      <c r="B130" s="168"/>
      <c r="C130" s="160"/>
      <c r="D130" s="160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</row>
    <row r="131" spans="2:74" x14ac:dyDescent="0.2">
      <c r="B131" s="168"/>
      <c r="C131" s="160"/>
      <c r="D131" s="160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</row>
    <row r="132" spans="2:74" x14ac:dyDescent="0.2">
      <c r="B132" s="168"/>
      <c r="C132" s="160"/>
      <c r="D132" s="160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</row>
    <row r="133" spans="2:74" x14ac:dyDescent="0.2">
      <c r="B133" s="168"/>
      <c r="C133" s="168"/>
      <c r="D133" s="168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</row>
    <row r="134" spans="2:74" x14ac:dyDescent="0.2">
      <c r="B134" s="168"/>
      <c r="C134" s="160"/>
      <c r="D134" s="160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</row>
    <row r="135" spans="2:74" x14ac:dyDescent="0.2">
      <c r="B135" s="168"/>
      <c r="C135" s="160"/>
      <c r="D135" s="160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</row>
    <row r="136" spans="2:74" x14ac:dyDescent="0.2">
      <c r="B136" s="168"/>
      <c r="C136" s="160"/>
      <c r="D136" s="160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</row>
    <row r="137" spans="2:74" x14ac:dyDescent="0.2">
      <c r="B137" s="168"/>
      <c r="C137" s="160"/>
      <c r="D137" s="160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</row>
    <row r="138" spans="2:74" x14ac:dyDescent="0.2">
      <c r="B138" s="168"/>
      <c r="C138" s="160"/>
      <c r="D138" s="160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</row>
    <row r="139" spans="2:74" x14ac:dyDescent="0.2">
      <c r="B139" s="168"/>
      <c r="C139" s="160"/>
      <c r="D139" s="160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</row>
    <row r="140" spans="2:74" x14ac:dyDescent="0.2">
      <c r="B140" s="168"/>
      <c r="C140" s="160"/>
      <c r="D140" s="160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</row>
    <row r="141" spans="2:74" x14ac:dyDescent="0.2">
      <c r="B141" s="168"/>
      <c r="C141" s="160"/>
      <c r="D141" s="160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</row>
    <row r="142" spans="2:74" x14ac:dyDescent="0.2">
      <c r="B142" s="168"/>
      <c r="C142" s="160"/>
      <c r="D142" s="160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</row>
    <row r="143" spans="2:74" x14ac:dyDescent="0.2">
      <c r="B143" s="168"/>
      <c r="C143" s="160"/>
      <c r="D143" s="160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</row>
    <row r="144" spans="2:74" x14ac:dyDescent="0.2">
      <c r="B144" s="168"/>
      <c r="C144" s="160"/>
      <c r="D144" s="160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</row>
    <row r="145" spans="2:74" x14ac:dyDescent="0.2">
      <c r="B145" s="168"/>
      <c r="C145" s="160"/>
      <c r="D145" s="160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</row>
    <row r="146" spans="2:74" x14ac:dyDescent="0.2">
      <c r="B146" s="168"/>
      <c r="C146" s="168"/>
      <c r="D146" s="168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</row>
    <row r="147" spans="2:74" x14ac:dyDescent="0.2">
      <c r="B147" s="168"/>
      <c r="C147" s="160"/>
      <c r="D147" s="160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</row>
    <row r="148" spans="2:74" x14ac:dyDescent="0.2">
      <c r="B148" s="168"/>
      <c r="C148" s="160"/>
      <c r="D148" s="160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</row>
    <row r="149" spans="2:74" x14ac:dyDescent="0.2">
      <c r="B149" s="136"/>
      <c r="D149" s="13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2:74" x14ac:dyDescent="0.2">
      <c r="B150" s="168"/>
      <c r="C150" s="160"/>
      <c r="D150" s="160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</row>
    <row r="151" spans="2:74" x14ac:dyDescent="0.2">
      <c r="B151" s="168"/>
      <c r="C151" s="160"/>
      <c r="D151" s="160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</row>
    <row r="152" spans="2:74" x14ac:dyDescent="0.2">
      <c r="B152" s="168"/>
      <c r="C152" s="160"/>
      <c r="D152" s="160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</row>
    <row r="153" spans="2:74" x14ac:dyDescent="0.2">
      <c r="B153" s="168"/>
      <c r="C153" s="160"/>
      <c r="D153" s="160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</row>
    <row r="154" spans="2:74" x14ac:dyDescent="0.2">
      <c r="B154" s="168"/>
      <c r="C154" s="160"/>
      <c r="D154" s="160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</row>
    <row r="155" spans="2:74" x14ac:dyDescent="0.2">
      <c r="B155" s="168"/>
      <c r="C155" s="160"/>
      <c r="D155" s="160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</row>
    <row r="156" spans="2:74" x14ac:dyDescent="0.2">
      <c r="B156" s="168"/>
      <c r="C156" s="160"/>
      <c r="D156" s="160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</row>
    <row r="157" spans="2:74" x14ac:dyDescent="0.2">
      <c r="B157" s="168"/>
      <c r="C157" s="160"/>
      <c r="D157" s="160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</row>
    <row r="158" spans="2:74" x14ac:dyDescent="0.2">
      <c r="B158" s="168"/>
      <c r="C158" s="160"/>
      <c r="D158" s="160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</row>
    <row r="159" spans="2:74" x14ac:dyDescent="0.2">
      <c r="B159" s="168"/>
      <c r="C159" s="160"/>
      <c r="D159" s="160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</row>
    <row r="160" spans="2:74" x14ac:dyDescent="0.2">
      <c r="B160" s="168"/>
      <c r="C160" s="160"/>
      <c r="D160" s="160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</row>
    <row r="161" spans="2:74" x14ac:dyDescent="0.2">
      <c r="B161" s="168"/>
      <c r="C161" s="160"/>
      <c r="D161" s="160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</row>
    <row r="162" spans="2:74" x14ac:dyDescent="0.2">
      <c r="B162" s="168"/>
      <c r="C162" s="160"/>
      <c r="D162" s="160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</row>
    <row r="163" spans="2:74" x14ac:dyDescent="0.2">
      <c r="B163" s="168"/>
      <c r="C163" s="160"/>
      <c r="D163" s="160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</row>
    <row r="164" spans="2:74" x14ac:dyDescent="0.2">
      <c r="B164" s="168"/>
      <c r="C164" s="160"/>
      <c r="D164" s="160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</row>
    <row r="165" spans="2:74" x14ac:dyDescent="0.2">
      <c r="B165" s="168"/>
      <c r="C165" s="160"/>
      <c r="D165" s="160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</row>
    <row r="166" spans="2:74" x14ac:dyDescent="0.2">
      <c r="B166" s="168"/>
      <c r="C166" s="160"/>
      <c r="D166" s="160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</row>
    <row r="167" spans="2:74" x14ac:dyDescent="0.2">
      <c r="B167" s="168"/>
      <c r="C167" s="160"/>
      <c r="D167" s="160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</row>
    <row r="168" spans="2:74" x14ac:dyDescent="0.2">
      <c r="B168" s="168"/>
      <c r="C168" s="160"/>
      <c r="D168" s="160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</row>
    <row r="169" spans="2:74" x14ac:dyDescent="0.2">
      <c r="B169" s="168"/>
      <c r="C169" s="168"/>
      <c r="D169" s="168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</row>
    <row r="170" spans="2:74" x14ac:dyDescent="0.2">
      <c r="B170" s="168"/>
      <c r="C170" s="160"/>
      <c r="D170" s="160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</row>
    <row r="171" spans="2:74" x14ac:dyDescent="0.2">
      <c r="B171" s="219"/>
      <c r="C171" s="160"/>
      <c r="D171" s="160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</row>
    <row r="172" spans="2:74" x14ac:dyDescent="0.2">
      <c r="B172" s="168"/>
      <c r="C172" s="160"/>
      <c r="D172" s="160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</row>
    <row r="173" spans="2:74" x14ac:dyDescent="0.2">
      <c r="B173" s="168"/>
      <c r="C173" s="160"/>
      <c r="D173" s="160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</row>
    <row r="174" spans="2:74" x14ac:dyDescent="0.2">
      <c r="B174" s="168"/>
      <c r="C174" s="160"/>
      <c r="D174" s="160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</row>
    <row r="175" spans="2:74" x14ac:dyDescent="0.2">
      <c r="B175" s="168"/>
      <c r="C175" s="160"/>
      <c r="D175" s="160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</row>
    <row r="176" spans="2:74" x14ac:dyDescent="0.2">
      <c r="B176" s="168"/>
      <c r="C176" s="160"/>
      <c r="D176" s="160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</row>
    <row r="177" spans="2:74" x14ac:dyDescent="0.2">
      <c r="B177" s="168"/>
      <c r="C177" s="160"/>
      <c r="D177" s="160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</row>
    <row r="178" spans="2:74" x14ac:dyDescent="0.2">
      <c r="B178" s="168"/>
      <c r="C178" s="160"/>
      <c r="D178" s="160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</row>
    <row r="179" spans="2:74" x14ac:dyDescent="0.2">
      <c r="B179" s="168"/>
      <c r="C179" s="160"/>
      <c r="D179" s="160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</row>
    <row r="180" spans="2:74" x14ac:dyDescent="0.2">
      <c r="B180" s="168"/>
      <c r="C180" s="160"/>
      <c r="D180" s="160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</row>
    <row r="181" spans="2:74" x14ac:dyDescent="0.2">
      <c r="B181" s="168"/>
      <c r="C181" s="168"/>
      <c r="D181" s="168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</row>
    <row r="182" spans="2:74" x14ac:dyDescent="0.2">
      <c r="B182" s="168"/>
      <c r="C182" s="160"/>
      <c r="D182" s="160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</row>
    <row r="183" spans="2:74" x14ac:dyDescent="0.2">
      <c r="B183" s="168"/>
      <c r="C183" s="160"/>
      <c r="D183" s="160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</row>
    <row r="184" spans="2:74" x14ac:dyDescent="0.2">
      <c r="B184" s="168"/>
      <c r="C184" s="160"/>
      <c r="D184" s="160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</row>
    <row r="185" spans="2:74" x14ac:dyDescent="0.2">
      <c r="B185" s="168"/>
      <c r="C185" s="160"/>
      <c r="D185" s="160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</row>
    <row r="186" spans="2:74" x14ac:dyDescent="0.2">
      <c r="B186" s="168"/>
      <c r="C186" s="160"/>
      <c r="D186" s="160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</row>
    <row r="187" spans="2:74" x14ac:dyDescent="0.2">
      <c r="B187" s="168"/>
      <c r="C187" s="160"/>
      <c r="D187" s="160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</row>
    <row r="188" spans="2:74" x14ac:dyDescent="0.2">
      <c r="B188" s="168"/>
      <c r="C188" s="160"/>
      <c r="D188" s="160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</row>
    <row r="189" spans="2:74" x14ac:dyDescent="0.2">
      <c r="B189" s="168"/>
      <c r="C189" s="160"/>
      <c r="D189" s="160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</row>
    <row r="190" spans="2:74" x14ac:dyDescent="0.2">
      <c r="B190" s="168"/>
      <c r="C190" s="160"/>
      <c r="D190" s="160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</row>
    <row r="191" spans="2:74" x14ac:dyDescent="0.2">
      <c r="B191" s="168"/>
      <c r="C191" s="160"/>
      <c r="D191" s="160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</row>
    <row r="192" spans="2:74" x14ac:dyDescent="0.2">
      <c r="B192" s="168"/>
      <c r="C192" s="160"/>
      <c r="D192" s="160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</row>
    <row r="193" spans="2:74" x14ac:dyDescent="0.2">
      <c r="B193" s="168"/>
      <c r="C193" s="160"/>
      <c r="D193" s="160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</row>
    <row r="194" spans="2:74" x14ac:dyDescent="0.2">
      <c r="B194" s="168"/>
      <c r="C194" s="168"/>
      <c r="D194" s="168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</row>
    <row r="195" spans="2:74" x14ac:dyDescent="0.2">
      <c r="B195" s="168"/>
      <c r="C195" s="168"/>
      <c r="D195" s="168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</row>
    <row r="196" spans="2:74" x14ac:dyDescent="0.2">
      <c r="B196" s="168"/>
      <c r="C196" s="160"/>
      <c r="D196" s="160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</row>
    <row r="197" spans="2:74" x14ac:dyDescent="0.2">
      <c r="B197" s="168"/>
      <c r="C197" s="160"/>
      <c r="D197" s="160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</row>
    <row r="198" spans="2:74" x14ac:dyDescent="0.2">
      <c r="B198" s="168"/>
      <c r="C198" s="160"/>
      <c r="D198" s="160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</row>
    <row r="199" spans="2:74" x14ac:dyDescent="0.2">
      <c r="B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</row>
    <row r="200" spans="2:74" x14ac:dyDescent="0.2">
      <c r="B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</row>
    <row r="201" spans="2:74" x14ac:dyDescent="0.2">
      <c r="B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</row>
    <row r="202" spans="2:74" x14ac:dyDescent="0.2">
      <c r="B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</row>
    <row r="203" spans="2:74" x14ac:dyDescent="0.2">
      <c r="B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</row>
    <row r="204" spans="2:74" x14ac:dyDescent="0.2">
      <c r="B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</row>
    <row r="205" spans="2:74" x14ac:dyDescent="0.2">
      <c r="B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</row>
    <row r="206" spans="2:74" x14ac:dyDescent="0.2">
      <c r="B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</row>
    <row r="207" spans="2:74" x14ac:dyDescent="0.2">
      <c r="B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</row>
    <row r="208" spans="2:74" x14ac:dyDescent="0.2">
      <c r="B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</row>
    <row r="209" spans="2:74" x14ac:dyDescent="0.2">
      <c r="B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</row>
    <row r="210" spans="2:74" x14ac:dyDescent="0.2">
      <c r="B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</row>
    <row r="211" spans="2:74" x14ac:dyDescent="0.2">
      <c r="B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</row>
    <row r="212" spans="2:74" x14ac:dyDescent="0.2">
      <c r="B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</row>
    <row r="213" spans="2:74" x14ac:dyDescent="0.2">
      <c r="B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</row>
    <row r="214" spans="2:74" x14ac:dyDescent="0.2">
      <c r="B214" s="136"/>
      <c r="D214" s="136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</row>
    <row r="215" spans="2:74" x14ac:dyDescent="0.2">
      <c r="B215" s="168"/>
      <c r="C215" s="160"/>
      <c r="D215" s="160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</row>
    <row r="216" spans="2:74" x14ac:dyDescent="0.2">
      <c r="B216" s="168"/>
      <c r="C216" s="160"/>
      <c r="D216" s="160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</row>
    <row r="217" spans="2:74" x14ac:dyDescent="0.2">
      <c r="B217" s="168"/>
      <c r="C217" s="160"/>
      <c r="D217" s="160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</row>
    <row r="218" spans="2:74" x14ac:dyDescent="0.2">
      <c r="B218" s="168"/>
      <c r="C218" s="160"/>
      <c r="D218" s="160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</row>
    <row r="219" spans="2:74" x14ac:dyDescent="0.2">
      <c r="B219" s="168"/>
      <c r="C219" s="160"/>
      <c r="D219" s="160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</row>
    <row r="220" spans="2:74" x14ac:dyDescent="0.2">
      <c r="B220" s="168"/>
      <c r="C220" s="160"/>
      <c r="D220" s="160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</row>
    <row r="221" spans="2:74" x14ac:dyDescent="0.2">
      <c r="B221" s="168"/>
      <c r="C221" s="160"/>
      <c r="D221" s="160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</row>
    <row r="222" spans="2:74" x14ac:dyDescent="0.2">
      <c r="B222" s="168"/>
      <c r="C222" s="160"/>
      <c r="D222" s="160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</row>
    <row r="223" spans="2:74" x14ac:dyDescent="0.2">
      <c r="B223" s="168"/>
      <c r="C223" s="160"/>
      <c r="D223" s="160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</row>
    <row r="224" spans="2:74" x14ac:dyDescent="0.2">
      <c r="B224" s="168"/>
      <c r="C224" s="160"/>
      <c r="D224" s="160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</row>
    <row r="225" spans="2:74" x14ac:dyDescent="0.2">
      <c r="B225" s="168"/>
      <c r="C225" s="160"/>
      <c r="D225" s="160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</row>
    <row r="226" spans="2:74" x14ac:dyDescent="0.2">
      <c r="B226" s="168"/>
      <c r="C226" s="160"/>
      <c r="D226" s="160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</row>
    <row r="227" spans="2:74" x14ac:dyDescent="0.2">
      <c r="B227" s="168"/>
      <c r="C227" s="160"/>
      <c r="D227" s="160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</row>
    <row r="228" spans="2:74" x14ac:dyDescent="0.2">
      <c r="B228" s="168"/>
      <c r="C228" s="160"/>
      <c r="D228" s="160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</row>
    <row r="229" spans="2:74" x14ac:dyDescent="0.2">
      <c r="B229" s="168"/>
      <c r="C229" s="160"/>
      <c r="D229" s="160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</row>
    <row r="230" spans="2:74" x14ac:dyDescent="0.2">
      <c r="B230" s="168"/>
      <c r="C230" s="160"/>
      <c r="D230" s="160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</row>
    <row r="231" spans="2:74" x14ac:dyDescent="0.2">
      <c r="B231" s="168"/>
      <c r="C231" s="160"/>
      <c r="D231" s="160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</row>
    <row r="232" spans="2:74" x14ac:dyDescent="0.2">
      <c r="B232" s="168"/>
      <c r="C232" s="160"/>
      <c r="D232" s="160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</row>
    <row r="233" spans="2:74" x14ac:dyDescent="0.2">
      <c r="B233" s="168"/>
      <c r="C233" s="160"/>
      <c r="D233" s="160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</row>
    <row r="234" spans="2:74" x14ac:dyDescent="0.2">
      <c r="B234" s="168"/>
      <c r="C234" s="160"/>
      <c r="D234" s="160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</row>
    <row r="235" spans="2:74" x14ac:dyDescent="0.2">
      <c r="B235" s="168"/>
      <c r="C235" s="160"/>
      <c r="D235" s="160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</row>
    <row r="236" spans="2:74" x14ac:dyDescent="0.2">
      <c r="B236" s="168"/>
      <c r="C236" s="160"/>
      <c r="D236" s="160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</row>
    <row r="237" spans="2:74" x14ac:dyDescent="0.2">
      <c r="B237" s="168"/>
      <c r="C237" s="160"/>
      <c r="D237" s="160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</row>
    <row r="238" spans="2:74" x14ac:dyDescent="0.2">
      <c r="B238" s="168"/>
      <c r="C238" s="160"/>
      <c r="D238" s="160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</row>
    <row r="239" spans="2:74" x14ac:dyDescent="0.2">
      <c r="B239" s="168"/>
      <c r="C239" s="160"/>
      <c r="D239" s="160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</row>
    <row r="240" spans="2:74" x14ac:dyDescent="0.2">
      <c r="B240" s="168"/>
      <c r="C240" s="160"/>
      <c r="D240" s="160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</row>
    <row r="241" spans="2:74" x14ac:dyDescent="0.2">
      <c r="B241" s="168"/>
      <c r="C241" s="160"/>
      <c r="D241" s="160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</row>
    <row r="242" spans="2:74" x14ac:dyDescent="0.2">
      <c r="B242" s="168"/>
      <c r="C242" s="160"/>
      <c r="D242" s="160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</row>
    <row r="243" spans="2:74" x14ac:dyDescent="0.2">
      <c r="B243" s="168"/>
      <c r="C243" s="160"/>
      <c r="D243" s="160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</row>
    <row r="244" spans="2:74" x14ac:dyDescent="0.2">
      <c r="B244" s="168"/>
      <c r="C244" s="160"/>
      <c r="D244" s="160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</row>
    <row r="245" spans="2:74" x14ac:dyDescent="0.2">
      <c r="B245" s="168"/>
      <c r="C245" s="160"/>
      <c r="D245" s="160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</row>
    <row r="246" spans="2:74" x14ac:dyDescent="0.2">
      <c r="B246" s="168"/>
      <c r="C246" s="160"/>
      <c r="D246" s="160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</row>
    <row r="247" spans="2:74" x14ac:dyDescent="0.2">
      <c r="B247" s="168"/>
      <c r="C247" s="160"/>
      <c r="D247" s="160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</row>
    <row r="248" spans="2:74" x14ac:dyDescent="0.2">
      <c r="B248" s="168"/>
      <c r="C248" s="160"/>
      <c r="D248" s="160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</row>
    <row r="249" spans="2:74" x14ac:dyDescent="0.2">
      <c r="B249" s="168"/>
      <c r="C249" s="160"/>
      <c r="D249" s="160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</row>
    <row r="250" spans="2:74" x14ac:dyDescent="0.2">
      <c r="B250" s="168"/>
      <c r="C250" s="160"/>
      <c r="D250" s="160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</row>
    <row r="251" spans="2:74" x14ac:dyDescent="0.2">
      <c r="B251" s="168"/>
      <c r="C251" s="160"/>
      <c r="D251" s="160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</row>
    <row r="252" spans="2:74" x14ac:dyDescent="0.2">
      <c r="B252" s="168"/>
      <c r="C252" s="160"/>
      <c r="D252" s="160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</row>
    <row r="253" spans="2:74" x14ac:dyDescent="0.2">
      <c r="B253" s="168"/>
      <c r="C253" s="168"/>
      <c r="D253" s="168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</row>
    <row r="254" spans="2:74" x14ac:dyDescent="0.2">
      <c r="B254" s="168"/>
      <c r="C254" s="160"/>
      <c r="D254" s="160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</row>
    <row r="255" spans="2:74" x14ac:dyDescent="0.2">
      <c r="B255" s="219"/>
      <c r="C255" s="160"/>
      <c r="D255" s="160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</row>
    <row r="256" spans="2:74" x14ac:dyDescent="0.2">
      <c r="B256" s="168"/>
      <c r="C256" s="160"/>
      <c r="D256" s="160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</row>
    <row r="257" spans="2:74" x14ac:dyDescent="0.2">
      <c r="B257" s="168"/>
      <c r="C257" s="160"/>
      <c r="D257" s="160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</row>
    <row r="258" spans="2:74" x14ac:dyDescent="0.2">
      <c r="B258" s="168"/>
      <c r="C258" s="160"/>
      <c r="D258" s="160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</row>
    <row r="259" spans="2:74" x14ac:dyDescent="0.2">
      <c r="B259" s="168"/>
      <c r="C259" s="160"/>
      <c r="D259" s="160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</row>
    <row r="260" spans="2:74" x14ac:dyDescent="0.2">
      <c r="B260" s="168"/>
      <c r="C260" s="160"/>
      <c r="D260" s="160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</row>
    <row r="261" spans="2:74" x14ac:dyDescent="0.2">
      <c r="B261" s="168"/>
      <c r="C261" s="160"/>
      <c r="D261" s="160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</row>
    <row r="262" spans="2:74" x14ac:dyDescent="0.2">
      <c r="B262" s="168"/>
      <c r="C262" s="160"/>
      <c r="D262" s="160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</row>
    <row r="263" spans="2:74" x14ac:dyDescent="0.2">
      <c r="B263" s="168"/>
      <c r="C263" s="160"/>
      <c r="D263" s="160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</row>
    <row r="264" spans="2:74" x14ac:dyDescent="0.2">
      <c r="B264" s="168"/>
      <c r="C264" s="160"/>
      <c r="D264" s="160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</row>
    <row r="265" spans="2:74" x14ac:dyDescent="0.2">
      <c r="B265" s="168"/>
      <c r="C265" s="168"/>
      <c r="D265" s="168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</row>
    <row r="266" spans="2:74" x14ac:dyDescent="0.2">
      <c r="B266" s="168"/>
      <c r="C266" s="160"/>
      <c r="D266" s="160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</row>
    <row r="267" spans="2:74" x14ac:dyDescent="0.2">
      <c r="B267" s="168"/>
      <c r="C267" s="160"/>
      <c r="D267" s="160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</row>
    <row r="268" spans="2:74" x14ac:dyDescent="0.2">
      <c r="B268" s="168"/>
      <c r="C268" s="160"/>
      <c r="D268" s="160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</row>
    <row r="269" spans="2:74" x14ac:dyDescent="0.2">
      <c r="B269" s="168"/>
      <c r="C269" s="160"/>
      <c r="D269" s="160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</row>
    <row r="270" spans="2:74" x14ac:dyDescent="0.2">
      <c r="B270" s="168"/>
      <c r="C270" s="160"/>
      <c r="D270" s="160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</row>
    <row r="271" spans="2:74" x14ac:dyDescent="0.2">
      <c r="B271" s="168"/>
      <c r="C271" s="160"/>
      <c r="D271" s="160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</row>
    <row r="272" spans="2:74" x14ac:dyDescent="0.2">
      <c r="B272" s="168"/>
      <c r="C272" s="160"/>
      <c r="D272" s="160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</row>
    <row r="273" spans="2:74" x14ac:dyDescent="0.2">
      <c r="B273" s="168"/>
      <c r="C273" s="160"/>
      <c r="D273" s="160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</row>
    <row r="274" spans="2:74" x14ac:dyDescent="0.2">
      <c r="B274" s="168"/>
      <c r="C274" s="160"/>
      <c r="D274" s="160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</row>
    <row r="275" spans="2:74" x14ac:dyDescent="0.2">
      <c r="B275" s="168"/>
      <c r="C275" s="160"/>
      <c r="D275" s="160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</row>
    <row r="276" spans="2:74" x14ac:dyDescent="0.2">
      <c r="B276" s="168"/>
      <c r="C276" s="160"/>
      <c r="D276" s="160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</row>
    <row r="277" spans="2:74" x14ac:dyDescent="0.2">
      <c r="B277" s="168"/>
      <c r="C277" s="160"/>
      <c r="D277" s="160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</row>
    <row r="278" spans="2:74" x14ac:dyDescent="0.2">
      <c r="B278" s="168"/>
      <c r="C278" s="168"/>
      <c r="D278" s="168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</row>
    <row r="279" spans="2:74" x14ac:dyDescent="0.2">
      <c r="B279" s="168"/>
      <c r="C279" s="168"/>
      <c r="D279" s="168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</row>
    <row r="280" spans="2:74" x14ac:dyDescent="0.2">
      <c r="B280" s="168"/>
      <c r="C280" s="160"/>
      <c r="D280" s="160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</row>
    <row r="281" spans="2:74" x14ac:dyDescent="0.2">
      <c r="B281" s="168"/>
      <c r="C281" s="160"/>
      <c r="D281" s="160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</row>
    <row r="282" spans="2:74" x14ac:dyDescent="0.2">
      <c r="B282" s="168"/>
      <c r="C282" s="160"/>
      <c r="D282" s="160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</row>
    <row r="283" spans="2:74" x14ac:dyDescent="0.2">
      <c r="B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</row>
    <row r="284" spans="2:74" x14ac:dyDescent="0.2">
      <c r="B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</row>
    <row r="285" spans="2:74" x14ac:dyDescent="0.2">
      <c r="B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</row>
    <row r="286" spans="2:74" x14ac:dyDescent="0.2">
      <c r="B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</row>
    <row r="287" spans="2:74" x14ac:dyDescent="0.2">
      <c r="B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</row>
    <row r="288" spans="2:74" x14ac:dyDescent="0.2">
      <c r="B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</row>
    <row r="289" spans="2:74" x14ac:dyDescent="0.2">
      <c r="B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</row>
    <row r="290" spans="2:74" x14ac:dyDescent="0.2">
      <c r="B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</row>
    <row r="291" spans="2:74" x14ac:dyDescent="0.2">
      <c r="B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</row>
    <row r="292" spans="2:74" x14ac:dyDescent="0.2">
      <c r="B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</row>
    <row r="293" spans="2:74" x14ac:dyDescent="0.2">
      <c r="B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</row>
    <row r="294" spans="2:74" x14ac:dyDescent="0.2">
      <c r="B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</row>
    <row r="295" spans="2:74" x14ac:dyDescent="0.2">
      <c r="B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</row>
    <row r="296" spans="2:74" x14ac:dyDescent="0.2">
      <c r="B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</row>
    <row r="297" spans="2:74" x14ac:dyDescent="0.2">
      <c r="B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</row>
    <row r="298" spans="2:74" x14ac:dyDescent="0.2">
      <c r="B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</row>
    <row r="299" spans="2:74" x14ac:dyDescent="0.2">
      <c r="B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</row>
    <row r="300" spans="2:74" x14ac:dyDescent="0.2">
      <c r="B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</row>
    <row r="301" spans="2:74" x14ac:dyDescent="0.2">
      <c r="B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</row>
    <row r="302" spans="2:74" x14ac:dyDescent="0.2">
      <c r="B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</row>
    <row r="303" spans="2:74" x14ac:dyDescent="0.2">
      <c r="B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</row>
    <row r="304" spans="2:74" x14ac:dyDescent="0.2">
      <c r="B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</row>
    <row r="305" spans="2:74" x14ac:dyDescent="0.2">
      <c r="B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</row>
    <row r="306" spans="2:74" x14ac:dyDescent="0.2">
      <c r="B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</row>
    <row r="307" spans="2:74" x14ac:dyDescent="0.2">
      <c r="B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</row>
    <row r="308" spans="2:74" x14ac:dyDescent="0.2">
      <c r="B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</row>
    <row r="309" spans="2:74" x14ac:dyDescent="0.2">
      <c r="B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</row>
    <row r="310" spans="2:74" x14ac:dyDescent="0.2">
      <c r="B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</row>
    <row r="311" spans="2:74" x14ac:dyDescent="0.2">
      <c r="B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</row>
    <row r="312" spans="2:74" x14ac:dyDescent="0.2">
      <c r="B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</row>
    <row r="313" spans="2:74" x14ac:dyDescent="0.2">
      <c r="B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</row>
    <row r="314" spans="2:74" x14ac:dyDescent="0.2">
      <c r="B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</row>
    <row r="315" spans="2:74" x14ac:dyDescent="0.2">
      <c r="B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</row>
    <row r="316" spans="2:74" x14ac:dyDescent="0.2">
      <c r="B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</row>
    <row r="317" spans="2:74" x14ac:dyDescent="0.2">
      <c r="B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</row>
    <row r="318" spans="2:74" x14ac:dyDescent="0.2">
      <c r="B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</row>
    <row r="319" spans="2:74" x14ac:dyDescent="0.2">
      <c r="B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</row>
    <row r="320" spans="2:74" x14ac:dyDescent="0.2">
      <c r="B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</row>
    <row r="321" spans="2:74" x14ac:dyDescent="0.2">
      <c r="B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</row>
    <row r="322" spans="2:74" x14ac:dyDescent="0.2">
      <c r="B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</row>
    <row r="323" spans="2:74" x14ac:dyDescent="0.2">
      <c r="B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</row>
    <row r="324" spans="2:74" x14ac:dyDescent="0.2">
      <c r="B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</row>
    <row r="325" spans="2:74" x14ac:dyDescent="0.2">
      <c r="B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</row>
    <row r="326" spans="2:74" x14ac:dyDescent="0.2">
      <c r="B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</row>
    <row r="327" spans="2:74" x14ac:dyDescent="0.2">
      <c r="B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</row>
    <row r="328" spans="2:74" x14ac:dyDescent="0.2">
      <c r="B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</row>
    <row r="329" spans="2:74" x14ac:dyDescent="0.2">
      <c r="B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</row>
    <row r="330" spans="2:74" x14ac:dyDescent="0.2">
      <c r="B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</row>
    <row r="331" spans="2:74" x14ac:dyDescent="0.2">
      <c r="B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</row>
    <row r="332" spans="2:74" x14ac:dyDescent="0.2">
      <c r="B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</row>
    <row r="333" spans="2:74" x14ac:dyDescent="0.2">
      <c r="B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</row>
    <row r="334" spans="2:74" x14ac:dyDescent="0.2">
      <c r="B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</row>
    <row r="335" spans="2:74" x14ac:dyDescent="0.2">
      <c r="B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</row>
    <row r="336" spans="2:74" x14ac:dyDescent="0.2">
      <c r="B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</row>
    <row r="337" spans="2:74" x14ac:dyDescent="0.2">
      <c r="B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</row>
    <row r="338" spans="2:74" x14ac:dyDescent="0.2">
      <c r="B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</row>
    <row r="339" spans="2:74" x14ac:dyDescent="0.2">
      <c r="B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</row>
    <row r="340" spans="2:74" x14ac:dyDescent="0.2">
      <c r="B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</row>
    <row r="341" spans="2:74" x14ac:dyDescent="0.2">
      <c r="B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</row>
    <row r="342" spans="2:74" x14ac:dyDescent="0.2">
      <c r="B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</row>
    <row r="343" spans="2:74" x14ac:dyDescent="0.2">
      <c r="B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</row>
    <row r="344" spans="2:74" x14ac:dyDescent="0.2">
      <c r="B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</row>
    <row r="345" spans="2:74" x14ac:dyDescent="0.2">
      <c r="B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</row>
    <row r="346" spans="2:74" x14ac:dyDescent="0.2">
      <c r="B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</row>
    <row r="347" spans="2:74" x14ac:dyDescent="0.2">
      <c r="B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</row>
    <row r="348" spans="2:74" x14ac:dyDescent="0.2">
      <c r="B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</row>
    <row r="349" spans="2:74" x14ac:dyDescent="0.2">
      <c r="B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</row>
    <row r="350" spans="2:74" x14ac:dyDescent="0.2">
      <c r="B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</row>
    <row r="351" spans="2:74" x14ac:dyDescent="0.2">
      <c r="B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</row>
    <row r="352" spans="2:74" x14ac:dyDescent="0.2">
      <c r="B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</row>
    <row r="353" spans="2:74" x14ac:dyDescent="0.2">
      <c r="B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</row>
    <row r="354" spans="2:74" x14ac:dyDescent="0.2">
      <c r="B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</row>
    <row r="355" spans="2:74" x14ac:dyDescent="0.2">
      <c r="B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</row>
    <row r="356" spans="2:74" x14ac:dyDescent="0.2">
      <c r="B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</row>
    <row r="357" spans="2:74" x14ac:dyDescent="0.2">
      <c r="B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</row>
    <row r="358" spans="2:74" x14ac:dyDescent="0.2">
      <c r="B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</row>
    <row r="359" spans="2:74" x14ac:dyDescent="0.2">
      <c r="B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</row>
    <row r="360" spans="2:74" x14ac:dyDescent="0.2">
      <c r="B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</row>
    <row r="361" spans="2:74" x14ac:dyDescent="0.2">
      <c r="B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</row>
    <row r="362" spans="2:74" x14ac:dyDescent="0.2">
      <c r="B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</row>
    <row r="363" spans="2:74" x14ac:dyDescent="0.2">
      <c r="B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</row>
    <row r="364" spans="2:74" x14ac:dyDescent="0.2">
      <c r="B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</row>
    <row r="365" spans="2:74" x14ac:dyDescent="0.2">
      <c r="B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</row>
    <row r="366" spans="2:74" x14ac:dyDescent="0.2">
      <c r="B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</row>
    <row r="367" spans="2:74" x14ac:dyDescent="0.2">
      <c r="B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</row>
    <row r="368" spans="2:74" x14ac:dyDescent="0.2">
      <c r="B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</row>
    <row r="369" spans="2:74" x14ac:dyDescent="0.2">
      <c r="B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</row>
    <row r="370" spans="2:74" x14ac:dyDescent="0.2">
      <c r="B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</row>
    <row r="371" spans="2:74" x14ac:dyDescent="0.2">
      <c r="B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</row>
    <row r="372" spans="2:74" x14ac:dyDescent="0.2">
      <c r="B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</row>
    <row r="373" spans="2:74" x14ac:dyDescent="0.2">
      <c r="B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</row>
    <row r="374" spans="2:74" x14ac:dyDescent="0.2">
      <c r="B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</row>
    <row r="375" spans="2:74" x14ac:dyDescent="0.2">
      <c r="B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</row>
    <row r="376" spans="2:74" x14ac:dyDescent="0.2">
      <c r="B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</row>
    <row r="377" spans="2:74" x14ac:dyDescent="0.2">
      <c r="B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</row>
    <row r="378" spans="2:74" x14ac:dyDescent="0.2">
      <c r="B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</row>
    <row r="379" spans="2:74" x14ac:dyDescent="0.2">
      <c r="B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</row>
    <row r="380" spans="2:74" x14ac:dyDescent="0.2">
      <c r="B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</row>
    <row r="381" spans="2:74" x14ac:dyDescent="0.2">
      <c r="B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</row>
    <row r="382" spans="2:74" x14ac:dyDescent="0.2">
      <c r="B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</row>
    <row r="383" spans="2:74" x14ac:dyDescent="0.2">
      <c r="B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</row>
    <row r="384" spans="2:74" x14ac:dyDescent="0.2">
      <c r="B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</row>
    <row r="385" spans="2:74" x14ac:dyDescent="0.2">
      <c r="B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</row>
    <row r="386" spans="2:74" x14ac:dyDescent="0.2">
      <c r="B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</row>
    <row r="387" spans="2:74" x14ac:dyDescent="0.2">
      <c r="B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</row>
    <row r="388" spans="2:74" x14ac:dyDescent="0.2">
      <c r="B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</row>
    <row r="389" spans="2:74" x14ac:dyDescent="0.2">
      <c r="B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</row>
    <row r="390" spans="2:74" x14ac:dyDescent="0.2">
      <c r="B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</row>
    <row r="391" spans="2:74" x14ac:dyDescent="0.2">
      <c r="B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</row>
    <row r="392" spans="2:74" x14ac:dyDescent="0.2">
      <c r="B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</row>
    <row r="393" spans="2:74" x14ac:dyDescent="0.2">
      <c r="B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</row>
    <row r="394" spans="2:74" x14ac:dyDescent="0.2">
      <c r="B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</row>
    <row r="395" spans="2:74" x14ac:dyDescent="0.2">
      <c r="B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</row>
    <row r="396" spans="2:74" x14ac:dyDescent="0.2">
      <c r="B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</row>
    <row r="397" spans="2:74" x14ac:dyDescent="0.2">
      <c r="B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</row>
    <row r="398" spans="2:74" x14ac:dyDescent="0.2">
      <c r="B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</row>
    <row r="399" spans="2:74" x14ac:dyDescent="0.2">
      <c r="B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</row>
    <row r="400" spans="2:74" x14ac:dyDescent="0.2">
      <c r="B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</row>
    <row r="401" spans="2:74" x14ac:dyDescent="0.2">
      <c r="B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</row>
    <row r="402" spans="2:74" x14ac:dyDescent="0.2">
      <c r="B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</row>
    <row r="403" spans="2:74" x14ac:dyDescent="0.2">
      <c r="B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</row>
    <row r="404" spans="2:74" x14ac:dyDescent="0.2">
      <c r="B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</row>
    <row r="405" spans="2:74" x14ac:dyDescent="0.2">
      <c r="B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</row>
    <row r="406" spans="2:74" x14ac:dyDescent="0.2">
      <c r="B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</row>
    <row r="407" spans="2:74" x14ac:dyDescent="0.2">
      <c r="B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</row>
    <row r="408" spans="2:74" x14ac:dyDescent="0.2">
      <c r="B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</row>
    <row r="409" spans="2:74" x14ac:dyDescent="0.2">
      <c r="B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</row>
    <row r="410" spans="2:74" x14ac:dyDescent="0.2">
      <c r="B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</row>
    <row r="411" spans="2:74" x14ac:dyDescent="0.2">
      <c r="B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</row>
    <row r="412" spans="2:74" x14ac:dyDescent="0.2">
      <c r="B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</row>
    <row r="413" spans="2:74" x14ac:dyDescent="0.2">
      <c r="B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</row>
    <row r="414" spans="2:74" x14ac:dyDescent="0.2">
      <c r="B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</row>
    <row r="415" spans="2:74" x14ac:dyDescent="0.2">
      <c r="B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</row>
    <row r="416" spans="2:74" x14ac:dyDescent="0.2">
      <c r="B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</row>
    <row r="417" spans="2:74" x14ac:dyDescent="0.2">
      <c r="B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</row>
    <row r="418" spans="2:74" x14ac:dyDescent="0.2">
      <c r="B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</row>
    <row r="419" spans="2:74" x14ac:dyDescent="0.2">
      <c r="B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</row>
    <row r="420" spans="2:74" x14ac:dyDescent="0.2">
      <c r="B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</row>
    <row r="421" spans="2:74" x14ac:dyDescent="0.2">
      <c r="B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</row>
    <row r="422" spans="2:74" x14ac:dyDescent="0.2">
      <c r="B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  <c r="BQ422" s="136"/>
      <c r="BR422" s="136"/>
      <c r="BS422" s="136"/>
      <c r="BT422" s="136"/>
      <c r="BU422" s="136"/>
      <c r="BV422" s="136"/>
    </row>
    <row r="423" spans="2:74" x14ac:dyDescent="0.2">
      <c r="B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</row>
    <row r="424" spans="2:74" x14ac:dyDescent="0.2">
      <c r="B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  <c r="BQ424" s="136"/>
      <c r="BR424" s="136"/>
      <c r="BS424" s="136"/>
      <c r="BT424" s="136"/>
      <c r="BU424" s="136"/>
      <c r="BV424" s="136"/>
    </row>
    <row r="425" spans="2:74" x14ac:dyDescent="0.2">
      <c r="B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6"/>
      <c r="BM425" s="136"/>
      <c r="BN425" s="136"/>
      <c r="BO425" s="136"/>
      <c r="BP425" s="136"/>
      <c r="BQ425" s="136"/>
      <c r="BR425" s="136"/>
      <c r="BS425" s="136"/>
      <c r="BT425" s="136"/>
      <c r="BU425" s="136"/>
      <c r="BV425" s="136"/>
    </row>
    <row r="426" spans="2:74" x14ac:dyDescent="0.2">
      <c r="B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  <c r="BQ426" s="136"/>
      <c r="BR426" s="136"/>
      <c r="BS426" s="136"/>
      <c r="BT426" s="136"/>
      <c r="BU426" s="136"/>
      <c r="BV426" s="136"/>
    </row>
    <row r="427" spans="2:74" x14ac:dyDescent="0.2">
      <c r="B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6"/>
      <c r="BM427" s="136"/>
      <c r="BN427" s="136"/>
      <c r="BO427" s="136"/>
      <c r="BP427" s="136"/>
      <c r="BQ427" s="136"/>
      <c r="BR427" s="136"/>
      <c r="BS427" s="136"/>
      <c r="BT427" s="136"/>
      <c r="BU427" s="136"/>
      <c r="BV427" s="136"/>
    </row>
    <row r="428" spans="2:74" x14ac:dyDescent="0.2">
      <c r="B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6"/>
      <c r="BM428" s="136"/>
      <c r="BN428" s="136"/>
      <c r="BO428" s="136"/>
      <c r="BP428" s="136"/>
      <c r="BQ428" s="136"/>
      <c r="BR428" s="136"/>
      <c r="BS428" s="136"/>
      <c r="BT428" s="136"/>
      <c r="BU428" s="136"/>
      <c r="BV428" s="136"/>
    </row>
    <row r="429" spans="2:74" x14ac:dyDescent="0.2">
      <c r="B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  <c r="BQ429" s="136"/>
      <c r="BR429" s="136"/>
      <c r="BS429" s="136"/>
      <c r="BT429" s="136"/>
      <c r="BU429" s="136"/>
      <c r="BV429" s="136"/>
    </row>
    <row r="430" spans="2:74" x14ac:dyDescent="0.2">
      <c r="B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  <c r="BJ430" s="136"/>
      <c r="BK430" s="136"/>
      <c r="BL430" s="136"/>
      <c r="BM430" s="136"/>
      <c r="BN430" s="136"/>
      <c r="BO430" s="136"/>
      <c r="BP430" s="136"/>
      <c r="BQ430" s="136"/>
      <c r="BR430" s="136"/>
      <c r="BS430" s="136"/>
      <c r="BT430" s="136"/>
      <c r="BU430" s="136"/>
      <c r="BV430" s="136"/>
    </row>
    <row r="431" spans="2:74" x14ac:dyDescent="0.2">
      <c r="B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36"/>
      <c r="BM431" s="136"/>
      <c r="BN431" s="136"/>
      <c r="BO431" s="136"/>
      <c r="BP431" s="136"/>
      <c r="BQ431" s="136"/>
      <c r="BR431" s="136"/>
      <c r="BS431" s="136"/>
      <c r="BT431" s="136"/>
      <c r="BU431" s="136"/>
      <c r="BV431" s="136"/>
    </row>
    <row r="432" spans="2:74" x14ac:dyDescent="0.2">
      <c r="B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36"/>
      <c r="BM432" s="136"/>
      <c r="BN432" s="136"/>
      <c r="BO432" s="136"/>
      <c r="BP432" s="136"/>
      <c r="BQ432" s="136"/>
      <c r="BR432" s="136"/>
      <c r="BS432" s="136"/>
      <c r="BT432" s="136"/>
      <c r="BU432" s="136"/>
      <c r="BV432" s="136"/>
    </row>
    <row r="433" spans="2:74" x14ac:dyDescent="0.2">
      <c r="B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36"/>
      <c r="BM433" s="136"/>
      <c r="BN433" s="136"/>
      <c r="BO433" s="136"/>
      <c r="BP433" s="136"/>
      <c r="BQ433" s="136"/>
      <c r="BR433" s="136"/>
      <c r="BS433" s="136"/>
      <c r="BT433" s="136"/>
      <c r="BU433" s="136"/>
      <c r="BV433" s="136"/>
    </row>
    <row r="434" spans="2:74" x14ac:dyDescent="0.2">
      <c r="B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36"/>
      <c r="BM434" s="136"/>
      <c r="BN434" s="136"/>
      <c r="BO434" s="136"/>
      <c r="BP434" s="136"/>
      <c r="BQ434" s="136"/>
      <c r="BR434" s="136"/>
      <c r="BS434" s="136"/>
      <c r="BT434" s="136"/>
      <c r="BU434" s="136"/>
      <c r="BV434" s="136"/>
    </row>
    <row r="435" spans="2:74" x14ac:dyDescent="0.2">
      <c r="B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6"/>
      <c r="BM435" s="136"/>
      <c r="BN435" s="136"/>
      <c r="BO435" s="136"/>
      <c r="BP435" s="136"/>
      <c r="BQ435" s="136"/>
      <c r="BR435" s="136"/>
      <c r="BS435" s="136"/>
      <c r="BT435" s="136"/>
      <c r="BU435" s="136"/>
      <c r="BV435" s="136"/>
    </row>
    <row r="436" spans="2:74" x14ac:dyDescent="0.2">
      <c r="B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6"/>
      <c r="BS436" s="136"/>
      <c r="BT436" s="136"/>
      <c r="BU436" s="136"/>
      <c r="BV436" s="136"/>
    </row>
    <row r="437" spans="2:74" x14ac:dyDescent="0.2">
      <c r="B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</row>
    <row r="438" spans="2:74" x14ac:dyDescent="0.2">
      <c r="B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6"/>
      <c r="BU438" s="136"/>
      <c r="BV438" s="136"/>
    </row>
    <row r="439" spans="2:74" x14ac:dyDescent="0.2">
      <c r="B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6"/>
      <c r="BU439" s="136"/>
      <c r="BV439" s="136"/>
    </row>
    <row r="440" spans="2:74" x14ac:dyDescent="0.2">
      <c r="B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  <c r="BQ440" s="136"/>
      <c r="BR440" s="136"/>
      <c r="BS440" s="136"/>
      <c r="BT440" s="136"/>
      <c r="BU440" s="136"/>
      <c r="BV440" s="136"/>
    </row>
    <row r="441" spans="2:74" x14ac:dyDescent="0.2">
      <c r="B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6"/>
      <c r="BU441" s="136"/>
      <c r="BV441" s="136"/>
    </row>
    <row r="442" spans="2:74" x14ac:dyDescent="0.2">
      <c r="B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36"/>
      <c r="BM442" s="136"/>
      <c r="BN442" s="136"/>
      <c r="BO442" s="136"/>
      <c r="BP442" s="136"/>
      <c r="BQ442" s="136"/>
      <c r="BR442" s="136"/>
      <c r="BS442" s="136"/>
      <c r="BT442" s="136"/>
      <c r="BU442" s="136"/>
      <c r="BV442" s="136"/>
    </row>
    <row r="443" spans="2:74" x14ac:dyDescent="0.2">
      <c r="B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36"/>
      <c r="BM443" s="136"/>
      <c r="BN443" s="136"/>
      <c r="BO443" s="136"/>
      <c r="BP443" s="136"/>
      <c r="BQ443" s="136"/>
      <c r="BR443" s="136"/>
      <c r="BS443" s="136"/>
      <c r="BT443" s="136"/>
      <c r="BU443" s="136"/>
      <c r="BV443" s="136"/>
    </row>
    <row r="444" spans="2:74" x14ac:dyDescent="0.2">
      <c r="B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6"/>
      <c r="BM444" s="136"/>
      <c r="BN444" s="136"/>
      <c r="BO444" s="136"/>
      <c r="BP444" s="136"/>
      <c r="BQ444" s="136"/>
      <c r="BR444" s="136"/>
      <c r="BS444" s="136"/>
      <c r="BT444" s="136"/>
      <c r="BU444" s="136"/>
      <c r="BV444" s="136"/>
    </row>
    <row r="445" spans="2:74" x14ac:dyDescent="0.2">
      <c r="B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36"/>
      <c r="BM445" s="136"/>
      <c r="BN445" s="136"/>
      <c r="BO445" s="136"/>
      <c r="BP445" s="136"/>
      <c r="BQ445" s="136"/>
      <c r="BR445" s="136"/>
      <c r="BS445" s="136"/>
      <c r="BT445" s="136"/>
      <c r="BU445" s="136"/>
      <c r="BV445" s="136"/>
    </row>
    <row r="446" spans="2:74" x14ac:dyDescent="0.2">
      <c r="B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36"/>
      <c r="BM446" s="136"/>
      <c r="BN446" s="136"/>
      <c r="BO446" s="136"/>
      <c r="BP446" s="136"/>
      <c r="BQ446" s="136"/>
      <c r="BR446" s="136"/>
      <c r="BS446" s="136"/>
      <c r="BT446" s="136"/>
      <c r="BU446" s="136"/>
      <c r="BV446" s="136"/>
    </row>
    <row r="447" spans="2:74" x14ac:dyDescent="0.2">
      <c r="B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36"/>
      <c r="BM447" s="136"/>
      <c r="BN447" s="136"/>
      <c r="BO447" s="136"/>
      <c r="BP447" s="136"/>
      <c r="BQ447" s="136"/>
      <c r="BR447" s="136"/>
      <c r="BS447" s="136"/>
      <c r="BT447" s="136"/>
      <c r="BU447" s="136"/>
      <c r="BV447" s="136"/>
    </row>
    <row r="448" spans="2:74" x14ac:dyDescent="0.2">
      <c r="B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36"/>
      <c r="BM448" s="136"/>
      <c r="BN448" s="136"/>
      <c r="BO448" s="136"/>
      <c r="BP448" s="136"/>
      <c r="BQ448" s="136"/>
      <c r="BR448" s="136"/>
      <c r="BS448" s="136"/>
      <c r="BT448" s="136"/>
      <c r="BU448" s="136"/>
      <c r="BV448" s="136"/>
    </row>
    <row r="449" spans="2:74" x14ac:dyDescent="0.2">
      <c r="B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36"/>
      <c r="BM449" s="136"/>
      <c r="BN449" s="136"/>
      <c r="BO449" s="136"/>
      <c r="BP449" s="136"/>
      <c r="BQ449" s="136"/>
      <c r="BR449" s="136"/>
      <c r="BS449" s="136"/>
      <c r="BT449" s="136"/>
      <c r="BU449" s="136"/>
      <c r="BV449" s="136"/>
    </row>
    <row r="450" spans="2:74" x14ac:dyDescent="0.2">
      <c r="B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  <c r="BJ450" s="136"/>
      <c r="BK450" s="136"/>
      <c r="BL450" s="136"/>
      <c r="BM450" s="136"/>
      <c r="BN450" s="136"/>
      <c r="BO450" s="136"/>
      <c r="BP450" s="136"/>
      <c r="BQ450" s="136"/>
      <c r="BR450" s="136"/>
      <c r="BS450" s="136"/>
      <c r="BT450" s="136"/>
      <c r="BU450" s="136"/>
      <c r="BV450" s="136"/>
    </row>
    <row r="451" spans="2:74" x14ac:dyDescent="0.2">
      <c r="B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36"/>
      <c r="BM451" s="136"/>
      <c r="BN451" s="136"/>
      <c r="BO451" s="136"/>
      <c r="BP451" s="136"/>
      <c r="BQ451" s="136"/>
      <c r="BR451" s="136"/>
      <c r="BS451" s="136"/>
      <c r="BT451" s="136"/>
      <c r="BU451" s="136"/>
      <c r="BV451" s="136"/>
    </row>
    <row r="452" spans="2:74" x14ac:dyDescent="0.2">
      <c r="B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36"/>
      <c r="BM452" s="136"/>
      <c r="BN452" s="136"/>
      <c r="BO452" s="136"/>
      <c r="BP452" s="136"/>
      <c r="BQ452" s="136"/>
      <c r="BR452" s="136"/>
      <c r="BS452" s="136"/>
      <c r="BT452" s="136"/>
      <c r="BU452" s="136"/>
      <c r="BV452" s="136"/>
    </row>
    <row r="453" spans="2:74" x14ac:dyDescent="0.2">
      <c r="B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  <c r="BJ453" s="136"/>
      <c r="BK453" s="136"/>
      <c r="BL453" s="136"/>
      <c r="BM453" s="136"/>
      <c r="BN453" s="136"/>
      <c r="BO453" s="136"/>
      <c r="BP453" s="136"/>
      <c r="BQ453" s="136"/>
      <c r="BR453" s="136"/>
      <c r="BS453" s="136"/>
      <c r="BT453" s="136"/>
      <c r="BU453" s="136"/>
      <c r="BV453" s="136"/>
    </row>
    <row r="454" spans="2:74" x14ac:dyDescent="0.2">
      <c r="B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6"/>
      <c r="BM454" s="136"/>
      <c r="BN454" s="136"/>
      <c r="BO454" s="136"/>
      <c r="BP454" s="136"/>
      <c r="BQ454" s="136"/>
      <c r="BR454" s="136"/>
      <c r="BS454" s="136"/>
      <c r="BT454" s="136"/>
      <c r="BU454" s="136"/>
      <c r="BV454" s="136"/>
    </row>
    <row r="455" spans="2:74" x14ac:dyDescent="0.2">
      <c r="B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</row>
    <row r="456" spans="2:74" x14ac:dyDescent="0.2">
      <c r="B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</row>
    <row r="457" spans="2:74" x14ac:dyDescent="0.2">
      <c r="B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6"/>
      <c r="BU457" s="136"/>
      <c r="BV457" s="136"/>
    </row>
    <row r="458" spans="2:74" x14ac:dyDescent="0.2">
      <c r="B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6"/>
      <c r="BU458" s="136"/>
      <c r="BV458" s="136"/>
    </row>
    <row r="459" spans="2:74" x14ac:dyDescent="0.2">
      <c r="B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6"/>
      <c r="BM459" s="136"/>
      <c r="BN459" s="136"/>
      <c r="BO459" s="136"/>
      <c r="BP459" s="136"/>
      <c r="BQ459" s="136"/>
      <c r="BR459" s="136"/>
      <c r="BS459" s="136"/>
      <c r="BT459" s="136"/>
      <c r="BU459" s="136"/>
      <c r="BV459" s="136"/>
    </row>
    <row r="460" spans="2:74" x14ac:dyDescent="0.2">
      <c r="B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36"/>
      <c r="BM460" s="136"/>
      <c r="BN460" s="136"/>
      <c r="BO460" s="136"/>
      <c r="BP460" s="136"/>
      <c r="BQ460" s="136"/>
      <c r="BR460" s="136"/>
      <c r="BS460" s="136"/>
      <c r="BT460" s="136"/>
      <c r="BU460" s="136"/>
      <c r="BV460" s="136"/>
    </row>
    <row r="461" spans="2:74" x14ac:dyDescent="0.2">
      <c r="B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36"/>
      <c r="BM461" s="136"/>
      <c r="BN461" s="136"/>
      <c r="BO461" s="136"/>
      <c r="BP461" s="136"/>
      <c r="BQ461" s="136"/>
      <c r="BR461" s="136"/>
      <c r="BS461" s="136"/>
      <c r="BT461" s="136"/>
      <c r="BU461" s="136"/>
      <c r="BV461" s="136"/>
    </row>
    <row r="462" spans="2:74" x14ac:dyDescent="0.2">
      <c r="B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36"/>
      <c r="BM462" s="136"/>
      <c r="BN462" s="136"/>
      <c r="BO462" s="136"/>
      <c r="BP462" s="136"/>
      <c r="BQ462" s="136"/>
      <c r="BR462" s="136"/>
      <c r="BS462" s="136"/>
      <c r="BT462" s="136"/>
      <c r="BU462" s="136"/>
      <c r="BV462" s="136"/>
    </row>
    <row r="463" spans="2:74" x14ac:dyDescent="0.2">
      <c r="B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36"/>
      <c r="BM463" s="136"/>
      <c r="BN463" s="136"/>
      <c r="BO463" s="136"/>
      <c r="BP463" s="136"/>
      <c r="BQ463" s="136"/>
      <c r="BR463" s="136"/>
      <c r="BS463" s="136"/>
      <c r="BT463" s="136"/>
      <c r="BU463" s="136"/>
      <c r="BV463" s="136"/>
    </row>
    <row r="464" spans="2:74" x14ac:dyDescent="0.2">
      <c r="B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36"/>
      <c r="BM464" s="136"/>
      <c r="BN464" s="136"/>
      <c r="BO464" s="136"/>
      <c r="BP464" s="136"/>
      <c r="BQ464" s="136"/>
      <c r="BR464" s="136"/>
      <c r="BS464" s="136"/>
      <c r="BT464" s="136"/>
      <c r="BU464" s="136"/>
      <c r="BV464" s="136"/>
    </row>
    <row r="465" spans="2:74" x14ac:dyDescent="0.2">
      <c r="B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36"/>
      <c r="BM465" s="136"/>
      <c r="BN465" s="136"/>
      <c r="BO465" s="136"/>
      <c r="BP465" s="136"/>
      <c r="BQ465" s="136"/>
      <c r="BR465" s="136"/>
      <c r="BS465" s="136"/>
      <c r="BT465" s="136"/>
      <c r="BU465" s="136"/>
      <c r="BV465" s="136"/>
    </row>
    <row r="466" spans="2:74" x14ac:dyDescent="0.2">
      <c r="B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136"/>
      <c r="BN466" s="136"/>
      <c r="BO466" s="136"/>
      <c r="BP466" s="136"/>
      <c r="BQ466" s="136"/>
      <c r="BR466" s="136"/>
      <c r="BS466" s="136"/>
      <c r="BT466" s="136"/>
      <c r="BU466" s="136"/>
      <c r="BV466" s="136"/>
    </row>
    <row r="467" spans="2:74" x14ac:dyDescent="0.2">
      <c r="B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6"/>
      <c r="BU467" s="136"/>
      <c r="BV467" s="136"/>
    </row>
    <row r="468" spans="2:74" x14ac:dyDescent="0.2">
      <c r="B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6"/>
      <c r="BU468" s="136"/>
      <c r="BV468" s="136"/>
    </row>
    <row r="469" spans="2:74" x14ac:dyDescent="0.2">
      <c r="B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36"/>
      <c r="BM469" s="136"/>
      <c r="BN469" s="136"/>
      <c r="BO469" s="136"/>
      <c r="BP469" s="136"/>
      <c r="BQ469" s="136"/>
      <c r="BR469" s="136"/>
      <c r="BS469" s="136"/>
      <c r="BT469" s="136"/>
      <c r="BU469" s="136"/>
      <c r="BV469" s="136"/>
    </row>
    <row r="470" spans="2:74" x14ac:dyDescent="0.2">
      <c r="B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36"/>
      <c r="BM470" s="136"/>
      <c r="BN470" s="136"/>
      <c r="BO470" s="136"/>
      <c r="BP470" s="136"/>
      <c r="BQ470" s="136"/>
      <c r="BR470" s="136"/>
      <c r="BS470" s="136"/>
      <c r="BT470" s="136"/>
      <c r="BU470" s="136"/>
      <c r="BV470" s="136"/>
    </row>
    <row r="471" spans="2:74" x14ac:dyDescent="0.2">
      <c r="B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6"/>
      <c r="BM471" s="136"/>
      <c r="BN471" s="136"/>
      <c r="BO471" s="136"/>
      <c r="BP471" s="136"/>
      <c r="BQ471" s="136"/>
      <c r="BR471" s="136"/>
      <c r="BS471" s="136"/>
      <c r="BT471" s="136"/>
      <c r="BU471" s="136"/>
      <c r="BV471" s="136"/>
    </row>
    <row r="472" spans="2:74" x14ac:dyDescent="0.2">
      <c r="B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6"/>
      <c r="BM472" s="136"/>
      <c r="BN472" s="136"/>
      <c r="BO472" s="136"/>
      <c r="BP472" s="136"/>
      <c r="BQ472" s="136"/>
      <c r="BR472" s="136"/>
      <c r="BS472" s="136"/>
      <c r="BT472" s="136"/>
      <c r="BU472" s="136"/>
      <c r="BV472" s="136"/>
    </row>
    <row r="473" spans="2:74" x14ac:dyDescent="0.2">
      <c r="B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</row>
    <row r="474" spans="2:74" x14ac:dyDescent="0.2">
      <c r="B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6"/>
      <c r="BM474" s="136"/>
      <c r="BN474" s="136"/>
      <c r="BO474" s="136"/>
      <c r="BP474" s="136"/>
      <c r="BQ474" s="136"/>
      <c r="BR474" s="136"/>
      <c r="BS474" s="136"/>
      <c r="BT474" s="136"/>
      <c r="BU474" s="136"/>
      <c r="BV474" s="136"/>
    </row>
    <row r="475" spans="2:74" x14ac:dyDescent="0.2">
      <c r="B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6"/>
      <c r="BM475" s="136"/>
      <c r="BN475" s="136"/>
      <c r="BO475" s="136"/>
      <c r="BP475" s="136"/>
      <c r="BQ475" s="136"/>
      <c r="BR475" s="136"/>
      <c r="BS475" s="136"/>
      <c r="BT475" s="136"/>
      <c r="BU475" s="136"/>
      <c r="BV475" s="136"/>
    </row>
    <row r="476" spans="2:74" x14ac:dyDescent="0.2">
      <c r="B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6"/>
      <c r="BM476" s="136"/>
      <c r="BN476" s="136"/>
      <c r="BO476" s="136"/>
      <c r="BP476" s="136"/>
      <c r="BQ476" s="136"/>
      <c r="BR476" s="136"/>
      <c r="BS476" s="136"/>
      <c r="BT476" s="136"/>
      <c r="BU476" s="136"/>
      <c r="BV476" s="136"/>
    </row>
    <row r="477" spans="2:74" x14ac:dyDescent="0.2">
      <c r="B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36"/>
      <c r="BM477" s="136"/>
      <c r="BN477" s="136"/>
      <c r="BO477" s="136"/>
      <c r="BP477" s="136"/>
      <c r="BQ477" s="136"/>
      <c r="BR477" s="136"/>
      <c r="BS477" s="136"/>
      <c r="BT477" s="136"/>
      <c r="BU477" s="136"/>
      <c r="BV477" s="136"/>
    </row>
    <row r="478" spans="2:74" x14ac:dyDescent="0.2">
      <c r="B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36"/>
      <c r="BM478" s="136"/>
      <c r="BN478" s="136"/>
      <c r="BO478" s="136"/>
      <c r="BP478" s="136"/>
      <c r="BQ478" s="136"/>
      <c r="BR478" s="136"/>
      <c r="BS478" s="136"/>
      <c r="BT478" s="136"/>
      <c r="BU478" s="136"/>
      <c r="BV478" s="136"/>
    </row>
    <row r="479" spans="2:74" x14ac:dyDescent="0.2">
      <c r="B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36"/>
      <c r="BM479" s="136"/>
      <c r="BN479" s="136"/>
      <c r="BO479" s="136"/>
      <c r="BP479" s="136"/>
      <c r="BQ479" s="136"/>
      <c r="BR479" s="136"/>
      <c r="BS479" s="136"/>
      <c r="BT479" s="136"/>
      <c r="BU479" s="136"/>
      <c r="BV479" s="136"/>
    </row>
    <row r="480" spans="2:74" x14ac:dyDescent="0.2">
      <c r="B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36"/>
      <c r="BM480" s="136"/>
      <c r="BN480" s="136"/>
      <c r="BO480" s="136"/>
      <c r="BP480" s="136"/>
      <c r="BQ480" s="136"/>
      <c r="BR480" s="136"/>
      <c r="BS480" s="136"/>
      <c r="BT480" s="136"/>
      <c r="BU480" s="136"/>
      <c r="BV480" s="136"/>
    </row>
    <row r="481" spans="2:74" x14ac:dyDescent="0.2">
      <c r="B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  <c r="BJ481" s="136"/>
      <c r="BK481" s="136"/>
      <c r="BL481" s="136"/>
      <c r="BM481" s="136"/>
      <c r="BN481" s="136"/>
      <c r="BO481" s="136"/>
      <c r="BP481" s="136"/>
      <c r="BQ481" s="136"/>
      <c r="BR481" s="136"/>
      <c r="BS481" s="136"/>
      <c r="BT481" s="136"/>
      <c r="BU481" s="136"/>
      <c r="BV481" s="136"/>
    </row>
    <row r="482" spans="2:74" x14ac:dyDescent="0.2">
      <c r="B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  <c r="BJ482" s="136"/>
      <c r="BK482" s="136"/>
      <c r="BL482" s="136"/>
      <c r="BM482" s="136"/>
      <c r="BN482" s="136"/>
      <c r="BO482" s="136"/>
      <c r="BP482" s="136"/>
      <c r="BQ482" s="136"/>
      <c r="BR482" s="136"/>
      <c r="BS482" s="136"/>
      <c r="BT482" s="136"/>
      <c r="BU482" s="136"/>
      <c r="BV482" s="136"/>
    </row>
    <row r="483" spans="2:74" x14ac:dyDescent="0.2">
      <c r="B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  <c r="BJ483" s="136"/>
      <c r="BK483" s="136"/>
      <c r="BL483" s="136"/>
      <c r="BM483" s="136"/>
      <c r="BN483" s="136"/>
      <c r="BO483" s="136"/>
      <c r="BP483" s="136"/>
      <c r="BQ483" s="136"/>
      <c r="BR483" s="136"/>
      <c r="BS483" s="136"/>
      <c r="BT483" s="136"/>
      <c r="BU483" s="136"/>
      <c r="BV483" s="136"/>
    </row>
    <row r="484" spans="2:74" x14ac:dyDescent="0.2">
      <c r="B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  <c r="BJ484" s="136"/>
      <c r="BK484" s="136"/>
      <c r="BL484" s="136"/>
      <c r="BM484" s="136"/>
      <c r="BN484" s="136"/>
      <c r="BO484" s="136"/>
      <c r="BP484" s="136"/>
      <c r="BQ484" s="136"/>
      <c r="BR484" s="136"/>
      <c r="BS484" s="136"/>
      <c r="BT484" s="136"/>
      <c r="BU484" s="136"/>
      <c r="BV484" s="136"/>
    </row>
    <row r="485" spans="2:74" x14ac:dyDescent="0.2">
      <c r="B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  <c r="BJ485" s="136"/>
      <c r="BK485" s="136"/>
      <c r="BL485" s="136"/>
      <c r="BM485" s="136"/>
      <c r="BN485" s="136"/>
      <c r="BO485" s="136"/>
      <c r="BP485" s="136"/>
      <c r="BQ485" s="136"/>
      <c r="BR485" s="136"/>
      <c r="BS485" s="136"/>
      <c r="BT485" s="136"/>
      <c r="BU485" s="136"/>
      <c r="BV485" s="136"/>
    </row>
    <row r="486" spans="2:74" x14ac:dyDescent="0.2">
      <c r="B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36"/>
      <c r="BM486" s="136"/>
      <c r="BN486" s="136"/>
      <c r="BO486" s="136"/>
      <c r="BP486" s="136"/>
      <c r="BQ486" s="136"/>
      <c r="BR486" s="136"/>
      <c r="BS486" s="136"/>
      <c r="BT486" s="136"/>
      <c r="BU486" s="136"/>
      <c r="BV486" s="136"/>
    </row>
    <row r="487" spans="2:74" x14ac:dyDescent="0.2">
      <c r="B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36"/>
      <c r="BM487" s="136"/>
      <c r="BN487" s="136"/>
      <c r="BO487" s="136"/>
      <c r="BP487" s="136"/>
      <c r="BQ487" s="136"/>
      <c r="BR487" s="136"/>
      <c r="BS487" s="136"/>
      <c r="BT487" s="136"/>
      <c r="BU487" s="136"/>
      <c r="BV487" s="136"/>
    </row>
    <row r="488" spans="2:74" x14ac:dyDescent="0.2">
      <c r="B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36"/>
      <c r="BM488" s="136"/>
      <c r="BN488" s="136"/>
      <c r="BO488" s="136"/>
      <c r="BP488" s="136"/>
      <c r="BQ488" s="136"/>
      <c r="BR488" s="136"/>
      <c r="BS488" s="136"/>
      <c r="BT488" s="136"/>
      <c r="BU488" s="136"/>
      <c r="BV488" s="136"/>
    </row>
    <row r="489" spans="2:74" x14ac:dyDescent="0.2">
      <c r="B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36"/>
      <c r="BM489" s="136"/>
      <c r="BN489" s="136"/>
      <c r="BO489" s="136"/>
      <c r="BP489" s="136"/>
      <c r="BQ489" s="136"/>
      <c r="BR489" s="136"/>
      <c r="BS489" s="136"/>
      <c r="BT489" s="136"/>
      <c r="BU489" s="136"/>
      <c r="BV489" s="136"/>
    </row>
    <row r="490" spans="2:74" x14ac:dyDescent="0.2">
      <c r="B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6"/>
      <c r="BU490" s="136"/>
      <c r="BV490" s="136"/>
    </row>
    <row r="491" spans="2:74" x14ac:dyDescent="0.2">
      <c r="B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6"/>
      <c r="BU491" s="136"/>
      <c r="BV491" s="136"/>
    </row>
    <row r="492" spans="2:74" x14ac:dyDescent="0.2">
      <c r="B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6"/>
      <c r="BU492" s="136"/>
      <c r="BV492" s="136"/>
    </row>
    <row r="493" spans="2:74" x14ac:dyDescent="0.2">
      <c r="B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</row>
    <row r="494" spans="2:74" x14ac:dyDescent="0.2">
      <c r="B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6"/>
      <c r="BU494" s="136"/>
      <c r="BV494" s="136"/>
    </row>
    <row r="495" spans="2:74" x14ac:dyDescent="0.2">
      <c r="B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6"/>
      <c r="BU495" s="136"/>
      <c r="BV495" s="136"/>
    </row>
    <row r="496" spans="2:74" x14ac:dyDescent="0.2">
      <c r="B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</row>
    <row r="497" spans="2:74" x14ac:dyDescent="0.2">
      <c r="B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6"/>
      <c r="BM497" s="136"/>
      <c r="BN497" s="136"/>
      <c r="BO497" s="136"/>
      <c r="BP497" s="136"/>
      <c r="BQ497" s="136"/>
      <c r="BR497" s="136"/>
      <c r="BS497" s="136"/>
      <c r="BT497" s="136"/>
      <c r="BU497" s="136"/>
      <c r="BV497" s="136"/>
    </row>
    <row r="498" spans="2:74" x14ac:dyDescent="0.2">
      <c r="B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36"/>
      <c r="BM498" s="136"/>
      <c r="BN498" s="136"/>
      <c r="BO498" s="136"/>
      <c r="BP498" s="136"/>
      <c r="BQ498" s="136"/>
      <c r="BR498" s="136"/>
      <c r="BS498" s="136"/>
      <c r="BT498" s="136"/>
      <c r="BU498" s="136"/>
      <c r="BV498" s="136"/>
    </row>
    <row r="499" spans="2:74" x14ac:dyDescent="0.2">
      <c r="B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</row>
    <row r="500" spans="2:74" x14ac:dyDescent="0.2">
      <c r="B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</row>
    <row r="501" spans="2:74" x14ac:dyDescent="0.2">
      <c r="B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6"/>
      <c r="BM501" s="136"/>
      <c r="BN501" s="136"/>
      <c r="BO501" s="136"/>
      <c r="BP501" s="136"/>
      <c r="BQ501" s="136"/>
      <c r="BR501" s="136"/>
      <c r="BS501" s="136"/>
      <c r="BT501" s="136"/>
      <c r="BU501" s="136"/>
      <c r="BV501" s="136"/>
    </row>
    <row r="502" spans="2:74" x14ac:dyDescent="0.2">
      <c r="B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6"/>
      <c r="BM502" s="136"/>
      <c r="BN502" s="136"/>
      <c r="BO502" s="136"/>
      <c r="BP502" s="136"/>
      <c r="BQ502" s="136"/>
      <c r="BR502" s="136"/>
      <c r="BS502" s="136"/>
      <c r="BT502" s="136"/>
      <c r="BU502" s="136"/>
      <c r="BV502" s="136"/>
    </row>
    <row r="503" spans="2:74" x14ac:dyDescent="0.2">
      <c r="B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</row>
    <row r="504" spans="2:74" x14ac:dyDescent="0.2">
      <c r="B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</row>
    <row r="505" spans="2:74" x14ac:dyDescent="0.2">
      <c r="B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136"/>
      <c r="BM505" s="136"/>
      <c r="BN505" s="136"/>
      <c r="BO505" s="136"/>
      <c r="BP505" s="136"/>
      <c r="BQ505" s="136"/>
      <c r="BR505" s="136"/>
      <c r="BS505" s="136"/>
      <c r="BT505" s="136"/>
      <c r="BU505" s="136"/>
      <c r="BV505" s="136"/>
    </row>
    <row r="506" spans="2:74" x14ac:dyDescent="0.2">
      <c r="B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  <c r="BJ506" s="136"/>
      <c r="BK506" s="136"/>
      <c r="BL506" s="136"/>
      <c r="BM506" s="136"/>
      <c r="BN506" s="136"/>
      <c r="BO506" s="136"/>
      <c r="BP506" s="136"/>
      <c r="BQ506" s="136"/>
      <c r="BR506" s="136"/>
      <c r="BS506" s="136"/>
      <c r="BT506" s="136"/>
      <c r="BU506" s="136"/>
      <c r="BV506" s="136"/>
    </row>
    <row r="507" spans="2:74" x14ac:dyDescent="0.2">
      <c r="B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  <c r="BJ507" s="136"/>
      <c r="BK507" s="136"/>
      <c r="BL507" s="136"/>
      <c r="BM507" s="136"/>
      <c r="BN507" s="136"/>
      <c r="BO507" s="136"/>
      <c r="BP507" s="136"/>
      <c r="BQ507" s="136"/>
      <c r="BR507" s="136"/>
      <c r="BS507" s="136"/>
      <c r="BT507" s="136"/>
      <c r="BU507" s="136"/>
      <c r="BV507" s="136"/>
    </row>
    <row r="508" spans="2:74" x14ac:dyDescent="0.2">
      <c r="B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36"/>
      <c r="BM508" s="136"/>
      <c r="BN508" s="136"/>
      <c r="BO508" s="136"/>
      <c r="BP508" s="136"/>
      <c r="BQ508" s="136"/>
      <c r="BR508" s="136"/>
      <c r="BS508" s="136"/>
      <c r="BT508" s="136"/>
      <c r="BU508" s="136"/>
      <c r="BV508" s="136"/>
    </row>
    <row r="509" spans="2:74" x14ac:dyDescent="0.2">
      <c r="B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36"/>
      <c r="BM509" s="136"/>
      <c r="BN509" s="136"/>
      <c r="BO509" s="136"/>
      <c r="BP509" s="136"/>
      <c r="BQ509" s="136"/>
      <c r="BR509" s="136"/>
      <c r="BS509" s="136"/>
      <c r="BT509" s="136"/>
      <c r="BU509" s="136"/>
      <c r="BV509" s="136"/>
    </row>
    <row r="510" spans="2:74" x14ac:dyDescent="0.2">
      <c r="B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36"/>
      <c r="BM510" s="136"/>
      <c r="BN510" s="136"/>
      <c r="BO510" s="136"/>
      <c r="BP510" s="136"/>
      <c r="BQ510" s="136"/>
      <c r="BR510" s="136"/>
      <c r="BS510" s="136"/>
      <c r="BT510" s="136"/>
      <c r="BU510" s="136"/>
      <c r="BV510" s="136"/>
    </row>
    <row r="511" spans="2:74" x14ac:dyDescent="0.2">
      <c r="B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36"/>
      <c r="BM511" s="136"/>
      <c r="BN511" s="136"/>
      <c r="BO511" s="136"/>
      <c r="BP511" s="136"/>
      <c r="BQ511" s="136"/>
      <c r="BR511" s="136"/>
      <c r="BS511" s="136"/>
      <c r="BT511" s="136"/>
      <c r="BU511" s="136"/>
      <c r="BV511" s="136"/>
    </row>
    <row r="512" spans="2:74" x14ac:dyDescent="0.2">
      <c r="B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36"/>
      <c r="BM512" s="136"/>
      <c r="BN512" s="136"/>
      <c r="BO512" s="136"/>
      <c r="BP512" s="136"/>
      <c r="BQ512" s="136"/>
      <c r="BR512" s="136"/>
      <c r="BS512" s="136"/>
      <c r="BT512" s="136"/>
      <c r="BU512" s="136"/>
      <c r="BV512" s="136"/>
    </row>
    <row r="513" spans="2:74" x14ac:dyDescent="0.2">
      <c r="B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  <c r="BJ513" s="136"/>
      <c r="BK513" s="136"/>
      <c r="BL513" s="136"/>
      <c r="BM513" s="136"/>
      <c r="BN513" s="136"/>
      <c r="BO513" s="136"/>
      <c r="BP513" s="136"/>
      <c r="BQ513" s="136"/>
      <c r="BR513" s="136"/>
      <c r="BS513" s="136"/>
      <c r="BT513" s="136"/>
      <c r="BU513" s="136"/>
      <c r="BV513" s="136"/>
    </row>
    <row r="514" spans="2:74" x14ac:dyDescent="0.2">
      <c r="B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</row>
    <row r="515" spans="2:74" x14ac:dyDescent="0.2">
      <c r="B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</row>
    <row r="516" spans="2:74" x14ac:dyDescent="0.2">
      <c r="B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</row>
    <row r="517" spans="2:74" x14ac:dyDescent="0.2">
      <c r="B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</row>
    <row r="518" spans="2:74" x14ac:dyDescent="0.2">
      <c r="B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</row>
    <row r="519" spans="2:74" x14ac:dyDescent="0.2">
      <c r="B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</row>
    <row r="520" spans="2:74" x14ac:dyDescent="0.2">
      <c r="B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</row>
    <row r="521" spans="2:74" x14ac:dyDescent="0.2">
      <c r="B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</row>
    <row r="522" spans="2:74" x14ac:dyDescent="0.2">
      <c r="B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36"/>
      <c r="BM522" s="136"/>
      <c r="BN522" s="136"/>
      <c r="BO522" s="136"/>
      <c r="BP522" s="136"/>
      <c r="BQ522" s="136"/>
      <c r="BR522" s="136"/>
      <c r="BS522" s="136"/>
      <c r="BT522" s="136"/>
      <c r="BU522" s="136"/>
      <c r="BV522" s="136"/>
    </row>
    <row r="523" spans="2:74" x14ac:dyDescent="0.2">
      <c r="B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36"/>
      <c r="BM523" s="136"/>
      <c r="BN523" s="136"/>
      <c r="BO523" s="136"/>
      <c r="BP523" s="136"/>
      <c r="BQ523" s="136"/>
      <c r="BR523" s="136"/>
      <c r="BS523" s="136"/>
      <c r="BT523" s="136"/>
      <c r="BU523" s="136"/>
      <c r="BV523" s="136"/>
    </row>
    <row r="524" spans="2:74" x14ac:dyDescent="0.2">
      <c r="B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36"/>
      <c r="BM524" s="136"/>
      <c r="BN524" s="136"/>
      <c r="BO524" s="136"/>
      <c r="BP524" s="136"/>
      <c r="BQ524" s="136"/>
      <c r="BR524" s="136"/>
      <c r="BS524" s="136"/>
      <c r="BT524" s="136"/>
      <c r="BU524" s="136"/>
      <c r="BV524" s="136"/>
    </row>
    <row r="525" spans="2:74" x14ac:dyDescent="0.2">
      <c r="B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36"/>
      <c r="BM525" s="136"/>
      <c r="BN525" s="136"/>
      <c r="BO525" s="136"/>
      <c r="BP525" s="136"/>
      <c r="BQ525" s="136"/>
      <c r="BR525" s="136"/>
      <c r="BS525" s="136"/>
      <c r="BT525" s="136"/>
      <c r="BU525" s="136"/>
      <c r="BV525" s="136"/>
    </row>
    <row r="526" spans="2:74" x14ac:dyDescent="0.2">
      <c r="B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6"/>
      <c r="BM526" s="136"/>
      <c r="BN526" s="136"/>
      <c r="BO526" s="136"/>
      <c r="BP526" s="136"/>
      <c r="BQ526" s="136"/>
      <c r="BR526" s="136"/>
      <c r="BS526" s="136"/>
      <c r="BT526" s="136"/>
      <c r="BU526" s="136"/>
      <c r="BV526" s="136"/>
    </row>
    <row r="527" spans="2:74" x14ac:dyDescent="0.2">
      <c r="B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6"/>
      <c r="BM527" s="136"/>
      <c r="BN527" s="136"/>
      <c r="BO527" s="136"/>
      <c r="BP527" s="136"/>
      <c r="BQ527" s="136"/>
      <c r="BR527" s="136"/>
      <c r="BS527" s="136"/>
      <c r="BT527" s="136"/>
      <c r="BU527" s="136"/>
      <c r="BV527" s="136"/>
    </row>
    <row r="528" spans="2:74" x14ac:dyDescent="0.2">
      <c r="B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</row>
    <row r="529" spans="2:74" x14ac:dyDescent="0.2">
      <c r="B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</row>
    <row r="530" spans="2:74" x14ac:dyDescent="0.2">
      <c r="B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</row>
    <row r="531" spans="2:74" x14ac:dyDescent="0.2">
      <c r="B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</row>
    <row r="532" spans="2:74" x14ac:dyDescent="0.2">
      <c r="B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</row>
    <row r="533" spans="2:74" x14ac:dyDescent="0.2">
      <c r="B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</row>
    <row r="534" spans="2:74" x14ac:dyDescent="0.2">
      <c r="B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</row>
    <row r="535" spans="2:74" x14ac:dyDescent="0.2">
      <c r="B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</row>
    <row r="536" spans="2:74" x14ac:dyDescent="0.2">
      <c r="B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</row>
    <row r="537" spans="2:74" x14ac:dyDescent="0.2">
      <c r="B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</row>
    <row r="538" spans="2:74" x14ac:dyDescent="0.2">
      <c r="B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</row>
    <row r="539" spans="2:74" x14ac:dyDescent="0.2">
      <c r="B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</row>
    <row r="540" spans="2:74" x14ac:dyDescent="0.2">
      <c r="B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</row>
    <row r="541" spans="2:74" x14ac:dyDescent="0.2">
      <c r="B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</row>
    <row r="542" spans="2:74" x14ac:dyDescent="0.2">
      <c r="B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</row>
    <row r="543" spans="2:74" x14ac:dyDescent="0.2">
      <c r="B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</row>
    <row r="544" spans="2:74" x14ac:dyDescent="0.2">
      <c r="B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</row>
    <row r="545" spans="2:74" x14ac:dyDescent="0.2">
      <c r="B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36"/>
      <c r="BM545" s="136"/>
      <c r="BN545" s="136"/>
      <c r="BO545" s="136"/>
      <c r="BP545" s="136"/>
      <c r="BQ545" s="136"/>
      <c r="BR545" s="136"/>
      <c r="BS545" s="136"/>
      <c r="BT545" s="136"/>
      <c r="BU545" s="136"/>
      <c r="BV545" s="136"/>
    </row>
    <row r="546" spans="2:74" x14ac:dyDescent="0.2">
      <c r="B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</row>
    <row r="547" spans="2:74" x14ac:dyDescent="0.2">
      <c r="B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6"/>
      <c r="BM547" s="136"/>
      <c r="BN547" s="136"/>
      <c r="BO547" s="136"/>
      <c r="BP547" s="136"/>
      <c r="BQ547" s="136"/>
      <c r="BR547" s="136"/>
      <c r="BS547" s="136"/>
      <c r="BT547" s="136"/>
      <c r="BU547" s="136"/>
      <c r="BV547" s="136"/>
    </row>
    <row r="548" spans="2:74" x14ac:dyDescent="0.2">
      <c r="B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</row>
    <row r="549" spans="2:74" x14ac:dyDescent="0.2">
      <c r="B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6"/>
      <c r="BM549" s="136"/>
      <c r="BN549" s="136"/>
      <c r="BO549" s="136"/>
      <c r="BP549" s="136"/>
      <c r="BQ549" s="136"/>
      <c r="BR549" s="136"/>
      <c r="BS549" s="136"/>
      <c r="BT549" s="136"/>
      <c r="BU549" s="136"/>
      <c r="BV549" s="136"/>
    </row>
    <row r="550" spans="2:74" x14ac:dyDescent="0.2">
      <c r="B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36"/>
      <c r="BM550" s="136"/>
      <c r="BN550" s="136"/>
      <c r="BO550" s="136"/>
      <c r="BP550" s="136"/>
      <c r="BQ550" s="136"/>
      <c r="BR550" s="136"/>
      <c r="BS550" s="136"/>
      <c r="BT550" s="136"/>
      <c r="BU550" s="136"/>
      <c r="BV550" s="136"/>
    </row>
    <row r="551" spans="2:74" x14ac:dyDescent="0.2">
      <c r="B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36"/>
      <c r="BV551" s="136"/>
    </row>
    <row r="552" spans="2:74" x14ac:dyDescent="0.2">
      <c r="B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36"/>
      <c r="BM552" s="136"/>
      <c r="BN552" s="136"/>
      <c r="BO552" s="136"/>
      <c r="BP552" s="136"/>
      <c r="BQ552" s="136"/>
      <c r="BR552" s="136"/>
      <c r="BS552" s="136"/>
      <c r="BT552" s="136"/>
      <c r="BU552" s="136"/>
      <c r="BV552" s="136"/>
    </row>
    <row r="553" spans="2:74" x14ac:dyDescent="0.2">
      <c r="B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  <c r="BJ553" s="136"/>
      <c r="BK553" s="136"/>
      <c r="BL553" s="136"/>
      <c r="BM553" s="136"/>
      <c r="BN553" s="136"/>
      <c r="BO553" s="136"/>
      <c r="BP553" s="136"/>
      <c r="BQ553" s="136"/>
      <c r="BR553" s="136"/>
      <c r="BS553" s="136"/>
      <c r="BT553" s="136"/>
      <c r="BU553" s="136"/>
      <c r="BV553" s="136"/>
    </row>
    <row r="554" spans="2:74" x14ac:dyDescent="0.2">
      <c r="B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  <c r="BJ554" s="136"/>
      <c r="BK554" s="136"/>
      <c r="BL554" s="136"/>
      <c r="BM554" s="136"/>
      <c r="BN554" s="136"/>
      <c r="BO554" s="136"/>
      <c r="BP554" s="136"/>
      <c r="BQ554" s="136"/>
      <c r="BR554" s="136"/>
      <c r="BS554" s="136"/>
      <c r="BT554" s="136"/>
      <c r="BU554" s="136"/>
      <c r="BV554" s="136"/>
    </row>
    <row r="555" spans="2:74" x14ac:dyDescent="0.2">
      <c r="B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  <c r="BJ555" s="136"/>
      <c r="BK555" s="136"/>
      <c r="BL555" s="136"/>
      <c r="BM555" s="136"/>
      <c r="BN555" s="136"/>
      <c r="BO555" s="136"/>
      <c r="BP555" s="136"/>
      <c r="BQ555" s="136"/>
      <c r="BR555" s="136"/>
      <c r="BS555" s="136"/>
      <c r="BT555" s="136"/>
      <c r="BU555" s="136"/>
      <c r="BV555" s="136"/>
    </row>
    <row r="556" spans="2:74" x14ac:dyDescent="0.2">
      <c r="B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  <c r="BJ556" s="136"/>
      <c r="BK556" s="136"/>
      <c r="BL556" s="136"/>
      <c r="BM556" s="136"/>
      <c r="BN556" s="136"/>
      <c r="BO556" s="136"/>
      <c r="BP556" s="136"/>
      <c r="BQ556" s="136"/>
      <c r="BR556" s="136"/>
      <c r="BS556" s="136"/>
      <c r="BT556" s="136"/>
      <c r="BU556" s="136"/>
      <c r="BV556" s="136"/>
    </row>
    <row r="557" spans="2:74" x14ac:dyDescent="0.2">
      <c r="B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  <c r="BJ557" s="136"/>
      <c r="BK557" s="136"/>
      <c r="BL557" s="136"/>
      <c r="BM557" s="136"/>
      <c r="BN557" s="136"/>
      <c r="BO557" s="136"/>
      <c r="BP557" s="136"/>
      <c r="BQ557" s="136"/>
      <c r="BR557" s="136"/>
      <c r="BS557" s="136"/>
      <c r="BT557" s="136"/>
      <c r="BU557" s="136"/>
      <c r="BV557" s="136"/>
    </row>
    <row r="558" spans="2:74" x14ac:dyDescent="0.2">
      <c r="B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36"/>
      <c r="BM558" s="136"/>
      <c r="BN558" s="136"/>
      <c r="BO558" s="136"/>
      <c r="BP558" s="136"/>
      <c r="BQ558" s="136"/>
      <c r="BR558" s="136"/>
      <c r="BS558" s="136"/>
      <c r="BT558" s="136"/>
      <c r="BU558" s="136"/>
      <c r="BV558" s="136"/>
    </row>
    <row r="559" spans="2:74" x14ac:dyDescent="0.2">
      <c r="B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36"/>
      <c r="BM559" s="136"/>
      <c r="BN559" s="136"/>
      <c r="BO559" s="136"/>
      <c r="BP559" s="136"/>
      <c r="BQ559" s="136"/>
      <c r="BR559" s="136"/>
      <c r="BS559" s="136"/>
      <c r="BT559" s="136"/>
      <c r="BU559" s="136"/>
      <c r="BV559" s="136"/>
    </row>
    <row r="560" spans="2:74" x14ac:dyDescent="0.2">
      <c r="B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6"/>
      <c r="BM560" s="136"/>
      <c r="BN560" s="136"/>
      <c r="BO560" s="136"/>
      <c r="BP560" s="136"/>
      <c r="BQ560" s="136"/>
      <c r="BR560" s="136"/>
      <c r="BS560" s="136"/>
      <c r="BT560" s="136"/>
      <c r="BU560" s="136"/>
      <c r="BV560" s="136"/>
    </row>
    <row r="561" spans="2:74" x14ac:dyDescent="0.2">
      <c r="B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36"/>
      <c r="BM561" s="136"/>
      <c r="BN561" s="136"/>
      <c r="BO561" s="136"/>
      <c r="BP561" s="136"/>
      <c r="BQ561" s="136"/>
      <c r="BR561" s="136"/>
      <c r="BS561" s="136"/>
      <c r="BT561" s="136"/>
      <c r="BU561" s="136"/>
      <c r="BV561" s="136"/>
    </row>
    <row r="562" spans="2:74" x14ac:dyDescent="0.2">
      <c r="B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36"/>
      <c r="BM562" s="136"/>
      <c r="BN562" s="136"/>
      <c r="BO562" s="136"/>
      <c r="BP562" s="136"/>
      <c r="BQ562" s="136"/>
      <c r="BR562" s="136"/>
      <c r="BS562" s="136"/>
      <c r="BT562" s="136"/>
      <c r="BU562" s="136"/>
      <c r="BV562" s="136"/>
    </row>
    <row r="563" spans="2:74" x14ac:dyDescent="0.2">
      <c r="B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6"/>
      <c r="BU563" s="136"/>
      <c r="BV563" s="136"/>
    </row>
    <row r="564" spans="2:74" x14ac:dyDescent="0.2">
      <c r="B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6"/>
      <c r="BU564" s="136"/>
      <c r="BV564" s="136"/>
    </row>
    <row r="565" spans="2:74" x14ac:dyDescent="0.2">
      <c r="B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6"/>
      <c r="BU565" s="136"/>
      <c r="BV565" s="136"/>
    </row>
    <row r="566" spans="2:74" x14ac:dyDescent="0.2">
      <c r="B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6"/>
      <c r="BU566" s="136"/>
      <c r="BV566" s="136"/>
    </row>
    <row r="567" spans="2:74" x14ac:dyDescent="0.2">
      <c r="B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6"/>
      <c r="BU567" s="136"/>
      <c r="BV567" s="136"/>
    </row>
    <row r="568" spans="2:74" x14ac:dyDescent="0.2">
      <c r="B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6"/>
      <c r="BU568" s="136"/>
      <c r="BV568" s="136"/>
    </row>
    <row r="569" spans="2:74" x14ac:dyDescent="0.2">
      <c r="B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6"/>
      <c r="BU569" s="136"/>
      <c r="BV569" s="136"/>
    </row>
    <row r="570" spans="2:74" x14ac:dyDescent="0.2">
      <c r="B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  <c r="BJ570" s="136"/>
      <c r="BK570" s="136"/>
      <c r="BL570" s="136"/>
      <c r="BM570" s="136"/>
      <c r="BN570" s="136"/>
      <c r="BO570" s="136"/>
      <c r="BP570" s="136"/>
      <c r="BQ570" s="136"/>
      <c r="BR570" s="136"/>
      <c r="BS570" s="136"/>
      <c r="BT570" s="136"/>
      <c r="BU570" s="136"/>
      <c r="BV570" s="136"/>
    </row>
    <row r="571" spans="2:74" x14ac:dyDescent="0.2">
      <c r="B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  <c r="BJ571" s="136"/>
      <c r="BK571" s="136"/>
      <c r="BL571" s="136"/>
      <c r="BM571" s="136"/>
      <c r="BN571" s="136"/>
      <c r="BO571" s="136"/>
      <c r="BP571" s="136"/>
      <c r="BQ571" s="136"/>
      <c r="BR571" s="136"/>
      <c r="BS571" s="136"/>
      <c r="BT571" s="136"/>
      <c r="BU571" s="136"/>
      <c r="BV571" s="136"/>
    </row>
    <row r="572" spans="2:74" x14ac:dyDescent="0.2">
      <c r="B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  <c r="BJ572" s="136"/>
      <c r="BK572" s="136"/>
      <c r="BL572" s="136"/>
      <c r="BM572" s="136"/>
      <c r="BN572" s="136"/>
      <c r="BO572" s="136"/>
      <c r="BP572" s="136"/>
      <c r="BQ572" s="136"/>
      <c r="BR572" s="136"/>
      <c r="BS572" s="136"/>
      <c r="BT572" s="136"/>
      <c r="BU572" s="136"/>
      <c r="BV572" s="136"/>
    </row>
    <row r="573" spans="2:74" x14ac:dyDescent="0.2">
      <c r="B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6"/>
      <c r="BM573" s="136"/>
      <c r="BN573" s="136"/>
      <c r="BO573" s="136"/>
      <c r="BP573" s="136"/>
      <c r="BQ573" s="136"/>
      <c r="BR573" s="136"/>
      <c r="BS573" s="136"/>
      <c r="BT573" s="136"/>
      <c r="BU573" s="136"/>
      <c r="BV573" s="136"/>
    </row>
    <row r="574" spans="2:74" x14ac:dyDescent="0.2">
      <c r="B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6"/>
      <c r="BM574" s="136"/>
      <c r="BN574" s="136"/>
      <c r="BO574" s="136"/>
      <c r="BP574" s="136"/>
      <c r="BQ574" s="136"/>
      <c r="BR574" s="136"/>
      <c r="BS574" s="136"/>
      <c r="BT574" s="136"/>
      <c r="BU574" s="136"/>
      <c r="BV574" s="136"/>
    </row>
    <row r="575" spans="2:74" x14ac:dyDescent="0.2">
      <c r="B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6"/>
      <c r="BM575" s="136"/>
      <c r="BN575" s="136"/>
      <c r="BO575" s="136"/>
      <c r="BP575" s="136"/>
      <c r="BQ575" s="136"/>
      <c r="BR575" s="136"/>
      <c r="BS575" s="136"/>
      <c r="BT575" s="136"/>
      <c r="BU575" s="136"/>
      <c r="BV575" s="136"/>
    </row>
    <row r="576" spans="2:74" x14ac:dyDescent="0.2">
      <c r="B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  <c r="BJ576" s="136"/>
      <c r="BK576" s="136"/>
      <c r="BL576" s="136"/>
      <c r="BM576" s="136"/>
      <c r="BN576" s="136"/>
      <c r="BO576" s="136"/>
      <c r="BP576" s="136"/>
      <c r="BQ576" s="136"/>
      <c r="BR576" s="136"/>
      <c r="BS576" s="136"/>
      <c r="BT576" s="136"/>
      <c r="BU576" s="136"/>
      <c r="BV576" s="136"/>
    </row>
    <row r="577" spans="2:74" x14ac:dyDescent="0.2">
      <c r="B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  <c r="BJ577" s="136"/>
      <c r="BK577" s="136"/>
      <c r="BL577" s="136"/>
      <c r="BM577" s="136"/>
      <c r="BN577" s="136"/>
      <c r="BO577" s="136"/>
      <c r="BP577" s="136"/>
      <c r="BQ577" s="136"/>
      <c r="BR577" s="136"/>
      <c r="BS577" s="136"/>
      <c r="BT577" s="136"/>
      <c r="BU577" s="136"/>
      <c r="BV577" s="136"/>
    </row>
    <row r="578" spans="2:74" x14ac:dyDescent="0.2">
      <c r="B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  <c r="BJ578" s="136"/>
      <c r="BK578" s="136"/>
      <c r="BL578" s="136"/>
      <c r="BM578" s="136"/>
      <c r="BN578" s="136"/>
      <c r="BO578" s="136"/>
      <c r="BP578" s="136"/>
      <c r="BQ578" s="136"/>
      <c r="BR578" s="136"/>
      <c r="BS578" s="136"/>
      <c r="BT578" s="136"/>
      <c r="BU578" s="136"/>
      <c r="BV578" s="136"/>
    </row>
    <row r="579" spans="2:74" x14ac:dyDescent="0.2">
      <c r="B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  <c r="BJ579" s="136"/>
      <c r="BK579" s="136"/>
      <c r="BL579" s="136"/>
      <c r="BM579" s="136"/>
      <c r="BN579" s="136"/>
      <c r="BO579" s="136"/>
      <c r="BP579" s="136"/>
      <c r="BQ579" s="136"/>
      <c r="BR579" s="136"/>
      <c r="BS579" s="136"/>
      <c r="BT579" s="136"/>
      <c r="BU579" s="136"/>
      <c r="BV579" s="136"/>
    </row>
    <row r="580" spans="2:74" x14ac:dyDescent="0.2">
      <c r="B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  <c r="BJ580" s="136"/>
      <c r="BK580" s="136"/>
      <c r="BL580" s="136"/>
      <c r="BM580" s="136"/>
      <c r="BN580" s="136"/>
      <c r="BO580" s="136"/>
      <c r="BP580" s="136"/>
      <c r="BQ580" s="136"/>
      <c r="BR580" s="136"/>
      <c r="BS580" s="136"/>
      <c r="BT580" s="136"/>
      <c r="BU580" s="136"/>
      <c r="BV580" s="136"/>
    </row>
    <row r="581" spans="2:74" x14ac:dyDescent="0.2">
      <c r="B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  <c r="BJ581" s="136"/>
      <c r="BK581" s="136"/>
      <c r="BL581" s="136"/>
      <c r="BM581" s="136"/>
      <c r="BN581" s="136"/>
      <c r="BO581" s="136"/>
      <c r="BP581" s="136"/>
      <c r="BQ581" s="136"/>
      <c r="BR581" s="136"/>
      <c r="BS581" s="136"/>
      <c r="BT581" s="136"/>
      <c r="BU581" s="136"/>
      <c r="BV581" s="136"/>
    </row>
    <row r="582" spans="2:74" x14ac:dyDescent="0.2">
      <c r="B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  <c r="BJ582" s="136"/>
      <c r="BK582" s="136"/>
      <c r="BL582" s="136"/>
      <c r="BM582" s="136"/>
      <c r="BN582" s="136"/>
      <c r="BO582" s="136"/>
      <c r="BP582" s="136"/>
      <c r="BQ582" s="136"/>
      <c r="BR582" s="136"/>
      <c r="BS582" s="136"/>
      <c r="BT582" s="136"/>
      <c r="BU582" s="136"/>
      <c r="BV582" s="136"/>
    </row>
    <row r="583" spans="2:74" x14ac:dyDescent="0.2">
      <c r="B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6"/>
      <c r="BM583" s="136"/>
      <c r="BN583" s="136"/>
      <c r="BO583" s="136"/>
      <c r="BP583" s="136"/>
      <c r="BQ583" s="136"/>
      <c r="BR583" s="136"/>
      <c r="BS583" s="136"/>
      <c r="BT583" s="136"/>
      <c r="BU583" s="136"/>
      <c r="BV583" s="136"/>
    </row>
    <row r="584" spans="2:74" x14ac:dyDescent="0.2">
      <c r="B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6"/>
      <c r="BM584" s="136"/>
      <c r="BN584" s="136"/>
      <c r="BO584" s="136"/>
      <c r="BP584" s="136"/>
      <c r="BQ584" s="136"/>
      <c r="BR584" s="136"/>
      <c r="BS584" s="136"/>
      <c r="BT584" s="136"/>
      <c r="BU584" s="136"/>
      <c r="BV584" s="136"/>
    </row>
    <row r="585" spans="2:74" x14ac:dyDescent="0.2">
      <c r="B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  <c r="BJ585" s="136"/>
      <c r="BK585" s="136"/>
      <c r="BL585" s="136"/>
      <c r="BM585" s="136"/>
      <c r="BN585" s="136"/>
      <c r="BO585" s="136"/>
      <c r="BP585" s="136"/>
      <c r="BQ585" s="136"/>
      <c r="BR585" s="136"/>
      <c r="BS585" s="136"/>
      <c r="BT585" s="136"/>
      <c r="BU585" s="136"/>
      <c r="BV585" s="136"/>
    </row>
    <row r="586" spans="2:74" x14ac:dyDescent="0.2">
      <c r="B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6"/>
      <c r="BM586" s="136"/>
      <c r="BN586" s="136"/>
      <c r="BO586" s="136"/>
      <c r="BP586" s="136"/>
      <c r="BQ586" s="136"/>
      <c r="BR586" s="136"/>
      <c r="BS586" s="136"/>
      <c r="BT586" s="136"/>
      <c r="BU586" s="136"/>
      <c r="BV586" s="136"/>
    </row>
    <row r="587" spans="2:74" x14ac:dyDescent="0.2">
      <c r="B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6"/>
      <c r="BU587" s="136"/>
      <c r="BV587" s="136"/>
    </row>
    <row r="588" spans="2:74" x14ac:dyDescent="0.2">
      <c r="B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6"/>
      <c r="BU588" s="136"/>
      <c r="BV588" s="136"/>
    </row>
    <row r="589" spans="2:74" x14ac:dyDescent="0.2">
      <c r="B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6"/>
      <c r="BM589" s="136"/>
      <c r="BN589" s="136"/>
      <c r="BO589" s="136"/>
      <c r="BP589" s="136"/>
      <c r="BQ589" s="136"/>
      <c r="BR589" s="136"/>
      <c r="BS589" s="136"/>
      <c r="BT589" s="136"/>
      <c r="BU589" s="136"/>
      <c r="BV589" s="136"/>
    </row>
    <row r="590" spans="2:74" x14ac:dyDescent="0.2">
      <c r="B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6"/>
      <c r="BU590" s="136"/>
      <c r="BV590" s="136"/>
    </row>
    <row r="591" spans="2:74" x14ac:dyDescent="0.2">
      <c r="B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  <c r="BJ591" s="136"/>
      <c r="BK591" s="136"/>
      <c r="BL591" s="136"/>
      <c r="BM591" s="136"/>
      <c r="BN591" s="136"/>
      <c r="BO591" s="136"/>
      <c r="BP591" s="136"/>
      <c r="BQ591" s="136"/>
      <c r="BR591" s="136"/>
      <c r="BS591" s="136"/>
      <c r="BT591" s="136"/>
      <c r="BU591" s="136"/>
      <c r="BV591" s="136"/>
    </row>
    <row r="592" spans="2:74" x14ac:dyDescent="0.2">
      <c r="B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  <c r="BJ592" s="136"/>
      <c r="BK592" s="136"/>
      <c r="BL592" s="136"/>
      <c r="BM592" s="136"/>
      <c r="BN592" s="136"/>
      <c r="BO592" s="136"/>
      <c r="BP592" s="136"/>
      <c r="BQ592" s="136"/>
      <c r="BR592" s="136"/>
      <c r="BS592" s="136"/>
      <c r="BT592" s="136"/>
      <c r="BU592" s="136"/>
      <c r="BV592" s="136"/>
    </row>
    <row r="593" spans="2:74" x14ac:dyDescent="0.2">
      <c r="B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  <c r="BJ593" s="136"/>
      <c r="BK593" s="136"/>
      <c r="BL593" s="136"/>
      <c r="BM593" s="136"/>
      <c r="BN593" s="136"/>
      <c r="BO593" s="136"/>
      <c r="BP593" s="136"/>
      <c r="BQ593" s="136"/>
      <c r="BR593" s="136"/>
      <c r="BS593" s="136"/>
      <c r="BT593" s="136"/>
      <c r="BU593" s="136"/>
      <c r="BV593" s="136"/>
    </row>
    <row r="594" spans="2:74" x14ac:dyDescent="0.2">
      <c r="B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  <c r="BJ594" s="136"/>
      <c r="BK594" s="136"/>
      <c r="BL594" s="136"/>
      <c r="BM594" s="136"/>
      <c r="BN594" s="136"/>
      <c r="BO594" s="136"/>
      <c r="BP594" s="136"/>
      <c r="BQ594" s="136"/>
      <c r="BR594" s="136"/>
      <c r="BS594" s="136"/>
      <c r="BT594" s="136"/>
      <c r="BU594" s="136"/>
      <c r="BV594" s="136"/>
    </row>
    <row r="595" spans="2:74" x14ac:dyDescent="0.2">
      <c r="B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</row>
    <row r="596" spans="2:74" x14ac:dyDescent="0.2">
      <c r="B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  <c r="BJ596" s="136"/>
      <c r="BK596" s="136"/>
      <c r="BL596" s="136"/>
      <c r="BM596" s="136"/>
      <c r="BN596" s="136"/>
      <c r="BO596" s="136"/>
      <c r="BP596" s="136"/>
      <c r="BQ596" s="136"/>
      <c r="BR596" s="136"/>
      <c r="BS596" s="136"/>
      <c r="BT596" s="136"/>
      <c r="BU596" s="136"/>
      <c r="BV596" s="136"/>
    </row>
    <row r="597" spans="2:74" x14ac:dyDescent="0.2">
      <c r="B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  <c r="BJ597" s="136"/>
      <c r="BK597" s="136"/>
      <c r="BL597" s="136"/>
      <c r="BM597" s="136"/>
      <c r="BN597" s="136"/>
      <c r="BO597" s="136"/>
      <c r="BP597" s="136"/>
      <c r="BQ597" s="136"/>
      <c r="BR597" s="136"/>
      <c r="BS597" s="136"/>
      <c r="BT597" s="136"/>
      <c r="BU597" s="136"/>
      <c r="BV597" s="136"/>
    </row>
    <row r="598" spans="2:74" x14ac:dyDescent="0.2">
      <c r="B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  <c r="BJ598" s="136"/>
      <c r="BK598" s="136"/>
      <c r="BL598" s="136"/>
      <c r="BM598" s="136"/>
      <c r="BN598" s="136"/>
      <c r="BO598" s="136"/>
      <c r="BP598" s="136"/>
      <c r="BQ598" s="136"/>
      <c r="BR598" s="136"/>
      <c r="BS598" s="136"/>
      <c r="BT598" s="136"/>
      <c r="BU598" s="136"/>
      <c r="BV598" s="136"/>
    </row>
    <row r="599" spans="2:74" x14ac:dyDescent="0.2">
      <c r="B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</row>
    <row r="600" spans="2:74" x14ac:dyDescent="0.2">
      <c r="B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36"/>
      <c r="BM600" s="136"/>
      <c r="BN600" s="136"/>
      <c r="BO600" s="136"/>
      <c r="BP600" s="136"/>
      <c r="BQ600" s="136"/>
      <c r="BR600" s="136"/>
      <c r="BS600" s="136"/>
      <c r="BT600" s="136"/>
      <c r="BU600" s="136"/>
      <c r="BV600" s="136"/>
    </row>
    <row r="601" spans="2:74" x14ac:dyDescent="0.2">
      <c r="B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  <c r="BJ601" s="136"/>
      <c r="BK601" s="136"/>
      <c r="BL601" s="136"/>
      <c r="BM601" s="136"/>
      <c r="BN601" s="136"/>
      <c r="BO601" s="136"/>
      <c r="BP601" s="136"/>
      <c r="BQ601" s="136"/>
      <c r="BR601" s="136"/>
      <c r="BS601" s="136"/>
      <c r="BT601" s="136"/>
      <c r="BU601" s="136"/>
      <c r="BV601" s="136"/>
    </row>
    <row r="602" spans="2:74" x14ac:dyDescent="0.2">
      <c r="B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  <c r="BJ602" s="136"/>
      <c r="BK602" s="136"/>
      <c r="BL602" s="136"/>
      <c r="BM602" s="136"/>
      <c r="BN602" s="136"/>
      <c r="BO602" s="136"/>
      <c r="BP602" s="136"/>
      <c r="BQ602" s="136"/>
      <c r="BR602" s="136"/>
      <c r="BS602" s="136"/>
      <c r="BT602" s="136"/>
      <c r="BU602" s="136"/>
      <c r="BV602" s="136"/>
    </row>
    <row r="603" spans="2:74" x14ac:dyDescent="0.2">
      <c r="B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  <c r="BJ603" s="136"/>
      <c r="BK603" s="136"/>
      <c r="BL603" s="136"/>
      <c r="BM603" s="136"/>
      <c r="BN603" s="136"/>
      <c r="BO603" s="136"/>
      <c r="BP603" s="136"/>
      <c r="BQ603" s="136"/>
      <c r="BR603" s="136"/>
      <c r="BS603" s="136"/>
      <c r="BT603" s="136"/>
      <c r="BU603" s="136"/>
      <c r="BV603" s="136"/>
    </row>
    <row r="604" spans="2:74" x14ac:dyDescent="0.2">
      <c r="B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  <c r="BJ604" s="136"/>
      <c r="BK604" s="136"/>
      <c r="BL604" s="136"/>
      <c r="BM604" s="136"/>
      <c r="BN604" s="136"/>
      <c r="BO604" s="136"/>
      <c r="BP604" s="136"/>
      <c r="BQ604" s="136"/>
      <c r="BR604" s="136"/>
      <c r="BS604" s="136"/>
      <c r="BT604" s="136"/>
      <c r="BU604" s="136"/>
      <c r="BV604" s="136"/>
    </row>
    <row r="605" spans="2:74" x14ac:dyDescent="0.2">
      <c r="B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  <c r="BJ605" s="136"/>
      <c r="BK605" s="136"/>
      <c r="BL605" s="136"/>
      <c r="BM605" s="136"/>
      <c r="BN605" s="136"/>
      <c r="BO605" s="136"/>
      <c r="BP605" s="136"/>
      <c r="BQ605" s="136"/>
      <c r="BR605" s="136"/>
      <c r="BS605" s="136"/>
      <c r="BT605" s="136"/>
      <c r="BU605" s="136"/>
      <c r="BV605" s="136"/>
    </row>
    <row r="606" spans="2:74" x14ac:dyDescent="0.2">
      <c r="B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  <c r="BJ606" s="136"/>
      <c r="BK606" s="136"/>
      <c r="BL606" s="136"/>
      <c r="BM606" s="136"/>
      <c r="BN606" s="136"/>
      <c r="BO606" s="136"/>
      <c r="BP606" s="136"/>
      <c r="BQ606" s="136"/>
      <c r="BR606" s="136"/>
      <c r="BS606" s="136"/>
      <c r="BT606" s="136"/>
      <c r="BU606" s="136"/>
      <c r="BV606" s="136"/>
    </row>
    <row r="607" spans="2:74" x14ac:dyDescent="0.2">
      <c r="B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  <c r="BJ607" s="136"/>
      <c r="BK607" s="136"/>
      <c r="BL607" s="136"/>
      <c r="BM607" s="136"/>
      <c r="BN607" s="136"/>
      <c r="BO607" s="136"/>
      <c r="BP607" s="136"/>
      <c r="BQ607" s="136"/>
      <c r="BR607" s="136"/>
      <c r="BS607" s="136"/>
      <c r="BT607" s="136"/>
      <c r="BU607" s="136"/>
      <c r="BV607" s="136"/>
    </row>
    <row r="608" spans="2:74" x14ac:dyDescent="0.2">
      <c r="B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  <c r="BJ608" s="136"/>
      <c r="BK608" s="136"/>
      <c r="BL608" s="136"/>
      <c r="BM608" s="136"/>
      <c r="BN608" s="136"/>
      <c r="BO608" s="136"/>
      <c r="BP608" s="136"/>
      <c r="BQ608" s="136"/>
      <c r="BR608" s="136"/>
      <c r="BS608" s="136"/>
      <c r="BT608" s="136"/>
      <c r="BU608" s="136"/>
      <c r="BV608" s="136"/>
    </row>
    <row r="609" spans="2:74" x14ac:dyDescent="0.2">
      <c r="B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  <c r="BJ609" s="136"/>
      <c r="BK609" s="136"/>
      <c r="BL609" s="136"/>
      <c r="BM609" s="136"/>
      <c r="BN609" s="136"/>
      <c r="BO609" s="136"/>
      <c r="BP609" s="136"/>
      <c r="BQ609" s="136"/>
      <c r="BR609" s="136"/>
      <c r="BS609" s="136"/>
      <c r="BT609" s="136"/>
      <c r="BU609" s="136"/>
      <c r="BV609" s="136"/>
    </row>
    <row r="610" spans="2:74" x14ac:dyDescent="0.2">
      <c r="B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  <c r="BJ610" s="136"/>
      <c r="BK610" s="136"/>
      <c r="BL610" s="136"/>
      <c r="BM610" s="136"/>
      <c r="BN610" s="136"/>
      <c r="BO610" s="136"/>
      <c r="BP610" s="136"/>
      <c r="BQ610" s="136"/>
      <c r="BR610" s="136"/>
      <c r="BS610" s="136"/>
      <c r="BT610" s="136"/>
      <c r="BU610" s="136"/>
      <c r="BV610" s="136"/>
    </row>
    <row r="611" spans="2:74" x14ac:dyDescent="0.2">
      <c r="B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  <c r="BJ611" s="136"/>
      <c r="BK611" s="136"/>
      <c r="BL611" s="136"/>
      <c r="BM611" s="136"/>
      <c r="BN611" s="136"/>
      <c r="BO611" s="136"/>
      <c r="BP611" s="136"/>
      <c r="BQ611" s="136"/>
      <c r="BR611" s="136"/>
      <c r="BS611" s="136"/>
      <c r="BT611" s="136"/>
      <c r="BU611" s="136"/>
      <c r="BV611" s="136"/>
    </row>
    <row r="612" spans="2:74" x14ac:dyDescent="0.2">
      <c r="B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36"/>
      <c r="BM612" s="136"/>
      <c r="BN612" s="136"/>
      <c r="BO612" s="136"/>
      <c r="BP612" s="136"/>
      <c r="BQ612" s="136"/>
      <c r="BR612" s="136"/>
      <c r="BS612" s="136"/>
      <c r="BT612" s="136"/>
      <c r="BU612" s="136"/>
      <c r="BV612" s="136"/>
    </row>
    <row r="613" spans="2:74" x14ac:dyDescent="0.2">
      <c r="B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  <c r="BJ613" s="136"/>
      <c r="BK613" s="136"/>
      <c r="BL613" s="136"/>
      <c r="BM613" s="136"/>
      <c r="BN613" s="136"/>
      <c r="BO613" s="136"/>
      <c r="BP613" s="136"/>
      <c r="BQ613" s="136"/>
      <c r="BR613" s="136"/>
      <c r="BS613" s="136"/>
      <c r="BT613" s="136"/>
      <c r="BU613" s="136"/>
      <c r="BV613" s="136"/>
    </row>
    <row r="614" spans="2:74" x14ac:dyDescent="0.2">
      <c r="B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  <c r="BJ614" s="136"/>
      <c r="BK614" s="136"/>
      <c r="BL614" s="136"/>
      <c r="BM614" s="136"/>
      <c r="BN614" s="136"/>
      <c r="BO614" s="136"/>
      <c r="BP614" s="136"/>
      <c r="BQ614" s="136"/>
      <c r="BR614" s="136"/>
      <c r="BS614" s="136"/>
      <c r="BT614" s="136"/>
      <c r="BU614" s="136"/>
      <c r="BV614" s="136"/>
    </row>
    <row r="615" spans="2:74" x14ac:dyDescent="0.2">
      <c r="B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36"/>
      <c r="BM615" s="136"/>
      <c r="BN615" s="136"/>
      <c r="BO615" s="136"/>
      <c r="BP615" s="136"/>
      <c r="BQ615" s="136"/>
      <c r="BR615" s="136"/>
      <c r="BS615" s="136"/>
      <c r="BT615" s="136"/>
      <c r="BU615" s="136"/>
      <c r="BV615" s="136"/>
    </row>
    <row r="616" spans="2:74" x14ac:dyDescent="0.2">
      <c r="B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  <c r="BJ616" s="136"/>
      <c r="BK616" s="136"/>
      <c r="BL616" s="136"/>
      <c r="BM616" s="136"/>
      <c r="BN616" s="136"/>
      <c r="BO616" s="136"/>
      <c r="BP616" s="136"/>
      <c r="BQ616" s="136"/>
      <c r="BR616" s="136"/>
      <c r="BS616" s="136"/>
      <c r="BT616" s="136"/>
      <c r="BU616" s="136"/>
      <c r="BV616" s="136"/>
    </row>
    <row r="617" spans="2:74" x14ac:dyDescent="0.2">
      <c r="B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  <c r="BJ617" s="136"/>
      <c r="BK617" s="136"/>
      <c r="BL617" s="136"/>
      <c r="BM617" s="136"/>
      <c r="BN617" s="136"/>
      <c r="BO617" s="136"/>
      <c r="BP617" s="136"/>
      <c r="BQ617" s="136"/>
      <c r="BR617" s="136"/>
      <c r="BS617" s="136"/>
      <c r="BT617" s="136"/>
      <c r="BU617" s="136"/>
      <c r="BV617" s="136"/>
    </row>
    <row r="618" spans="2:74" x14ac:dyDescent="0.2">
      <c r="B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  <c r="BJ618" s="136"/>
      <c r="BK618" s="136"/>
      <c r="BL618" s="136"/>
      <c r="BM618" s="136"/>
      <c r="BN618" s="136"/>
      <c r="BO618" s="136"/>
      <c r="BP618" s="136"/>
      <c r="BQ618" s="136"/>
      <c r="BR618" s="136"/>
      <c r="BS618" s="136"/>
      <c r="BT618" s="136"/>
      <c r="BU618" s="136"/>
      <c r="BV618" s="136"/>
    </row>
    <row r="619" spans="2:74" x14ac:dyDescent="0.2">
      <c r="B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  <c r="BJ619" s="136"/>
      <c r="BK619" s="136"/>
      <c r="BL619" s="136"/>
      <c r="BM619" s="136"/>
      <c r="BN619" s="136"/>
      <c r="BO619" s="136"/>
      <c r="BP619" s="136"/>
      <c r="BQ619" s="136"/>
      <c r="BR619" s="136"/>
      <c r="BS619" s="136"/>
      <c r="BT619" s="136"/>
      <c r="BU619" s="136"/>
      <c r="BV619" s="136"/>
    </row>
    <row r="620" spans="2:74" x14ac:dyDescent="0.2">
      <c r="B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  <c r="BJ620" s="136"/>
      <c r="BK620" s="136"/>
      <c r="BL620" s="136"/>
      <c r="BM620" s="136"/>
      <c r="BN620" s="136"/>
      <c r="BO620" s="136"/>
      <c r="BP620" s="136"/>
      <c r="BQ620" s="136"/>
      <c r="BR620" s="136"/>
      <c r="BS620" s="136"/>
      <c r="BT620" s="136"/>
      <c r="BU620" s="136"/>
      <c r="BV620" s="136"/>
    </row>
    <row r="621" spans="2:74" x14ac:dyDescent="0.2">
      <c r="B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  <c r="BJ621" s="136"/>
      <c r="BK621" s="136"/>
      <c r="BL621" s="136"/>
      <c r="BM621" s="136"/>
      <c r="BN621" s="136"/>
      <c r="BO621" s="136"/>
      <c r="BP621" s="136"/>
      <c r="BQ621" s="136"/>
      <c r="BR621" s="136"/>
      <c r="BS621" s="136"/>
      <c r="BT621" s="136"/>
      <c r="BU621" s="136"/>
      <c r="BV621" s="136"/>
    </row>
    <row r="622" spans="2:74" x14ac:dyDescent="0.2">
      <c r="B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  <c r="BJ622" s="136"/>
      <c r="BK622" s="136"/>
      <c r="BL622" s="136"/>
      <c r="BM622" s="136"/>
      <c r="BN622" s="136"/>
      <c r="BO622" s="136"/>
      <c r="BP622" s="136"/>
      <c r="BQ622" s="136"/>
      <c r="BR622" s="136"/>
      <c r="BS622" s="136"/>
      <c r="BT622" s="136"/>
      <c r="BU622" s="136"/>
      <c r="BV622" s="136"/>
    </row>
    <row r="623" spans="2:74" x14ac:dyDescent="0.2">
      <c r="B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  <c r="BJ623" s="136"/>
      <c r="BK623" s="136"/>
      <c r="BL623" s="136"/>
      <c r="BM623" s="136"/>
      <c r="BN623" s="136"/>
      <c r="BO623" s="136"/>
      <c r="BP623" s="136"/>
      <c r="BQ623" s="136"/>
      <c r="BR623" s="136"/>
      <c r="BS623" s="136"/>
      <c r="BT623" s="136"/>
      <c r="BU623" s="136"/>
      <c r="BV623" s="136"/>
    </row>
    <row r="624" spans="2:74" x14ac:dyDescent="0.2">
      <c r="B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36"/>
      <c r="BM624" s="136"/>
      <c r="BN624" s="136"/>
      <c r="BO624" s="136"/>
      <c r="BP624" s="136"/>
      <c r="BQ624" s="136"/>
      <c r="BR624" s="136"/>
      <c r="BS624" s="136"/>
      <c r="BT624" s="136"/>
      <c r="BU624" s="136"/>
      <c r="BV624" s="136"/>
    </row>
    <row r="625" spans="2:74" x14ac:dyDescent="0.2">
      <c r="B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  <c r="BJ625" s="136"/>
      <c r="BK625" s="136"/>
      <c r="BL625" s="136"/>
      <c r="BM625" s="136"/>
      <c r="BN625" s="136"/>
      <c r="BO625" s="136"/>
      <c r="BP625" s="136"/>
      <c r="BQ625" s="136"/>
      <c r="BR625" s="136"/>
      <c r="BS625" s="136"/>
      <c r="BT625" s="136"/>
      <c r="BU625" s="136"/>
      <c r="BV625" s="136"/>
    </row>
  </sheetData>
  <mergeCells count="15"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9"/>
  <sheetViews>
    <sheetView view="pageBreakPreview" topLeftCell="A31" zoomScale="130" zoomScaleNormal="100" zoomScaleSheetLayoutView="130" workbookViewId="0">
      <selection activeCell="C28" sqref="C28"/>
    </sheetView>
  </sheetViews>
  <sheetFormatPr defaultColWidth="10" defaultRowHeight="12.75" x14ac:dyDescent="0.2"/>
  <cols>
    <col min="1" max="1" width="1.5703125" style="243" customWidth="1"/>
    <col min="2" max="2" width="1.42578125" style="243" customWidth="1"/>
    <col min="3" max="3" width="57.5703125" style="243" customWidth="1"/>
    <col min="4" max="4" width="2.7109375" style="243" customWidth="1"/>
    <col min="5" max="5" width="8.7109375" style="243" hidden="1" customWidth="1"/>
    <col min="6" max="7" width="1" style="243" customWidth="1"/>
    <col min="8" max="8" width="19.7109375" style="243" customWidth="1"/>
    <col min="9" max="10" width="1" style="243" customWidth="1"/>
    <col min="11" max="11" width="2" style="243" customWidth="1"/>
    <col min="12" max="12" width="1" style="243" customWidth="1"/>
    <col min="13" max="13" width="17.85546875" style="243" customWidth="1"/>
    <col min="14" max="17" width="1" style="243" customWidth="1"/>
    <col min="18" max="18" width="17.85546875" style="243" customWidth="1"/>
    <col min="19" max="22" width="1" style="243" customWidth="1"/>
    <col min="23" max="23" width="17.85546875" style="243" customWidth="1"/>
    <col min="24" max="27" width="1" style="243" customWidth="1"/>
    <col min="28" max="28" width="17.85546875" style="243" customWidth="1"/>
    <col min="29" max="32" width="1" style="243" customWidth="1"/>
    <col min="33" max="33" width="17.85546875" style="243" customWidth="1"/>
    <col min="34" max="37" width="1" style="243" customWidth="1"/>
    <col min="38" max="38" width="17.85546875" style="243" customWidth="1"/>
    <col min="39" max="42" width="1" style="243" customWidth="1"/>
    <col min="43" max="43" width="17.85546875" style="243" customWidth="1"/>
    <col min="44" max="47" width="1" style="243" customWidth="1"/>
    <col min="48" max="48" width="17.85546875" style="243" customWidth="1"/>
    <col min="49" max="52" width="1" style="243" customWidth="1"/>
    <col min="53" max="53" width="17.85546875" style="243" customWidth="1"/>
    <col min="54" max="57" width="1" style="243" customWidth="1"/>
    <col min="58" max="58" width="17.85546875" style="243" customWidth="1"/>
    <col min="59" max="62" width="1" style="243" customWidth="1"/>
    <col min="63" max="63" width="17.85546875" style="243" customWidth="1"/>
    <col min="64" max="67" width="1" style="243" customWidth="1"/>
    <col min="68" max="68" width="17.85546875" style="243" customWidth="1"/>
    <col min="69" max="72" width="1" style="243" customWidth="1"/>
    <col min="73" max="73" width="17.85546875" style="243" customWidth="1"/>
    <col min="74" max="75" width="1" style="243" customWidth="1"/>
    <col min="76" max="76" width="1.5703125" style="243" customWidth="1"/>
    <col min="77" max="77" width="0.7109375" style="244" customWidth="1"/>
    <col min="78" max="78" width="1.85546875" style="243" customWidth="1"/>
    <col min="79" max="79" width="10.7109375" style="243" customWidth="1"/>
    <col min="80" max="80" width="13" style="243" customWidth="1"/>
    <col min="81" max="186" width="10" style="243"/>
    <col min="187" max="187" width="1.5703125" style="243" customWidth="1"/>
    <col min="188" max="188" width="1.42578125" style="243" customWidth="1"/>
    <col min="189" max="189" width="57.5703125" style="243" customWidth="1"/>
    <col min="190" max="190" width="2.7109375" style="243" customWidth="1"/>
    <col min="191" max="191" width="0" style="243" hidden="1" customWidth="1"/>
    <col min="192" max="193" width="1" style="243" customWidth="1"/>
    <col min="194" max="194" width="19.7109375" style="243" customWidth="1"/>
    <col min="195" max="196" width="1" style="243" customWidth="1"/>
    <col min="197" max="251" width="0" style="243" hidden="1" customWidth="1"/>
    <col min="252" max="253" width="1" style="243" customWidth="1"/>
    <col min="254" max="254" width="17.85546875" style="243" customWidth="1"/>
    <col min="255" max="258" width="1" style="243" customWidth="1"/>
    <col min="259" max="259" width="17.85546875" style="243" customWidth="1"/>
    <col min="260" max="263" width="1" style="243" customWidth="1"/>
    <col min="264" max="264" width="17.85546875" style="243" customWidth="1"/>
    <col min="265" max="266" width="1" style="243" customWidth="1"/>
    <col min="267" max="321" width="0" style="243" hidden="1" customWidth="1"/>
    <col min="322" max="323" width="1" style="243" customWidth="1"/>
    <col min="324" max="324" width="17.85546875" style="243" customWidth="1"/>
    <col min="325" max="328" width="1" style="243" customWidth="1"/>
    <col min="329" max="329" width="17.85546875" style="243" customWidth="1"/>
    <col min="330" max="331" width="1" style="243" customWidth="1"/>
    <col min="332" max="332" width="1.5703125" style="243" customWidth="1"/>
    <col min="333" max="333" width="0.7109375" style="243" customWidth="1"/>
    <col min="334" max="334" width="1.85546875" style="243" customWidth="1"/>
    <col min="335" max="335" width="10.7109375" style="243" customWidth="1"/>
    <col min="336" max="336" width="13" style="243" customWidth="1"/>
    <col min="337" max="442" width="10" style="243"/>
    <col min="443" max="443" width="1.5703125" style="243" customWidth="1"/>
    <col min="444" max="444" width="1.42578125" style="243" customWidth="1"/>
    <col min="445" max="445" width="57.5703125" style="243" customWidth="1"/>
    <col min="446" max="446" width="2.7109375" style="243" customWidth="1"/>
    <col min="447" max="447" width="0" style="243" hidden="1" customWidth="1"/>
    <col min="448" max="449" width="1" style="243" customWidth="1"/>
    <col min="450" max="450" width="19.7109375" style="243" customWidth="1"/>
    <col min="451" max="452" width="1" style="243" customWidth="1"/>
    <col min="453" max="507" width="0" style="243" hidden="1" customWidth="1"/>
    <col min="508" max="509" width="1" style="243" customWidth="1"/>
    <col min="510" max="510" width="17.85546875" style="243" customWidth="1"/>
    <col min="511" max="514" width="1" style="243" customWidth="1"/>
    <col min="515" max="515" width="17.85546875" style="243" customWidth="1"/>
    <col min="516" max="519" width="1" style="243" customWidth="1"/>
    <col min="520" max="520" width="17.85546875" style="243" customWidth="1"/>
    <col min="521" max="522" width="1" style="243" customWidth="1"/>
    <col min="523" max="577" width="0" style="243" hidden="1" customWidth="1"/>
    <col min="578" max="579" width="1" style="243" customWidth="1"/>
    <col min="580" max="580" width="17.85546875" style="243" customWidth="1"/>
    <col min="581" max="584" width="1" style="243" customWidth="1"/>
    <col min="585" max="585" width="17.85546875" style="243" customWidth="1"/>
    <col min="586" max="587" width="1" style="243" customWidth="1"/>
    <col min="588" max="588" width="1.5703125" style="243" customWidth="1"/>
    <col min="589" max="589" width="0.7109375" style="243" customWidth="1"/>
    <col min="590" max="590" width="1.85546875" style="243" customWidth="1"/>
    <col min="591" max="591" width="10.7109375" style="243" customWidth="1"/>
    <col min="592" max="592" width="13" style="243" customWidth="1"/>
    <col min="593" max="698" width="10" style="243"/>
    <col min="699" max="699" width="1.5703125" style="243" customWidth="1"/>
    <col min="700" max="700" width="1.42578125" style="243" customWidth="1"/>
    <col min="701" max="701" width="57.5703125" style="243" customWidth="1"/>
    <col min="702" max="702" width="2.7109375" style="243" customWidth="1"/>
    <col min="703" max="703" width="0" style="243" hidden="1" customWidth="1"/>
    <col min="704" max="705" width="1" style="243" customWidth="1"/>
    <col min="706" max="706" width="19.7109375" style="243" customWidth="1"/>
    <col min="707" max="708" width="1" style="243" customWidth="1"/>
    <col min="709" max="763" width="0" style="243" hidden="1" customWidth="1"/>
    <col min="764" max="765" width="1" style="243" customWidth="1"/>
    <col min="766" max="766" width="17.85546875" style="243" customWidth="1"/>
    <col min="767" max="770" width="1" style="243" customWidth="1"/>
    <col min="771" max="771" width="17.85546875" style="243" customWidth="1"/>
    <col min="772" max="775" width="1" style="243" customWidth="1"/>
    <col min="776" max="776" width="17.85546875" style="243" customWidth="1"/>
    <col min="777" max="778" width="1" style="243" customWidth="1"/>
    <col min="779" max="833" width="0" style="243" hidden="1" customWidth="1"/>
    <col min="834" max="835" width="1" style="243" customWidth="1"/>
    <col min="836" max="836" width="17.85546875" style="243" customWidth="1"/>
    <col min="837" max="840" width="1" style="243" customWidth="1"/>
    <col min="841" max="841" width="17.85546875" style="243" customWidth="1"/>
    <col min="842" max="843" width="1" style="243" customWidth="1"/>
    <col min="844" max="844" width="1.5703125" style="243" customWidth="1"/>
    <col min="845" max="845" width="0.7109375" style="243" customWidth="1"/>
    <col min="846" max="846" width="1.85546875" style="243" customWidth="1"/>
    <col min="847" max="847" width="10.7109375" style="243" customWidth="1"/>
    <col min="848" max="848" width="13" style="243" customWidth="1"/>
    <col min="849" max="954" width="10" style="243"/>
    <col min="955" max="955" width="1.5703125" style="243" customWidth="1"/>
    <col min="956" max="956" width="1.42578125" style="243" customWidth="1"/>
    <col min="957" max="957" width="57.5703125" style="243" customWidth="1"/>
    <col min="958" max="958" width="2.7109375" style="243" customWidth="1"/>
    <col min="959" max="959" width="0" style="243" hidden="1" customWidth="1"/>
    <col min="960" max="961" width="1" style="243" customWidth="1"/>
    <col min="962" max="962" width="19.7109375" style="243" customWidth="1"/>
    <col min="963" max="964" width="1" style="243" customWidth="1"/>
    <col min="965" max="1019" width="0" style="243" hidden="1" customWidth="1"/>
    <col min="1020" max="1021" width="1" style="243" customWidth="1"/>
    <col min="1022" max="1022" width="17.85546875" style="243" customWidth="1"/>
    <col min="1023" max="1026" width="1" style="243" customWidth="1"/>
    <col min="1027" max="1027" width="17.85546875" style="243" customWidth="1"/>
    <col min="1028" max="1031" width="1" style="243" customWidth="1"/>
    <col min="1032" max="1032" width="17.85546875" style="243" customWidth="1"/>
    <col min="1033" max="1034" width="1" style="243" customWidth="1"/>
    <col min="1035" max="1089" width="0" style="243" hidden="1" customWidth="1"/>
    <col min="1090" max="1091" width="1" style="243" customWidth="1"/>
    <col min="1092" max="1092" width="17.85546875" style="243" customWidth="1"/>
    <col min="1093" max="1096" width="1" style="243" customWidth="1"/>
    <col min="1097" max="1097" width="17.85546875" style="243" customWidth="1"/>
    <col min="1098" max="1099" width="1" style="243" customWidth="1"/>
    <col min="1100" max="1100" width="1.5703125" style="243" customWidth="1"/>
    <col min="1101" max="1101" width="0.7109375" style="243" customWidth="1"/>
    <col min="1102" max="1102" width="1.85546875" style="243" customWidth="1"/>
    <col min="1103" max="1103" width="10.7109375" style="243" customWidth="1"/>
    <col min="1104" max="1104" width="13" style="243" customWidth="1"/>
    <col min="1105" max="1210" width="10" style="243"/>
    <col min="1211" max="1211" width="1.5703125" style="243" customWidth="1"/>
    <col min="1212" max="1212" width="1.42578125" style="243" customWidth="1"/>
    <col min="1213" max="1213" width="57.5703125" style="243" customWidth="1"/>
    <col min="1214" max="1214" width="2.7109375" style="243" customWidth="1"/>
    <col min="1215" max="1215" width="0" style="243" hidden="1" customWidth="1"/>
    <col min="1216" max="1217" width="1" style="243" customWidth="1"/>
    <col min="1218" max="1218" width="19.7109375" style="243" customWidth="1"/>
    <col min="1219" max="1220" width="1" style="243" customWidth="1"/>
    <col min="1221" max="1275" width="0" style="243" hidden="1" customWidth="1"/>
    <col min="1276" max="1277" width="1" style="243" customWidth="1"/>
    <col min="1278" max="1278" width="17.85546875" style="243" customWidth="1"/>
    <col min="1279" max="1282" width="1" style="243" customWidth="1"/>
    <col min="1283" max="1283" width="17.85546875" style="243" customWidth="1"/>
    <col min="1284" max="1287" width="1" style="243" customWidth="1"/>
    <col min="1288" max="1288" width="17.85546875" style="243" customWidth="1"/>
    <col min="1289" max="1290" width="1" style="243" customWidth="1"/>
    <col min="1291" max="1345" width="0" style="243" hidden="1" customWidth="1"/>
    <col min="1346" max="1347" width="1" style="243" customWidth="1"/>
    <col min="1348" max="1348" width="17.85546875" style="243" customWidth="1"/>
    <col min="1349" max="1352" width="1" style="243" customWidth="1"/>
    <col min="1353" max="1353" width="17.85546875" style="243" customWidth="1"/>
    <col min="1354" max="1355" width="1" style="243" customWidth="1"/>
    <col min="1356" max="1356" width="1.5703125" style="243" customWidth="1"/>
    <col min="1357" max="1357" width="0.7109375" style="243" customWidth="1"/>
    <col min="1358" max="1358" width="1.85546875" style="243" customWidth="1"/>
    <col min="1359" max="1359" width="10.7109375" style="243" customWidth="1"/>
    <col min="1360" max="1360" width="13" style="243" customWidth="1"/>
    <col min="1361" max="1466" width="10" style="243"/>
    <col min="1467" max="1467" width="1.5703125" style="243" customWidth="1"/>
    <col min="1468" max="1468" width="1.42578125" style="243" customWidth="1"/>
    <col min="1469" max="1469" width="57.5703125" style="243" customWidth="1"/>
    <col min="1470" max="1470" width="2.7109375" style="243" customWidth="1"/>
    <col min="1471" max="1471" width="0" style="243" hidden="1" customWidth="1"/>
    <col min="1472" max="1473" width="1" style="243" customWidth="1"/>
    <col min="1474" max="1474" width="19.7109375" style="243" customWidth="1"/>
    <col min="1475" max="1476" width="1" style="243" customWidth="1"/>
    <col min="1477" max="1531" width="0" style="243" hidden="1" customWidth="1"/>
    <col min="1532" max="1533" width="1" style="243" customWidth="1"/>
    <col min="1534" max="1534" width="17.85546875" style="243" customWidth="1"/>
    <col min="1535" max="1538" width="1" style="243" customWidth="1"/>
    <col min="1539" max="1539" width="17.85546875" style="243" customWidth="1"/>
    <col min="1540" max="1543" width="1" style="243" customWidth="1"/>
    <col min="1544" max="1544" width="17.85546875" style="243" customWidth="1"/>
    <col min="1545" max="1546" width="1" style="243" customWidth="1"/>
    <col min="1547" max="1601" width="0" style="243" hidden="1" customWidth="1"/>
    <col min="1602" max="1603" width="1" style="243" customWidth="1"/>
    <col min="1604" max="1604" width="17.85546875" style="243" customWidth="1"/>
    <col min="1605" max="1608" width="1" style="243" customWidth="1"/>
    <col min="1609" max="1609" width="17.85546875" style="243" customWidth="1"/>
    <col min="1610" max="1611" width="1" style="243" customWidth="1"/>
    <col min="1612" max="1612" width="1.5703125" style="243" customWidth="1"/>
    <col min="1613" max="1613" width="0.7109375" style="243" customWidth="1"/>
    <col min="1614" max="1614" width="1.85546875" style="243" customWidth="1"/>
    <col min="1615" max="1615" width="10.7109375" style="243" customWidth="1"/>
    <col min="1616" max="1616" width="13" style="243" customWidth="1"/>
    <col min="1617" max="1722" width="10" style="243"/>
    <col min="1723" max="1723" width="1.5703125" style="243" customWidth="1"/>
    <col min="1724" max="1724" width="1.42578125" style="243" customWidth="1"/>
    <col min="1725" max="1725" width="57.5703125" style="243" customWidth="1"/>
    <col min="1726" max="1726" width="2.7109375" style="243" customWidth="1"/>
    <col min="1727" max="1727" width="0" style="243" hidden="1" customWidth="1"/>
    <col min="1728" max="1729" width="1" style="243" customWidth="1"/>
    <col min="1730" max="1730" width="19.7109375" style="243" customWidth="1"/>
    <col min="1731" max="1732" width="1" style="243" customWidth="1"/>
    <col min="1733" max="1787" width="0" style="243" hidden="1" customWidth="1"/>
    <col min="1788" max="1789" width="1" style="243" customWidth="1"/>
    <col min="1790" max="1790" width="17.85546875" style="243" customWidth="1"/>
    <col min="1791" max="1794" width="1" style="243" customWidth="1"/>
    <col min="1795" max="1795" width="17.85546875" style="243" customWidth="1"/>
    <col min="1796" max="1799" width="1" style="243" customWidth="1"/>
    <col min="1800" max="1800" width="17.85546875" style="243" customWidth="1"/>
    <col min="1801" max="1802" width="1" style="243" customWidth="1"/>
    <col min="1803" max="1857" width="0" style="243" hidden="1" customWidth="1"/>
    <col min="1858" max="1859" width="1" style="243" customWidth="1"/>
    <col min="1860" max="1860" width="17.85546875" style="243" customWidth="1"/>
    <col min="1861" max="1864" width="1" style="243" customWidth="1"/>
    <col min="1865" max="1865" width="17.85546875" style="243" customWidth="1"/>
    <col min="1866" max="1867" width="1" style="243" customWidth="1"/>
    <col min="1868" max="1868" width="1.5703125" style="243" customWidth="1"/>
    <col min="1869" max="1869" width="0.7109375" style="243" customWidth="1"/>
    <col min="1870" max="1870" width="1.85546875" style="243" customWidth="1"/>
    <col min="1871" max="1871" width="10.7109375" style="243" customWidth="1"/>
    <col min="1872" max="1872" width="13" style="243" customWidth="1"/>
    <col min="1873" max="1978" width="10" style="243"/>
    <col min="1979" max="1979" width="1.5703125" style="243" customWidth="1"/>
    <col min="1980" max="1980" width="1.42578125" style="243" customWidth="1"/>
    <col min="1981" max="1981" width="57.5703125" style="243" customWidth="1"/>
    <col min="1982" max="1982" width="2.7109375" style="243" customWidth="1"/>
    <col min="1983" max="1983" width="0" style="243" hidden="1" customWidth="1"/>
    <col min="1984" max="1985" width="1" style="243" customWidth="1"/>
    <col min="1986" max="1986" width="19.7109375" style="243" customWidth="1"/>
    <col min="1987" max="1988" width="1" style="243" customWidth="1"/>
    <col min="1989" max="2043" width="0" style="243" hidden="1" customWidth="1"/>
    <col min="2044" max="2045" width="1" style="243" customWidth="1"/>
    <col min="2046" max="2046" width="17.85546875" style="243" customWidth="1"/>
    <col min="2047" max="2050" width="1" style="243" customWidth="1"/>
    <col min="2051" max="2051" width="17.85546875" style="243" customWidth="1"/>
    <col min="2052" max="2055" width="1" style="243" customWidth="1"/>
    <col min="2056" max="2056" width="17.85546875" style="243" customWidth="1"/>
    <col min="2057" max="2058" width="1" style="243" customWidth="1"/>
    <col min="2059" max="2113" width="0" style="243" hidden="1" customWidth="1"/>
    <col min="2114" max="2115" width="1" style="243" customWidth="1"/>
    <col min="2116" max="2116" width="17.85546875" style="243" customWidth="1"/>
    <col min="2117" max="2120" width="1" style="243" customWidth="1"/>
    <col min="2121" max="2121" width="17.85546875" style="243" customWidth="1"/>
    <col min="2122" max="2123" width="1" style="243" customWidth="1"/>
    <col min="2124" max="2124" width="1.5703125" style="243" customWidth="1"/>
    <col min="2125" max="2125" width="0.7109375" style="243" customWidth="1"/>
    <col min="2126" max="2126" width="1.85546875" style="243" customWidth="1"/>
    <col min="2127" max="2127" width="10.7109375" style="243" customWidth="1"/>
    <col min="2128" max="2128" width="13" style="243" customWidth="1"/>
    <col min="2129" max="2234" width="10" style="243"/>
    <col min="2235" max="2235" width="1.5703125" style="243" customWidth="1"/>
    <col min="2236" max="2236" width="1.42578125" style="243" customWidth="1"/>
    <col min="2237" max="2237" width="57.5703125" style="243" customWidth="1"/>
    <col min="2238" max="2238" width="2.7109375" style="243" customWidth="1"/>
    <col min="2239" max="2239" width="0" style="243" hidden="1" customWidth="1"/>
    <col min="2240" max="2241" width="1" style="243" customWidth="1"/>
    <col min="2242" max="2242" width="19.7109375" style="243" customWidth="1"/>
    <col min="2243" max="2244" width="1" style="243" customWidth="1"/>
    <col min="2245" max="2299" width="0" style="243" hidden="1" customWidth="1"/>
    <col min="2300" max="2301" width="1" style="243" customWidth="1"/>
    <col min="2302" max="2302" width="17.85546875" style="243" customWidth="1"/>
    <col min="2303" max="2306" width="1" style="243" customWidth="1"/>
    <col min="2307" max="2307" width="17.85546875" style="243" customWidth="1"/>
    <col min="2308" max="2311" width="1" style="243" customWidth="1"/>
    <col min="2312" max="2312" width="17.85546875" style="243" customWidth="1"/>
    <col min="2313" max="2314" width="1" style="243" customWidth="1"/>
    <col min="2315" max="2369" width="0" style="243" hidden="1" customWidth="1"/>
    <col min="2370" max="2371" width="1" style="243" customWidth="1"/>
    <col min="2372" max="2372" width="17.85546875" style="243" customWidth="1"/>
    <col min="2373" max="2376" width="1" style="243" customWidth="1"/>
    <col min="2377" max="2377" width="17.85546875" style="243" customWidth="1"/>
    <col min="2378" max="2379" width="1" style="243" customWidth="1"/>
    <col min="2380" max="2380" width="1.5703125" style="243" customWidth="1"/>
    <col min="2381" max="2381" width="0.7109375" style="243" customWidth="1"/>
    <col min="2382" max="2382" width="1.85546875" style="243" customWidth="1"/>
    <col min="2383" max="2383" width="10.7109375" style="243" customWidth="1"/>
    <col min="2384" max="2384" width="13" style="243" customWidth="1"/>
    <col min="2385" max="2490" width="10" style="243"/>
    <col min="2491" max="2491" width="1.5703125" style="243" customWidth="1"/>
    <col min="2492" max="2492" width="1.42578125" style="243" customWidth="1"/>
    <col min="2493" max="2493" width="57.5703125" style="243" customWidth="1"/>
    <col min="2494" max="2494" width="2.7109375" style="243" customWidth="1"/>
    <col min="2495" max="2495" width="0" style="243" hidden="1" customWidth="1"/>
    <col min="2496" max="2497" width="1" style="243" customWidth="1"/>
    <col min="2498" max="2498" width="19.7109375" style="243" customWidth="1"/>
    <col min="2499" max="2500" width="1" style="243" customWidth="1"/>
    <col min="2501" max="2555" width="0" style="243" hidden="1" customWidth="1"/>
    <col min="2556" max="2557" width="1" style="243" customWidth="1"/>
    <col min="2558" max="2558" width="17.85546875" style="243" customWidth="1"/>
    <col min="2559" max="2562" width="1" style="243" customWidth="1"/>
    <col min="2563" max="2563" width="17.85546875" style="243" customWidth="1"/>
    <col min="2564" max="2567" width="1" style="243" customWidth="1"/>
    <col min="2568" max="2568" width="17.85546875" style="243" customWidth="1"/>
    <col min="2569" max="2570" width="1" style="243" customWidth="1"/>
    <col min="2571" max="2625" width="0" style="243" hidden="1" customWidth="1"/>
    <col min="2626" max="2627" width="1" style="243" customWidth="1"/>
    <col min="2628" max="2628" width="17.85546875" style="243" customWidth="1"/>
    <col min="2629" max="2632" width="1" style="243" customWidth="1"/>
    <col min="2633" max="2633" width="17.85546875" style="243" customWidth="1"/>
    <col min="2634" max="2635" width="1" style="243" customWidth="1"/>
    <col min="2636" max="2636" width="1.5703125" style="243" customWidth="1"/>
    <col min="2637" max="2637" width="0.7109375" style="243" customWidth="1"/>
    <col min="2638" max="2638" width="1.85546875" style="243" customWidth="1"/>
    <col min="2639" max="2639" width="10.7109375" style="243" customWidth="1"/>
    <col min="2640" max="2640" width="13" style="243" customWidth="1"/>
    <col min="2641" max="2746" width="10" style="243"/>
    <col min="2747" max="2747" width="1.5703125" style="243" customWidth="1"/>
    <col min="2748" max="2748" width="1.42578125" style="243" customWidth="1"/>
    <col min="2749" max="2749" width="57.5703125" style="243" customWidth="1"/>
    <col min="2750" max="2750" width="2.7109375" style="243" customWidth="1"/>
    <col min="2751" max="2751" width="0" style="243" hidden="1" customWidth="1"/>
    <col min="2752" max="2753" width="1" style="243" customWidth="1"/>
    <col min="2754" max="2754" width="19.7109375" style="243" customWidth="1"/>
    <col min="2755" max="2756" width="1" style="243" customWidth="1"/>
    <col min="2757" max="2811" width="0" style="243" hidden="1" customWidth="1"/>
    <col min="2812" max="2813" width="1" style="243" customWidth="1"/>
    <col min="2814" max="2814" width="17.85546875" style="243" customWidth="1"/>
    <col min="2815" max="2818" width="1" style="243" customWidth="1"/>
    <col min="2819" max="2819" width="17.85546875" style="243" customWidth="1"/>
    <col min="2820" max="2823" width="1" style="243" customWidth="1"/>
    <col min="2824" max="2824" width="17.85546875" style="243" customWidth="1"/>
    <col min="2825" max="2826" width="1" style="243" customWidth="1"/>
    <col min="2827" max="2881" width="0" style="243" hidden="1" customWidth="1"/>
    <col min="2882" max="2883" width="1" style="243" customWidth="1"/>
    <col min="2884" max="2884" width="17.85546875" style="243" customWidth="1"/>
    <col min="2885" max="2888" width="1" style="243" customWidth="1"/>
    <col min="2889" max="2889" width="17.85546875" style="243" customWidth="1"/>
    <col min="2890" max="2891" width="1" style="243" customWidth="1"/>
    <col min="2892" max="2892" width="1.5703125" style="243" customWidth="1"/>
    <col min="2893" max="2893" width="0.7109375" style="243" customWidth="1"/>
    <col min="2894" max="2894" width="1.85546875" style="243" customWidth="1"/>
    <col min="2895" max="2895" width="10.7109375" style="243" customWidth="1"/>
    <col min="2896" max="2896" width="13" style="243" customWidth="1"/>
    <col min="2897" max="3002" width="10" style="243"/>
    <col min="3003" max="3003" width="1.5703125" style="243" customWidth="1"/>
    <col min="3004" max="3004" width="1.42578125" style="243" customWidth="1"/>
    <col min="3005" max="3005" width="57.5703125" style="243" customWidth="1"/>
    <col min="3006" max="3006" width="2.7109375" style="243" customWidth="1"/>
    <col min="3007" max="3007" width="0" style="243" hidden="1" customWidth="1"/>
    <col min="3008" max="3009" width="1" style="243" customWidth="1"/>
    <col min="3010" max="3010" width="19.7109375" style="243" customWidth="1"/>
    <col min="3011" max="3012" width="1" style="243" customWidth="1"/>
    <col min="3013" max="3067" width="0" style="243" hidden="1" customWidth="1"/>
    <col min="3068" max="3069" width="1" style="243" customWidth="1"/>
    <col min="3070" max="3070" width="17.85546875" style="243" customWidth="1"/>
    <col min="3071" max="3074" width="1" style="243" customWidth="1"/>
    <col min="3075" max="3075" width="17.85546875" style="243" customWidth="1"/>
    <col min="3076" max="3079" width="1" style="243" customWidth="1"/>
    <col min="3080" max="3080" width="17.85546875" style="243" customWidth="1"/>
    <col min="3081" max="3082" width="1" style="243" customWidth="1"/>
    <col min="3083" max="3137" width="0" style="243" hidden="1" customWidth="1"/>
    <col min="3138" max="3139" width="1" style="243" customWidth="1"/>
    <col min="3140" max="3140" width="17.85546875" style="243" customWidth="1"/>
    <col min="3141" max="3144" width="1" style="243" customWidth="1"/>
    <col min="3145" max="3145" width="17.85546875" style="243" customWidth="1"/>
    <col min="3146" max="3147" width="1" style="243" customWidth="1"/>
    <col min="3148" max="3148" width="1.5703125" style="243" customWidth="1"/>
    <col min="3149" max="3149" width="0.7109375" style="243" customWidth="1"/>
    <col min="3150" max="3150" width="1.85546875" style="243" customWidth="1"/>
    <col min="3151" max="3151" width="10.7109375" style="243" customWidth="1"/>
    <col min="3152" max="3152" width="13" style="243" customWidth="1"/>
    <col min="3153" max="3258" width="10" style="243"/>
    <col min="3259" max="3259" width="1.5703125" style="243" customWidth="1"/>
    <col min="3260" max="3260" width="1.42578125" style="243" customWidth="1"/>
    <col min="3261" max="3261" width="57.5703125" style="243" customWidth="1"/>
    <col min="3262" max="3262" width="2.7109375" style="243" customWidth="1"/>
    <col min="3263" max="3263" width="0" style="243" hidden="1" customWidth="1"/>
    <col min="3264" max="3265" width="1" style="243" customWidth="1"/>
    <col min="3266" max="3266" width="19.7109375" style="243" customWidth="1"/>
    <col min="3267" max="3268" width="1" style="243" customWidth="1"/>
    <col min="3269" max="3323" width="0" style="243" hidden="1" customWidth="1"/>
    <col min="3324" max="3325" width="1" style="243" customWidth="1"/>
    <col min="3326" max="3326" width="17.85546875" style="243" customWidth="1"/>
    <col min="3327" max="3330" width="1" style="243" customWidth="1"/>
    <col min="3331" max="3331" width="17.85546875" style="243" customWidth="1"/>
    <col min="3332" max="3335" width="1" style="243" customWidth="1"/>
    <col min="3336" max="3336" width="17.85546875" style="243" customWidth="1"/>
    <col min="3337" max="3338" width="1" style="243" customWidth="1"/>
    <col min="3339" max="3393" width="0" style="243" hidden="1" customWidth="1"/>
    <col min="3394" max="3395" width="1" style="243" customWidth="1"/>
    <col min="3396" max="3396" width="17.85546875" style="243" customWidth="1"/>
    <col min="3397" max="3400" width="1" style="243" customWidth="1"/>
    <col min="3401" max="3401" width="17.85546875" style="243" customWidth="1"/>
    <col min="3402" max="3403" width="1" style="243" customWidth="1"/>
    <col min="3404" max="3404" width="1.5703125" style="243" customWidth="1"/>
    <col min="3405" max="3405" width="0.7109375" style="243" customWidth="1"/>
    <col min="3406" max="3406" width="1.85546875" style="243" customWidth="1"/>
    <col min="3407" max="3407" width="10.7109375" style="243" customWidth="1"/>
    <col min="3408" max="3408" width="13" style="243" customWidth="1"/>
    <col min="3409" max="3514" width="10" style="243"/>
    <col min="3515" max="3515" width="1.5703125" style="243" customWidth="1"/>
    <col min="3516" max="3516" width="1.42578125" style="243" customWidth="1"/>
    <col min="3517" max="3517" width="57.5703125" style="243" customWidth="1"/>
    <col min="3518" max="3518" width="2.7109375" style="243" customWidth="1"/>
    <col min="3519" max="3519" width="0" style="243" hidden="1" customWidth="1"/>
    <col min="3520" max="3521" width="1" style="243" customWidth="1"/>
    <col min="3522" max="3522" width="19.7109375" style="243" customWidth="1"/>
    <col min="3523" max="3524" width="1" style="243" customWidth="1"/>
    <col min="3525" max="3579" width="0" style="243" hidden="1" customWidth="1"/>
    <col min="3580" max="3581" width="1" style="243" customWidth="1"/>
    <col min="3582" max="3582" width="17.85546875" style="243" customWidth="1"/>
    <col min="3583" max="3586" width="1" style="243" customWidth="1"/>
    <col min="3587" max="3587" width="17.85546875" style="243" customWidth="1"/>
    <col min="3588" max="3591" width="1" style="243" customWidth="1"/>
    <col min="3592" max="3592" width="17.85546875" style="243" customWidth="1"/>
    <col min="3593" max="3594" width="1" style="243" customWidth="1"/>
    <col min="3595" max="3649" width="0" style="243" hidden="1" customWidth="1"/>
    <col min="3650" max="3651" width="1" style="243" customWidth="1"/>
    <col min="3652" max="3652" width="17.85546875" style="243" customWidth="1"/>
    <col min="3653" max="3656" width="1" style="243" customWidth="1"/>
    <col min="3657" max="3657" width="17.85546875" style="243" customWidth="1"/>
    <col min="3658" max="3659" width="1" style="243" customWidth="1"/>
    <col min="3660" max="3660" width="1.5703125" style="243" customWidth="1"/>
    <col min="3661" max="3661" width="0.7109375" style="243" customWidth="1"/>
    <col min="3662" max="3662" width="1.85546875" style="243" customWidth="1"/>
    <col min="3663" max="3663" width="10.7109375" style="243" customWidth="1"/>
    <col min="3664" max="3664" width="13" style="243" customWidth="1"/>
    <col min="3665" max="3770" width="10" style="243"/>
    <col min="3771" max="3771" width="1.5703125" style="243" customWidth="1"/>
    <col min="3772" max="3772" width="1.42578125" style="243" customWidth="1"/>
    <col min="3773" max="3773" width="57.5703125" style="243" customWidth="1"/>
    <col min="3774" max="3774" width="2.7109375" style="243" customWidth="1"/>
    <col min="3775" max="3775" width="0" style="243" hidden="1" customWidth="1"/>
    <col min="3776" max="3777" width="1" style="243" customWidth="1"/>
    <col min="3778" max="3778" width="19.7109375" style="243" customWidth="1"/>
    <col min="3779" max="3780" width="1" style="243" customWidth="1"/>
    <col min="3781" max="3835" width="0" style="243" hidden="1" customWidth="1"/>
    <col min="3836" max="3837" width="1" style="243" customWidth="1"/>
    <col min="3838" max="3838" width="17.85546875" style="243" customWidth="1"/>
    <col min="3839" max="3842" width="1" style="243" customWidth="1"/>
    <col min="3843" max="3843" width="17.85546875" style="243" customWidth="1"/>
    <col min="3844" max="3847" width="1" style="243" customWidth="1"/>
    <col min="3848" max="3848" width="17.85546875" style="243" customWidth="1"/>
    <col min="3849" max="3850" width="1" style="243" customWidth="1"/>
    <col min="3851" max="3905" width="0" style="243" hidden="1" customWidth="1"/>
    <col min="3906" max="3907" width="1" style="243" customWidth="1"/>
    <col min="3908" max="3908" width="17.85546875" style="243" customWidth="1"/>
    <col min="3909" max="3912" width="1" style="243" customWidth="1"/>
    <col min="3913" max="3913" width="17.85546875" style="243" customWidth="1"/>
    <col min="3914" max="3915" width="1" style="243" customWidth="1"/>
    <col min="3916" max="3916" width="1.5703125" style="243" customWidth="1"/>
    <col min="3917" max="3917" width="0.7109375" style="243" customWidth="1"/>
    <col min="3918" max="3918" width="1.85546875" style="243" customWidth="1"/>
    <col min="3919" max="3919" width="10.7109375" style="243" customWidth="1"/>
    <col min="3920" max="3920" width="13" style="243" customWidth="1"/>
    <col min="3921" max="4026" width="10" style="243"/>
    <col min="4027" max="4027" width="1.5703125" style="243" customWidth="1"/>
    <col min="4028" max="4028" width="1.42578125" style="243" customWidth="1"/>
    <col min="4029" max="4029" width="57.5703125" style="243" customWidth="1"/>
    <col min="4030" max="4030" width="2.7109375" style="243" customWidth="1"/>
    <col min="4031" max="4031" width="0" style="243" hidden="1" customWidth="1"/>
    <col min="4032" max="4033" width="1" style="243" customWidth="1"/>
    <col min="4034" max="4034" width="19.7109375" style="243" customWidth="1"/>
    <col min="4035" max="4036" width="1" style="243" customWidth="1"/>
    <col min="4037" max="4091" width="0" style="243" hidden="1" customWidth="1"/>
    <col min="4092" max="4093" width="1" style="243" customWidth="1"/>
    <col min="4094" max="4094" width="17.85546875" style="243" customWidth="1"/>
    <col min="4095" max="4098" width="1" style="243" customWidth="1"/>
    <col min="4099" max="4099" width="17.85546875" style="243" customWidth="1"/>
    <col min="4100" max="4103" width="1" style="243" customWidth="1"/>
    <col min="4104" max="4104" width="17.85546875" style="243" customWidth="1"/>
    <col min="4105" max="4106" width="1" style="243" customWidth="1"/>
    <col min="4107" max="4161" width="0" style="243" hidden="1" customWidth="1"/>
    <col min="4162" max="4163" width="1" style="243" customWidth="1"/>
    <col min="4164" max="4164" width="17.85546875" style="243" customWidth="1"/>
    <col min="4165" max="4168" width="1" style="243" customWidth="1"/>
    <col min="4169" max="4169" width="17.85546875" style="243" customWidth="1"/>
    <col min="4170" max="4171" width="1" style="243" customWidth="1"/>
    <col min="4172" max="4172" width="1.5703125" style="243" customWidth="1"/>
    <col min="4173" max="4173" width="0.7109375" style="243" customWidth="1"/>
    <col min="4174" max="4174" width="1.85546875" style="243" customWidth="1"/>
    <col min="4175" max="4175" width="10.7109375" style="243" customWidth="1"/>
    <col min="4176" max="4176" width="13" style="243" customWidth="1"/>
    <col min="4177" max="4282" width="10" style="243"/>
    <col min="4283" max="4283" width="1.5703125" style="243" customWidth="1"/>
    <col min="4284" max="4284" width="1.42578125" style="243" customWidth="1"/>
    <col min="4285" max="4285" width="57.5703125" style="243" customWidth="1"/>
    <col min="4286" max="4286" width="2.7109375" style="243" customWidth="1"/>
    <col min="4287" max="4287" width="0" style="243" hidden="1" customWidth="1"/>
    <col min="4288" max="4289" width="1" style="243" customWidth="1"/>
    <col min="4290" max="4290" width="19.7109375" style="243" customWidth="1"/>
    <col min="4291" max="4292" width="1" style="243" customWidth="1"/>
    <col min="4293" max="4347" width="0" style="243" hidden="1" customWidth="1"/>
    <col min="4348" max="4349" width="1" style="243" customWidth="1"/>
    <col min="4350" max="4350" width="17.85546875" style="243" customWidth="1"/>
    <col min="4351" max="4354" width="1" style="243" customWidth="1"/>
    <col min="4355" max="4355" width="17.85546875" style="243" customWidth="1"/>
    <col min="4356" max="4359" width="1" style="243" customWidth="1"/>
    <col min="4360" max="4360" width="17.85546875" style="243" customWidth="1"/>
    <col min="4361" max="4362" width="1" style="243" customWidth="1"/>
    <col min="4363" max="4417" width="0" style="243" hidden="1" customWidth="1"/>
    <col min="4418" max="4419" width="1" style="243" customWidth="1"/>
    <col min="4420" max="4420" width="17.85546875" style="243" customWidth="1"/>
    <col min="4421" max="4424" width="1" style="243" customWidth="1"/>
    <col min="4425" max="4425" width="17.85546875" style="243" customWidth="1"/>
    <col min="4426" max="4427" width="1" style="243" customWidth="1"/>
    <col min="4428" max="4428" width="1.5703125" style="243" customWidth="1"/>
    <col min="4429" max="4429" width="0.7109375" style="243" customWidth="1"/>
    <col min="4430" max="4430" width="1.85546875" style="243" customWidth="1"/>
    <col min="4431" max="4431" width="10.7109375" style="243" customWidth="1"/>
    <col min="4432" max="4432" width="13" style="243" customWidth="1"/>
    <col min="4433" max="4538" width="10" style="243"/>
    <col min="4539" max="4539" width="1.5703125" style="243" customWidth="1"/>
    <col min="4540" max="4540" width="1.42578125" style="243" customWidth="1"/>
    <col min="4541" max="4541" width="57.5703125" style="243" customWidth="1"/>
    <col min="4542" max="4542" width="2.7109375" style="243" customWidth="1"/>
    <col min="4543" max="4543" width="0" style="243" hidden="1" customWidth="1"/>
    <col min="4544" max="4545" width="1" style="243" customWidth="1"/>
    <col min="4546" max="4546" width="19.7109375" style="243" customWidth="1"/>
    <col min="4547" max="4548" width="1" style="243" customWidth="1"/>
    <col min="4549" max="4603" width="0" style="243" hidden="1" customWidth="1"/>
    <col min="4604" max="4605" width="1" style="243" customWidth="1"/>
    <col min="4606" max="4606" width="17.85546875" style="243" customWidth="1"/>
    <col min="4607" max="4610" width="1" style="243" customWidth="1"/>
    <col min="4611" max="4611" width="17.85546875" style="243" customWidth="1"/>
    <col min="4612" max="4615" width="1" style="243" customWidth="1"/>
    <col min="4616" max="4616" width="17.85546875" style="243" customWidth="1"/>
    <col min="4617" max="4618" width="1" style="243" customWidth="1"/>
    <col min="4619" max="4673" width="0" style="243" hidden="1" customWidth="1"/>
    <col min="4674" max="4675" width="1" style="243" customWidth="1"/>
    <col min="4676" max="4676" width="17.85546875" style="243" customWidth="1"/>
    <col min="4677" max="4680" width="1" style="243" customWidth="1"/>
    <col min="4681" max="4681" width="17.85546875" style="243" customWidth="1"/>
    <col min="4682" max="4683" width="1" style="243" customWidth="1"/>
    <col min="4684" max="4684" width="1.5703125" style="243" customWidth="1"/>
    <col min="4685" max="4685" width="0.7109375" style="243" customWidth="1"/>
    <col min="4686" max="4686" width="1.85546875" style="243" customWidth="1"/>
    <col min="4687" max="4687" width="10.7109375" style="243" customWidth="1"/>
    <col min="4688" max="4688" width="13" style="243" customWidth="1"/>
    <col min="4689" max="4794" width="10" style="243"/>
    <col min="4795" max="4795" width="1.5703125" style="243" customWidth="1"/>
    <col min="4796" max="4796" width="1.42578125" style="243" customWidth="1"/>
    <col min="4797" max="4797" width="57.5703125" style="243" customWidth="1"/>
    <col min="4798" max="4798" width="2.7109375" style="243" customWidth="1"/>
    <col min="4799" max="4799" width="0" style="243" hidden="1" customWidth="1"/>
    <col min="4800" max="4801" width="1" style="243" customWidth="1"/>
    <col min="4802" max="4802" width="19.7109375" style="243" customWidth="1"/>
    <col min="4803" max="4804" width="1" style="243" customWidth="1"/>
    <col min="4805" max="4859" width="0" style="243" hidden="1" customWidth="1"/>
    <col min="4860" max="4861" width="1" style="243" customWidth="1"/>
    <col min="4862" max="4862" width="17.85546875" style="243" customWidth="1"/>
    <col min="4863" max="4866" width="1" style="243" customWidth="1"/>
    <col min="4867" max="4867" width="17.85546875" style="243" customWidth="1"/>
    <col min="4868" max="4871" width="1" style="243" customWidth="1"/>
    <col min="4872" max="4872" width="17.85546875" style="243" customWidth="1"/>
    <col min="4873" max="4874" width="1" style="243" customWidth="1"/>
    <col min="4875" max="4929" width="0" style="243" hidden="1" customWidth="1"/>
    <col min="4930" max="4931" width="1" style="243" customWidth="1"/>
    <col min="4932" max="4932" width="17.85546875" style="243" customWidth="1"/>
    <col min="4933" max="4936" width="1" style="243" customWidth="1"/>
    <col min="4937" max="4937" width="17.85546875" style="243" customWidth="1"/>
    <col min="4938" max="4939" width="1" style="243" customWidth="1"/>
    <col min="4940" max="4940" width="1.5703125" style="243" customWidth="1"/>
    <col min="4941" max="4941" width="0.7109375" style="243" customWidth="1"/>
    <col min="4942" max="4942" width="1.85546875" style="243" customWidth="1"/>
    <col min="4943" max="4943" width="10.7109375" style="243" customWidth="1"/>
    <col min="4944" max="4944" width="13" style="243" customWidth="1"/>
    <col min="4945" max="5050" width="10" style="243"/>
    <col min="5051" max="5051" width="1.5703125" style="243" customWidth="1"/>
    <col min="5052" max="5052" width="1.42578125" style="243" customWidth="1"/>
    <col min="5053" max="5053" width="57.5703125" style="243" customWidth="1"/>
    <col min="5054" max="5054" width="2.7109375" style="243" customWidth="1"/>
    <col min="5055" max="5055" width="0" style="243" hidden="1" customWidth="1"/>
    <col min="5056" max="5057" width="1" style="243" customWidth="1"/>
    <col min="5058" max="5058" width="19.7109375" style="243" customWidth="1"/>
    <col min="5059" max="5060" width="1" style="243" customWidth="1"/>
    <col min="5061" max="5115" width="0" style="243" hidden="1" customWidth="1"/>
    <col min="5116" max="5117" width="1" style="243" customWidth="1"/>
    <col min="5118" max="5118" width="17.85546875" style="243" customWidth="1"/>
    <col min="5119" max="5122" width="1" style="243" customWidth="1"/>
    <col min="5123" max="5123" width="17.85546875" style="243" customWidth="1"/>
    <col min="5124" max="5127" width="1" style="243" customWidth="1"/>
    <col min="5128" max="5128" width="17.85546875" style="243" customWidth="1"/>
    <col min="5129" max="5130" width="1" style="243" customWidth="1"/>
    <col min="5131" max="5185" width="0" style="243" hidden="1" customWidth="1"/>
    <col min="5186" max="5187" width="1" style="243" customWidth="1"/>
    <col min="5188" max="5188" width="17.85546875" style="243" customWidth="1"/>
    <col min="5189" max="5192" width="1" style="243" customWidth="1"/>
    <col min="5193" max="5193" width="17.85546875" style="243" customWidth="1"/>
    <col min="5194" max="5195" width="1" style="243" customWidth="1"/>
    <col min="5196" max="5196" width="1.5703125" style="243" customWidth="1"/>
    <col min="5197" max="5197" width="0.7109375" style="243" customWidth="1"/>
    <col min="5198" max="5198" width="1.85546875" style="243" customWidth="1"/>
    <col min="5199" max="5199" width="10.7109375" style="243" customWidth="1"/>
    <col min="5200" max="5200" width="13" style="243" customWidth="1"/>
    <col min="5201" max="5306" width="10" style="243"/>
    <col min="5307" max="5307" width="1.5703125" style="243" customWidth="1"/>
    <col min="5308" max="5308" width="1.42578125" style="243" customWidth="1"/>
    <col min="5309" max="5309" width="57.5703125" style="243" customWidth="1"/>
    <col min="5310" max="5310" width="2.7109375" style="243" customWidth="1"/>
    <col min="5311" max="5311" width="0" style="243" hidden="1" customWidth="1"/>
    <col min="5312" max="5313" width="1" style="243" customWidth="1"/>
    <col min="5314" max="5314" width="19.7109375" style="243" customWidth="1"/>
    <col min="5315" max="5316" width="1" style="243" customWidth="1"/>
    <col min="5317" max="5371" width="0" style="243" hidden="1" customWidth="1"/>
    <col min="5372" max="5373" width="1" style="243" customWidth="1"/>
    <col min="5374" max="5374" width="17.85546875" style="243" customWidth="1"/>
    <col min="5375" max="5378" width="1" style="243" customWidth="1"/>
    <col min="5379" max="5379" width="17.85546875" style="243" customWidth="1"/>
    <col min="5380" max="5383" width="1" style="243" customWidth="1"/>
    <col min="5384" max="5384" width="17.85546875" style="243" customWidth="1"/>
    <col min="5385" max="5386" width="1" style="243" customWidth="1"/>
    <col min="5387" max="5441" width="0" style="243" hidden="1" customWidth="1"/>
    <col min="5442" max="5443" width="1" style="243" customWidth="1"/>
    <col min="5444" max="5444" width="17.85546875" style="243" customWidth="1"/>
    <col min="5445" max="5448" width="1" style="243" customWidth="1"/>
    <col min="5449" max="5449" width="17.85546875" style="243" customWidth="1"/>
    <col min="5450" max="5451" width="1" style="243" customWidth="1"/>
    <col min="5452" max="5452" width="1.5703125" style="243" customWidth="1"/>
    <col min="5453" max="5453" width="0.7109375" style="243" customWidth="1"/>
    <col min="5454" max="5454" width="1.85546875" style="243" customWidth="1"/>
    <col min="5455" max="5455" width="10.7109375" style="243" customWidth="1"/>
    <col min="5456" max="5456" width="13" style="243" customWidth="1"/>
    <col min="5457" max="5562" width="10" style="243"/>
    <col min="5563" max="5563" width="1.5703125" style="243" customWidth="1"/>
    <col min="5564" max="5564" width="1.42578125" style="243" customWidth="1"/>
    <col min="5565" max="5565" width="57.5703125" style="243" customWidth="1"/>
    <col min="5566" max="5566" width="2.7109375" style="243" customWidth="1"/>
    <col min="5567" max="5567" width="0" style="243" hidden="1" customWidth="1"/>
    <col min="5568" max="5569" width="1" style="243" customWidth="1"/>
    <col min="5570" max="5570" width="19.7109375" style="243" customWidth="1"/>
    <col min="5571" max="5572" width="1" style="243" customWidth="1"/>
    <col min="5573" max="5627" width="0" style="243" hidden="1" customWidth="1"/>
    <col min="5628" max="5629" width="1" style="243" customWidth="1"/>
    <col min="5630" max="5630" width="17.85546875" style="243" customWidth="1"/>
    <col min="5631" max="5634" width="1" style="243" customWidth="1"/>
    <col min="5635" max="5635" width="17.85546875" style="243" customWidth="1"/>
    <col min="5636" max="5639" width="1" style="243" customWidth="1"/>
    <col min="5640" max="5640" width="17.85546875" style="243" customWidth="1"/>
    <col min="5641" max="5642" width="1" style="243" customWidth="1"/>
    <col min="5643" max="5697" width="0" style="243" hidden="1" customWidth="1"/>
    <col min="5698" max="5699" width="1" style="243" customWidth="1"/>
    <col min="5700" max="5700" width="17.85546875" style="243" customWidth="1"/>
    <col min="5701" max="5704" width="1" style="243" customWidth="1"/>
    <col min="5705" max="5705" width="17.85546875" style="243" customWidth="1"/>
    <col min="5706" max="5707" width="1" style="243" customWidth="1"/>
    <col min="5708" max="5708" width="1.5703125" style="243" customWidth="1"/>
    <col min="5709" max="5709" width="0.7109375" style="243" customWidth="1"/>
    <col min="5710" max="5710" width="1.85546875" style="243" customWidth="1"/>
    <col min="5711" max="5711" width="10.7109375" style="243" customWidth="1"/>
    <col min="5712" max="5712" width="13" style="243" customWidth="1"/>
    <col min="5713" max="5818" width="10" style="243"/>
    <col min="5819" max="5819" width="1.5703125" style="243" customWidth="1"/>
    <col min="5820" max="5820" width="1.42578125" style="243" customWidth="1"/>
    <col min="5821" max="5821" width="57.5703125" style="243" customWidth="1"/>
    <col min="5822" max="5822" width="2.7109375" style="243" customWidth="1"/>
    <col min="5823" max="5823" width="0" style="243" hidden="1" customWidth="1"/>
    <col min="5824" max="5825" width="1" style="243" customWidth="1"/>
    <col min="5826" max="5826" width="19.7109375" style="243" customWidth="1"/>
    <col min="5827" max="5828" width="1" style="243" customWidth="1"/>
    <col min="5829" max="5883" width="0" style="243" hidden="1" customWidth="1"/>
    <col min="5884" max="5885" width="1" style="243" customWidth="1"/>
    <col min="5886" max="5886" width="17.85546875" style="243" customWidth="1"/>
    <col min="5887" max="5890" width="1" style="243" customWidth="1"/>
    <col min="5891" max="5891" width="17.85546875" style="243" customWidth="1"/>
    <col min="5892" max="5895" width="1" style="243" customWidth="1"/>
    <col min="5896" max="5896" width="17.85546875" style="243" customWidth="1"/>
    <col min="5897" max="5898" width="1" style="243" customWidth="1"/>
    <col min="5899" max="5953" width="0" style="243" hidden="1" customWidth="1"/>
    <col min="5954" max="5955" width="1" style="243" customWidth="1"/>
    <col min="5956" max="5956" width="17.85546875" style="243" customWidth="1"/>
    <col min="5957" max="5960" width="1" style="243" customWidth="1"/>
    <col min="5961" max="5961" width="17.85546875" style="243" customWidth="1"/>
    <col min="5962" max="5963" width="1" style="243" customWidth="1"/>
    <col min="5964" max="5964" width="1.5703125" style="243" customWidth="1"/>
    <col min="5965" max="5965" width="0.7109375" style="243" customWidth="1"/>
    <col min="5966" max="5966" width="1.85546875" style="243" customWidth="1"/>
    <col min="5967" max="5967" width="10.7109375" style="243" customWidth="1"/>
    <col min="5968" max="5968" width="13" style="243" customWidth="1"/>
    <col min="5969" max="6074" width="10" style="243"/>
    <col min="6075" max="6075" width="1.5703125" style="243" customWidth="1"/>
    <col min="6076" max="6076" width="1.42578125" style="243" customWidth="1"/>
    <col min="6077" max="6077" width="57.5703125" style="243" customWidth="1"/>
    <col min="6078" max="6078" width="2.7109375" style="243" customWidth="1"/>
    <col min="6079" max="6079" width="0" style="243" hidden="1" customWidth="1"/>
    <col min="6080" max="6081" width="1" style="243" customWidth="1"/>
    <col min="6082" max="6082" width="19.7109375" style="243" customWidth="1"/>
    <col min="6083" max="6084" width="1" style="243" customWidth="1"/>
    <col min="6085" max="6139" width="0" style="243" hidden="1" customWidth="1"/>
    <col min="6140" max="6141" width="1" style="243" customWidth="1"/>
    <col min="6142" max="6142" width="17.85546875" style="243" customWidth="1"/>
    <col min="6143" max="6146" width="1" style="243" customWidth="1"/>
    <col min="6147" max="6147" width="17.85546875" style="243" customWidth="1"/>
    <col min="6148" max="6151" width="1" style="243" customWidth="1"/>
    <col min="6152" max="6152" width="17.85546875" style="243" customWidth="1"/>
    <col min="6153" max="6154" width="1" style="243" customWidth="1"/>
    <col min="6155" max="6209" width="0" style="243" hidden="1" customWidth="1"/>
    <col min="6210" max="6211" width="1" style="243" customWidth="1"/>
    <col min="6212" max="6212" width="17.85546875" style="243" customWidth="1"/>
    <col min="6213" max="6216" width="1" style="243" customWidth="1"/>
    <col min="6217" max="6217" width="17.85546875" style="243" customWidth="1"/>
    <col min="6218" max="6219" width="1" style="243" customWidth="1"/>
    <col min="6220" max="6220" width="1.5703125" style="243" customWidth="1"/>
    <col min="6221" max="6221" width="0.7109375" style="243" customWidth="1"/>
    <col min="6222" max="6222" width="1.85546875" style="243" customWidth="1"/>
    <col min="6223" max="6223" width="10.7109375" style="243" customWidth="1"/>
    <col min="6224" max="6224" width="13" style="243" customWidth="1"/>
    <col min="6225" max="6330" width="10" style="243"/>
    <col min="6331" max="6331" width="1.5703125" style="243" customWidth="1"/>
    <col min="6332" max="6332" width="1.42578125" style="243" customWidth="1"/>
    <col min="6333" max="6333" width="57.5703125" style="243" customWidth="1"/>
    <col min="6334" max="6334" width="2.7109375" style="243" customWidth="1"/>
    <col min="6335" max="6335" width="0" style="243" hidden="1" customWidth="1"/>
    <col min="6336" max="6337" width="1" style="243" customWidth="1"/>
    <col min="6338" max="6338" width="19.7109375" style="243" customWidth="1"/>
    <col min="6339" max="6340" width="1" style="243" customWidth="1"/>
    <col min="6341" max="6395" width="0" style="243" hidden="1" customWidth="1"/>
    <col min="6396" max="6397" width="1" style="243" customWidth="1"/>
    <col min="6398" max="6398" width="17.85546875" style="243" customWidth="1"/>
    <col min="6399" max="6402" width="1" style="243" customWidth="1"/>
    <col min="6403" max="6403" width="17.85546875" style="243" customWidth="1"/>
    <col min="6404" max="6407" width="1" style="243" customWidth="1"/>
    <col min="6408" max="6408" width="17.85546875" style="243" customWidth="1"/>
    <col min="6409" max="6410" width="1" style="243" customWidth="1"/>
    <col min="6411" max="6465" width="0" style="243" hidden="1" customWidth="1"/>
    <col min="6466" max="6467" width="1" style="243" customWidth="1"/>
    <col min="6468" max="6468" width="17.85546875" style="243" customWidth="1"/>
    <col min="6469" max="6472" width="1" style="243" customWidth="1"/>
    <col min="6473" max="6473" width="17.85546875" style="243" customWidth="1"/>
    <col min="6474" max="6475" width="1" style="243" customWidth="1"/>
    <col min="6476" max="6476" width="1.5703125" style="243" customWidth="1"/>
    <col min="6477" max="6477" width="0.7109375" style="243" customWidth="1"/>
    <col min="6478" max="6478" width="1.85546875" style="243" customWidth="1"/>
    <col min="6479" max="6479" width="10.7109375" style="243" customWidth="1"/>
    <col min="6480" max="6480" width="13" style="243" customWidth="1"/>
    <col min="6481" max="6586" width="10" style="243"/>
    <col min="6587" max="6587" width="1.5703125" style="243" customWidth="1"/>
    <col min="6588" max="6588" width="1.42578125" style="243" customWidth="1"/>
    <col min="6589" max="6589" width="57.5703125" style="243" customWidth="1"/>
    <col min="6590" max="6590" width="2.7109375" style="243" customWidth="1"/>
    <col min="6591" max="6591" width="0" style="243" hidden="1" customWidth="1"/>
    <col min="6592" max="6593" width="1" style="243" customWidth="1"/>
    <col min="6594" max="6594" width="19.7109375" style="243" customWidth="1"/>
    <col min="6595" max="6596" width="1" style="243" customWidth="1"/>
    <col min="6597" max="6651" width="0" style="243" hidden="1" customWidth="1"/>
    <col min="6652" max="6653" width="1" style="243" customWidth="1"/>
    <col min="6654" max="6654" width="17.85546875" style="243" customWidth="1"/>
    <col min="6655" max="6658" width="1" style="243" customWidth="1"/>
    <col min="6659" max="6659" width="17.85546875" style="243" customWidth="1"/>
    <col min="6660" max="6663" width="1" style="243" customWidth="1"/>
    <col min="6664" max="6664" width="17.85546875" style="243" customWidth="1"/>
    <col min="6665" max="6666" width="1" style="243" customWidth="1"/>
    <col min="6667" max="6721" width="0" style="243" hidden="1" customWidth="1"/>
    <col min="6722" max="6723" width="1" style="243" customWidth="1"/>
    <col min="6724" max="6724" width="17.85546875" style="243" customWidth="1"/>
    <col min="6725" max="6728" width="1" style="243" customWidth="1"/>
    <col min="6729" max="6729" width="17.85546875" style="243" customWidth="1"/>
    <col min="6730" max="6731" width="1" style="243" customWidth="1"/>
    <col min="6732" max="6732" width="1.5703125" style="243" customWidth="1"/>
    <col min="6733" max="6733" width="0.7109375" style="243" customWidth="1"/>
    <col min="6734" max="6734" width="1.85546875" style="243" customWidth="1"/>
    <col min="6735" max="6735" width="10.7109375" style="243" customWidth="1"/>
    <col min="6736" max="6736" width="13" style="243" customWidth="1"/>
    <col min="6737" max="6842" width="10" style="243"/>
    <col min="6843" max="6843" width="1.5703125" style="243" customWidth="1"/>
    <col min="6844" max="6844" width="1.42578125" style="243" customWidth="1"/>
    <col min="6845" max="6845" width="57.5703125" style="243" customWidth="1"/>
    <col min="6846" max="6846" width="2.7109375" style="243" customWidth="1"/>
    <col min="6847" max="6847" width="0" style="243" hidden="1" customWidth="1"/>
    <col min="6848" max="6849" width="1" style="243" customWidth="1"/>
    <col min="6850" max="6850" width="19.7109375" style="243" customWidth="1"/>
    <col min="6851" max="6852" width="1" style="243" customWidth="1"/>
    <col min="6853" max="6907" width="0" style="243" hidden="1" customWidth="1"/>
    <col min="6908" max="6909" width="1" style="243" customWidth="1"/>
    <col min="6910" max="6910" width="17.85546875" style="243" customWidth="1"/>
    <col min="6911" max="6914" width="1" style="243" customWidth="1"/>
    <col min="6915" max="6915" width="17.85546875" style="243" customWidth="1"/>
    <col min="6916" max="6919" width="1" style="243" customWidth="1"/>
    <col min="6920" max="6920" width="17.85546875" style="243" customWidth="1"/>
    <col min="6921" max="6922" width="1" style="243" customWidth="1"/>
    <col min="6923" max="6977" width="0" style="243" hidden="1" customWidth="1"/>
    <col min="6978" max="6979" width="1" style="243" customWidth="1"/>
    <col min="6980" max="6980" width="17.85546875" style="243" customWidth="1"/>
    <col min="6981" max="6984" width="1" style="243" customWidth="1"/>
    <col min="6985" max="6985" width="17.85546875" style="243" customWidth="1"/>
    <col min="6986" max="6987" width="1" style="243" customWidth="1"/>
    <col min="6988" max="6988" width="1.5703125" style="243" customWidth="1"/>
    <col min="6989" max="6989" width="0.7109375" style="243" customWidth="1"/>
    <col min="6990" max="6990" width="1.85546875" style="243" customWidth="1"/>
    <col min="6991" max="6991" width="10.7109375" style="243" customWidth="1"/>
    <col min="6992" max="6992" width="13" style="243" customWidth="1"/>
    <col min="6993" max="7098" width="10" style="243"/>
    <col min="7099" max="7099" width="1.5703125" style="243" customWidth="1"/>
    <col min="7100" max="7100" width="1.42578125" style="243" customWidth="1"/>
    <col min="7101" max="7101" width="57.5703125" style="243" customWidth="1"/>
    <col min="7102" max="7102" width="2.7109375" style="243" customWidth="1"/>
    <col min="7103" max="7103" width="0" style="243" hidden="1" customWidth="1"/>
    <col min="7104" max="7105" width="1" style="243" customWidth="1"/>
    <col min="7106" max="7106" width="19.7109375" style="243" customWidth="1"/>
    <col min="7107" max="7108" width="1" style="243" customWidth="1"/>
    <col min="7109" max="7163" width="0" style="243" hidden="1" customWidth="1"/>
    <col min="7164" max="7165" width="1" style="243" customWidth="1"/>
    <col min="7166" max="7166" width="17.85546875" style="243" customWidth="1"/>
    <col min="7167" max="7170" width="1" style="243" customWidth="1"/>
    <col min="7171" max="7171" width="17.85546875" style="243" customWidth="1"/>
    <col min="7172" max="7175" width="1" style="243" customWidth="1"/>
    <col min="7176" max="7176" width="17.85546875" style="243" customWidth="1"/>
    <col min="7177" max="7178" width="1" style="243" customWidth="1"/>
    <col min="7179" max="7233" width="0" style="243" hidden="1" customWidth="1"/>
    <col min="7234" max="7235" width="1" style="243" customWidth="1"/>
    <col min="7236" max="7236" width="17.85546875" style="243" customWidth="1"/>
    <col min="7237" max="7240" width="1" style="243" customWidth="1"/>
    <col min="7241" max="7241" width="17.85546875" style="243" customWidth="1"/>
    <col min="7242" max="7243" width="1" style="243" customWidth="1"/>
    <col min="7244" max="7244" width="1.5703125" style="243" customWidth="1"/>
    <col min="7245" max="7245" width="0.7109375" style="243" customWidth="1"/>
    <col min="7246" max="7246" width="1.85546875" style="243" customWidth="1"/>
    <col min="7247" max="7247" width="10.7109375" style="243" customWidth="1"/>
    <col min="7248" max="7248" width="13" style="243" customWidth="1"/>
    <col min="7249" max="7354" width="10" style="243"/>
    <col min="7355" max="7355" width="1.5703125" style="243" customWidth="1"/>
    <col min="7356" max="7356" width="1.42578125" style="243" customWidth="1"/>
    <col min="7357" max="7357" width="57.5703125" style="243" customWidth="1"/>
    <col min="7358" max="7358" width="2.7109375" style="243" customWidth="1"/>
    <col min="7359" max="7359" width="0" style="243" hidden="1" customWidth="1"/>
    <col min="7360" max="7361" width="1" style="243" customWidth="1"/>
    <col min="7362" max="7362" width="19.7109375" style="243" customWidth="1"/>
    <col min="7363" max="7364" width="1" style="243" customWidth="1"/>
    <col min="7365" max="7419" width="0" style="243" hidden="1" customWidth="1"/>
    <col min="7420" max="7421" width="1" style="243" customWidth="1"/>
    <col min="7422" max="7422" width="17.85546875" style="243" customWidth="1"/>
    <col min="7423" max="7426" width="1" style="243" customWidth="1"/>
    <col min="7427" max="7427" width="17.85546875" style="243" customWidth="1"/>
    <col min="7428" max="7431" width="1" style="243" customWidth="1"/>
    <col min="7432" max="7432" width="17.85546875" style="243" customWidth="1"/>
    <col min="7433" max="7434" width="1" style="243" customWidth="1"/>
    <col min="7435" max="7489" width="0" style="243" hidden="1" customWidth="1"/>
    <col min="7490" max="7491" width="1" style="243" customWidth="1"/>
    <col min="7492" max="7492" width="17.85546875" style="243" customWidth="1"/>
    <col min="7493" max="7496" width="1" style="243" customWidth="1"/>
    <col min="7497" max="7497" width="17.85546875" style="243" customWidth="1"/>
    <col min="7498" max="7499" width="1" style="243" customWidth="1"/>
    <col min="7500" max="7500" width="1.5703125" style="243" customWidth="1"/>
    <col min="7501" max="7501" width="0.7109375" style="243" customWidth="1"/>
    <col min="7502" max="7502" width="1.85546875" style="243" customWidth="1"/>
    <col min="7503" max="7503" width="10.7109375" style="243" customWidth="1"/>
    <col min="7504" max="7504" width="13" style="243" customWidth="1"/>
    <col min="7505" max="7610" width="10" style="243"/>
    <col min="7611" max="7611" width="1.5703125" style="243" customWidth="1"/>
    <col min="7612" max="7612" width="1.42578125" style="243" customWidth="1"/>
    <col min="7613" max="7613" width="57.5703125" style="243" customWidth="1"/>
    <col min="7614" max="7614" width="2.7109375" style="243" customWidth="1"/>
    <col min="7615" max="7615" width="0" style="243" hidden="1" customWidth="1"/>
    <col min="7616" max="7617" width="1" style="243" customWidth="1"/>
    <col min="7618" max="7618" width="19.7109375" style="243" customWidth="1"/>
    <col min="7619" max="7620" width="1" style="243" customWidth="1"/>
    <col min="7621" max="7675" width="0" style="243" hidden="1" customWidth="1"/>
    <col min="7676" max="7677" width="1" style="243" customWidth="1"/>
    <col min="7678" max="7678" width="17.85546875" style="243" customWidth="1"/>
    <col min="7679" max="7682" width="1" style="243" customWidth="1"/>
    <col min="7683" max="7683" width="17.85546875" style="243" customWidth="1"/>
    <col min="7684" max="7687" width="1" style="243" customWidth="1"/>
    <col min="7688" max="7688" width="17.85546875" style="243" customWidth="1"/>
    <col min="7689" max="7690" width="1" style="243" customWidth="1"/>
    <col min="7691" max="7745" width="0" style="243" hidden="1" customWidth="1"/>
    <col min="7746" max="7747" width="1" style="243" customWidth="1"/>
    <col min="7748" max="7748" width="17.85546875" style="243" customWidth="1"/>
    <col min="7749" max="7752" width="1" style="243" customWidth="1"/>
    <col min="7753" max="7753" width="17.85546875" style="243" customWidth="1"/>
    <col min="7754" max="7755" width="1" style="243" customWidth="1"/>
    <col min="7756" max="7756" width="1.5703125" style="243" customWidth="1"/>
    <col min="7757" max="7757" width="0.7109375" style="243" customWidth="1"/>
    <col min="7758" max="7758" width="1.85546875" style="243" customWidth="1"/>
    <col min="7759" max="7759" width="10.7109375" style="243" customWidth="1"/>
    <col min="7760" max="7760" width="13" style="243" customWidth="1"/>
    <col min="7761" max="7866" width="10" style="243"/>
    <col min="7867" max="7867" width="1.5703125" style="243" customWidth="1"/>
    <col min="7868" max="7868" width="1.42578125" style="243" customWidth="1"/>
    <col min="7869" max="7869" width="57.5703125" style="243" customWidth="1"/>
    <col min="7870" max="7870" width="2.7109375" style="243" customWidth="1"/>
    <col min="7871" max="7871" width="0" style="243" hidden="1" customWidth="1"/>
    <col min="7872" max="7873" width="1" style="243" customWidth="1"/>
    <col min="7874" max="7874" width="19.7109375" style="243" customWidth="1"/>
    <col min="7875" max="7876" width="1" style="243" customWidth="1"/>
    <col min="7877" max="7931" width="0" style="243" hidden="1" customWidth="1"/>
    <col min="7932" max="7933" width="1" style="243" customWidth="1"/>
    <col min="7934" max="7934" width="17.85546875" style="243" customWidth="1"/>
    <col min="7935" max="7938" width="1" style="243" customWidth="1"/>
    <col min="7939" max="7939" width="17.85546875" style="243" customWidth="1"/>
    <col min="7940" max="7943" width="1" style="243" customWidth="1"/>
    <col min="7944" max="7944" width="17.85546875" style="243" customWidth="1"/>
    <col min="7945" max="7946" width="1" style="243" customWidth="1"/>
    <col min="7947" max="8001" width="0" style="243" hidden="1" customWidth="1"/>
    <col min="8002" max="8003" width="1" style="243" customWidth="1"/>
    <col min="8004" max="8004" width="17.85546875" style="243" customWidth="1"/>
    <col min="8005" max="8008" width="1" style="243" customWidth="1"/>
    <col min="8009" max="8009" width="17.85546875" style="243" customWidth="1"/>
    <col min="8010" max="8011" width="1" style="243" customWidth="1"/>
    <col min="8012" max="8012" width="1.5703125" style="243" customWidth="1"/>
    <col min="8013" max="8013" width="0.7109375" style="243" customWidth="1"/>
    <col min="8014" max="8014" width="1.85546875" style="243" customWidth="1"/>
    <col min="8015" max="8015" width="10.7109375" style="243" customWidth="1"/>
    <col min="8016" max="8016" width="13" style="243" customWidth="1"/>
    <col min="8017" max="8122" width="10" style="243"/>
    <col min="8123" max="8123" width="1.5703125" style="243" customWidth="1"/>
    <col min="8124" max="8124" width="1.42578125" style="243" customWidth="1"/>
    <col min="8125" max="8125" width="57.5703125" style="243" customWidth="1"/>
    <col min="8126" max="8126" width="2.7109375" style="243" customWidth="1"/>
    <col min="8127" max="8127" width="0" style="243" hidden="1" customWidth="1"/>
    <col min="8128" max="8129" width="1" style="243" customWidth="1"/>
    <col min="8130" max="8130" width="19.7109375" style="243" customWidth="1"/>
    <col min="8131" max="8132" width="1" style="243" customWidth="1"/>
    <col min="8133" max="8187" width="0" style="243" hidden="1" customWidth="1"/>
    <col min="8188" max="8189" width="1" style="243" customWidth="1"/>
    <col min="8190" max="8190" width="17.85546875" style="243" customWidth="1"/>
    <col min="8191" max="8194" width="1" style="243" customWidth="1"/>
    <col min="8195" max="8195" width="17.85546875" style="243" customWidth="1"/>
    <col min="8196" max="8199" width="1" style="243" customWidth="1"/>
    <col min="8200" max="8200" width="17.85546875" style="243" customWidth="1"/>
    <col min="8201" max="8202" width="1" style="243" customWidth="1"/>
    <col min="8203" max="8257" width="0" style="243" hidden="1" customWidth="1"/>
    <col min="8258" max="8259" width="1" style="243" customWidth="1"/>
    <col min="8260" max="8260" width="17.85546875" style="243" customWidth="1"/>
    <col min="8261" max="8264" width="1" style="243" customWidth="1"/>
    <col min="8265" max="8265" width="17.85546875" style="243" customWidth="1"/>
    <col min="8266" max="8267" width="1" style="243" customWidth="1"/>
    <col min="8268" max="8268" width="1.5703125" style="243" customWidth="1"/>
    <col min="8269" max="8269" width="0.7109375" style="243" customWidth="1"/>
    <col min="8270" max="8270" width="1.85546875" style="243" customWidth="1"/>
    <col min="8271" max="8271" width="10.7109375" style="243" customWidth="1"/>
    <col min="8272" max="8272" width="13" style="243" customWidth="1"/>
    <col min="8273" max="8378" width="10" style="243"/>
    <col min="8379" max="8379" width="1.5703125" style="243" customWidth="1"/>
    <col min="8380" max="8380" width="1.42578125" style="243" customWidth="1"/>
    <col min="8381" max="8381" width="57.5703125" style="243" customWidth="1"/>
    <col min="8382" max="8382" width="2.7109375" style="243" customWidth="1"/>
    <col min="8383" max="8383" width="0" style="243" hidden="1" customWidth="1"/>
    <col min="8384" max="8385" width="1" style="243" customWidth="1"/>
    <col min="8386" max="8386" width="19.7109375" style="243" customWidth="1"/>
    <col min="8387" max="8388" width="1" style="243" customWidth="1"/>
    <col min="8389" max="8443" width="0" style="243" hidden="1" customWidth="1"/>
    <col min="8444" max="8445" width="1" style="243" customWidth="1"/>
    <col min="8446" max="8446" width="17.85546875" style="243" customWidth="1"/>
    <col min="8447" max="8450" width="1" style="243" customWidth="1"/>
    <col min="8451" max="8451" width="17.85546875" style="243" customWidth="1"/>
    <col min="8452" max="8455" width="1" style="243" customWidth="1"/>
    <col min="8456" max="8456" width="17.85546875" style="243" customWidth="1"/>
    <col min="8457" max="8458" width="1" style="243" customWidth="1"/>
    <col min="8459" max="8513" width="0" style="243" hidden="1" customWidth="1"/>
    <col min="8514" max="8515" width="1" style="243" customWidth="1"/>
    <col min="8516" max="8516" width="17.85546875" style="243" customWidth="1"/>
    <col min="8517" max="8520" width="1" style="243" customWidth="1"/>
    <col min="8521" max="8521" width="17.85546875" style="243" customWidth="1"/>
    <col min="8522" max="8523" width="1" style="243" customWidth="1"/>
    <col min="8524" max="8524" width="1.5703125" style="243" customWidth="1"/>
    <col min="8525" max="8525" width="0.7109375" style="243" customWidth="1"/>
    <col min="8526" max="8526" width="1.85546875" style="243" customWidth="1"/>
    <col min="8527" max="8527" width="10.7109375" style="243" customWidth="1"/>
    <col min="8528" max="8528" width="13" style="243" customWidth="1"/>
    <col min="8529" max="8634" width="10" style="243"/>
    <col min="8635" max="8635" width="1.5703125" style="243" customWidth="1"/>
    <col min="8636" max="8636" width="1.42578125" style="243" customWidth="1"/>
    <col min="8637" max="8637" width="57.5703125" style="243" customWidth="1"/>
    <col min="8638" max="8638" width="2.7109375" style="243" customWidth="1"/>
    <col min="8639" max="8639" width="0" style="243" hidden="1" customWidth="1"/>
    <col min="8640" max="8641" width="1" style="243" customWidth="1"/>
    <col min="8642" max="8642" width="19.7109375" style="243" customWidth="1"/>
    <col min="8643" max="8644" width="1" style="243" customWidth="1"/>
    <col min="8645" max="8699" width="0" style="243" hidden="1" customWidth="1"/>
    <col min="8700" max="8701" width="1" style="243" customWidth="1"/>
    <col min="8702" max="8702" width="17.85546875" style="243" customWidth="1"/>
    <col min="8703" max="8706" width="1" style="243" customWidth="1"/>
    <col min="8707" max="8707" width="17.85546875" style="243" customWidth="1"/>
    <col min="8708" max="8711" width="1" style="243" customWidth="1"/>
    <col min="8712" max="8712" width="17.85546875" style="243" customWidth="1"/>
    <col min="8713" max="8714" width="1" style="243" customWidth="1"/>
    <col min="8715" max="8769" width="0" style="243" hidden="1" customWidth="1"/>
    <col min="8770" max="8771" width="1" style="243" customWidth="1"/>
    <col min="8772" max="8772" width="17.85546875" style="243" customWidth="1"/>
    <col min="8773" max="8776" width="1" style="243" customWidth="1"/>
    <col min="8777" max="8777" width="17.85546875" style="243" customWidth="1"/>
    <col min="8778" max="8779" width="1" style="243" customWidth="1"/>
    <col min="8780" max="8780" width="1.5703125" style="243" customWidth="1"/>
    <col min="8781" max="8781" width="0.7109375" style="243" customWidth="1"/>
    <col min="8782" max="8782" width="1.85546875" style="243" customWidth="1"/>
    <col min="8783" max="8783" width="10.7109375" style="243" customWidth="1"/>
    <col min="8784" max="8784" width="13" style="243" customWidth="1"/>
    <col min="8785" max="8890" width="10" style="243"/>
    <col min="8891" max="8891" width="1.5703125" style="243" customWidth="1"/>
    <col min="8892" max="8892" width="1.42578125" style="243" customWidth="1"/>
    <col min="8893" max="8893" width="57.5703125" style="243" customWidth="1"/>
    <col min="8894" max="8894" width="2.7109375" style="243" customWidth="1"/>
    <col min="8895" max="8895" width="0" style="243" hidden="1" customWidth="1"/>
    <col min="8896" max="8897" width="1" style="243" customWidth="1"/>
    <col min="8898" max="8898" width="19.7109375" style="243" customWidth="1"/>
    <col min="8899" max="8900" width="1" style="243" customWidth="1"/>
    <col min="8901" max="8955" width="0" style="243" hidden="1" customWidth="1"/>
    <col min="8956" max="8957" width="1" style="243" customWidth="1"/>
    <col min="8958" max="8958" width="17.85546875" style="243" customWidth="1"/>
    <col min="8959" max="8962" width="1" style="243" customWidth="1"/>
    <col min="8963" max="8963" width="17.85546875" style="243" customWidth="1"/>
    <col min="8964" max="8967" width="1" style="243" customWidth="1"/>
    <col min="8968" max="8968" width="17.85546875" style="243" customWidth="1"/>
    <col min="8969" max="8970" width="1" style="243" customWidth="1"/>
    <col min="8971" max="9025" width="0" style="243" hidden="1" customWidth="1"/>
    <col min="9026" max="9027" width="1" style="243" customWidth="1"/>
    <col min="9028" max="9028" width="17.85546875" style="243" customWidth="1"/>
    <col min="9029" max="9032" width="1" style="243" customWidth="1"/>
    <col min="9033" max="9033" width="17.85546875" style="243" customWidth="1"/>
    <col min="9034" max="9035" width="1" style="243" customWidth="1"/>
    <col min="9036" max="9036" width="1.5703125" style="243" customWidth="1"/>
    <col min="9037" max="9037" width="0.7109375" style="243" customWidth="1"/>
    <col min="9038" max="9038" width="1.85546875" style="243" customWidth="1"/>
    <col min="9039" max="9039" width="10.7109375" style="243" customWidth="1"/>
    <col min="9040" max="9040" width="13" style="243" customWidth="1"/>
    <col min="9041" max="9146" width="10" style="243"/>
    <col min="9147" max="9147" width="1.5703125" style="243" customWidth="1"/>
    <col min="9148" max="9148" width="1.42578125" style="243" customWidth="1"/>
    <col min="9149" max="9149" width="57.5703125" style="243" customWidth="1"/>
    <col min="9150" max="9150" width="2.7109375" style="243" customWidth="1"/>
    <col min="9151" max="9151" width="0" style="243" hidden="1" customWidth="1"/>
    <col min="9152" max="9153" width="1" style="243" customWidth="1"/>
    <col min="9154" max="9154" width="19.7109375" style="243" customWidth="1"/>
    <col min="9155" max="9156" width="1" style="243" customWidth="1"/>
    <col min="9157" max="9211" width="0" style="243" hidden="1" customWidth="1"/>
    <col min="9212" max="9213" width="1" style="243" customWidth="1"/>
    <col min="9214" max="9214" width="17.85546875" style="243" customWidth="1"/>
    <col min="9215" max="9218" width="1" style="243" customWidth="1"/>
    <col min="9219" max="9219" width="17.85546875" style="243" customWidth="1"/>
    <col min="9220" max="9223" width="1" style="243" customWidth="1"/>
    <col min="9224" max="9224" width="17.85546875" style="243" customWidth="1"/>
    <col min="9225" max="9226" width="1" style="243" customWidth="1"/>
    <col min="9227" max="9281" width="0" style="243" hidden="1" customWidth="1"/>
    <col min="9282" max="9283" width="1" style="243" customWidth="1"/>
    <col min="9284" max="9284" width="17.85546875" style="243" customWidth="1"/>
    <col min="9285" max="9288" width="1" style="243" customWidth="1"/>
    <col min="9289" max="9289" width="17.85546875" style="243" customWidth="1"/>
    <col min="9290" max="9291" width="1" style="243" customWidth="1"/>
    <col min="9292" max="9292" width="1.5703125" style="243" customWidth="1"/>
    <col min="9293" max="9293" width="0.7109375" style="243" customWidth="1"/>
    <col min="9294" max="9294" width="1.85546875" style="243" customWidth="1"/>
    <col min="9295" max="9295" width="10.7109375" style="243" customWidth="1"/>
    <col min="9296" max="9296" width="13" style="243" customWidth="1"/>
    <col min="9297" max="9402" width="10" style="243"/>
    <col min="9403" max="9403" width="1.5703125" style="243" customWidth="1"/>
    <col min="9404" max="9404" width="1.42578125" style="243" customWidth="1"/>
    <col min="9405" max="9405" width="57.5703125" style="243" customWidth="1"/>
    <col min="9406" max="9406" width="2.7109375" style="243" customWidth="1"/>
    <col min="9407" max="9407" width="0" style="243" hidden="1" customWidth="1"/>
    <col min="9408" max="9409" width="1" style="243" customWidth="1"/>
    <col min="9410" max="9410" width="19.7109375" style="243" customWidth="1"/>
    <col min="9411" max="9412" width="1" style="243" customWidth="1"/>
    <col min="9413" max="9467" width="0" style="243" hidden="1" customWidth="1"/>
    <col min="9468" max="9469" width="1" style="243" customWidth="1"/>
    <col min="9470" max="9470" width="17.85546875" style="243" customWidth="1"/>
    <col min="9471" max="9474" width="1" style="243" customWidth="1"/>
    <col min="9475" max="9475" width="17.85546875" style="243" customWidth="1"/>
    <col min="9476" max="9479" width="1" style="243" customWidth="1"/>
    <col min="9480" max="9480" width="17.85546875" style="243" customWidth="1"/>
    <col min="9481" max="9482" width="1" style="243" customWidth="1"/>
    <col min="9483" max="9537" width="0" style="243" hidden="1" customWidth="1"/>
    <col min="9538" max="9539" width="1" style="243" customWidth="1"/>
    <col min="9540" max="9540" width="17.85546875" style="243" customWidth="1"/>
    <col min="9541" max="9544" width="1" style="243" customWidth="1"/>
    <col min="9545" max="9545" width="17.85546875" style="243" customWidth="1"/>
    <col min="9546" max="9547" width="1" style="243" customWidth="1"/>
    <col min="9548" max="9548" width="1.5703125" style="243" customWidth="1"/>
    <col min="9549" max="9549" width="0.7109375" style="243" customWidth="1"/>
    <col min="9550" max="9550" width="1.85546875" style="243" customWidth="1"/>
    <col min="9551" max="9551" width="10.7109375" style="243" customWidth="1"/>
    <col min="9552" max="9552" width="13" style="243" customWidth="1"/>
    <col min="9553" max="9658" width="10" style="243"/>
    <col min="9659" max="9659" width="1.5703125" style="243" customWidth="1"/>
    <col min="9660" max="9660" width="1.42578125" style="243" customWidth="1"/>
    <col min="9661" max="9661" width="57.5703125" style="243" customWidth="1"/>
    <col min="9662" max="9662" width="2.7109375" style="243" customWidth="1"/>
    <col min="9663" max="9663" width="0" style="243" hidden="1" customWidth="1"/>
    <col min="9664" max="9665" width="1" style="243" customWidth="1"/>
    <col min="9666" max="9666" width="19.7109375" style="243" customWidth="1"/>
    <col min="9667" max="9668" width="1" style="243" customWidth="1"/>
    <col min="9669" max="9723" width="0" style="243" hidden="1" customWidth="1"/>
    <col min="9724" max="9725" width="1" style="243" customWidth="1"/>
    <col min="9726" max="9726" width="17.85546875" style="243" customWidth="1"/>
    <col min="9727" max="9730" width="1" style="243" customWidth="1"/>
    <col min="9731" max="9731" width="17.85546875" style="243" customWidth="1"/>
    <col min="9732" max="9735" width="1" style="243" customWidth="1"/>
    <col min="9736" max="9736" width="17.85546875" style="243" customWidth="1"/>
    <col min="9737" max="9738" width="1" style="243" customWidth="1"/>
    <col min="9739" max="9793" width="0" style="243" hidden="1" customWidth="1"/>
    <col min="9794" max="9795" width="1" style="243" customWidth="1"/>
    <col min="9796" max="9796" width="17.85546875" style="243" customWidth="1"/>
    <col min="9797" max="9800" width="1" style="243" customWidth="1"/>
    <col min="9801" max="9801" width="17.85546875" style="243" customWidth="1"/>
    <col min="9802" max="9803" width="1" style="243" customWidth="1"/>
    <col min="9804" max="9804" width="1.5703125" style="243" customWidth="1"/>
    <col min="9805" max="9805" width="0.7109375" style="243" customWidth="1"/>
    <col min="9806" max="9806" width="1.85546875" style="243" customWidth="1"/>
    <col min="9807" max="9807" width="10.7109375" style="243" customWidth="1"/>
    <col min="9808" max="9808" width="13" style="243" customWidth="1"/>
    <col min="9809" max="9914" width="10" style="243"/>
    <col min="9915" max="9915" width="1.5703125" style="243" customWidth="1"/>
    <col min="9916" max="9916" width="1.42578125" style="243" customWidth="1"/>
    <col min="9917" max="9917" width="57.5703125" style="243" customWidth="1"/>
    <col min="9918" max="9918" width="2.7109375" style="243" customWidth="1"/>
    <col min="9919" max="9919" width="0" style="243" hidden="1" customWidth="1"/>
    <col min="9920" max="9921" width="1" style="243" customWidth="1"/>
    <col min="9922" max="9922" width="19.7109375" style="243" customWidth="1"/>
    <col min="9923" max="9924" width="1" style="243" customWidth="1"/>
    <col min="9925" max="9979" width="0" style="243" hidden="1" customWidth="1"/>
    <col min="9980" max="9981" width="1" style="243" customWidth="1"/>
    <col min="9982" max="9982" width="17.85546875" style="243" customWidth="1"/>
    <col min="9983" max="9986" width="1" style="243" customWidth="1"/>
    <col min="9987" max="9987" width="17.85546875" style="243" customWidth="1"/>
    <col min="9988" max="9991" width="1" style="243" customWidth="1"/>
    <col min="9992" max="9992" width="17.85546875" style="243" customWidth="1"/>
    <col min="9993" max="9994" width="1" style="243" customWidth="1"/>
    <col min="9995" max="10049" width="0" style="243" hidden="1" customWidth="1"/>
    <col min="10050" max="10051" width="1" style="243" customWidth="1"/>
    <col min="10052" max="10052" width="17.85546875" style="243" customWidth="1"/>
    <col min="10053" max="10056" width="1" style="243" customWidth="1"/>
    <col min="10057" max="10057" width="17.85546875" style="243" customWidth="1"/>
    <col min="10058" max="10059" width="1" style="243" customWidth="1"/>
    <col min="10060" max="10060" width="1.5703125" style="243" customWidth="1"/>
    <col min="10061" max="10061" width="0.7109375" style="243" customWidth="1"/>
    <col min="10062" max="10062" width="1.85546875" style="243" customWidth="1"/>
    <col min="10063" max="10063" width="10.7109375" style="243" customWidth="1"/>
    <col min="10064" max="10064" width="13" style="243" customWidth="1"/>
    <col min="10065" max="10170" width="10" style="243"/>
    <col min="10171" max="10171" width="1.5703125" style="243" customWidth="1"/>
    <col min="10172" max="10172" width="1.42578125" style="243" customWidth="1"/>
    <col min="10173" max="10173" width="57.5703125" style="243" customWidth="1"/>
    <col min="10174" max="10174" width="2.7109375" style="243" customWidth="1"/>
    <col min="10175" max="10175" width="0" style="243" hidden="1" customWidth="1"/>
    <col min="10176" max="10177" width="1" style="243" customWidth="1"/>
    <col min="10178" max="10178" width="19.7109375" style="243" customWidth="1"/>
    <col min="10179" max="10180" width="1" style="243" customWidth="1"/>
    <col min="10181" max="10235" width="0" style="243" hidden="1" customWidth="1"/>
    <col min="10236" max="10237" width="1" style="243" customWidth="1"/>
    <col min="10238" max="10238" width="17.85546875" style="243" customWidth="1"/>
    <col min="10239" max="10242" width="1" style="243" customWidth="1"/>
    <col min="10243" max="10243" width="17.85546875" style="243" customWidth="1"/>
    <col min="10244" max="10247" width="1" style="243" customWidth="1"/>
    <col min="10248" max="10248" width="17.85546875" style="243" customWidth="1"/>
    <col min="10249" max="10250" width="1" style="243" customWidth="1"/>
    <col min="10251" max="10305" width="0" style="243" hidden="1" customWidth="1"/>
    <col min="10306" max="10307" width="1" style="243" customWidth="1"/>
    <col min="10308" max="10308" width="17.85546875" style="243" customWidth="1"/>
    <col min="10309" max="10312" width="1" style="243" customWidth="1"/>
    <col min="10313" max="10313" width="17.85546875" style="243" customWidth="1"/>
    <col min="10314" max="10315" width="1" style="243" customWidth="1"/>
    <col min="10316" max="10316" width="1.5703125" style="243" customWidth="1"/>
    <col min="10317" max="10317" width="0.7109375" style="243" customWidth="1"/>
    <col min="10318" max="10318" width="1.85546875" style="243" customWidth="1"/>
    <col min="10319" max="10319" width="10.7109375" style="243" customWidth="1"/>
    <col min="10320" max="10320" width="13" style="243" customWidth="1"/>
    <col min="10321" max="10426" width="10" style="243"/>
    <col min="10427" max="10427" width="1.5703125" style="243" customWidth="1"/>
    <col min="10428" max="10428" width="1.42578125" style="243" customWidth="1"/>
    <col min="10429" max="10429" width="57.5703125" style="243" customWidth="1"/>
    <col min="10430" max="10430" width="2.7109375" style="243" customWidth="1"/>
    <col min="10431" max="10431" width="0" style="243" hidden="1" customWidth="1"/>
    <col min="10432" max="10433" width="1" style="243" customWidth="1"/>
    <col min="10434" max="10434" width="19.7109375" style="243" customWidth="1"/>
    <col min="10435" max="10436" width="1" style="243" customWidth="1"/>
    <col min="10437" max="10491" width="0" style="243" hidden="1" customWidth="1"/>
    <col min="10492" max="10493" width="1" style="243" customWidth="1"/>
    <col min="10494" max="10494" width="17.85546875" style="243" customWidth="1"/>
    <col min="10495" max="10498" width="1" style="243" customWidth="1"/>
    <col min="10499" max="10499" width="17.85546875" style="243" customWidth="1"/>
    <col min="10500" max="10503" width="1" style="243" customWidth="1"/>
    <col min="10504" max="10504" width="17.85546875" style="243" customWidth="1"/>
    <col min="10505" max="10506" width="1" style="243" customWidth="1"/>
    <col min="10507" max="10561" width="0" style="243" hidden="1" customWidth="1"/>
    <col min="10562" max="10563" width="1" style="243" customWidth="1"/>
    <col min="10564" max="10564" width="17.85546875" style="243" customWidth="1"/>
    <col min="10565" max="10568" width="1" style="243" customWidth="1"/>
    <col min="10569" max="10569" width="17.85546875" style="243" customWidth="1"/>
    <col min="10570" max="10571" width="1" style="243" customWidth="1"/>
    <col min="10572" max="10572" width="1.5703125" style="243" customWidth="1"/>
    <col min="10573" max="10573" width="0.7109375" style="243" customWidth="1"/>
    <col min="10574" max="10574" width="1.85546875" style="243" customWidth="1"/>
    <col min="10575" max="10575" width="10.7109375" style="243" customWidth="1"/>
    <col min="10576" max="10576" width="13" style="243" customWidth="1"/>
    <col min="10577" max="10682" width="10" style="243"/>
    <col min="10683" max="10683" width="1.5703125" style="243" customWidth="1"/>
    <col min="10684" max="10684" width="1.42578125" style="243" customWidth="1"/>
    <col min="10685" max="10685" width="57.5703125" style="243" customWidth="1"/>
    <col min="10686" max="10686" width="2.7109375" style="243" customWidth="1"/>
    <col min="10687" max="10687" width="0" style="243" hidden="1" customWidth="1"/>
    <col min="10688" max="10689" width="1" style="243" customWidth="1"/>
    <col min="10690" max="10690" width="19.7109375" style="243" customWidth="1"/>
    <col min="10691" max="10692" width="1" style="243" customWidth="1"/>
    <col min="10693" max="10747" width="0" style="243" hidden="1" customWidth="1"/>
    <col min="10748" max="10749" width="1" style="243" customWidth="1"/>
    <col min="10750" max="10750" width="17.85546875" style="243" customWidth="1"/>
    <col min="10751" max="10754" width="1" style="243" customWidth="1"/>
    <col min="10755" max="10755" width="17.85546875" style="243" customWidth="1"/>
    <col min="10756" max="10759" width="1" style="243" customWidth="1"/>
    <col min="10760" max="10760" width="17.85546875" style="243" customWidth="1"/>
    <col min="10761" max="10762" width="1" style="243" customWidth="1"/>
    <col min="10763" max="10817" width="0" style="243" hidden="1" customWidth="1"/>
    <col min="10818" max="10819" width="1" style="243" customWidth="1"/>
    <col min="10820" max="10820" width="17.85546875" style="243" customWidth="1"/>
    <col min="10821" max="10824" width="1" style="243" customWidth="1"/>
    <col min="10825" max="10825" width="17.85546875" style="243" customWidth="1"/>
    <col min="10826" max="10827" width="1" style="243" customWidth="1"/>
    <col min="10828" max="10828" width="1.5703125" style="243" customWidth="1"/>
    <col min="10829" max="10829" width="0.7109375" style="243" customWidth="1"/>
    <col min="10830" max="10830" width="1.85546875" style="243" customWidth="1"/>
    <col min="10831" max="10831" width="10.7109375" style="243" customWidth="1"/>
    <col min="10832" max="10832" width="13" style="243" customWidth="1"/>
    <col min="10833" max="10938" width="10" style="243"/>
    <col min="10939" max="10939" width="1.5703125" style="243" customWidth="1"/>
    <col min="10940" max="10940" width="1.42578125" style="243" customWidth="1"/>
    <col min="10941" max="10941" width="57.5703125" style="243" customWidth="1"/>
    <col min="10942" max="10942" width="2.7109375" style="243" customWidth="1"/>
    <col min="10943" max="10943" width="0" style="243" hidden="1" customWidth="1"/>
    <col min="10944" max="10945" width="1" style="243" customWidth="1"/>
    <col min="10946" max="10946" width="19.7109375" style="243" customWidth="1"/>
    <col min="10947" max="10948" width="1" style="243" customWidth="1"/>
    <col min="10949" max="11003" width="0" style="243" hidden="1" customWidth="1"/>
    <col min="11004" max="11005" width="1" style="243" customWidth="1"/>
    <col min="11006" max="11006" width="17.85546875" style="243" customWidth="1"/>
    <col min="11007" max="11010" width="1" style="243" customWidth="1"/>
    <col min="11011" max="11011" width="17.85546875" style="243" customWidth="1"/>
    <col min="11012" max="11015" width="1" style="243" customWidth="1"/>
    <col min="11016" max="11016" width="17.85546875" style="243" customWidth="1"/>
    <col min="11017" max="11018" width="1" style="243" customWidth="1"/>
    <col min="11019" max="11073" width="0" style="243" hidden="1" customWidth="1"/>
    <col min="11074" max="11075" width="1" style="243" customWidth="1"/>
    <col min="11076" max="11076" width="17.85546875" style="243" customWidth="1"/>
    <col min="11077" max="11080" width="1" style="243" customWidth="1"/>
    <col min="11081" max="11081" width="17.85546875" style="243" customWidth="1"/>
    <col min="11082" max="11083" width="1" style="243" customWidth="1"/>
    <col min="11084" max="11084" width="1.5703125" style="243" customWidth="1"/>
    <col min="11085" max="11085" width="0.7109375" style="243" customWidth="1"/>
    <col min="11086" max="11086" width="1.85546875" style="243" customWidth="1"/>
    <col min="11087" max="11087" width="10.7109375" style="243" customWidth="1"/>
    <col min="11088" max="11088" width="13" style="243" customWidth="1"/>
    <col min="11089" max="11194" width="10" style="243"/>
    <col min="11195" max="11195" width="1.5703125" style="243" customWidth="1"/>
    <col min="11196" max="11196" width="1.42578125" style="243" customWidth="1"/>
    <col min="11197" max="11197" width="57.5703125" style="243" customWidth="1"/>
    <col min="11198" max="11198" width="2.7109375" style="243" customWidth="1"/>
    <col min="11199" max="11199" width="0" style="243" hidden="1" customWidth="1"/>
    <col min="11200" max="11201" width="1" style="243" customWidth="1"/>
    <col min="11202" max="11202" width="19.7109375" style="243" customWidth="1"/>
    <col min="11203" max="11204" width="1" style="243" customWidth="1"/>
    <col min="11205" max="11259" width="0" style="243" hidden="1" customWidth="1"/>
    <col min="11260" max="11261" width="1" style="243" customWidth="1"/>
    <col min="11262" max="11262" width="17.85546875" style="243" customWidth="1"/>
    <col min="11263" max="11266" width="1" style="243" customWidth="1"/>
    <col min="11267" max="11267" width="17.85546875" style="243" customWidth="1"/>
    <col min="11268" max="11271" width="1" style="243" customWidth="1"/>
    <col min="11272" max="11272" width="17.85546875" style="243" customWidth="1"/>
    <col min="11273" max="11274" width="1" style="243" customWidth="1"/>
    <col min="11275" max="11329" width="0" style="243" hidden="1" customWidth="1"/>
    <col min="11330" max="11331" width="1" style="243" customWidth="1"/>
    <col min="11332" max="11332" width="17.85546875" style="243" customWidth="1"/>
    <col min="11333" max="11336" width="1" style="243" customWidth="1"/>
    <col min="11337" max="11337" width="17.85546875" style="243" customWidth="1"/>
    <col min="11338" max="11339" width="1" style="243" customWidth="1"/>
    <col min="11340" max="11340" width="1.5703125" style="243" customWidth="1"/>
    <col min="11341" max="11341" width="0.7109375" style="243" customWidth="1"/>
    <col min="11342" max="11342" width="1.85546875" style="243" customWidth="1"/>
    <col min="11343" max="11343" width="10.7109375" style="243" customWidth="1"/>
    <col min="11344" max="11344" width="13" style="243" customWidth="1"/>
    <col min="11345" max="11450" width="10" style="243"/>
    <col min="11451" max="11451" width="1.5703125" style="243" customWidth="1"/>
    <col min="11452" max="11452" width="1.42578125" style="243" customWidth="1"/>
    <col min="11453" max="11453" width="57.5703125" style="243" customWidth="1"/>
    <col min="11454" max="11454" width="2.7109375" style="243" customWidth="1"/>
    <col min="11455" max="11455" width="0" style="243" hidden="1" customWidth="1"/>
    <col min="11456" max="11457" width="1" style="243" customWidth="1"/>
    <col min="11458" max="11458" width="19.7109375" style="243" customWidth="1"/>
    <col min="11459" max="11460" width="1" style="243" customWidth="1"/>
    <col min="11461" max="11515" width="0" style="243" hidden="1" customWidth="1"/>
    <col min="11516" max="11517" width="1" style="243" customWidth="1"/>
    <col min="11518" max="11518" width="17.85546875" style="243" customWidth="1"/>
    <col min="11519" max="11522" width="1" style="243" customWidth="1"/>
    <col min="11523" max="11523" width="17.85546875" style="243" customWidth="1"/>
    <col min="11524" max="11527" width="1" style="243" customWidth="1"/>
    <col min="11528" max="11528" width="17.85546875" style="243" customWidth="1"/>
    <col min="11529" max="11530" width="1" style="243" customWidth="1"/>
    <col min="11531" max="11585" width="0" style="243" hidden="1" customWidth="1"/>
    <col min="11586" max="11587" width="1" style="243" customWidth="1"/>
    <col min="11588" max="11588" width="17.85546875" style="243" customWidth="1"/>
    <col min="11589" max="11592" width="1" style="243" customWidth="1"/>
    <col min="11593" max="11593" width="17.85546875" style="243" customWidth="1"/>
    <col min="11594" max="11595" width="1" style="243" customWidth="1"/>
    <col min="11596" max="11596" width="1.5703125" style="243" customWidth="1"/>
    <col min="11597" max="11597" width="0.7109375" style="243" customWidth="1"/>
    <col min="11598" max="11598" width="1.85546875" style="243" customWidth="1"/>
    <col min="11599" max="11599" width="10.7109375" style="243" customWidth="1"/>
    <col min="11600" max="11600" width="13" style="243" customWidth="1"/>
    <col min="11601" max="11706" width="10" style="243"/>
    <col min="11707" max="11707" width="1.5703125" style="243" customWidth="1"/>
    <col min="11708" max="11708" width="1.42578125" style="243" customWidth="1"/>
    <col min="11709" max="11709" width="57.5703125" style="243" customWidth="1"/>
    <col min="11710" max="11710" width="2.7109375" style="243" customWidth="1"/>
    <col min="11711" max="11711" width="0" style="243" hidden="1" customWidth="1"/>
    <col min="11712" max="11713" width="1" style="243" customWidth="1"/>
    <col min="11714" max="11714" width="19.7109375" style="243" customWidth="1"/>
    <col min="11715" max="11716" width="1" style="243" customWidth="1"/>
    <col min="11717" max="11771" width="0" style="243" hidden="1" customWidth="1"/>
    <col min="11772" max="11773" width="1" style="243" customWidth="1"/>
    <col min="11774" max="11774" width="17.85546875" style="243" customWidth="1"/>
    <col min="11775" max="11778" width="1" style="243" customWidth="1"/>
    <col min="11779" max="11779" width="17.85546875" style="243" customWidth="1"/>
    <col min="11780" max="11783" width="1" style="243" customWidth="1"/>
    <col min="11784" max="11784" width="17.85546875" style="243" customWidth="1"/>
    <col min="11785" max="11786" width="1" style="243" customWidth="1"/>
    <col min="11787" max="11841" width="0" style="243" hidden="1" customWidth="1"/>
    <col min="11842" max="11843" width="1" style="243" customWidth="1"/>
    <col min="11844" max="11844" width="17.85546875" style="243" customWidth="1"/>
    <col min="11845" max="11848" width="1" style="243" customWidth="1"/>
    <col min="11849" max="11849" width="17.85546875" style="243" customWidth="1"/>
    <col min="11850" max="11851" width="1" style="243" customWidth="1"/>
    <col min="11852" max="11852" width="1.5703125" style="243" customWidth="1"/>
    <col min="11853" max="11853" width="0.7109375" style="243" customWidth="1"/>
    <col min="11854" max="11854" width="1.85546875" style="243" customWidth="1"/>
    <col min="11855" max="11855" width="10.7109375" style="243" customWidth="1"/>
    <col min="11856" max="11856" width="13" style="243" customWidth="1"/>
    <col min="11857" max="11962" width="10" style="243"/>
    <col min="11963" max="11963" width="1.5703125" style="243" customWidth="1"/>
    <col min="11964" max="11964" width="1.42578125" style="243" customWidth="1"/>
    <col min="11965" max="11965" width="57.5703125" style="243" customWidth="1"/>
    <col min="11966" max="11966" width="2.7109375" style="243" customWidth="1"/>
    <col min="11967" max="11967" width="0" style="243" hidden="1" customWidth="1"/>
    <col min="11968" max="11969" width="1" style="243" customWidth="1"/>
    <col min="11970" max="11970" width="19.7109375" style="243" customWidth="1"/>
    <col min="11971" max="11972" width="1" style="243" customWidth="1"/>
    <col min="11973" max="12027" width="0" style="243" hidden="1" customWidth="1"/>
    <col min="12028" max="12029" width="1" style="243" customWidth="1"/>
    <col min="12030" max="12030" width="17.85546875" style="243" customWidth="1"/>
    <col min="12031" max="12034" width="1" style="243" customWidth="1"/>
    <col min="12035" max="12035" width="17.85546875" style="243" customWidth="1"/>
    <col min="12036" max="12039" width="1" style="243" customWidth="1"/>
    <col min="12040" max="12040" width="17.85546875" style="243" customWidth="1"/>
    <col min="12041" max="12042" width="1" style="243" customWidth="1"/>
    <col min="12043" max="12097" width="0" style="243" hidden="1" customWidth="1"/>
    <col min="12098" max="12099" width="1" style="243" customWidth="1"/>
    <col min="12100" max="12100" width="17.85546875" style="243" customWidth="1"/>
    <col min="12101" max="12104" width="1" style="243" customWidth="1"/>
    <col min="12105" max="12105" width="17.85546875" style="243" customWidth="1"/>
    <col min="12106" max="12107" width="1" style="243" customWidth="1"/>
    <col min="12108" max="12108" width="1.5703125" style="243" customWidth="1"/>
    <col min="12109" max="12109" width="0.7109375" style="243" customWidth="1"/>
    <col min="12110" max="12110" width="1.85546875" style="243" customWidth="1"/>
    <col min="12111" max="12111" width="10.7109375" style="243" customWidth="1"/>
    <col min="12112" max="12112" width="13" style="243" customWidth="1"/>
    <col min="12113" max="12218" width="10" style="243"/>
    <col min="12219" max="12219" width="1.5703125" style="243" customWidth="1"/>
    <col min="12220" max="12220" width="1.42578125" style="243" customWidth="1"/>
    <col min="12221" max="12221" width="57.5703125" style="243" customWidth="1"/>
    <col min="12222" max="12222" width="2.7109375" style="243" customWidth="1"/>
    <col min="12223" max="12223" width="0" style="243" hidden="1" customWidth="1"/>
    <col min="12224" max="12225" width="1" style="243" customWidth="1"/>
    <col min="12226" max="12226" width="19.7109375" style="243" customWidth="1"/>
    <col min="12227" max="12228" width="1" style="243" customWidth="1"/>
    <col min="12229" max="12283" width="0" style="243" hidden="1" customWidth="1"/>
    <col min="12284" max="12285" width="1" style="243" customWidth="1"/>
    <col min="12286" max="12286" width="17.85546875" style="243" customWidth="1"/>
    <col min="12287" max="12290" width="1" style="243" customWidth="1"/>
    <col min="12291" max="12291" width="17.85546875" style="243" customWidth="1"/>
    <col min="12292" max="12295" width="1" style="243" customWidth="1"/>
    <col min="12296" max="12296" width="17.85546875" style="243" customWidth="1"/>
    <col min="12297" max="12298" width="1" style="243" customWidth="1"/>
    <col min="12299" max="12353" width="0" style="243" hidden="1" customWidth="1"/>
    <col min="12354" max="12355" width="1" style="243" customWidth="1"/>
    <col min="12356" max="12356" width="17.85546875" style="243" customWidth="1"/>
    <col min="12357" max="12360" width="1" style="243" customWidth="1"/>
    <col min="12361" max="12361" width="17.85546875" style="243" customWidth="1"/>
    <col min="12362" max="12363" width="1" style="243" customWidth="1"/>
    <col min="12364" max="12364" width="1.5703125" style="243" customWidth="1"/>
    <col min="12365" max="12365" width="0.7109375" style="243" customWidth="1"/>
    <col min="12366" max="12366" width="1.85546875" style="243" customWidth="1"/>
    <col min="12367" max="12367" width="10.7109375" style="243" customWidth="1"/>
    <col min="12368" max="12368" width="13" style="243" customWidth="1"/>
    <col min="12369" max="12474" width="10" style="243"/>
    <col min="12475" max="12475" width="1.5703125" style="243" customWidth="1"/>
    <col min="12476" max="12476" width="1.42578125" style="243" customWidth="1"/>
    <col min="12477" max="12477" width="57.5703125" style="243" customWidth="1"/>
    <col min="12478" max="12478" width="2.7109375" style="243" customWidth="1"/>
    <col min="12479" max="12479" width="0" style="243" hidden="1" customWidth="1"/>
    <col min="12480" max="12481" width="1" style="243" customWidth="1"/>
    <col min="12482" max="12482" width="19.7109375" style="243" customWidth="1"/>
    <col min="12483" max="12484" width="1" style="243" customWidth="1"/>
    <col min="12485" max="12539" width="0" style="243" hidden="1" customWidth="1"/>
    <col min="12540" max="12541" width="1" style="243" customWidth="1"/>
    <col min="12542" max="12542" width="17.85546875" style="243" customWidth="1"/>
    <col min="12543" max="12546" width="1" style="243" customWidth="1"/>
    <col min="12547" max="12547" width="17.85546875" style="243" customWidth="1"/>
    <col min="12548" max="12551" width="1" style="243" customWidth="1"/>
    <col min="12552" max="12552" width="17.85546875" style="243" customWidth="1"/>
    <col min="12553" max="12554" width="1" style="243" customWidth="1"/>
    <col min="12555" max="12609" width="0" style="243" hidden="1" customWidth="1"/>
    <col min="12610" max="12611" width="1" style="243" customWidth="1"/>
    <col min="12612" max="12612" width="17.85546875" style="243" customWidth="1"/>
    <col min="12613" max="12616" width="1" style="243" customWidth="1"/>
    <col min="12617" max="12617" width="17.85546875" style="243" customWidth="1"/>
    <col min="12618" max="12619" width="1" style="243" customWidth="1"/>
    <col min="12620" max="12620" width="1.5703125" style="243" customWidth="1"/>
    <col min="12621" max="12621" width="0.7109375" style="243" customWidth="1"/>
    <col min="12622" max="12622" width="1.85546875" style="243" customWidth="1"/>
    <col min="12623" max="12623" width="10.7109375" style="243" customWidth="1"/>
    <col min="12624" max="12624" width="13" style="243" customWidth="1"/>
    <col min="12625" max="12730" width="10" style="243"/>
    <col min="12731" max="12731" width="1.5703125" style="243" customWidth="1"/>
    <col min="12732" max="12732" width="1.42578125" style="243" customWidth="1"/>
    <col min="12733" max="12733" width="57.5703125" style="243" customWidth="1"/>
    <col min="12734" max="12734" width="2.7109375" style="243" customWidth="1"/>
    <col min="12735" max="12735" width="0" style="243" hidden="1" customWidth="1"/>
    <col min="12736" max="12737" width="1" style="243" customWidth="1"/>
    <col min="12738" max="12738" width="19.7109375" style="243" customWidth="1"/>
    <col min="12739" max="12740" width="1" style="243" customWidth="1"/>
    <col min="12741" max="12795" width="0" style="243" hidden="1" customWidth="1"/>
    <col min="12796" max="12797" width="1" style="243" customWidth="1"/>
    <col min="12798" max="12798" width="17.85546875" style="243" customWidth="1"/>
    <col min="12799" max="12802" width="1" style="243" customWidth="1"/>
    <col min="12803" max="12803" width="17.85546875" style="243" customWidth="1"/>
    <col min="12804" max="12807" width="1" style="243" customWidth="1"/>
    <col min="12808" max="12808" width="17.85546875" style="243" customWidth="1"/>
    <col min="12809" max="12810" width="1" style="243" customWidth="1"/>
    <col min="12811" max="12865" width="0" style="243" hidden="1" customWidth="1"/>
    <col min="12866" max="12867" width="1" style="243" customWidth="1"/>
    <col min="12868" max="12868" width="17.85546875" style="243" customWidth="1"/>
    <col min="12869" max="12872" width="1" style="243" customWidth="1"/>
    <col min="12873" max="12873" width="17.85546875" style="243" customWidth="1"/>
    <col min="12874" max="12875" width="1" style="243" customWidth="1"/>
    <col min="12876" max="12876" width="1.5703125" style="243" customWidth="1"/>
    <col min="12877" max="12877" width="0.7109375" style="243" customWidth="1"/>
    <col min="12878" max="12878" width="1.85546875" style="243" customWidth="1"/>
    <col min="12879" max="12879" width="10.7109375" style="243" customWidth="1"/>
    <col min="12880" max="12880" width="13" style="243" customWidth="1"/>
    <col min="12881" max="12986" width="10" style="243"/>
    <col min="12987" max="12987" width="1.5703125" style="243" customWidth="1"/>
    <col min="12988" max="12988" width="1.42578125" style="243" customWidth="1"/>
    <col min="12989" max="12989" width="57.5703125" style="243" customWidth="1"/>
    <col min="12990" max="12990" width="2.7109375" style="243" customWidth="1"/>
    <col min="12991" max="12991" width="0" style="243" hidden="1" customWidth="1"/>
    <col min="12992" max="12993" width="1" style="243" customWidth="1"/>
    <col min="12994" max="12994" width="19.7109375" style="243" customWidth="1"/>
    <col min="12995" max="12996" width="1" style="243" customWidth="1"/>
    <col min="12997" max="13051" width="0" style="243" hidden="1" customWidth="1"/>
    <col min="13052" max="13053" width="1" style="243" customWidth="1"/>
    <col min="13054" max="13054" width="17.85546875" style="243" customWidth="1"/>
    <col min="13055" max="13058" width="1" style="243" customWidth="1"/>
    <col min="13059" max="13059" width="17.85546875" style="243" customWidth="1"/>
    <col min="13060" max="13063" width="1" style="243" customWidth="1"/>
    <col min="13064" max="13064" width="17.85546875" style="243" customWidth="1"/>
    <col min="13065" max="13066" width="1" style="243" customWidth="1"/>
    <col min="13067" max="13121" width="0" style="243" hidden="1" customWidth="1"/>
    <col min="13122" max="13123" width="1" style="243" customWidth="1"/>
    <col min="13124" max="13124" width="17.85546875" style="243" customWidth="1"/>
    <col min="13125" max="13128" width="1" style="243" customWidth="1"/>
    <col min="13129" max="13129" width="17.85546875" style="243" customWidth="1"/>
    <col min="13130" max="13131" width="1" style="243" customWidth="1"/>
    <col min="13132" max="13132" width="1.5703125" style="243" customWidth="1"/>
    <col min="13133" max="13133" width="0.7109375" style="243" customWidth="1"/>
    <col min="13134" max="13134" width="1.85546875" style="243" customWidth="1"/>
    <col min="13135" max="13135" width="10.7109375" style="243" customWidth="1"/>
    <col min="13136" max="13136" width="13" style="243" customWidth="1"/>
    <col min="13137" max="13242" width="10" style="243"/>
    <col min="13243" max="13243" width="1.5703125" style="243" customWidth="1"/>
    <col min="13244" max="13244" width="1.42578125" style="243" customWidth="1"/>
    <col min="13245" max="13245" width="57.5703125" style="243" customWidth="1"/>
    <col min="13246" max="13246" width="2.7109375" style="243" customWidth="1"/>
    <col min="13247" max="13247" width="0" style="243" hidden="1" customWidth="1"/>
    <col min="13248" max="13249" width="1" style="243" customWidth="1"/>
    <col min="13250" max="13250" width="19.7109375" style="243" customWidth="1"/>
    <col min="13251" max="13252" width="1" style="243" customWidth="1"/>
    <col min="13253" max="13307" width="0" style="243" hidden="1" customWidth="1"/>
    <col min="13308" max="13309" width="1" style="243" customWidth="1"/>
    <col min="13310" max="13310" width="17.85546875" style="243" customWidth="1"/>
    <col min="13311" max="13314" width="1" style="243" customWidth="1"/>
    <col min="13315" max="13315" width="17.85546875" style="243" customWidth="1"/>
    <col min="13316" max="13319" width="1" style="243" customWidth="1"/>
    <col min="13320" max="13320" width="17.85546875" style="243" customWidth="1"/>
    <col min="13321" max="13322" width="1" style="243" customWidth="1"/>
    <col min="13323" max="13377" width="0" style="243" hidden="1" customWidth="1"/>
    <col min="13378" max="13379" width="1" style="243" customWidth="1"/>
    <col min="13380" max="13380" width="17.85546875" style="243" customWidth="1"/>
    <col min="13381" max="13384" width="1" style="243" customWidth="1"/>
    <col min="13385" max="13385" width="17.85546875" style="243" customWidth="1"/>
    <col min="13386" max="13387" width="1" style="243" customWidth="1"/>
    <col min="13388" max="13388" width="1.5703125" style="243" customWidth="1"/>
    <col min="13389" max="13389" width="0.7109375" style="243" customWidth="1"/>
    <col min="13390" max="13390" width="1.85546875" style="243" customWidth="1"/>
    <col min="13391" max="13391" width="10.7109375" style="243" customWidth="1"/>
    <col min="13392" max="13392" width="13" style="243" customWidth="1"/>
    <col min="13393" max="13498" width="10" style="243"/>
    <col min="13499" max="13499" width="1.5703125" style="243" customWidth="1"/>
    <col min="13500" max="13500" width="1.42578125" style="243" customWidth="1"/>
    <col min="13501" max="13501" width="57.5703125" style="243" customWidth="1"/>
    <col min="13502" max="13502" width="2.7109375" style="243" customWidth="1"/>
    <col min="13503" max="13503" width="0" style="243" hidden="1" customWidth="1"/>
    <col min="13504" max="13505" width="1" style="243" customWidth="1"/>
    <col min="13506" max="13506" width="19.7109375" style="243" customWidth="1"/>
    <col min="13507" max="13508" width="1" style="243" customWidth="1"/>
    <col min="13509" max="13563" width="0" style="243" hidden="1" customWidth="1"/>
    <col min="13564" max="13565" width="1" style="243" customWidth="1"/>
    <col min="13566" max="13566" width="17.85546875" style="243" customWidth="1"/>
    <col min="13567" max="13570" width="1" style="243" customWidth="1"/>
    <col min="13571" max="13571" width="17.85546875" style="243" customWidth="1"/>
    <col min="13572" max="13575" width="1" style="243" customWidth="1"/>
    <col min="13576" max="13576" width="17.85546875" style="243" customWidth="1"/>
    <col min="13577" max="13578" width="1" style="243" customWidth="1"/>
    <col min="13579" max="13633" width="0" style="243" hidden="1" customWidth="1"/>
    <col min="13634" max="13635" width="1" style="243" customWidth="1"/>
    <col min="13636" max="13636" width="17.85546875" style="243" customWidth="1"/>
    <col min="13637" max="13640" width="1" style="243" customWidth="1"/>
    <col min="13641" max="13641" width="17.85546875" style="243" customWidth="1"/>
    <col min="13642" max="13643" width="1" style="243" customWidth="1"/>
    <col min="13644" max="13644" width="1.5703125" style="243" customWidth="1"/>
    <col min="13645" max="13645" width="0.7109375" style="243" customWidth="1"/>
    <col min="13646" max="13646" width="1.85546875" style="243" customWidth="1"/>
    <col min="13647" max="13647" width="10.7109375" style="243" customWidth="1"/>
    <col min="13648" max="13648" width="13" style="243" customWidth="1"/>
    <col min="13649" max="13754" width="10" style="243"/>
    <col min="13755" max="13755" width="1.5703125" style="243" customWidth="1"/>
    <col min="13756" max="13756" width="1.42578125" style="243" customWidth="1"/>
    <col min="13757" max="13757" width="57.5703125" style="243" customWidth="1"/>
    <col min="13758" max="13758" width="2.7109375" style="243" customWidth="1"/>
    <col min="13759" max="13759" width="0" style="243" hidden="1" customWidth="1"/>
    <col min="13760" max="13761" width="1" style="243" customWidth="1"/>
    <col min="13762" max="13762" width="19.7109375" style="243" customWidth="1"/>
    <col min="13763" max="13764" width="1" style="243" customWidth="1"/>
    <col min="13765" max="13819" width="0" style="243" hidden="1" customWidth="1"/>
    <col min="13820" max="13821" width="1" style="243" customWidth="1"/>
    <col min="13822" max="13822" width="17.85546875" style="243" customWidth="1"/>
    <col min="13823" max="13826" width="1" style="243" customWidth="1"/>
    <col min="13827" max="13827" width="17.85546875" style="243" customWidth="1"/>
    <col min="13828" max="13831" width="1" style="243" customWidth="1"/>
    <col min="13832" max="13832" width="17.85546875" style="243" customWidth="1"/>
    <col min="13833" max="13834" width="1" style="243" customWidth="1"/>
    <col min="13835" max="13889" width="0" style="243" hidden="1" customWidth="1"/>
    <col min="13890" max="13891" width="1" style="243" customWidth="1"/>
    <col min="13892" max="13892" width="17.85546875" style="243" customWidth="1"/>
    <col min="13893" max="13896" width="1" style="243" customWidth="1"/>
    <col min="13897" max="13897" width="17.85546875" style="243" customWidth="1"/>
    <col min="13898" max="13899" width="1" style="243" customWidth="1"/>
    <col min="13900" max="13900" width="1.5703125" style="243" customWidth="1"/>
    <col min="13901" max="13901" width="0.7109375" style="243" customWidth="1"/>
    <col min="13902" max="13902" width="1.85546875" style="243" customWidth="1"/>
    <col min="13903" max="13903" width="10.7109375" style="243" customWidth="1"/>
    <col min="13904" max="13904" width="13" style="243" customWidth="1"/>
    <col min="13905" max="14010" width="10" style="243"/>
    <col min="14011" max="14011" width="1.5703125" style="243" customWidth="1"/>
    <col min="14012" max="14012" width="1.42578125" style="243" customWidth="1"/>
    <col min="14013" max="14013" width="57.5703125" style="243" customWidth="1"/>
    <col min="14014" max="14014" width="2.7109375" style="243" customWidth="1"/>
    <col min="14015" max="14015" width="0" style="243" hidden="1" customWidth="1"/>
    <col min="14016" max="14017" width="1" style="243" customWidth="1"/>
    <col min="14018" max="14018" width="19.7109375" style="243" customWidth="1"/>
    <col min="14019" max="14020" width="1" style="243" customWidth="1"/>
    <col min="14021" max="14075" width="0" style="243" hidden="1" customWidth="1"/>
    <col min="14076" max="14077" width="1" style="243" customWidth="1"/>
    <col min="14078" max="14078" width="17.85546875" style="243" customWidth="1"/>
    <col min="14079" max="14082" width="1" style="243" customWidth="1"/>
    <col min="14083" max="14083" width="17.85546875" style="243" customWidth="1"/>
    <col min="14084" max="14087" width="1" style="243" customWidth="1"/>
    <col min="14088" max="14088" width="17.85546875" style="243" customWidth="1"/>
    <col min="14089" max="14090" width="1" style="243" customWidth="1"/>
    <col min="14091" max="14145" width="0" style="243" hidden="1" customWidth="1"/>
    <col min="14146" max="14147" width="1" style="243" customWidth="1"/>
    <col min="14148" max="14148" width="17.85546875" style="243" customWidth="1"/>
    <col min="14149" max="14152" width="1" style="243" customWidth="1"/>
    <col min="14153" max="14153" width="17.85546875" style="243" customWidth="1"/>
    <col min="14154" max="14155" width="1" style="243" customWidth="1"/>
    <col min="14156" max="14156" width="1.5703125" style="243" customWidth="1"/>
    <col min="14157" max="14157" width="0.7109375" style="243" customWidth="1"/>
    <col min="14158" max="14158" width="1.85546875" style="243" customWidth="1"/>
    <col min="14159" max="14159" width="10.7109375" style="243" customWidth="1"/>
    <col min="14160" max="14160" width="13" style="243" customWidth="1"/>
    <col min="14161" max="14266" width="10" style="243"/>
    <col min="14267" max="14267" width="1.5703125" style="243" customWidth="1"/>
    <col min="14268" max="14268" width="1.42578125" style="243" customWidth="1"/>
    <col min="14269" max="14269" width="57.5703125" style="243" customWidth="1"/>
    <col min="14270" max="14270" width="2.7109375" style="243" customWidth="1"/>
    <col min="14271" max="14271" width="0" style="243" hidden="1" customWidth="1"/>
    <col min="14272" max="14273" width="1" style="243" customWidth="1"/>
    <col min="14274" max="14274" width="19.7109375" style="243" customWidth="1"/>
    <col min="14275" max="14276" width="1" style="243" customWidth="1"/>
    <col min="14277" max="14331" width="0" style="243" hidden="1" customWidth="1"/>
    <col min="14332" max="14333" width="1" style="243" customWidth="1"/>
    <col min="14334" max="14334" width="17.85546875" style="243" customWidth="1"/>
    <col min="14335" max="14338" width="1" style="243" customWidth="1"/>
    <col min="14339" max="14339" width="17.85546875" style="243" customWidth="1"/>
    <col min="14340" max="14343" width="1" style="243" customWidth="1"/>
    <col min="14344" max="14344" width="17.85546875" style="243" customWidth="1"/>
    <col min="14345" max="14346" width="1" style="243" customWidth="1"/>
    <col min="14347" max="14401" width="0" style="243" hidden="1" customWidth="1"/>
    <col min="14402" max="14403" width="1" style="243" customWidth="1"/>
    <col min="14404" max="14404" width="17.85546875" style="243" customWidth="1"/>
    <col min="14405" max="14408" width="1" style="243" customWidth="1"/>
    <col min="14409" max="14409" width="17.85546875" style="243" customWidth="1"/>
    <col min="14410" max="14411" width="1" style="243" customWidth="1"/>
    <col min="14412" max="14412" width="1.5703125" style="243" customWidth="1"/>
    <col min="14413" max="14413" width="0.7109375" style="243" customWidth="1"/>
    <col min="14414" max="14414" width="1.85546875" style="243" customWidth="1"/>
    <col min="14415" max="14415" width="10.7109375" style="243" customWidth="1"/>
    <col min="14416" max="14416" width="13" style="243" customWidth="1"/>
    <col min="14417" max="14522" width="10" style="243"/>
    <col min="14523" max="14523" width="1.5703125" style="243" customWidth="1"/>
    <col min="14524" max="14524" width="1.42578125" style="243" customWidth="1"/>
    <col min="14525" max="14525" width="57.5703125" style="243" customWidth="1"/>
    <col min="14526" max="14526" width="2.7109375" style="243" customWidth="1"/>
    <col min="14527" max="14527" width="0" style="243" hidden="1" customWidth="1"/>
    <col min="14528" max="14529" width="1" style="243" customWidth="1"/>
    <col min="14530" max="14530" width="19.7109375" style="243" customWidth="1"/>
    <col min="14531" max="14532" width="1" style="243" customWidth="1"/>
    <col min="14533" max="14587" width="0" style="243" hidden="1" customWidth="1"/>
    <col min="14588" max="14589" width="1" style="243" customWidth="1"/>
    <col min="14590" max="14590" width="17.85546875" style="243" customWidth="1"/>
    <col min="14591" max="14594" width="1" style="243" customWidth="1"/>
    <col min="14595" max="14595" width="17.85546875" style="243" customWidth="1"/>
    <col min="14596" max="14599" width="1" style="243" customWidth="1"/>
    <col min="14600" max="14600" width="17.85546875" style="243" customWidth="1"/>
    <col min="14601" max="14602" width="1" style="243" customWidth="1"/>
    <col min="14603" max="14657" width="0" style="243" hidden="1" customWidth="1"/>
    <col min="14658" max="14659" width="1" style="243" customWidth="1"/>
    <col min="14660" max="14660" width="17.85546875" style="243" customWidth="1"/>
    <col min="14661" max="14664" width="1" style="243" customWidth="1"/>
    <col min="14665" max="14665" width="17.85546875" style="243" customWidth="1"/>
    <col min="14666" max="14667" width="1" style="243" customWidth="1"/>
    <col min="14668" max="14668" width="1.5703125" style="243" customWidth="1"/>
    <col min="14669" max="14669" width="0.7109375" style="243" customWidth="1"/>
    <col min="14670" max="14670" width="1.85546875" style="243" customWidth="1"/>
    <col min="14671" max="14671" width="10.7109375" style="243" customWidth="1"/>
    <col min="14672" max="14672" width="13" style="243" customWidth="1"/>
    <col min="14673" max="14778" width="10" style="243"/>
    <col min="14779" max="14779" width="1.5703125" style="243" customWidth="1"/>
    <col min="14780" max="14780" width="1.42578125" style="243" customWidth="1"/>
    <col min="14781" max="14781" width="57.5703125" style="243" customWidth="1"/>
    <col min="14782" max="14782" width="2.7109375" style="243" customWidth="1"/>
    <col min="14783" max="14783" width="0" style="243" hidden="1" customWidth="1"/>
    <col min="14784" max="14785" width="1" style="243" customWidth="1"/>
    <col min="14786" max="14786" width="19.7109375" style="243" customWidth="1"/>
    <col min="14787" max="14788" width="1" style="243" customWidth="1"/>
    <col min="14789" max="14843" width="0" style="243" hidden="1" customWidth="1"/>
    <col min="14844" max="14845" width="1" style="243" customWidth="1"/>
    <col min="14846" max="14846" width="17.85546875" style="243" customWidth="1"/>
    <col min="14847" max="14850" width="1" style="243" customWidth="1"/>
    <col min="14851" max="14851" width="17.85546875" style="243" customWidth="1"/>
    <col min="14852" max="14855" width="1" style="243" customWidth="1"/>
    <col min="14856" max="14856" width="17.85546875" style="243" customWidth="1"/>
    <col min="14857" max="14858" width="1" style="243" customWidth="1"/>
    <col min="14859" max="14913" width="0" style="243" hidden="1" customWidth="1"/>
    <col min="14914" max="14915" width="1" style="243" customWidth="1"/>
    <col min="14916" max="14916" width="17.85546875" style="243" customWidth="1"/>
    <col min="14917" max="14920" width="1" style="243" customWidth="1"/>
    <col min="14921" max="14921" width="17.85546875" style="243" customWidth="1"/>
    <col min="14922" max="14923" width="1" style="243" customWidth="1"/>
    <col min="14924" max="14924" width="1.5703125" style="243" customWidth="1"/>
    <col min="14925" max="14925" width="0.7109375" style="243" customWidth="1"/>
    <col min="14926" max="14926" width="1.85546875" style="243" customWidth="1"/>
    <col min="14927" max="14927" width="10.7109375" style="243" customWidth="1"/>
    <col min="14928" max="14928" width="13" style="243" customWidth="1"/>
    <col min="14929" max="15034" width="10" style="243"/>
    <col min="15035" max="15035" width="1.5703125" style="243" customWidth="1"/>
    <col min="15036" max="15036" width="1.42578125" style="243" customWidth="1"/>
    <col min="15037" max="15037" width="57.5703125" style="243" customWidth="1"/>
    <col min="15038" max="15038" width="2.7109375" style="243" customWidth="1"/>
    <col min="15039" max="15039" width="0" style="243" hidden="1" customWidth="1"/>
    <col min="15040" max="15041" width="1" style="243" customWidth="1"/>
    <col min="15042" max="15042" width="19.7109375" style="243" customWidth="1"/>
    <col min="15043" max="15044" width="1" style="243" customWidth="1"/>
    <col min="15045" max="15099" width="0" style="243" hidden="1" customWidth="1"/>
    <col min="15100" max="15101" width="1" style="243" customWidth="1"/>
    <col min="15102" max="15102" width="17.85546875" style="243" customWidth="1"/>
    <col min="15103" max="15106" width="1" style="243" customWidth="1"/>
    <col min="15107" max="15107" width="17.85546875" style="243" customWidth="1"/>
    <col min="15108" max="15111" width="1" style="243" customWidth="1"/>
    <col min="15112" max="15112" width="17.85546875" style="243" customWidth="1"/>
    <col min="15113" max="15114" width="1" style="243" customWidth="1"/>
    <col min="15115" max="15169" width="0" style="243" hidden="1" customWidth="1"/>
    <col min="15170" max="15171" width="1" style="243" customWidth="1"/>
    <col min="15172" max="15172" width="17.85546875" style="243" customWidth="1"/>
    <col min="15173" max="15176" width="1" style="243" customWidth="1"/>
    <col min="15177" max="15177" width="17.85546875" style="243" customWidth="1"/>
    <col min="15178" max="15179" width="1" style="243" customWidth="1"/>
    <col min="15180" max="15180" width="1.5703125" style="243" customWidth="1"/>
    <col min="15181" max="15181" width="0.7109375" style="243" customWidth="1"/>
    <col min="15182" max="15182" width="1.85546875" style="243" customWidth="1"/>
    <col min="15183" max="15183" width="10.7109375" style="243" customWidth="1"/>
    <col min="15184" max="15184" width="13" style="243" customWidth="1"/>
    <col min="15185" max="15290" width="10" style="243"/>
    <col min="15291" max="15291" width="1.5703125" style="243" customWidth="1"/>
    <col min="15292" max="15292" width="1.42578125" style="243" customWidth="1"/>
    <col min="15293" max="15293" width="57.5703125" style="243" customWidth="1"/>
    <col min="15294" max="15294" width="2.7109375" style="243" customWidth="1"/>
    <col min="15295" max="15295" width="0" style="243" hidden="1" customWidth="1"/>
    <col min="15296" max="15297" width="1" style="243" customWidth="1"/>
    <col min="15298" max="15298" width="19.7109375" style="243" customWidth="1"/>
    <col min="15299" max="15300" width="1" style="243" customWidth="1"/>
    <col min="15301" max="15355" width="0" style="243" hidden="1" customWidth="1"/>
    <col min="15356" max="15357" width="1" style="243" customWidth="1"/>
    <col min="15358" max="15358" width="17.85546875" style="243" customWidth="1"/>
    <col min="15359" max="15362" width="1" style="243" customWidth="1"/>
    <col min="15363" max="15363" width="17.85546875" style="243" customWidth="1"/>
    <col min="15364" max="15367" width="1" style="243" customWidth="1"/>
    <col min="15368" max="15368" width="17.85546875" style="243" customWidth="1"/>
    <col min="15369" max="15370" width="1" style="243" customWidth="1"/>
    <col min="15371" max="15425" width="0" style="243" hidden="1" customWidth="1"/>
    <col min="15426" max="15427" width="1" style="243" customWidth="1"/>
    <col min="15428" max="15428" width="17.85546875" style="243" customWidth="1"/>
    <col min="15429" max="15432" width="1" style="243" customWidth="1"/>
    <col min="15433" max="15433" width="17.85546875" style="243" customWidth="1"/>
    <col min="15434" max="15435" width="1" style="243" customWidth="1"/>
    <col min="15436" max="15436" width="1.5703125" style="243" customWidth="1"/>
    <col min="15437" max="15437" width="0.7109375" style="243" customWidth="1"/>
    <col min="15438" max="15438" width="1.85546875" style="243" customWidth="1"/>
    <col min="15439" max="15439" width="10.7109375" style="243" customWidth="1"/>
    <col min="15440" max="15440" width="13" style="243" customWidth="1"/>
    <col min="15441" max="15546" width="10" style="243"/>
    <col min="15547" max="15547" width="1.5703125" style="243" customWidth="1"/>
    <col min="15548" max="15548" width="1.42578125" style="243" customWidth="1"/>
    <col min="15549" max="15549" width="57.5703125" style="243" customWidth="1"/>
    <col min="15550" max="15550" width="2.7109375" style="243" customWidth="1"/>
    <col min="15551" max="15551" width="0" style="243" hidden="1" customWidth="1"/>
    <col min="15552" max="15553" width="1" style="243" customWidth="1"/>
    <col min="15554" max="15554" width="19.7109375" style="243" customWidth="1"/>
    <col min="15555" max="15556" width="1" style="243" customWidth="1"/>
    <col min="15557" max="15611" width="0" style="243" hidden="1" customWidth="1"/>
    <col min="15612" max="15613" width="1" style="243" customWidth="1"/>
    <col min="15614" max="15614" width="17.85546875" style="243" customWidth="1"/>
    <col min="15615" max="15618" width="1" style="243" customWidth="1"/>
    <col min="15619" max="15619" width="17.85546875" style="243" customWidth="1"/>
    <col min="15620" max="15623" width="1" style="243" customWidth="1"/>
    <col min="15624" max="15624" width="17.85546875" style="243" customWidth="1"/>
    <col min="15625" max="15626" width="1" style="243" customWidth="1"/>
    <col min="15627" max="15681" width="0" style="243" hidden="1" customWidth="1"/>
    <col min="15682" max="15683" width="1" style="243" customWidth="1"/>
    <col min="15684" max="15684" width="17.85546875" style="243" customWidth="1"/>
    <col min="15685" max="15688" width="1" style="243" customWidth="1"/>
    <col min="15689" max="15689" width="17.85546875" style="243" customWidth="1"/>
    <col min="15690" max="15691" width="1" style="243" customWidth="1"/>
    <col min="15692" max="15692" width="1.5703125" style="243" customWidth="1"/>
    <col min="15693" max="15693" width="0.7109375" style="243" customWidth="1"/>
    <col min="15694" max="15694" width="1.85546875" style="243" customWidth="1"/>
    <col min="15695" max="15695" width="10.7109375" style="243" customWidth="1"/>
    <col min="15696" max="15696" width="13" style="243" customWidth="1"/>
    <col min="15697" max="15802" width="10" style="243"/>
    <col min="15803" max="15803" width="1.5703125" style="243" customWidth="1"/>
    <col min="15804" max="15804" width="1.42578125" style="243" customWidth="1"/>
    <col min="15805" max="15805" width="57.5703125" style="243" customWidth="1"/>
    <col min="15806" max="15806" width="2.7109375" style="243" customWidth="1"/>
    <col min="15807" max="15807" width="0" style="243" hidden="1" customWidth="1"/>
    <col min="15808" max="15809" width="1" style="243" customWidth="1"/>
    <col min="15810" max="15810" width="19.7109375" style="243" customWidth="1"/>
    <col min="15811" max="15812" width="1" style="243" customWidth="1"/>
    <col min="15813" max="15867" width="0" style="243" hidden="1" customWidth="1"/>
    <col min="15868" max="15869" width="1" style="243" customWidth="1"/>
    <col min="15870" max="15870" width="17.85546875" style="243" customWidth="1"/>
    <col min="15871" max="15874" width="1" style="243" customWidth="1"/>
    <col min="15875" max="15875" width="17.85546875" style="243" customWidth="1"/>
    <col min="15876" max="15879" width="1" style="243" customWidth="1"/>
    <col min="15880" max="15880" width="17.85546875" style="243" customWidth="1"/>
    <col min="15881" max="15882" width="1" style="243" customWidth="1"/>
    <col min="15883" max="15937" width="0" style="243" hidden="1" customWidth="1"/>
    <col min="15938" max="15939" width="1" style="243" customWidth="1"/>
    <col min="15940" max="15940" width="17.85546875" style="243" customWidth="1"/>
    <col min="15941" max="15944" width="1" style="243" customWidth="1"/>
    <col min="15945" max="15945" width="17.85546875" style="243" customWidth="1"/>
    <col min="15946" max="15947" width="1" style="243" customWidth="1"/>
    <col min="15948" max="15948" width="1.5703125" style="243" customWidth="1"/>
    <col min="15949" max="15949" width="0.7109375" style="243" customWidth="1"/>
    <col min="15950" max="15950" width="1.85546875" style="243" customWidth="1"/>
    <col min="15951" max="15951" width="10.7109375" style="243" customWidth="1"/>
    <col min="15952" max="15952" width="13" style="243" customWidth="1"/>
    <col min="15953" max="16058" width="10" style="243"/>
    <col min="16059" max="16059" width="1.5703125" style="243" customWidth="1"/>
    <col min="16060" max="16060" width="1.42578125" style="243" customWidth="1"/>
    <col min="16061" max="16061" width="57.5703125" style="243" customWidth="1"/>
    <col min="16062" max="16062" width="2.7109375" style="243" customWidth="1"/>
    <col min="16063" max="16063" width="0" style="243" hidden="1" customWidth="1"/>
    <col min="16064" max="16065" width="1" style="243" customWidth="1"/>
    <col min="16066" max="16066" width="19.7109375" style="243" customWidth="1"/>
    <col min="16067" max="16068" width="1" style="243" customWidth="1"/>
    <col min="16069" max="16123" width="0" style="243" hidden="1" customWidth="1"/>
    <col min="16124" max="16125" width="1" style="243" customWidth="1"/>
    <col min="16126" max="16126" width="17.85546875" style="243" customWidth="1"/>
    <col min="16127" max="16130" width="1" style="243" customWidth="1"/>
    <col min="16131" max="16131" width="17.85546875" style="243" customWidth="1"/>
    <col min="16132" max="16135" width="1" style="243" customWidth="1"/>
    <col min="16136" max="16136" width="17.85546875" style="243" customWidth="1"/>
    <col min="16137" max="16138" width="1" style="243" customWidth="1"/>
    <col min="16139" max="16193" width="0" style="243" hidden="1" customWidth="1"/>
    <col min="16194" max="16195" width="1" style="243" customWidth="1"/>
    <col min="16196" max="16196" width="17.85546875" style="243" customWidth="1"/>
    <col min="16197" max="16200" width="1" style="243" customWidth="1"/>
    <col min="16201" max="16201" width="17.85546875" style="243" customWidth="1"/>
    <col min="16202" max="16203" width="1" style="243" customWidth="1"/>
    <col min="16204" max="16204" width="1.5703125" style="243" customWidth="1"/>
    <col min="16205" max="16205" width="0.7109375" style="243" customWidth="1"/>
    <col min="16206" max="16206" width="1.85546875" style="243" customWidth="1"/>
    <col min="16207" max="16207" width="10.7109375" style="243" customWidth="1"/>
    <col min="16208" max="16208" width="13" style="243" customWidth="1"/>
    <col min="16209" max="16384" width="10" style="243"/>
  </cols>
  <sheetData>
    <row r="1" spans="1:80" x14ac:dyDescent="0.2">
      <c r="BX1" s="244"/>
      <c r="BY1" s="243"/>
    </row>
    <row r="2" spans="1:80" ht="5.25" customHeigh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</row>
    <row r="3" spans="1:80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</row>
    <row r="4" spans="1:80" x14ac:dyDescent="0.2">
      <c r="A4" s="244"/>
      <c r="B4" s="244"/>
      <c r="C4" s="245"/>
      <c r="D4" s="245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</row>
    <row r="5" spans="1:80" x14ac:dyDescent="0.2">
      <c r="A5" s="244"/>
      <c r="B5" s="244"/>
      <c r="D5" s="245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</row>
    <row r="6" spans="1:80" x14ac:dyDescent="0.2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</row>
    <row r="7" spans="1:80" ht="15" customHeight="1" x14ac:dyDescent="0.25">
      <c r="A7" s="244"/>
      <c r="B7" s="244"/>
      <c r="C7" s="246" t="s">
        <v>255</v>
      </c>
      <c r="D7" s="247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</row>
    <row r="8" spans="1:80" x14ac:dyDescent="0.2">
      <c r="A8" s="244"/>
      <c r="B8" s="244"/>
      <c r="C8" s="248"/>
      <c r="D8" s="244"/>
      <c r="E8" s="249"/>
      <c r="F8" s="250"/>
      <c r="G8" s="251"/>
      <c r="H8" s="664" t="s">
        <v>164</v>
      </c>
      <c r="I8" s="664"/>
      <c r="J8" s="664"/>
      <c r="K8" s="664"/>
      <c r="L8" s="664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  <c r="BF8" s="691"/>
      <c r="BG8" s="691"/>
      <c r="BH8" s="691"/>
      <c r="BI8" s="691"/>
      <c r="BJ8" s="691"/>
      <c r="BK8" s="691"/>
      <c r="BL8" s="691"/>
      <c r="BM8" s="691"/>
      <c r="BN8" s="691"/>
      <c r="BO8" s="691"/>
      <c r="BP8" s="691"/>
      <c r="BQ8" s="691"/>
      <c r="BR8" s="691"/>
      <c r="BS8" s="691"/>
      <c r="BT8" s="691"/>
      <c r="BU8" s="691"/>
      <c r="BV8" s="252"/>
      <c r="BW8" s="252"/>
      <c r="BX8" s="254"/>
    </row>
    <row r="9" spans="1:80" ht="18" customHeight="1" x14ac:dyDescent="0.2">
      <c r="A9" s="244"/>
      <c r="B9" s="244"/>
      <c r="C9" s="254"/>
      <c r="D9" s="244"/>
      <c r="E9" s="47" t="s">
        <v>256</v>
      </c>
      <c r="F9" s="14"/>
      <c r="G9" s="17"/>
      <c r="H9" s="255" t="s">
        <v>1</v>
      </c>
      <c r="I9" s="17"/>
      <c r="J9" s="17"/>
      <c r="K9" s="14"/>
      <c r="L9" s="17"/>
      <c r="M9" s="17" t="s">
        <v>2</v>
      </c>
      <c r="N9" s="17"/>
      <c r="O9" s="17"/>
      <c r="P9" s="14"/>
      <c r="Q9" s="17"/>
      <c r="R9" s="17" t="s">
        <v>3</v>
      </c>
      <c r="S9" s="17"/>
      <c r="T9" s="17"/>
      <c r="U9" s="14"/>
      <c r="V9" s="17"/>
      <c r="W9" s="17" t="s">
        <v>167</v>
      </c>
      <c r="X9" s="17"/>
      <c r="Y9" s="17"/>
      <c r="Z9" s="14"/>
      <c r="AA9" s="17"/>
      <c r="AB9" s="17" t="s">
        <v>5</v>
      </c>
      <c r="AC9" s="17"/>
      <c r="AD9" s="17"/>
      <c r="AE9" s="14"/>
      <c r="AF9" s="17"/>
      <c r="AG9" s="17" t="s">
        <v>6</v>
      </c>
      <c r="AH9" s="17"/>
      <c r="AI9" s="17"/>
      <c r="AJ9" s="14"/>
      <c r="AK9" s="17"/>
      <c r="AL9" s="17" t="s">
        <v>7</v>
      </c>
      <c r="AM9" s="17"/>
      <c r="AN9" s="17"/>
      <c r="AO9" s="14"/>
      <c r="AP9" s="17"/>
      <c r="AQ9" s="17" t="s">
        <v>8</v>
      </c>
      <c r="AR9" s="17"/>
      <c r="AS9" s="17"/>
      <c r="AT9" s="14"/>
      <c r="AU9" s="17"/>
      <c r="AV9" s="17" t="s">
        <v>9</v>
      </c>
      <c r="AW9" s="17"/>
      <c r="AX9" s="17"/>
      <c r="AY9" s="14"/>
      <c r="AZ9" s="17"/>
      <c r="BA9" s="17" t="s">
        <v>10</v>
      </c>
      <c r="BB9" s="17"/>
      <c r="BC9" s="17"/>
      <c r="BD9" s="14"/>
      <c r="BE9" s="17"/>
      <c r="BF9" s="17" t="s">
        <v>11</v>
      </c>
      <c r="BG9" s="17"/>
      <c r="BH9" s="17"/>
      <c r="BI9" s="14"/>
      <c r="BJ9" s="17"/>
      <c r="BK9" s="17" t="s">
        <v>12</v>
      </c>
      <c r="BL9" s="17"/>
      <c r="BM9" s="17"/>
      <c r="BN9" s="14"/>
      <c r="BO9" s="17"/>
      <c r="BP9" s="17" t="s">
        <v>13</v>
      </c>
      <c r="BQ9" s="17"/>
      <c r="BR9" s="17"/>
      <c r="BS9" s="14"/>
      <c r="BT9" s="17"/>
      <c r="BU9" s="17" t="s">
        <v>14</v>
      </c>
      <c r="BV9" s="17"/>
      <c r="BW9" s="17"/>
      <c r="BX9" s="254"/>
    </row>
    <row r="10" spans="1:80" x14ac:dyDescent="0.2">
      <c r="A10" s="244"/>
      <c r="B10" s="244"/>
      <c r="C10" s="256" t="s">
        <v>15</v>
      </c>
      <c r="D10" s="257"/>
      <c r="E10" s="77"/>
      <c r="F10" s="78"/>
      <c r="G10" s="79"/>
      <c r="H10" s="258" t="s">
        <v>16</v>
      </c>
      <c r="I10" s="79"/>
      <c r="J10" s="79"/>
      <c r="K10" s="78"/>
      <c r="L10" s="79"/>
      <c r="M10" s="79"/>
      <c r="N10" s="79"/>
      <c r="O10" s="79"/>
      <c r="P10" s="78"/>
      <c r="Q10" s="79"/>
      <c r="R10" s="79"/>
      <c r="S10" s="79"/>
      <c r="T10" s="79"/>
      <c r="U10" s="78"/>
      <c r="V10" s="79"/>
      <c r="W10" s="79"/>
      <c r="X10" s="79"/>
      <c r="Y10" s="79"/>
      <c r="Z10" s="78"/>
      <c r="AA10" s="79"/>
      <c r="AB10" s="79"/>
      <c r="AC10" s="79"/>
      <c r="AD10" s="79"/>
      <c r="AE10" s="78"/>
      <c r="AF10" s="79"/>
      <c r="AG10" s="79"/>
      <c r="AH10" s="79"/>
      <c r="AI10" s="79"/>
      <c r="AJ10" s="78"/>
      <c r="AK10" s="79"/>
      <c r="AL10" s="79"/>
      <c r="AM10" s="79"/>
      <c r="AN10" s="79"/>
      <c r="AO10" s="78"/>
      <c r="AP10" s="79"/>
      <c r="AQ10" s="79"/>
      <c r="AR10" s="79"/>
      <c r="AS10" s="79"/>
      <c r="AT10" s="78"/>
      <c r="AU10" s="79"/>
      <c r="AV10" s="79"/>
      <c r="AW10" s="79"/>
      <c r="AX10" s="79"/>
      <c r="AY10" s="78"/>
      <c r="AZ10" s="79"/>
      <c r="BA10" s="79"/>
      <c r="BB10" s="79"/>
      <c r="BC10" s="79"/>
      <c r="BD10" s="78"/>
      <c r="BE10" s="79"/>
      <c r="BF10" s="79"/>
      <c r="BG10" s="79"/>
      <c r="BH10" s="79"/>
      <c r="BI10" s="78"/>
      <c r="BJ10" s="79"/>
      <c r="BK10" s="79"/>
      <c r="BL10" s="79"/>
      <c r="BM10" s="79"/>
      <c r="BN10" s="78"/>
      <c r="BO10" s="79"/>
      <c r="BP10" s="79"/>
      <c r="BQ10" s="79"/>
      <c r="BR10" s="79"/>
      <c r="BS10" s="78"/>
      <c r="BT10" s="79"/>
      <c r="BU10" s="79"/>
      <c r="BV10" s="79"/>
      <c r="BW10" s="79"/>
      <c r="BX10" s="254"/>
    </row>
    <row r="11" spans="1:80" x14ac:dyDescent="0.2">
      <c r="A11" s="244"/>
      <c r="B11" s="244"/>
      <c r="C11" s="254"/>
      <c r="D11" s="244"/>
      <c r="E11" s="260"/>
      <c r="F11" s="261"/>
      <c r="G11" s="244"/>
      <c r="H11" s="244"/>
      <c r="I11" s="244"/>
      <c r="J11" s="244"/>
      <c r="K11" s="261"/>
      <c r="L11" s="244"/>
      <c r="M11" s="244"/>
      <c r="N11" s="244"/>
      <c r="O11" s="244"/>
      <c r="P11" s="261"/>
      <c r="Q11" s="244"/>
      <c r="R11" s="244"/>
      <c r="S11" s="244"/>
      <c r="T11" s="244"/>
      <c r="U11" s="261"/>
      <c r="V11" s="244"/>
      <c r="W11" s="244"/>
      <c r="X11" s="244"/>
      <c r="Y11" s="244"/>
      <c r="Z11" s="261"/>
      <c r="AA11" s="244"/>
      <c r="AB11" s="244"/>
      <c r="AC11" s="244"/>
      <c r="AD11" s="244"/>
      <c r="AE11" s="261"/>
      <c r="AF11" s="244"/>
      <c r="AG11" s="244"/>
      <c r="AH11" s="244"/>
      <c r="AI11" s="244"/>
      <c r="AJ11" s="261"/>
      <c r="AK11" s="244"/>
      <c r="AL11" s="244"/>
      <c r="AM11" s="244"/>
      <c r="AN11" s="244"/>
      <c r="AO11" s="261"/>
      <c r="AP11" s="244"/>
      <c r="AQ11" s="244"/>
      <c r="AR11" s="244"/>
      <c r="AS11" s="244"/>
      <c r="AT11" s="261"/>
      <c r="AU11" s="244"/>
      <c r="AV11" s="244"/>
      <c r="AW11" s="244"/>
      <c r="AX11" s="244"/>
      <c r="AY11" s="261"/>
      <c r="AZ11" s="244"/>
      <c r="BA11" s="244"/>
      <c r="BB11" s="244"/>
      <c r="BC11" s="244"/>
      <c r="BD11" s="261"/>
      <c r="BE11" s="244"/>
      <c r="BF11" s="244"/>
      <c r="BG11" s="244"/>
      <c r="BH11" s="244"/>
      <c r="BI11" s="261"/>
      <c r="BJ11" s="244"/>
      <c r="BK11" s="244"/>
      <c r="BL11" s="244"/>
      <c r="BM11" s="244"/>
      <c r="BN11" s="261"/>
      <c r="BO11" s="244"/>
      <c r="BP11" s="244"/>
      <c r="BQ11" s="244"/>
      <c r="BR11" s="244"/>
      <c r="BS11" s="261"/>
      <c r="BT11" s="244"/>
      <c r="BU11" s="244"/>
      <c r="BV11" s="244"/>
      <c r="BW11" s="244"/>
      <c r="BX11" s="254"/>
    </row>
    <row r="12" spans="1:80" x14ac:dyDescent="0.2">
      <c r="A12" s="244"/>
      <c r="B12" s="244"/>
      <c r="C12" s="254"/>
      <c r="D12" s="244"/>
      <c r="E12" s="260"/>
      <c r="F12" s="261"/>
      <c r="G12" s="244"/>
      <c r="H12" s="244"/>
      <c r="I12" s="244"/>
      <c r="J12" s="244"/>
      <c r="K12" s="261"/>
      <c r="L12" s="244"/>
      <c r="M12" s="244"/>
      <c r="N12" s="244"/>
      <c r="O12" s="244"/>
      <c r="P12" s="261"/>
      <c r="Q12" s="244"/>
      <c r="R12" s="244"/>
      <c r="S12" s="244"/>
      <c r="T12" s="244"/>
      <c r="U12" s="261"/>
      <c r="V12" s="244"/>
      <c r="W12" s="244"/>
      <c r="X12" s="244"/>
      <c r="Y12" s="244"/>
      <c r="Z12" s="261"/>
      <c r="AA12" s="244"/>
      <c r="AB12" s="244"/>
      <c r="AC12" s="244"/>
      <c r="AD12" s="244"/>
      <c r="AE12" s="261"/>
      <c r="AF12" s="244"/>
      <c r="AG12" s="244"/>
      <c r="AH12" s="244"/>
      <c r="AI12" s="244"/>
      <c r="AJ12" s="261"/>
      <c r="AK12" s="244"/>
      <c r="AL12" s="244"/>
      <c r="AM12" s="244"/>
      <c r="AN12" s="244"/>
      <c r="AO12" s="261"/>
      <c r="AP12" s="244"/>
      <c r="AQ12" s="244"/>
      <c r="AR12" s="244"/>
      <c r="AS12" s="244"/>
      <c r="AT12" s="261"/>
      <c r="AU12" s="244"/>
      <c r="AV12" s="244"/>
      <c r="AW12" s="244"/>
      <c r="AX12" s="244"/>
      <c r="AY12" s="261"/>
      <c r="AZ12" s="244"/>
      <c r="BA12" s="244"/>
      <c r="BB12" s="244"/>
      <c r="BC12" s="244"/>
      <c r="BD12" s="261"/>
      <c r="BE12" s="244"/>
      <c r="BF12" s="244"/>
      <c r="BG12" s="244"/>
      <c r="BH12" s="244"/>
      <c r="BI12" s="261"/>
      <c r="BJ12" s="244"/>
      <c r="BK12" s="244"/>
      <c r="BL12" s="244"/>
      <c r="BM12" s="244"/>
      <c r="BN12" s="261"/>
      <c r="BO12" s="244"/>
      <c r="BP12" s="244"/>
      <c r="BQ12" s="244"/>
      <c r="BR12" s="244"/>
      <c r="BS12" s="261"/>
      <c r="BT12" s="244"/>
      <c r="BU12" s="244"/>
      <c r="BV12" s="244"/>
      <c r="BW12" s="244"/>
      <c r="BX12" s="254"/>
    </row>
    <row r="13" spans="1:80" s="268" customFormat="1" x14ac:dyDescent="0.2">
      <c r="A13" s="245"/>
      <c r="B13" s="245"/>
      <c r="C13" s="262" t="s">
        <v>257</v>
      </c>
      <c r="D13" s="245"/>
      <c r="E13" s="263"/>
      <c r="F13" s="264"/>
      <c r="G13" s="245"/>
      <c r="H13" s="245">
        <f>+H14+H21</f>
        <v>36000000</v>
      </c>
      <c r="I13" s="245"/>
      <c r="J13" s="245"/>
      <c r="K13" s="264"/>
      <c r="L13" s="245"/>
      <c r="M13" s="265">
        <f>+M14+M21</f>
        <v>32089095</v>
      </c>
      <c r="N13" s="245"/>
      <c r="O13" s="245"/>
      <c r="P13" s="264"/>
      <c r="Q13" s="245"/>
      <c r="R13" s="265">
        <f>+R14+R21</f>
        <v>12375928</v>
      </c>
      <c r="S13" s="245"/>
      <c r="T13" s="245"/>
      <c r="U13" s="264"/>
      <c r="V13" s="245"/>
      <c r="W13" s="265">
        <f>+W14+W21</f>
        <v>21645154</v>
      </c>
      <c r="X13" s="245"/>
      <c r="Y13" s="245"/>
      <c r="Z13" s="264"/>
      <c r="AA13" s="245"/>
      <c r="AB13" s="265">
        <f>+AB14+AB21</f>
        <v>4387554</v>
      </c>
      <c r="AC13" s="245"/>
      <c r="AD13" s="245"/>
      <c r="AE13" s="264"/>
      <c r="AF13" s="245"/>
      <c r="AG13" s="265">
        <f>+AG14+AG21</f>
        <v>10613091</v>
      </c>
      <c r="AH13" s="245"/>
      <c r="AI13" s="245"/>
      <c r="AJ13" s="264"/>
      <c r="AK13" s="245"/>
      <c r="AL13" s="265">
        <f>+AL14+AL21</f>
        <v>-17323880</v>
      </c>
      <c r="AM13" s="245"/>
      <c r="AN13" s="245"/>
      <c r="AO13" s="264"/>
      <c r="AP13" s="245"/>
      <c r="AQ13" s="265">
        <f>+AQ14+AQ21</f>
        <v>7778423</v>
      </c>
      <c r="AR13" s="245"/>
      <c r="AS13" s="245"/>
      <c r="AT13" s="264"/>
      <c r="AU13" s="245"/>
      <c r="AV13" s="265">
        <f>+AV14+AV21</f>
        <v>6126860</v>
      </c>
      <c r="AW13" s="245"/>
      <c r="AX13" s="245"/>
      <c r="AY13" s="264"/>
      <c r="AZ13" s="245"/>
      <c r="BA13" s="265">
        <f>+BA14+BA21</f>
        <v>-16508019</v>
      </c>
      <c r="BB13" s="245"/>
      <c r="BC13" s="245"/>
      <c r="BD13" s="264"/>
      <c r="BE13" s="245"/>
      <c r="BF13" s="265">
        <f>+BF14+BF21</f>
        <v>13250851</v>
      </c>
      <c r="BG13" s="245"/>
      <c r="BH13" s="245"/>
      <c r="BI13" s="264"/>
      <c r="BJ13" s="245"/>
      <c r="BK13" s="265">
        <f>+BK14+BK21</f>
        <v>-2500139</v>
      </c>
      <c r="BL13" s="265"/>
      <c r="BM13" s="265"/>
      <c r="BN13" s="266"/>
      <c r="BO13" s="265"/>
      <c r="BP13" s="265">
        <f>+BP14+BP21</f>
        <v>-35857416</v>
      </c>
      <c r="BQ13" s="245"/>
      <c r="BR13" s="245"/>
      <c r="BS13" s="264"/>
      <c r="BT13" s="245"/>
      <c r="BU13" s="245">
        <f>+BU14+BU21</f>
        <v>36077502</v>
      </c>
      <c r="BV13" s="245"/>
      <c r="BW13" s="245"/>
      <c r="BX13" s="262"/>
      <c r="BY13" s="245"/>
    </row>
    <row r="14" spans="1:80" x14ac:dyDescent="0.2">
      <c r="A14" s="244"/>
      <c r="B14" s="244"/>
      <c r="C14" s="254" t="s">
        <v>258</v>
      </c>
      <c r="D14" s="244"/>
      <c r="E14" s="260"/>
      <c r="F14" s="261"/>
      <c r="G14" s="269"/>
      <c r="H14" s="270">
        <f>SUM(H15:H19)</f>
        <v>26000000</v>
      </c>
      <c r="I14" s="271"/>
      <c r="J14" s="244"/>
      <c r="K14" s="261"/>
      <c r="L14" s="269"/>
      <c r="M14" s="272">
        <f>SUM(M15:M19)</f>
        <v>5045000</v>
      </c>
      <c r="N14" s="271"/>
      <c r="O14" s="244"/>
      <c r="P14" s="261"/>
      <c r="Q14" s="269"/>
      <c r="R14" s="272">
        <f>SUM(R15:R19)</f>
        <v>14852000</v>
      </c>
      <c r="S14" s="271"/>
      <c r="T14" s="244"/>
      <c r="U14" s="261"/>
      <c r="V14" s="269"/>
      <c r="W14" s="272">
        <f>SUM(W15:W19)</f>
        <v>12705000</v>
      </c>
      <c r="X14" s="271"/>
      <c r="Y14" s="244"/>
      <c r="Z14" s="261"/>
      <c r="AA14" s="269"/>
      <c r="AB14" s="272">
        <f>SUM(AB15:AB19)</f>
        <v>4164510</v>
      </c>
      <c r="AC14" s="271"/>
      <c r="AD14" s="244"/>
      <c r="AE14" s="261"/>
      <c r="AF14" s="269"/>
      <c r="AG14" s="272">
        <f>SUM(AG15:AG19)</f>
        <v>6693000</v>
      </c>
      <c r="AH14" s="271"/>
      <c r="AI14" s="244"/>
      <c r="AJ14" s="261"/>
      <c r="AK14" s="269"/>
      <c r="AL14" s="272">
        <f>SUM(AL15:AL19)</f>
        <v>7998300</v>
      </c>
      <c r="AM14" s="271"/>
      <c r="AN14" s="244"/>
      <c r="AO14" s="261"/>
      <c r="AP14" s="269"/>
      <c r="AQ14" s="272">
        <f>SUM(AQ15:AQ19)</f>
        <v>3752730</v>
      </c>
      <c r="AR14" s="271"/>
      <c r="AS14" s="244"/>
      <c r="AT14" s="261"/>
      <c r="AU14" s="269"/>
      <c r="AV14" s="272">
        <f>SUM(AV15:AV19)</f>
        <v>1301000</v>
      </c>
      <c r="AW14" s="271"/>
      <c r="AX14" s="244"/>
      <c r="AY14" s="261"/>
      <c r="AZ14" s="269"/>
      <c r="BA14" s="272">
        <f>SUM(BA15:BA19)</f>
        <v>-6212410</v>
      </c>
      <c r="BB14" s="271"/>
      <c r="BC14" s="244"/>
      <c r="BD14" s="261"/>
      <c r="BE14" s="269"/>
      <c r="BF14" s="272">
        <f>SUM(BF15:BF19)</f>
        <v>-8057160</v>
      </c>
      <c r="BG14" s="271"/>
      <c r="BH14" s="244"/>
      <c r="BI14" s="261"/>
      <c r="BJ14" s="269"/>
      <c r="BK14" s="272">
        <f>SUM(BK15:BK19)</f>
        <v>-9474050</v>
      </c>
      <c r="BL14" s="271"/>
      <c r="BM14" s="244"/>
      <c r="BN14" s="261"/>
      <c r="BO14" s="269"/>
      <c r="BP14" s="273">
        <f>SUM(BP15:BP19)</f>
        <v>-6767490</v>
      </c>
      <c r="BQ14" s="271"/>
      <c r="BR14" s="244"/>
      <c r="BS14" s="261"/>
      <c r="BT14" s="269"/>
      <c r="BU14" s="270">
        <f>SUM(BU15:BU19)</f>
        <v>26000430</v>
      </c>
      <c r="BV14" s="271"/>
      <c r="BW14" s="244"/>
      <c r="BX14" s="254"/>
      <c r="CA14" s="268"/>
      <c r="CB14" s="268"/>
    </row>
    <row r="15" spans="1:80" hidden="1" x14ac:dyDescent="0.2">
      <c r="A15" s="244"/>
      <c r="B15" s="244"/>
      <c r="C15" s="118" t="s">
        <v>259</v>
      </c>
      <c r="D15" s="119"/>
      <c r="E15" s="260"/>
      <c r="F15" s="261"/>
      <c r="G15" s="261"/>
      <c r="H15" s="275">
        <v>0</v>
      </c>
      <c r="I15" s="276"/>
      <c r="J15" s="244"/>
      <c r="K15" s="261"/>
      <c r="L15" s="261"/>
      <c r="M15" s="277">
        <v>0</v>
      </c>
      <c r="N15" s="276"/>
      <c r="O15" s="244"/>
      <c r="P15" s="261"/>
      <c r="Q15" s="261"/>
      <c r="R15" s="277">
        <v>0</v>
      </c>
      <c r="S15" s="276"/>
      <c r="T15" s="244"/>
      <c r="U15" s="261"/>
      <c r="V15" s="261"/>
      <c r="W15" s="277">
        <v>0</v>
      </c>
      <c r="X15" s="276"/>
      <c r="Y15" s="244"/>
      <c r="Z15" s="261"/>
      <c r="AA15" s="261"/>
      <c r="AB15" s="277">
        <v>0</v>
      </c>
      <c r="AC15" s="276"/>
      <c r="AD15" s="244"/>
      <c r="AE15" s="261"/>
      <c r="AF15" s="261"/>
      <c r="AG15" s="277">
        <v>0</v>
      </c>
      <c r="AH15" s="276"/>
      <c r="AI15" s="244"/>
      <c r="AJ15" s="261"/>
      <c r="AK15" s="261"/>
      <c r="AL15" s="277">
        <v>0</v>
      </c>
      <c r="AM15" s="276"/>
      <c r="AN15" s="244"/>
      <c r="AO15" s="261"/>
      <c r="AP15" s="261"/>
      <c r="AQ15" s="277">
        <v>0</v>
      </c>
      <c r="AR15" s="276"/>
      <c r="AS15" s="244"/>
      <c r="AT15" s="261"/>
      <c r="AU15" s="261"/>
      <c r="AV15" s="277">
        <v>0</v>
      </c>
      <c r="AW15" s="276"/>
      <c r="AX15" s="244"/>
      <c r="AY15" s="261"/>
      <c r="AZ15" s="261"/>
      <c r="BA15" s="277">
        <v>0</v>
      </c>
      <c r="BB15" s="276"/>
      <c r="BC15" s="244"/>
      <c r="BD15" s="261"/>
      <c r="BE15" s="261"/>
      <c r="BF15" s="277">
        <v>0</v>
      </c>
      <c r="BG15" s="276"/>
      <c r="BH15" s="244"/>
      <c r="BI15" s="261"/>
      <c r="BJ15" s="261"/>
      <c r="BK15" s="277">
        <v>0</v>
      </c>
      <c r="BL15" s="276"/>
      <c r="BM15" s="244"/>
      <c r="BN15" s="261"/>
      <c r="BO15" s="261"/>
      <c r="BP15" s="277">
        <v>0</v>
      </c>
      <c r="BQ15" s="276"/>
      <c r="BR15" s="244"/>
      <c r="BS15" s="261"/>
      <c r="BT15" s="261"/>
      <c r="BU15" s="277">
        <f>SUM(M15:BP15)</f>
        <v>0</v>
      </c>
      <c r="BV15" s="276"/>
      <c r="BW15" s="244"/>
      <c r="BX15" s="254"/>
      <c r="CA15" s="268"/>
      <c r="CB15" s="268"/>
    </row>
    <row r="16" spans="1:80" x14ac:dyDescent="0.2">
      <c r="A16" s="244"/>
      <c r="B16" s="244"/>
      <c r="C16" s="118" t="s">
        <v>260</v>
      </c>
      <c r="D16" s="119"/>
      <c r="E16" s="260"/>
      <c r="F16" s="261"/>
      <c r="G16" s="261"/>
      <c r="H16" s="275">
        <v>-4729000</v>
      </c>
      <c r="I16" s="276"/>
      <c r="J16" s="244"/>
      <c r="K16" s="261"/>
      <c r="L16" s="261"/>
      <c r="M16" s="277">
        <v>1215940</v>
      </c>
      <c r="N16" s="276"/>
      <c r="O16" s="244"/>
      <c r="P16" s="261"/>
      <c r="Q16" s="261"/>
      <c r="R16" s="277">
        <v>5467000</v>
      </c>
      <c r="S16" s="276"/>
      <c r="T16" s="244"/>
      <c r="U16" s="261"/>
      <c r="V16" s="261"/>
      <c r="W16" s="277">
        <v>2901200</v>
      </c>
      <c r="X16" s="276"/>
      <c r="Y16" s="244"/>
      <c r="Z16" s="261"/>
      <c r="AA16" s="261"/>
      <c r="AB16" s="277">
        <v>1840830</v>
      </c>
      <c r="AC16" s="276"/>
      <c r="AD16" s="244"/>
      <c r="AE16" s="261"/>
      <c r="AF16" s="261"/>
      <c r="AG16" s="277">
        <v>950000</v>
      </c>
      <c r="AH16" s="276"/>
      <c r="AI16" s="244"/>
      <c r="AJ16" s="261"/>
      <c r="AK16" s="261"/>
      <c r="AL16" s="277">
        <v>2698800</v>
      </c>
      <c r="AM16" s="276"/>
      <c r="AN16" s="244"/>
      <c r="AO16" s="261"/>
      <c r="AP16" s="261"/>
      <c r="AQ16" s="277">
        <v>-3840070</v>
      </c>
      <c r="AR16" s="276"/>
      <c r="AS16" s="244"/>
      <c r="AT16" s="261"/>
      <c r="AU16" s="261"/>
      <c r="AV16" s="277">
        <v>-786900</v>
      </c>
      <c r="AW16" s="276"/>
      <c r="AX16" s="244"/>
      <c r="AY16" s="261"/>
      <c r="AZ16" s="261"/>
      <c r="BA16" s="277">
        <v>-4877810</v>
      </c>
      <c r="BB16" s="276"/>
      <c r="BC16" s="244"/>
      <c r="BD16" s="278"/>
      <c r="BE16" s="261"/>
      <c r="BF16" s="277">
        <v>-4546100</v>
      </c>
      <c r="BG16" s="276"/>
      <c r="BH16" s="244"/>
      <c r="BI16" s="261"/>
      <c r="BJ16" s="261"/>
      <c r="BK16" s="277">
        <v>-6099850</v>
      </c>
      <c r="BL16" s="276"/>
      <c r="BM16" s="244"/>
      <c r="BN16" s="261"/>
      <c r="BO16" s="261"/>
      <c r="BP16" s="278">
        <v>-1321490</v>
      </c>
      <c r="BQ16" s="276"/>
      <c r="BR16" s="244"/>
      <c r="BS16" s="261"/>
      <c r="BT16" s="261"/>
      <c r="BU16" s="277">
        <f>SUM(M16:BP16)</f>
        <v>-6398450</v>
      </c>
      <c r="BV16" s="276"/>
      <c r="BW16" s="244"/>
      <c r="BX16" s="254"/>
      <c r="CA16" s="268"/>
      <c r="CB16" s="268"/>
    </row>
    <row r="17" spans="1:80" x14ac:dyDescent="0.2">
      <c r="A17" s="244"/>
      <c r="B17" s="244"/>
      <c r="C17" s="118" t="s">
        <v>261</v>
      </c>
      <c r="D17" s="119"/>
      <c r="E17" s="260"/>
      <c r="F17" s="261"/>
      <c r="G17" s="261"/>
      <c r="H17" s="279">
        <v>-2604000</v>
      </c>
      <c r="I17" s="276"/>
      <c r="J17" s="244"/>
      <c r="K17" s="261"/>
      <c r="L17" s="261"/>
      <c r="M17" s="278">
        <v>-934500</v>
      </c>
      <c r="N17" s="276"/>
      <c r="O17" s="244"/>
      <c r="P17" s="261"/>
      <c r="Q17" s="261"/>
      <c r="R17" s="278">
        <v>862000</v>
      </c>
      <c r="S17" s="276"/>
      <c r="T17" s="244"/>
      <c r="U17" s="261"/>
      <c r="V17" s="261"/>
      <c r="W17" s="278">
        <v>3843800</v>
      </c>
      <c r="X17" s="276"/>
      <c r="Y17" s="244"/>
      <c r="Z17" s="261"/>
      <c r="AA17" s="261"/>
      <c r="AB17" s="278">
        <v>-2062500</v>
      </c>
      <c r="AC17" s="276"/>
      <c r="AD17" s="244"/>
      <c r="AE17" s="261"/>
      <c r="AF17" s="261"/>
      <c r="AG17" s="278">
        <v>725000</v>
      </c>
      <c r="AH17" s="276"/>
      <c r="AI17" s="244"/>
      <c r="AJ17" s="261"/>
      <c r="AK17" s="261"/>
      <c r="AL17" s="278">
        <v>2080000</v>
      </c>
      <c r="AM17" s="276"/>
      <c r="AN17" s="244"/>
      <c r="AO17" s="261"/>
      <c r="AP17" s="261"/>
      <c r="AQ17" s="278">
        <v>1107900</v>
      </c>
      <c r="AR17" s="276"/>
      <c r="AS17" s="244"/>
      <c r="AT17" s="261"/>
      <c r="AU17" s="261"/>
      <c r="AV17" s="278">
        <v>-2092100</v>
      </c>
      <c r="AW17" s="276"/>
      <c r="AX17" s="244"/>
      <c r="AY17" s="261"/>
      <c r="AZ17" s="261"/>
      <c r="BA17" s="278">
        <v>-2481300</v>
      </c>
      <c r="BB17" s="276"/>
      <c r="BC17" s="244"/>
      <c r="BD17" s="261"/>
      <c r="BE17" s="261"/>
      <c r="BF17" s="278">
        <v>-287500</v>
      </c>
      <c r="BG17" s="276"/>
      <c r="BH17" s="244"/>
      <c r="BI17" s="261"/>
      <c r="BJ17" s="261"/>
      <c r="BK17" s="278">
        <v>-1005000</v>
      </c>
      <c r="BL17" s="276"/>
      <c r="BM17" s="244"/>
      <c r="BN17" s="261"/>
      <c r="BO17" s="261"/>
      <c r="BP17" s="278">
        <v>-2206000</v>
      </c>
      <c r="BQ17" s="276"/>
      <c r="BR17" s="244"/>
      <c r="BS17" s="261"/>
      <c r="BT17" s="261"/>
      <c r="BU17" s="278">
        <f>SUM(M17:BP17)</f>
        <v>-2450200</v>
      </c>
      <c r="BV17" s="276"/>
      <c r="BW17" s="244"/>
      <c r="BX17" s="254"/>
      <c r="CA17" s="268"/>
      <c r="CB17" s="268"/>
    </row>
    <row r="18" spans="1:80" x14ac:dyDescent="0.2">
      <c r="A18" s="244"/>
      <c r="B18" s="244"/>
      <c r="C18" s="118" t="s">
        <v>262</v>
      </c>
      <c r="D18" s="119"/>
      <c r="E18" s="260"/>
      <c r="F18" s="261"/>
      <c r="G18" s="261"/>
      <c r="H18" s="279">
        <v>9840000</v>
      </c>
      <c r="I18" s="276"/>
      <c r="J18" s="244"/>
      <c r="K18" s="261"/>
      <c r="L18" s="261"/>
      <c r="M18" s="278">
        <v>1893560</v>
      </c>
      <c r="N18" s="276"/>
      <c r="O18" s="244"/>
      <c r="P18" s="261"/>
      <c r="Q18" s="261"/>
      <c r="R18" s="278">
        <v>3478000</v>
      </c>
      <c r="S18" s="276"/>
      <c r="T18" s="244"/>
      <c r="U18" s="261"/>
      <c r="V18" s="261"/>
      <c r="W18" s="278">
        <v>2070000</v>
      </c>
      <c r="X18" s="276"/>
      <c r="Y18" s="244"/>
      <c r="Z18" s="261"/>
      <c r="AA18" s="261"/>
      <c r="AB18" s="278">
        <v>1500</v>
      </c>
      <c r="AC18" s="276"/>
      <c r="AD18" s="244"/>
      <c r="AE18" s="261"/>
      <c r="AF18" s="261"/>
      <c r="AG18" s="278">
        <v>1752500</v>
      </c>
      <c r="AH18" s="276"/>
      <c r="AI18" s="244"/>
      <c r="AJ18" s="261"/>
      <c r="AK18" s="261"/>
      <c r="AL18" s="278">
        <v>1409500</v>
      </c>
      <c r="AM18" s="276"/>
      <c r="AN18" s="244"/>
      <c r="AO18" s="261"/>
      <c r="AP18" s="261"/>
      <c r="AQ18" s="278">
        <v>3058400</v>
      </c>
      <c r="AR18" s="276"/>
      <c r="AS18" s="244"/>
      <c r="AT18" s="261"/>
      <c r="AU18" s="261"/>
      <c r="AV18" s="278">
        <v>2220000</v>
      </c>
      <c r="AW18" s="276"/>
      <c r="AX18" s="244"/>
      <c r="AY18" s="261"/>
      <c r="AZ18" s="261"/>
      <c r="BA18" s="278">
        <v>748700</v>
      </c>
      <c r="BB18" s="276"/>
      <c r="BC18" s="244"/>
      <c r="BD18" s="261"/>
      <c r="BE18" s="261"/>
      <c r="BF18" s="278">
        <v>-2073560</v>
      </c>
      <c r="BG18" s="276"/>
      <c r="BH18" s="244"/>
      <c r="BI18" s="261"/>
      <c r="BJ18" s="261"/>
      <c r="BK18" s="278">
        <v>-1449200</v>
      </c>
      <c r="BL18" s="276"/>
      <c r="BM18" s="244"/>
      <c r="BN18" s="261"/>
      <c r="BO18" s="261"/>
      <c r="BP18" s="278">
        <v>-2320000</v>
      </c>
      <c r="BQ18" s="276"/>
      <c r="BR18" s="244"/>
      <c r="BS18" s="261"/>
      <c r="BT18" s="261"/>
      <c r="BU18" s="278">
        <f>SUM(M18:BP18)</f>
        <v>10789400</v>
      </c>
      <c r="BV18" s="276"/>
      <c r="BW18" s="244"/>
      <c r="BX18" s="254"/>
      <c r="CA18" s="268"/>
      <c r="CB18" s="268"/>
    </row>
    <row r="19" spans="1:80" x14ac:dyDescent="0.2">
      <c r="A19" s="244"/>
      <c r="B19" s="244"/>
      <c r="C19" s="118" t="s">
        <v>263</v>
      </c>
      <c r="D19" s="119"/>
      <c r="E19" s="260"/>
      <c r="F19" s="261"/>
      <c r="G19" s="261"/>
      <c r="H19" s="280">
        <v>23493000</v>
      </c>
      <c r="I19" s="276"/>
      <c r="J19" s="244"/>
      <c r="K19" s="261"/>
      <c r="L19" s="261"/>
      <c r="M19" s="281">
        <v>2870000</v>
      </c>
      <c r="N19" s="276"/>
      <c r="O19" s="244"/>
      <c r="P19" s="261"/>
      <c r="Q19" s="261"/>
      <c r="R19" s="281">
        <v>5045000</v>
      </c>
      <c r="S19" s="276"/>
      <c r="T19" s="244"/>
      <c r="U19" s="261"/>
      <c r="V19" s="261"/>
      <c r="W19" s="281">
        <v>3890000</v>
      </c>
      <c r="X19" s="276"/>
      <c r="Y19" s="244"/>
      <c r="Z19" s="261"/>
      <c r="AA19" s="261"/>
      <c r="AB19" s="281">
        <v>4384680</v>
      </c>
      <c r="AC19" s="276"/>
      <c r="AD19" s="244"/>
      <c r="AE19" s="261"/>
      <c r="AF19" s="261"/>
      <c r="AG19" s="281">
        <v>3265500</v>
      </c>
      <c r="AH19" s="276"/>
      <c r="AI19" s="244"/>
      <c r="AJ19" s="261"/>
      <c r="AK19" s="261"/>
      <c r="AL19" s="281">
        <v>1810000</v>
      </c>
      <c r="AM19" s="276"/>
      <c r="AN19" s="244"/>
      <c r="AO19" s="261"/>
      <c r="AP19" s="261"/>
      <c r="AQ19" s="281">
        <v>3426500</v>
      </c>
      <c r="AR19" s="276"/>
      <c r="AS19" s="244"/>
      <c r="AT19" s="261"/>
      <c r="AU19" s="261"/>
      <c r="AV19" s="281">
        <v>1960000</v>
      </c>
      <c r="AW19" s="276"/>
      <c r="AX19" s="244"/>
      <c r="AY19" s="261"/>
      <c r="AZ19" s="261"/>
      <c r="BA19" s="281">
        <v>398000</v>
      </c>
      <c r="BB19" s="276"/>
      <c r="BC19" s="244"/>
      <c r="BD19" s="261"/>
      <c r="BE19" s="261"/>
      <c r="BF19" s="281">
        <v>-1150000</v>
      </c>
      <c r="BG19" s="276"/>
      <c r="BH19" s="244"/>
      <c r="BI19" s="261"/>
      <c r="BJ19" s="261"/>
      <c r="BK19" s="281">
        <v>-920000</v>
      </c>
      <c r="BL19" s="276"/>
      <c r="BM19" s="244"/>
      <c r="BN19" s="261"/>
      <c r="BO19" s="261"/>
      <c r="BP19" s="281">
        <v>-920000</v>
      </c>
      <c r="BQ19" s="276"/>
      <c r="BR19" s="244"/>
      <c r="BS19" s="261"/>
      <c r="BT19" s="261"/>
      <c r="BU19" s="281">
        <f>SUM(M19:BP19)</f>
        <v>24059680</v>
      </c>
      <c r="BV19" s="276"/>
      <c r="BW19" s="244"/>
      <c r="BX19" s="254"/>
      <c r="CA19" s="268"/>
      <c r="CB19" s="268"/>
    </row>
    <row r="20" spans="1:80" x14ac:dyDescent="0.2">
      <c r="A20" s="244"/>
      <c r="B20" s="244"/>
      <c r="C20" s="254"/>
      <c r="D20" s="244"/>
      <c r="E20" s="260"/>
      <c r="F20" s="261"/>
      <c r="G20" s="261"/>
      <c r="H20" s="244"/>
      <c r="I20" s="276"/>
      <c r="J20" s="244"/>
      <c r="K20" s="261"/>
      <c r="L20" s="261"/>
      <c r="M20" s="244"/>
      <c r="N20" s="276"/>
      <c r="O20" s="244"/>
      <c r="P20" s="261"/>
      <c r="Q20" s="261"/>
      <c r="R20" s="244"/>
      <c r="S20" s="276"/>
      <c r="T20" s="244"/>
      <c r="U20" s="261"/>
      <c r="V20" s="261"/>
      <c r="W20" s="244"/>
      <c r="X20" s="276"/>
      <c r="Y20" s="244"/>
      <c r="Z20" s="261"/>
      <c r="AA20" s="261"/>
      <c r="AB20" s="244"/>
      <c r="AC20" s="276"/>
      <c r="AD20" s="244"/>
      <c r="AE20" s="261"/>
      <c r="AF20" s="261"/>
      <c r="AG20" s="244"/>
      <c r="AH20" s="276"/>
      <c r="AI20" s="244"/>
      <c r="AJ20" s="261"/>
      <c r="AK20" s="261"/>
      <c r="AL20" s="244"/>
      <c r="AM20" s="276"/>
      <c r="AN20" s="244"/>
      <c r="AO20" s="261"/>
      <c r="AP20" s="261"/>
      <c r="AQ20" s="244"/>
      <c r="AR20" s="276"/>
      <c r="AS20" s="244"/>
      <c r="AT20" s="261"/>
      <c r="AU20" s="261"/>
      <c r="AV20" s="244"/>
      <c r="AW20" s="276"/>
      <c r="AX20" s="244"/>
      <c r="AY20" s="261"/>
      <c r="AZ20" s="261"/>
      <c r="BA20" s="244"/>
      <c r="BB20" s="276"/>
      <c r="BC20" s="244"/>
      <c r="BD20" s="261"/>
      <c r="BE20" s="261"/>
      <c r="BF20" s="244"/>
      <c r="BG20" s="276"/>
      <c r="BH20" s="244"/>
      <c r="BI20" s="261"/>
      <c r="BJ20" s="261"/>
      <c r="BK20" s="244"/>
      <c r="BL20" s="276"/>
      <c r="BM20" s="244"/>
      <c r="BN20" s="261"/>
      <c r="BO20" s="261"/>
      <c r="BP20" s="244"/>
      <c r="BQ20" s="276"/>
      <c r="BR20" s="244"/>
      <c r="BS20" s="261"/>
      <c r="BT20" s="261"/>
      <c r="BU20" s="244"/>
      <c r="BV20" s="276"/>
      <c r="BW20" s="244"/>
      <c r="BX20" s="254"/>
      <c r="CA20" s="268"/>
      <c r="CB20" s="268"/>
    </row>
    <row r="21" spans="1:80" x14ac:dyDescent="0.2">
      <c r="A21" s="244"/>
      <c r="B21" s="244"/>
      <c r="C21" s="283" t="s">
        <v>264</v>
      </c>
      <c r="D21" s="119"/>
      <c r="E21" s="260"/>
      <c r="F21" s="261"/>
      <c r="G21" s="284"/>
      <c r="H21" s="285">
        <v>10000000</v>
      </c>
      <c r="I21" s="286"/>
      <c r="J21" s="244"/>
      <c r="K21" s="261"/>
      <c r="L21" s="284"/>
      <c r="M21" s="287">
        <v>27044095</v>
      </c>
      <c r="N21" s="286"/>
      <c r="O21" s="244"/>
      <c r="P21" s="261"/>
      <c r="Q21" s="284"/>
      <c r="R21" s="287">
        <v>-2476072</v>
      </c>
      <c r="S21" s="286"/>
      <c r="T21" s="244"/>
      <c r="U21" s="261"/>
      <c r="V21" s="284"/>
      <c r="W21" s="287">
        <v>8940154</v>
      </c>
      <c r="X21" s="286"/>
      <c r="Y21" s="244"/>
      <c r="Z21" s="261"/>
      <c r="AA21" s="284"/>
      <c r="AB21" s="287">
        <v>223044</v>
      </c>
      <c r="AC21" s="286"/>
      <c r="AD21" s="244"/>
      <c r="AE21" s="261"/>
      <c r="AF21" s="284"/>
      <c r="AG21" s="287">
        <v>3920091</v>
      </c>
      <c r="AH21" s="286"/>
      <c r="AI21" s="244"/>
      <c r="AJ21" s="261"/>
      <c r="AK21" s="284"/>
      <c r="AL21" s="287">
        <v>-25322180</v>
      </c>
      <c r="AM21" s="286"/>
      <c r="AN21" s="244"/>
      <c r="AO21" s="261"/>
      <c r="AP21" s="284"/>
      <c r="AQ21" s="287">
        <v>4025693</v>
      </c>
      <c r="AR21" s="286"/>
      <c r="AS21" s="244"/>
      <c r="AT21" s="261"/>
      <c r="AU21" s="284"/>
      <c r="AV21" s="287">
        <v>4825860</v>
      </c>
      <c r="AW21" s="286"/>
      <c r="AX21" s="244"/>
      <c r="AY21" s="261"/>
      <c r="AZ21" s="284"/>
      <c r="BA21" s="287">
        <v>-10295609</v>
      </c>
      <c r="BB21" s="286"/>
      <c r="BC21" s="244"/>
      <c r="BD21" s="261"/>
      <c r="BE21" s="284"/>
      <c r="BF21" s="287">
        <v>21308011</v>
      </c>
      <c r="BG21" s="286"/>
      <c r="BH21" s="244"/>
      <c r="BI21" s="261"/>
      <c r="BJ21" s="284"/>
      <c r="BK21" s="287">
        <v>6973911</v>
      </c>
      <c r="BL21" s="286"/>
      <c r="BM21" s="244"/>
      <c r="BN21" s="261"/>
      <c r="BO21" s="284"/>
      <c r="BP21" s="287">
        <v>-29089926</v>
      </c>
      <c r="BQ21" s="286"/>
      <c r="BR21" s="244"/>
      <c r="BS21" s="261"/>
      <c r="BT21" s="284"/>
      <c r="BU21" s="287">
        <f>SUM(M21:BP21)</f>
        <v>10077072</v>
      </c>
      <c r="BV21" s="286"/>
      <c r="BW21" s="244"/>
      <c r="BX21" s="254"/>
      <c r="CA21" s="268"/>
      <c r="CB21" s="268"/>
    </row>
    <row r="22" spans="1:80" x14ac:dyDescent="0.2">
      <c r="A22" s="244"/>
      <c r="B22" s="244"/>
      <c r="C22" s="254"/>
      <c r="D22" s="244"/>
      <c r="E22" s="260"/>
      <c r="F22" s="288"/>
      <c r="G22" s="289"/>
      <c r="H22" s="244"/>
      <c r="I22" s="244"/>
      <c r="J22" s="244"/>
      <c r="K22" s="261"/>
      <c r="L22" s="244"/>
      <c r="M22" s="244"/>
      <c r="N22" s="244"/>
      <c r="O22" s="244"/>
      <c r="P22" s="261"/>
      <c r="Q22" s="244"/>
      <c r="R22" s="244"/>
      <c r="S22" s="244"/>
      <c r="T22" s="244"/>
      <c r="U22" s="261"/>
      <c r="V22" s="244"/>
      <c r="W22" s="244"/>
      <c r="X22" s="244"/>
      <c r="Y22" s="244"/>
      <c r="Z22" s="261"/>
      <c r="AA22" s="244"/>
      <c r="AB22" s="244"/>
      <c r="AC22" s="244"/>
      <c r="AD22" s="244"/>
      <c r="AE22" s="261"/>
      <c r="AF22" s="244"/>
      <c r="AG22" s="244"/>
      <c r="AH22" s="244"/>
      <c r="AI22" s="244"/>
      <c r="AJ22" s="261"/>
      <c r="AK22" s="244"/>
      <c r="AL22" s="244"/>
      <c r="AM22" s="244"/>
      <c r="AN22" s="244"/>
      <c r="AO22" s="261"/>
      <c r="AP22" s="244"/>
      <c r="AQ22" s="244"/>
      <c r="AR22" s="244"/>
      <c r="AS22" s="244"/>
      <c r="AT22" s="261"/>
      <c r="AU22" s="244"/>
      <c r="AV22" s="244"/>
      <c r="AW22" s="244"/>
      <c r="AX22" s="244"/>
      <c r="AY22" s="261"/>
      <c r="AZ22" s="244"/>
      <c r="BA22" s="244"/>
      <c r="BB22" s="244"/>
      <c r="BC22" s="244"/>
      <c r="BD22" s="261"/>
      <c r="BE22" s="244"/>
      <c r="BF22" s="244"/>
      <c r="BG22" s="244"/>
      <c r="BH22" s="244"/>
      <c r="BI22" s="261"/>
      <c r="BJ22" s="244"/>
      <c r="BK22" s="244"/>
      <c r="BL22" s="244"/>
      <c r="BM22" s="244"/>
      <c r="BN22" s="261"/>
      <c r="BO22" s="244"/>
      <c r="BP22" s="244"/>
      <c r="BQ22" s="244"/>
      <c r="BR22" s="244"/>
      <c r="BS22" s="261"/>
      <c r="BT22" s="244"/>
      <c r="BU22" s="244"/>
      <c r="BV22" s="244"/>
      <c r="BW22" s="244"/>
      <c r="BX22" s="254"/>
      <c r="CA22" s="268"/>
      <c r="CB22" s="268"/>
    </row>
    <row r="23" spans="1:80" s="268" customFormat="1" x14ac:dyDescent="0.2">
      <c r="A23" s="245"/>
      <c r="B23" s="245"/>
      <c r="C23" s="262" t="s">
        <v>265</v>
      </c>
      <c r="D23" s="245"/>
      <c r="E23" s="263"/>
      <c r="F23" s="290"/>
      <c r="G23" s="291"/>
      <c r="H23" s="245">
        <f>H24+H31+H36+H40</f>
        <v>279365000</v>
      </c>
      <c r="I23" s="245"/>
      <c r="J23" s="245"/>
      <c r="K23" s="264"/>
      <c r="L23" s="245"/>
      <c r="M23" s="245">
        <f>M24+M31+M36</f>
        <v>19134410</v>
      </c>
      <c r="N23" s="245"/>
      <c r="O23" s="245"/>
      <c r="P23" s="264"/>
      <c r="Q23" s="245"/>
      <c r="R23" s="245">
        <f>R24+R31+R36+R40</f>
        <v>24383035</v>
      </c>
      <c r="S23" s="245"/>
      <c r="T23" s="245"/>
      <c r="U23" s="264"/>
      <c r="V23" s="245"/>
      <c r="W23" s="245">
        <f>W24+W31+W36+W40</f>
        <v>19205091</v>
      </c>
      <c r="X23" s="245"/>
      <c r="Y23" s="245"/>
      <c r="Z23" s="264"/>
      <c r="AA23" s="245"/>
      <c r="AB23" s="245">
        <f>AB24+AB31+AB36+AB40</f>
        <v>22800224</v>
      </c>
      <c r="AC23" s="245"/>
      <c r="AD23" s="245"/>
      <c r="AE23" s="264"/>
      <c r="AF23" s="245"/>
      <c r="AG23" s="245">
        <f>AG24+AG31+AG36+AG40</f>
        <v>28165310</v>
      </c>
      <c r="AH23" s="245"/>
      <c r="AI23" s="245"/>
      <c r="AJ23" s="264"/>
      <c r="AK23" s="245"/>
      <c r="AL23" s="245">
        <f>AL24+AL31+AL36+AL40</f>
        <v>29107369</v>
      </c>
      <c r="AM23" s="245"/>
      <c r="AN23" s="245"/>
      <c r="AO23" s="264"/>
      <c r="AP23" s="245"/>
      <c r="AQ23" s="245">
        <f>AQ24+AQ31+AQ36+AQ40</f>
        <v>30927020</v>
      </c>
      <c r="AR23" s="245"/>
      <c r="AS23" s="245"/>
      <c r="AT23" s="264"/>
      <c r="AU23" s="245"/>
      <c r="AV23" s="245">
        <f>AV24+AV31+AV36+AV40</f>
        <v>30718792</v>
      </c>
      <c r="AW23" s="245"/>
      <c r="AX23" s="245"/>
      <c r="AY23" s="264"/>
      <c r="AZ23" s="245"/>
      <c r="BA23" s="245">
        <f>BA24+BA31+BA36+BA40</f>
        <v>23853310</v>
      </c>
      <c r="BB23" s="245"/>
      <c r="BC23" s="245"/>
      <c r="BD23" s="264"/>
      <c r="BE23" s="245"/>
      <c r="BF23" s="245">
        <f>BF24+BF31+BF36+BF40</f>
        <v>3150815</v>
      </c>
      <c r="BG23" s="245"/>
      <c r="BH23" s="245"/>
      <c r="BI23" s="264"/>
      <c r="BJ23" s="245"/>
      <c r="BK23" s="245">
        <f>BK24+BK31+BK36+BK40</f>
        <v>29159155</v>
      </c>
      <c r="BL23" s="245"/>
      <c r="BM23" s="245"/>
      <c r="BN23" s="264"/>
      <c r="BO23" s="245"/>
      <c r="BP23" s="245">
        <f>BP24+BP31+BP36+BP40</f>
        <v>25417050</v>
      </c>
      <c r="BQ23" s="245"/>
      <c r="BR23" s="245"/>
      <c r="BS23" s="264"/>
      <c r="BT23" s="245"/>
      <c r="BU23" s="245">
        <f>BU24+BU31+BU36+BU40</f>
        <v>286021581</v>
      </c>
      <c r="BV23" s="245"/>
      <c r="BW23" s="245"/>
      <c r="BX23" s="262"/>
      <c r="BY23" s="245"/>
    </row>
    <row r="24" spans="1:80" x14ac:dyDescent="0.2">
      <c r="A24" s="244"/>
      <c r="B24" s="244"/>
      <c r="C24" s="254" t="s">
        <v>266</v>
      </c>
      <c r="D24" s="244"/>
      <c r="E24" s="260"/>
      <c r="F24" s="288"/>
      <c r="G24" s="292"/>
      <c r="H24" s="270">
        <f>SUM(H25:H29)</f>
        <v>279654290</v>
      </c>
      <c r="I24" s="271"/>
      <c r="J24" s="244"/>
      <c r="K24" s="261"/>
      <c r="L24" s="269"/>
      <c r="M24" s="270">
        <f>SUM(M25:M29)</f>
        <v>19134410</v>
      </c>
      <c r="N24" s="271"/>
      <c r="O24" s="244"/>
      <c r="P24" s="261"/>
      <c r="Q24" s="269"/>
      <c r="R24" s="270">
        <f>SUM(R25:R29)</f>
        <v>24672325</v>
      </c>
      <c r="S24" s="271"/>
      <c r="T24" s="244"/>
      <c r="U24" s="261"/>
      <c r="V24" s="269"/>
      <c r="W24" s="270">
        <f>SUM(W25:W29)</f>
        <v>19205091</v>
      </c>
      <c r="X24" s="271"/>
      <c r="Y24" s="244"/>
      <c r="Z24" s="261"/>
      <c r="AA24" s="269"/>
      <c r="AB24" s="270">
        <f>SUM(AB25:AB29)</f>
        <v>22800224</v>
      </c>
      <c r="AC24" s="271"/>
      <c r="AD24" s="244"/>
      <c r="AE24" s="261"/>
      <c r="AF24" s="269"/>
      <c r="AG24" s="270">
        <f>SUM(AG25:AG29)</f>
        <v>28165310</v>
      </c>
      <c r="AH24" s="271"/>
      <c r="AI24" s="244"/>
      <c r="AJ24" s="261"/>
      <c r="AK24" s="269"/>
      <c r="AL24" s="270">
        <f>SUM(AL25:AL29)</f>
        <v>29107369</v>
      </c>
      <c r="AM24" s="271"/>
      <c r="AN24" s="244"/>
      <c r="AO24" s="261"/>
      <c r="AP24" s="269"/>
      <c r="AQ24" s="270">
        <f>SUM(AQ25:AQ29)</f>
        <v>30927020</v>
      </c>
      <c r="AR24" s="271"/>
      <c r="AS24" s="244"/>
      <c r="AT24" s="261"/>
      <c r="AU24" s="269"/>
      <c r="AV24" s="270">
        <f>SUM(AV25:AV29)</f>
        <v>30718792</v>
      </c>
      <c r="AW24" s="271"/>
      <c r="AX24" s="244"/>
      <c r="AY24" s="261"/>
      <c r="AZ24" s="269"/>
      <c r="BA24" s="270">
        <f>SUM(BA25:BA29)</f>
        <v>23853310</v>
      </c>
      <c r="BB24" s="271"/>
      <c r="BC24" s="244"/>
      <c r="BD24" s="261"/>
      <c r="BE24" s="269"/>
      <c r="BF24" s="270">
        <f>SUM(BF25:BF29)</f>
        <v>3150815</v>
      </c>
      <c r="BG24" s="271"/>
      <c r="BH24" s="244"/>
      <c r="BI24" s="261"/>
      <c r="BJ24" s="269"/>
      <c r="BK24" s="270">
        <f>SUM(BK25:BK29)</f>
        <v>29159155</v>
      </c>
      <c r="BL24" s="271"/>
      <c r="BM24" s="244"/>
      <c r="BN24" s="261"/>
      <c r="BO24" s="269"/>
      <c r="BP24" s="270">
        <f>SUM(BP25:BP29)</f>
        <v>25417050</v>
      </c>
      <c r="BQ24" s="271"/>
      <c r="BR24" s="244"/>
      <c r="BS24" s="261"/>
      <c r="BT24" s="269"/>
      <c r="BU24" s="270">
        <f>SUM(BU25:BU29)</f>
        <v>286310871</v>
      </c>
      <c r="BV24" s="271"/>
      <c r="BW24" s="244"/>
      <c r="BX24" s="254"/>
      <c r="CA24" s="268"/>
      <c r="CB24" s="268"/>
    </row>
    <row r="25" spans="1:80" x14ac:dyDescent="0.2">
      <c r="A25" s="244"/>
      <c r="B25" s="244"/>
      <c r="C25" s="254" t="s">
        <v>267</v>
      </c>
      <c r="D25" s="244"/>
      <c r="E25" s="293" t="s">
        <v>268</v>
      </c>
      <c r="F25" s="294"/>
      <c r="G25" s="294"/>
      <c r="H25" s="277">
        <f>[65]domlongtermissues!G13</f>
        <v>321662290</v>
      </c>
      <c r="I25" s="276"/>
      <c r="J25" s="244"/>
      <c r="K25" s="261"/>
      <c r="L25" s="261"/>
      <c r="M25" s="277">
        <f>[65]domlongtermissues!L13</f>
        <v>20725876</v>
      </c>
      <c r="N25" s="276"/>
      <c r="O25" s="244"/>
      <c r="P25" s="261"/>
      <c r="Q25" s="261"/>
      <c r="R25" s="277">
        <f>[65]domlongtermissues!Q13</f>
        <v>26579251</v>
      </c>
      <c r="S25" s="276"/>
      <c r="T25" s="244"/>
      <c r="U25" s="261"/>
      <c r="V25" s="261"/>
      <c r="W25" s="277">
        <f>[65]domlongtermissues!V13</f>
        <v>21124207</v>
      </c>
      <c r="X25" s="276"/>
      <c r="Y25" s="244"/>
      <c r="Z25" s="261"/>
      <c r="AA25" s="261"/>
      <c r="AB25" s="277">
        <f>[65]domlongtermissues!AA13</f>
        <v>24760828</v>
      </c>
      <c r="AC25" s="276"/>
      <c r="AD25" s="244"/>
      <c r="AE25" s="261"/>
      <c r="AF25" s="261"/>
      <c r="AG25" s="277">
        <f>[65]domlongtermissues!AF13</f>
        <v>30904734</v>
      </c>
      <c r="AH25" s="276"/>
      <c r="AI25" s="244"/>
      <c r="AJ25" s="261"/>
      <c r="AK25" s="261"/>
      <c r="AL25" s="277">
        <f>[65]domlongtermissues!AK13</f>
        <v>32089447</v>
      </c>
      <c r="AM25" s="276"/>
      <c r="AN25" s="244"/>
      <c r="AO25" s="261"/>
      <c r="AP25" s="261"/>
      <c r="AQ25" s="277">
        <f>[65]domlongtermissues!AP13</f>
        <v>33970885</v>
      </c>
      <c r="AR25" s="276"/>
      <c r="AS25" s="244"/>
      <c r="AT25" s="261"/>
      <c r="AU25" s="261"/>
      <c r="AV25" s="277">
        <f>[65]domlongtermissues!AU13</f>
        <v>34588835</v>
      </c>
      <c r="AW25" s="276"/>
      <c r="AX25" s="244"/>
      <c r="AY25" s="261"/>
      <c r="AZ25" s="261"/>
      <c r="BA25" s="277">
        <f>[65]domlongtermissues!AZ13</f>
        <v>26476333</v>
      </c>
      <c r="BB25" s="276"/>
      <c r="BC25" s="244"/>
      <c r="BD25" s="261"/>
      <c r="BE25" s="261"/>
      <c r="BF25" s="277">
        <f>[65]domlongtermissues!BE13</f>
        <v>21562772</v>
      </c>
      <c r="BG25" s="276"/>
      <c r="BH25" s="244"/>
      <c r="BI25" s="261"/>
      <c r="BJ25" s="261"/>
      <c r="BK25" s="277">
        <f>[65]domlongtermissues!BJ13</f>
        <v>32267535</v>
      </c>
      <c r="BL25" s="276"/>
      <c r="BM25" s="244"/>
      <c r="BN25" s="261"/>
      <c r="BO25" s="261"/>
      <c r="BP25" s="277">
        <f>[65]domlongtermissues!BO13</f>
        <v>30466846</v>
      </c>
      <c r="BQ25" s="276"/>
      <c r="BR25" s="244"/>
      <c r="BS25" s="261"/>
      <c r="BT25" s="261"/>
      <c r="BU25" s="277">
        <f>[65]domlongtermissues!BT13</f>
        <v>335517549</v>
      </c>
      <c r="BV25" s="276"/>
      <c r="BW25" s="244"/>
      <c r="BX25" s="254"/>
      <c r="CA25" s="268"/>
      <c r="CB25" s="268"/>
    </row>
    <row r="26" spans="1:80" x14ac:dyDescent="0.2">
      <c r="A26" s="244"/>
      <c r="B26" s="244"/>
      <c r="C26" s="254" t="s">
        <v>269</v>
      </c>
      <c r="D26" s="244"/>
      <c r="E26" s="293" t="s">
        <v>268</v>
      </c>
      <c r="F26" s="294"/>
      <c r="G26" s="294"/>
      <c r="H26" s="278">
        <f>-[65]domlongtermissues!G20</f>
        <v>-22473000</v>
      </c>
      <c r="I26" s="276"/>
      <c r="J26" s="244"/>
      <c r="K26" s="261"/>
      <c r="L26" s="261"/>
      <c r="M26" s="278">
        <f>-[65]domlongtermissues!L20</f>
        <v>-1256954</v>
      </c>
      <c r="N26" s="276"/>
      <c r="O26" s="244"/>
      <c r="P26" s="261"/>
      <c r="Q26" s="261"/>
      <c r="R26" s="278">
        <f>-[65]domlongtermissues!Q20</f>
        <v>-1652532</v>
      </c>
      <c r="S26" s="276"/>
      <c r="T26" s="244"/>
      <c r="U26" s="261"/>
      <c r="V26" s="261"/>
      <c r="W26" s="278">
        <f>-[65]domlongtermissues!V20</f>
        <v>-1668026</v>
      </c>
      <c r="X26" s="276"/>
      <c r="Y26" s="244"/>
      <c r="Z26" s="261"/>
      <c r="AA26" s="261"/>
      <c r="AB26" s="278">
        <f>-[65]domlongtermissues!AA20</f>
        <v>-1721005</v>
      </c>
      <c r="AC26" s="276"/>
      <c r="AD26" s="244"/>
      <c r="AE26" s="261"/>
      <c r="AF26" s="261"/>
      <c r="AG26" s="278">
        <f>-[65]domlongtermissues!AF20</f>
        <v>-2422421</v>
      </c>
      <c r="AH26" s="276"/>
      <c r="AI26" s="244"/>
      <c r="AJ26" s="261"/>
      <c r="AK26" s="261"/>
      <c r="AL26" s="278">
        <f>-[65]domlongtermissues!AK20</f>
        <v>-2517677</v>
      </c>
      <c r="AM26" s="276"/>
      <c r="AN26" s="244"/>
      <c r="AO26" s="261"/>
      <c r="AP26" s="261"/>
      <c r="AQ26" s="278">
        <f>-[65]domlongtermissues!AP20</f>
        <v>-2852893</v>
      </c>
      <c r="AR26" s="276"/>
      <c r="AS26" s="244"/>
      <c r="AT26" s="261"/>
      <c r="AU26" s="261"/>
      <c r="AV26" s="278">
        <f>-[65]domlongtermissues!AU20</f>
        <v>-3497342</v>
      </c>
      <c r="AW26" s="276"/>
      <c r="AX26" s="244"/>
      <c r="AY26" s="261"/>
      <c r="AZ26" s="261"/>
      <c r="BA26" s="278">
        <f>-[65]domlongtermissues!AZ20</f>
        <v>-2287072</v>
      </c>
      <c r="BB26" s="276"/>
      <c r="BC26" s="244"/>
      <c r="BD26" s="261"/>
      <c r="BE26" s="261"/>
      <c r="BF26" s="278">
        <f>-[65]domlongtermissues!BE20</f>
        <v>-2282238</v>
      </c>
      <c r="BG26" s="276"/>
      <c r="BH26" s="244"/>
      <c r="BI26" s="261"/>
      <c r="BJ26" s="261"/>
      <c r="BK26" s="278">
        <f>-[65]domlongtermissues!BJ20</f>
        <v>-2868557</v>
      </c>
      <c r="BL26" s="276"/>
      <c r="BM26" s="244"/>
      <c r="BN26" s="261"/>
      <c r="BO26" s="261"/>
      <c r="BP26" s="278">
        <f>-[65]domlongtermissues!BO20</f>
        <v>-4752306</v>
      </c>
      <c r="BQ26" s="276"/>
      <c r="BR26" s="244"/>
      <c r="BS26" s="261"/>
      <c r="BT26" s="261"/>
      <c r="BU26" s="278">
        <f>-[65]domlongtermissues!BT20</f>
        <v>-29779023</v>
      </c>
      <c r="BV26" s="276"/>
      <c r="BW26" s="244"/>
      <c r="BX26" s="254"/>
      <c r="CA26" s="268"/>
      <c r="CB26" s="268"/>
    </row>
    <row r="27" spans="1:80" hidden="1" x14ac:dyDescent="0.2">
      <c r="A27" s="244"/>
      <c r="B27" s="244"/>
      <c r="C27" s="254" t="s">
        <v>270</v>
      </c>
      <c r="D27" s="244"/>
      <c r="E27" s="295"/>
      <c r="F27" s="296"/>
      <c r="G27" s="296"/>
      <c r="H27" s="278"/>
      <c r="I27" s="276"/>
      <c r="J27" s="244"/>
      <c r="K27" s="261"/>
      <c r="L27" s="261"/>
      <c r="M27" s="278"/>
      <c r="N27" s="276"/>
      <c r="O27" s="244"/>
      <c r="P27" s="261"/>
      <c r="Q27" s="261"/>
      <c r="R27" s="278"/>
      <c r="S27" s="276"/>
      <c r="T27" s="244"/>
      <c r="U27" s="261"/>
      <c r="V27" s="261"/>
      <c r="W27" s="278"/>
      <c r="X27" s="276"/>
      <c r="Y27" s="244"/>
      <c r="Z27" s="261"/>
      <c r="AA27" s="261"/>
      <c r="AB27" s="278"/>
      <c r="AC27" s="276"/>
      <c r="AD27" s="244"/>
      <c r="AE27" s="261"/>
      <c r="AF27" s="261"/>
      <c r="AG27" s="278"/>
      <c r="AH27" s="276"/>
      <c r="AI27" s="244"/>
      <c r="AJ27" s="261"/>
      <c r="AK27" s="261"/>
      <c r="AL27" s="278"/>
      <c r="AM27" s="276"/>
      <c r="AN27" s="244"/>
      <c r="AO27" s="261"/>
      <c r="AP27" s="261"/>
      <c r="AQ27" s="278"/>
      <c r="AR27" s="276"/>
      <c r="AS27" s="244"/>
      <c r="AT27" s="261"/>
      <c r="AU27" s="261"/>
      <c r="AV27" s="278"/>
      <c r="AW27" s="276"/>
      <c r="AX27" s="244"/>
      <c r="AY27" s="261"/>
      <c r="AZ27" s="261"/>
      <c r="BA27" s="278"/>
      <c r="BB27" s="276"/>
      <c r="BC27" s="244"/>
      <c r="BD27" s="261"/>
      <c r="BE27" s="261"/>
      <c r="BF27" s="278"/>
      <c r="BG27" s="276"/>
      <c r="BH27" s="244"/>
      <c r="BI27" s="261"/>
      <c r="BJ27" s="261"/>
      <c r="BK27" s="278"/>
      <c r="BL27" s="276"/>
      <c r="BM27" s="244"/>
      <c r="BN27" s="261"/>
      <c r="BO27" s="261"/>
      <c r="BP27" s="278"/>
      <c r="BQ27" s="276"/>
      <c r="BR27" s="244"/>
      <c r="BS27" s="261"/>
      <c r="BT27" s="261"/>
      <c r="BU27" s="278"/>
      <c r="BV27" s="276"/>
      <c r="BW27" s="244"/>
      <c r="BX27" s="254"/>
      <c r="CA27" s="268"/>
      <c r="CB27" s="268"/>
    </row>
    <row r="28" spans="1:80" x14ac:dyDescent="0.2">
      <c r="A28" s="244"/>
      <c r="B28" s="244"/>
      <c r="C28" s="254" t="s">
        <v>271</v>
      </c>
      <c r="D28" s="244"/>
      <c r="E28" s="293" t="s">
        <v>272</v>
      </c>
      <c r="F28" s="294"/>
      <c r="G28" s="294"/>
      <c r="H28" s="278">
        <f>-[65]domredemp!G13</f>
        <v>-19535000</v>
      </c>
      <c r="I28" s="276"/>
      <c r="J28" s="244"/>
      <c r="K28" s="261"/>
      <c r="L28" s="261"/>
      <c r="M28" s="278">
        <f>-[65]domredemp!L13</f>
        <v>-334512</v>
      </c>
      <c r="N28" s="276"/>
      <c r="O28" s="244"/>
      <c r="P28" s="261"/>
      <c r="Q28" s="261"/>
      <c r="R28" s="278">
        <f>-[65]domredemp!Q13</f>
        <v>-254394</v>
      </c>
      <c r="S28" s="276"/>
      <c r="T28" s="244"/>
      <c r="U28" s="261"/>
      <c r="V28" s="261"/>
      <c r="W28" s="278">
        <f>-[65]domredemp!V13</f>
        <v>-251090</v>
      </c>
      <c r="X28" s="276"/>
      <c r="Y28" s="244"/>
      <c r="Z28" s="261"/>
      <c r="AA28" s="261"/>
      <c r="AB28" s="278">
        <f>-[65]domredemp!AA13</f>
        <v>-239599</v>
      </c>
      <c r="AC28" s="276"/>
      <c r="AD28" s="244"/>
      <c r="AE28" s="261"/>
      <c r="AF28" s="261"/>
      <c r="AG28" s="278">
        <f>-[65]domredemp!AF13</f>
        <v>-317003</v>
      </c>
      <c r="AH28" s="276"/>
      <c r="AI28" s="244"/>
      <c r="AJ28" s="261"/>
      <c r="AK28" s="261"/>
      <c r="AL28" s="278">
        <f>-[65]domredemp!AK13</f>
        <v>-464401</v>
      </c>
      <c r="AM28" s="276"/>
      <c r="AN28" s="244"/>
      <c r="AO28" s="261"/>
      <c r="AP28" s="261"/>
      <c r="AQ28" s="278">
        <f>-[65]domredemp!AP13</f>
        <v>-190972</v>
      </c>
      <c r="AR28" s="276"/>
      <c r="AS28" s="244"/>
      <c r="AT28" s="261"/>
      <c r="AU28" s="261"/>
      <c r="AV28" s="278">
        <f>-[65]domredemp!AU13</f>
        <v>-372701</v>
      </c>
      <c r="AW28" s="276"/>
      <c r="AX28" s="244"/>
      <c r="AY28" s="261"/>
      <c r="AZ28" s="261"/>
      <c r="BA28" s="278">
        <f>-[65]domredemp!AZ13</f>
        <v>-335951</v>
      </c>
      <c r="BB28" s="276"/>
      <c r="BC28" s="244"/>
      <c r="BD28" s="261"/>
      <c r="BE28" s="261"/>
      <c r="BF28" s="278">
        <f>-[65]domredemp!BE13</f>
        <v>-16129719</v>
      </c>
      <c r="BG28" s="276"/>
      <c r="BH28" s="244"/>
      <c r="BI28" s="261"/>
      <c r="BJ28" s="261"/>
      <c r="BK28" s="278">
        <f>-[65]domredemp!BJ13</f>
        <v>-239823</v>
      </c>
      <c r="BL28" s="276"/>
      <c r="BM28" s="244"/>
      <c r="BN28" s="261"/>
      <c r="BO28" s="261"/>
      <c r="BP28" s="278">
        <f>-[65]domredemp!BO13</f>
        <v>-297490</v>
      </c>
      <c r="BQ28" s="276"/>
      <c r="BR28" s="244"/>
      <c r="BS28" s="261"/>
      <c r="BT28" s="261"/>
      <c r="BU28" s="278">
        <f>-[65]domredemp!BT13</f>
        <v>-19427655</v>
      </c>
      <c r="BV28" s="276"/>
      <c r="BW28" s="244"/>
      <c r="BX28" s="254"/>
      <c r="CA28" s="268"/>
      <c r="CB28" s="268"/>
    </row>
    <row r="29" spans="1:80" x14ac:dyDescent="0.2">
      <c r="A29" s="244"/>
      <c r="B29" s="244"/>
      <c r="C29" s="254" t="s">
        <v>273</v>
      </c>
      <c r="D29" s="244"/>
      <c r="E29" s="293">
        <v>4.2</v>
      </c>
      <c r="F29" s="294"/>
      <c r="G29" s="294"/>
      <c r="H29" s="281">
        <f>-[65]domredemp!G16+[65]domredemp!G124</f>
        <v>0</v>
      </c>
      <c r="I29" s="276"/>
      <c r="J29" s="244"/>
      <c r="K29" s="261"/>
      <c r="L29" s="261"/>
      <c r="M29" s="281">
        <f>-[65]domredemp!L16+[65]domredemp!L124</f>
        <v>0</v>
      </c>
      <c r="N29" s="276"/>
      <c r="O29" s="244"/>
      <c r="P29" s="261"/>
      <c r="Q29" s="261"/>
      <c r="R29" s="281">
        <f>-[65]domredemp!Q16+[65]domredemp!Q124</f>
        <v>0</v>
      </c>
      <c r="S29" s="276"/>
      <c r="T29" s="244"/>
      <c r="U29" s="261"/>
      <c r="V29" s="261"/>
      <c r="W29" s="281">
        <f>-[65]domredemp!V16+[65]domredemp!V124</f>
        <v>0</v>
      </c>
      <c r="X29" s="276"/>
      <c r="Y29" s="244"/>
      <c r="Z29" s="261"/>
      <c r="AA29" s="261"/>
      <c r="AB29" s="281">
        <f>-[65]domredemp!AA16+[65]domredemp!AA124</f>
        <v>0</v>
      </c>
      <c r="AC29" s="276"/>
      <c r="AD29" s="244"/>
      <c r="AE29" s="261"/>
      <c r="AF29" s="261"/>
      <c r="AG29" s="281">
        <f>-[65]domredemp!AF16+[65]domredemp!AF124</f>
        <v>0</v>
      </c>
      <c r="AH29" s="276"/>
      <c r="AI29" s="244"/>
      <c r="AJ29" s="261"/>
      <c r="AK29" s="261"/>
      <c r="AL29" s="281">
        <f>-[65]domredemp!AK16+[65]domredemp!AK124</f>
        <v>0</v>
      </c>
      <c r="AM29" s="276"/>
      <c r="AN29" s="244"/>
      <c r="AO29" s="261"/>
      <c r="AP29" s="261"/>
      <c r="AQ29" s="281">
        <f>-[65]domredemp!AP16+[65]domredemp!AP124</f>
        <v>0</v>
      </c>
      <c r="AR29" s="276"/>
      <c r="AS29" s="244"/>
      <c r="AT29" s="261"/>
      <c r="AU29" s="261"/>
      <c r="AV29" s="281">
        <f>-[65]domredemp!AU16+[65]domredemp!AU124</f>
        <v>0</v>
      </c>
      <c r="AW29" s="276"/>
      <c r="AX29" s="244"/>
      <c r="AY29" s="261"/>
      <c r="AZ29" s="261"/>
      <c r="BA29" s="281">
        <f>-[65]domredemp!AZ16+[65]domredemp!AZ124</f>
        <v>0</v>
      </c>
      <c r="BB29" s="276"/>
      <c r="BC29" s="244"/>
      <c r="BD29" s="261"/>
      <c r="BE29" s="261"/>
      <c r="BF29" s="281">
        <f>-[65]domredemp!BE16+[65]domredemp!BE124</f>
        <v>0</v>
      </c>
      <c r="BG29" s="276"/>
      <c r="BH29" s="244"/>
      <c r="BI29" s="261"/>
      <c r="BJ29" s="261"/>
      <c r="BK29" s="281">
        <f>-[65]domredemp!BJ16+[65]domredemp!BJ124</f>
        <v>0</v>
      </c>
      <c r="BL29" s="276"/>
      <c r="BM29" s="244"/>
      <c r="BN29" s="261"/>
      <c r="BO29" s="261"/>
      <c r="BP29" s="281">
        <f>-[65]domredemp!BO16+[65]domredemp!BO124</f>
        <v>0</v>
      </c>
      <c r="BQ29" s="276"/>
      <c r="BR29" s="244"/>
      <c r="BS29" s="261"/>
      <c r="BT29" s="261"/>
      <c r="BU29" s="281">
        <f>-[65]domredemp!BT16+[65]domredemp!BT124</f>
        <v>0</v>
      </c>
      <c r="BV29" s="276"/>
      <c r="BW29" s="244"/>
      <c r="BX29" s="254"/>
      <c r="CA29" s="268"/>
      <c r="CB29" s="268"/>
    </row>
    <row r="30" spans="1:80" x14ac:dyDescent="0.2">
      <c r="A30" s="244"/>
      <c r="B30" s="244"/>
      <c r="C30" s="254"/>
      <c r="D30" s="244"/>
      <c r="E30" s="295"/>
      <c r="F30" s="296"/>
      <c r="G30" s="296"/>
      <c r="H30" s="244"/>
      <c r="I30" s="276"/>
      <c r="J30" s="244"/>
      <c r="K30" s="261"/>
      <c r="L30" s="261"/>
      <c r="M30" s="244"/>
      <c r="N30" s="276"/>
      <c r="O30" s="244"/>
      <c r="P30" s="261"/>
      <c r="Q30" s="261"/>
      <c r="R30" s="270"/>
      <c r="S30" s="276"/>
      <c r="T30" s="244"/>
      <c r="U30" s="261"/>
      <c r="V30" s="261"/>
      <c r="W30" s="270"/>
      <c r="X30" s="276"/>
      <c r="Y30" s="244"/>
      <c r="Z30" s="261"/>
      <c r="AA30" s="261"/>
      <c r="AB30" s="270"/>
      <c r="AC30" s="276"/>
      <c r="AD30" s="244"/>
      <c r="AE30" s="261"/>
      <c r="AF30" s="261"/>
      <c r="AG30" s="270"/>
      <c r="AH30" s="276"/>
      <c r="AI30" s="244"/>
      <c r="AJ30" s="261"/>
      <c r="AK30" s="261"/>
      <c r="AL30" s="244"/>
      <c r="AM30" s="276"/>
      <c r="AN30" s="244"/>
      <c r="AO30" s="261"/>
      <c r="AP30" s="261"/>
      <c r="AQ30" s="244"/>
      <c r="AR30" s="276"/>
      <c r="AS30" s="244"/>
      <c r="AT30" s="261"/>
      <c r="AU30" s="261"/>
      <c r="AV30" s="244"/>
      <c r="AW30" s="276"/>
      <c r="AX30" s="244"/>
      <c r="AY30" s="261"/>
      <c r="AZ30" s="261"/>
      <c r="BA30" s="244"/>
      <c r="BB30" s="276"/>
      <c r="BC30" s="244"/>
      <c r="BD30" s="261"/>
      <c r="BE30" s="261"/>
      <c r="BF30" s="244"/>
      <c r="BG30" s="276"/>
      <c r="BH30" s="244"/>
      <c r="BI30" s="261"/>
      <c r="BJ30" s="261"/>
      <c r="BK30" s="244"/>
      <c r="BL30" s="276"/>
      <c r="BM30" s="244"/>
      <c r="BN30" s="261"/>
      <c r="BO30" s="261"/>
      <c r="BP30" s="244"/>
      <c r="BQ30" s="276"/>
      <c r="BR30" s="244"/>
      <c r="BS30" s="261"/>
      <c r="BT30" s="261"/>
      <c r="BU30" s="244"/>
      <c r="BV30" s="276"/>
      <c r="BW30" s="244"/>
      <c r="BX30" s="254"/>
      <c r="CA30" s="268"/>
      <c r="CB30" s="268"/>
    </row>
    <row r="31" spans="1:80" x14ac:dyDescent="0.2">
      <c r="A31" s="244"/>
      <c r="B31" s="244"/>
      <c r="C31" s="254" t="s">
        <v>274</v>
      </c>
      <c r="D31" s="244"/>
      <c r="E31" s="295"/>
      <c r="F31" s="296"/>
      <c r="G31" s="296"/>
      <c r="H31" s="244">
        <f>SUM(H32:H34)</f>
        <v>-289290</v>
      </c>
      <c r="I31" s="276"/>
      <c r="J31" s="244"/>
      <c r="K31" s="261"/>
      <c r="L31" s="261"/>
      <c r="M31" s="244">
        <f>SUM(M32:M34)</f>
        <v>0</v>
      </c>
      <c r="N31" s="276"/>
      <c r="O31" s="244"/>
      <c r="P31" s="261"/>
      <c r="Q31" s="261"/>
      <c r="R31" s="244">
        <f>SUM(R32:R34)</f>
        <v>-289290</v>
      </c>
      <c r="S31" s="276"/>
      <c r="T31" s="244"/>
      <c r="U31" s="261"/>
      <c r="V31" s="261"/>
      <c r="W31" s="244">
        <f>SUM(W32:W34)</f>
        <v>0</v>
      </c>
      <c r="X31" s="276"/>
      <c r="Y31" s="244"/>
      <c r="Z31" s="261"/>
      <c r="AA31" s="261"/>
      <c r="AB31" s="244">
        <f>SUM(AB32:AB34)</f>
        <v>0</v>
      </c>
      <c r="AC31" s="276"/>
      <c r="AD31" s="244"/>
      <c r="AE31" s="261"/>
      <c r="AF31" s="261"/>
      <c r="AG31" s="244">
        <f>SUM(AG32:AG34)</f>
        <v>0</v>
      </c>
      <c r="AH31" s="276"/>
      <c r="AI31" s="244"/>
      <c r="AJ31" s="261"/>
      <c r="AK31" s="261"/>
      <c r="AL31" s="244">
        <f>SUM(AL32:AL34)</f>
        <v>0</v>
      </c>
      <c r="AM31" s="276"/>
      <c r="AN31" s="244"/>
      <c r="AO31" s="261"/>
      <c r="AP31" s="261"/>
      <c r="AQ31" s="244">
        <f>SUM(AQ32:AQ34)</f>
        <v>0</v>
      </c>
      <c r="AR31" s="276"/>
      <c r="AS31" s="244"/>
      <c r="AT31" s="261"/>
      <c r="AU31" s="261"/>
      <c r="AV31" s="244">
        <f>SUM(AV32:AV34)</f>
        <v>0</v>
      </c>
      <c r="AW31" s="276"/>
      <c r="AX31" s="244"/>
      <c r="AY31" s="261"/>
      <c r="AZ31" s="261"/>
      <c r="BA31" s="244">
        <f>SUM(BA32:BA34)</f>
        <v>0</v>
      </c>
      <c r="BB31" s="276"/>
      <c r="BC31" s="244"/>
      <c r="BD31" s="261"/>
      <c r="BE31" s="261"/>
      <c r="BF31" s="244">
        <f>SUM(BF32:BF34)</f>
        <v>0</v>
      </c>
      <c r="BG31" s="276"/>
      <c r="BH31" s="244"/>
      <c r="BI31" s="261"/>
      <c r="BJ31" s="261"/>
      <c r="BK31" s="244">
        <f>SUM(BK32:BK34)</f>
        <v>0</v>
      </c>
      <c r="BL31" s="276"/>
      <c r="BM31" s="244"/>
      <c r="BN31" s="261"/>
      <c r="BO31" s="261"/>
      <c r="BP31" s="244">
        <f>SUM(BP32:BP34)</f>
        <v>0</v>
      </c>
      <c r="BQ31" s="276"/>
      <c r="BR31" s="244"/>
      <c r="BS31" s="261"/>
      <c r="BT31" s="261"/>
      <c r="BU31" s="244">
        <f>SUM(BU32:BU34)</f>
        <v>-289290</v>
      </c>
      <c r="BV31" s="276"/>
      <c r="BW31" s="244"/>
      <c r="BX31" s="254"/>
      <c r="CA31" s="268"/>
      <c r="CB31" s="268"/>
    </row>
    <row r="32" spans="1:80" x14ac:dyDescent="0.2">
      <c r="A32" s="244"/>
      <c r="B32" s="244"/>
      <c r="C32" s="254" t="s">
        <v>275</v>
      </c>
      <c r="D32" s="244"/>
      <c r="E32" s="293" t="s">
        <v>268</v>
      </c>
      <c r="F32" s="294"/>
      <c r="G32" s="294"/>
      <c r="H32" s="277">
        <f>[65]domlongtermissues!G14</f>
        <v>14152656</v>
      </c>
      <c r="I32" s="276"/>
      <c r="J32" s="244"/>
      <c r="K32" s="261"/>
      <c r="L32" s="261"/>
      <c r="M32" s="277">
        <f>[65]domlongtermissues!L14</f>
        <v>0</v>
      </c>
      <c r="N32" s="276"/>
      <c r="O32" s="244"/>
      <c r="P32" s="261"/>
      <c r="Q32" s="261"/>
      <c r="R32" s="277">
        <f>[65]domlongtermissues!Q14</f>
        <v>14152656</v>
      </c>
      <c r="S32" s="276"/>
      <c r="T32" s="244"/>
      <c r="U32" s="261"/>
      <c r="V32" s="261"/>
      <c r="W32" s="277">
        <f>[65]domlongtermissues!V14</f>
        <v>0</v>
      </c>
      <c r="X32" s="276"/>
      <c r="Y32" s="244"/>
      <c r="Z32" s="261"/>
      <c r="AA32" s="261"/>
      <c r="AB32" s="277">
        <f>[65]domlongtermissues!AA14</f>
        <v>0</v>
      </c>
      <c r="AC32" s="276"/>
      <c r="AD32" s="244"/>
      <c r="AE32" s="261"/>
      <c r="AF32" s="261"/>
      <c r="AG32" s="277">
        <f>[65]domlongtermissues!AF14</f>
        <v>0</v>
      </c>
      <c r="AH32" s="276"/>
      <c r="AI32" s="244"/>
      <c r="AJ32" s="261"/>
      <c r="AK32" s="261"/>
      <c r="AL32" s="277">
        <f>[65]domlongtermissues!AK14</f>
        <v>0</v>
      </c>
      <c r="AM32" s="276"/>
      <c r="AN32" s="244"/>
      <c r="AO32" s="261"/>
      <c r="AP32" s="261"/>
      <c r="AQ32" s="277">
        <f>[65]domlongtermissues!AP14</f>
        <v>0</v>
      </c>
      <c r="AR32" s="276"/>
      <c r="AS32" s="244"/>
      <c r="AT32" s="261"/>
      <c r="AU32" s="261"/>
      <c r="AV32" s="277">
        <f>[65]domlongtermissues!AU14</f>
        <v>0</v>
      </c>
      <c r="AW32" s="276"/>
      <c r="AX32" s="244"/>
      <c r="AY32" s="261"/>
      <c r="AZ32" s="261"/>
      <c r="BA32" s="277">
        <f>[65]domlongtermissues!AZ14</f>
        <v>0</v>
      </c>
      <c r="BB32" s="276"/>
      <c r="BC32" s="244"/>
      <c r="BD32" s="261"/>
      <c r="BE32" s="261"/>
      <c r="BF32" s="277">
        <f>[65]domlongtermissues!BE14</f>
        <v>0</v>
      </c>
      <c r="BG32" s="276"/>
      <c r="BH32" s="244"/>
      <c r="BI32" s="261"/>
      <c r="BJ32" s="261"/>
      <c r="BK32" s="277">
        <f>[65]domlongtermissues!BJ14</f>
        <v>0</v>
      </c>
      <c r="BL32" s="276"/>
      <c r="BM32" s="244"/>
      <c r="BN32" s="261"/>
      <c r="BO32" s="261"/>
      <c r="BP32" s="277">
        <f>[65]domlongtermissues!BO14</f>
        <v>0</v>
      </c>
      <c r="BQ32" s="276"/>
      <c r="BR32" s="244"/>
      <c r="BS32" s="261"/>
      <c r="BT32" s="261"/>
      <c r="BU32" s="277">
        <f>[65]domlongtermissues!BT14</f>
        <v>14152656</v>
      </c>
      <c r="BV32" s="276"/>
      <c r="BW32" s="244"/>
      <c r="BX32" s="254"/>
      <c r="CA32" s="268"/>
      <c r="CB32" s="268"/>
    </row>
    <row r="33" spans="1:80" x14ac:dyDescent="0.2">
      <c r="A33" s="244"/>
      <c r="B33" s="244"/>
      <c r="C33" s="254" t="s">
        <v>276</v>
      </c>
      <c r="D33" s="244"/>
      <c r="E33" s="293" t="s">
        <v>268</v>
      </c>
      <c r="F33" s="294"/>
      <c r="G33" s="294"/>
      <c r="H33" s="278">
        <f>-[65]domlongtermissues!G217</f>
        <v>-1646946</v>
      </c>
      <c r="I33" s="276"/>
      <c r="J33" s="244"/>
      <c r="K33" s="261"/>
      <c r="L33" s="261"/>
      <c r="M33" s="278">
        <f>-[65]domlongtermissues!L217</f>
        <v>0</v>
      </c>
      <c r="N33" s="276"/>
      <c r="O33" s="244"/>
      <c r="P33" s="261"/>
      <c r="Q33" s="261"/>
      <c r="R33" s="278">
        <f>-[65]domlongtermissues!Q217</f>
        <v>-1646946</v>
      </c>
      <c r="S33" s="276"/>
      <c r="T33" s="244"/>
      <c r="U33" s="261"/>
      <c r="V33" s="261"/>
      <c r="W33" s="278">
        <f>-[65]domlongtermissues!V217</f>
        <v>0</v>
      </c>
      <c r="X33" s="276"/>
      <c r="Y33" s="244"/>
      <c r="Z33" s="261"/>
      <c r="AA33" s="261"/>
      <c r="AB33" s="278">
        <f>-[65]domlongtermissues!AA217</f>
        <v>0</v>
      </c>
      <c r="AC33" s="276"/>
      <c r="AD33" s="244"/>
      <c r="AE33" s="261"/>
      <c r="AF33" s="261"/>
      <c r="AG33" s="278">
        <f>-[65]domlongtermissues!AF217</f>
        <v>0</v>
      </c>
      <c r="AH33" s="276"/>
      <c r="AI33" s="244"/>
      <c r="AJ33" s="261"/>
      <c r="AK33" s="261"/>
      <c r="AL33" s="278">
        <f>-[65]domlongtermissues!AK217</f>
        <v>0</v>
      </c>
      <c r="AM33" s="276"/>
      <c r="AN33" s="244"/>
      <c r="AO33" s="261"/>
      <c r="AP33" s="261"/>
      <c r="AQ33" s="278">
        <f>-[65]domlongtermissues!AP217</f>
        <v>0</v>
      </c>
      <c r="AR33" s="276"/>
      <c r="AS33" s="244"/>
      <c r="AT33" s="261"/>
      <c r="AU33" s="261"/>
      <c r="AV33" s="278">
        <f>-[65]domlongtermissues!AU217</f>
        <v>0</v>
      </c>
      <c r="AW33" s="276"/>
      <c r="AX33" s="244"/>
      <c r="AY33" s="261"/>
      <c r="AZ33" s="261"/>
      <c r="BA33" s="278">
        <f>-[65]domlongtermissues!AZ217</f>
        <v>0</v>
      </c>
      <c r="BB33" s="276"/>
      <c r="BC33" s="244"/>
      <c r="BD33" s="261"/>
      <c r="BE33" s="261"/>
      <c r="BF33" s="278">
        <f>-[65]domlongtermissues!BE217</f>
        <v>0</v>
      </c>
      <c r="BG33" s="276"/>
      <c r="BH33" s="244"/>
      <c r="BI33" s="261"/>
      <c r="BJ33" s="261"/>
      <c r="BK33" s="278">
        <f>-[65]domlongtermissues!BJ217</f>
        <v>0</v>
      </c>
      <c r="BL33" s="276"/>
      <c r="BM33" s="244"/>
      <c r="BN33" s="261"/>
      <c r="BO33" s="261"/>
      <c r="BP33" s="278">
        <f>-[65]domlongtermissues!BO217</f>
        <v>0</v>
      </c>
      <c r="BQ33" s="276"/>
      <c r="BR33" s="244"/>
      <c r="BS33" s="261"/>
      <c r="BT33" s="261"/>
      <c r="BU33" s="278">
        <f>-[65]domlongtermissues!BT217</f>
        <v>-1646946</v>
      </c>
      <c r="BV33" s="276"/>
      <c r="BW33" s="244"/>
      <c r="BX33" s="254"/>
      <c r="CA33" s="268"/>
      <c r="CB33" s="268"/>
    </row>
    <row r="34" spans="1:80" x14ac:dyDescent="0.2">
      <c r="A34" s="244"/>
      <c r="B34" s="244"/>
      <c r="C34" s="254" t="s">
        <v>277</v>
      </c>
      <c r="D34" s="244"/>
      <c r="E34" s="293" t="s">
        <v>272</v>
      </c>
      <c r="F34" s="294"/>
      <c r="G34" s="294"/>
      <c r="H34" s="281">
        <f>-[65]domredemp!G14+[65]domredemp!G32</f>
        <v>-12795000</v>
      </c>
      <c r="I34" s="276"/>
      <c r="J34" s="244"/>
      <c r="K34" s="261"/>
      <c r="L34" s="261"/>
      <c r="M34" s="281">
        <f>-[65]domredemp!L14+[65]domredemp!L32</f>
        <v>0</v>
      </c>
      <c r="N34" s="276"/>
      <c r="O34" s="244"/>
      <c r="P34" s="261"/>
      <c r="Q34" s="261"/>
      <c r="R34" s="281">
        <f>-[65]domredemp!Q14+[65]domredemp!Q32</f>
        <v>-12795000</v>
      </c>
      <c r="S34" s="276"/>
      <c r="T34" s="244"/>
      <c r="U34" s="261"/>
      <c r="V34" s="261"/>
      <c r="W34" s="281">
        <f>-[65]domredemp!V14+[65]domredemp!V32</f>
        <v>0</v>
      </c>
      <c r="X34" s="276"/>
      <c r="Y34" s="244"/>
      <c r="Z34" s="261"/>
      <c r="AA34" s="261"/>
      <c r="AB34" s="281">
        <f>-[65]domredemp!AA14+[65]domredemp!AA32</f>
        <v>0</v>
      </c>
      <c r="AC34" s="276"/>
      <c r="AD34" s="244"/>
      <c r="AE34" s="261"/>
      <c r="AF34" s="261"/>
      <c r="AG34" s="281">
        <f>-[65]domredemp!AF14+[65]domredemp!AF32</f>
        <v>0</v>
      </c>
      <c r="AH34" s="276"/>
      <c r="AI34" s="244"/>
      <c r="AJ34" s="261"/>
      <c r="AK34" s="261"/>
      <c r="AL34" s="281">
        <f>-[65]domredemp!AK14+[65]domredemp!AK32</f>
        <v>0</v>
      </c>
      <c r="AM34" s="276"/>
      <c r="AN34" s="244"/>
      <c r="AO34" s="261"/>
      <c r="AP34" s="261"/>
      <c r="AQ34" s="281">
        <f>-[65]domredemp!AP14+[65]domredemp!AP32</f>
        <v>0</v>
      </c>
      <c r="AR34" s="276"/>
      <c r="AS34" s="244"/>
      <c r="AT34" s="261"/>
      <c r="AU34" s="261"/>
      <c r="AV34" s="281">
        <f>-[65]domredemp!AU14+[65]domredemp!AU32</f>
        <v>0</v>
      </c>
      <c r="AW34" s="276"/>
      <c r="AX34" s="244"/>
      <c r="AY34" s="261"/>
      <c r="AZ34" s="261"/>
      <c r="BA34" s="281">
        <f>-[65]domredemp!AZ14+[65]domredemp!AZ32</f>
        <v>0</v>
      </c>
      <c r="BB34" s="276"/>
      <c r="BC34" s="244"/>
      <c r="BD34" s="261"/>
      <c r="BE34" s="261"/>
      <c r="BF34" s="281">
        <f>-[65]domredemp!BE14+[65]domredemp!BE32</f>
        <v>0</v>
      </c>
      <c r="BG34" s="276"/>
      <c r="BH34" s="244"/>
      <c r="BI34" s="261"/>
      <c r="BJ34" s="261"/>
      <c r="BK34" s="281">
        <f>-[65]domredemp!BJ14+[65]domredemp!BJ32</f>
        <v>0</v>
      </c>
      <c r="BL34" s="276"/>
      <c r="BM34" s="244"/>
      <c r="BN34" s="261"/>
      <c r="BO34" s="261"/>
      <c r="BP34" s="281">
        <f>-[65]domredemp!BO14+[65]domredemp!BO32</f>
        <v>0</v>
      </c>
      <c r="BQ34" s="276"/>
      <c r="BR34" s="244"/>
      <c r="BS34" s="261"/>
      <c r="BT34" s="261"/>
      <c r="BU34" s="281">
        <f>-[65]domredemp!BT14+[65]domredemp!BT32</f>
        <v>-12795000</v>
      </c>
      <c r="BV34" s="276"/>
      <c r="BW34" s="244"/>
      <c r="BX34" s="254"/>
      <c r="CA34" s="268"/>
      <c r="CB34" s="268"/>
    </row>
    <row r="35" spans="1:80" x14ac:dyDescent="0.2">
      <c r="A35" s="244"/>
      <c r="B35" s="244"/>
      <c r="C35" s="254"/>
      <c r="D35" s="244"/>
      <c r="E35" s="293"/>
      <c r="F35" s="294"/>
      <c r="G35" s="294"/>
      <c r="H35" s="244"/>
      <c r="I35" s="276"/>
      <c r="J35" s="244"/>
      <c r="K35" s="261"/>
      <c r="L35" s="261"/>
      <c r="M35" s="244"/>
      <c r="N35" s="276"/>
      <c r="O35" s="244"/>
      <c r="P35" s="261"/>
      <c r="Q35" s="261"/>
      <c r="R35" s="244"/>
      <c r="S35" s="276"/>
      <c r="T35" s="244"/>
      <c r="U35" s="261"/>
      <c r="V35" s="261"/>
      <c r="W35" s="244"/>
      <c r="X35" s="276"/>
      <c r="Y35" s="244"/>
      <c r="Z35" s="261"/>
      <c r="AA35" s="261"/>
      <c r="AB35" s="244"/>
      <c r="AC35" s="276"/>
      <c r="AD35" s="244"/>
      <c r="AE35" s="261"/>
      <c r="AF35" s="261"/>
      <c r="AG35" s="244"/>
      <c r="AH35" s="276"/>
      <c r="AI35" s="244"/>
      <c r="AJ35" s="261"/>
      <c r="AK35" s="261"/>
      <c r="AL35" s="244"/>
      <c r="AM35" s="276"/>
      <c r="AN35" s="244"/>
      <c r="AO35" s="261"/>
      <c r="AP35" s="261"/>
      <c r="AQ35" s="244"/>
      <c r="AR35" s="276"/>
      <c r="AS35" s="244"/>
      <c r="AT35" s="261"/>
      <c r="AU35" s="261"/>
      <c r="AV35" s="244"/>
      <c r="AW35" s="276"/>
      <c r="AX35" s="244"/>
      <c r="AY35" s="261"/>
      <c r="AZ35" s="261"/>
      <c r="BA35" s="244"/>
      <c r="BB35" s="276"/>
      <c r="BC35" s="244"/>
      <c r="BD35" s="261"/>
      <c r="BE35" s="261"/>
      <c r="BF35" s="244"/>
      <c r="BG35" s="276"/>
      <c r="BH35" s="244"/>
      <c r="BI35" s="261"/>
      <c r="BJ35" s="261"/>
      <c r="BK35" s="244"/>
      <c r="BL35" s="276"/>
      <c r="BM35" s="244"/>
      <c r="BN35" s="261"/>
      <c r="BO35" s="261"/>
      <c r="BP35" s="244"/>
      <c r="BQ35" s="276"/>
      <c r="BR35" s="244"/>
      <c r="BS35" s="261"/>
      <c r="BT35" s="261"/>
      <c r="BU35" s="244"/>
      <c r="BV35" s="276"/>
      <c r="BW35" s="244"/>
      <c r="BX35" s="254"/>
      <c r="CA35" s="268"/>
      <c r="CB35" s="268"/>
    </row>
    <row r="36" spans="1:80" x14ac:dyDescent="0.2">
      <c r="A36" s="244"/>
      <c r="B36" s="244"/>
      <c r="C36" s="254" t="s">
        <v>278</v>
      </c>
      <c r="D36" s="244"/>
      <c r="E36" s="295"/>
      <c r="F36" s="296"/>
      <c r="G36" s="296"/>
      <c r="H36" s="244">
        <f>SUM(H37:H38)</f>
        <v>0</v>
      </c>
      <c r="I36" s="276"/>
      <c r="J36" s="244"/>
      <c r="K36" s="261"/>
      <c r="L36" s="261"/>
      <c r="M36" s="244">
        <f>SUM(M37:M38)</f>
        <v>0</v>
      </c>
      <c r="N36" s="276"/>
      <c r="O36" s="244"/>
      <c r="P36" s="261"/>
      <c r="Q36" s="261"/>
      <c r="R36" s="244">
        <f>SUM(R37:R38)</f>
        <v>0</v>
      </c>
      <c r="S36" s="276"/>
      <c r="T36" s="244"/>
      <c r="U36" s="261"/>
      <c r="V36" s="261"/>
      <c r="W36" s="244">
        <f>SUM(W37:W38)</f>
        <v>0</v>
      </c>
      <c r="X36" s="276"/>
      <c r="Y36" s="244"/>
      <c r="Z36" s="261"/>
      <c r="AA36" s="261"/>
      <c r="AB36" s="244">
        <f>SUM(AB37:AB38)</f>
        <v>0</v>
      </c>
      <c r="AC36" s="276"/>
      <c r="AD36" s="244"/>
      <c r="AE36" s="261"/>
      <c r="AF36" s="261"/>
      <c r="AG36" s="244">
        <f>SUM(AG37:AG38)</f>
        <v>0</v>
      </c>
      <c r="AH36" s="276"/>
      <c r="AI36" s="244"/>
      <c r="AJ36" s="261"/>
      <c r="AK36" s="261"/>
      <c r="AL36" s="244">
        <f>SUM(AL37:AL38)</f>
        <v>0</v>
      </c>
      <c r="AM36" s="276"/>
      <c r="AN36" s="244"/>
      <c r="AO36" s="261"/>
      <c r="AP36" s="261"/>
      <c r="AQ36" s="244">
        <f>SUM(AQ37:AQ38)</f>
        <v>0</v>
      </c>
      <c r="AR36" s="276"/>
      <c r="AS36" s="244"/>
      <c r="AT36" s="261"/>
      <c r="AU36" s="261"/>
      <c r="AV36" s="244">
        <f>SUM(AV37:AV38)</f>
        <v>0</v>
      </c>
      <c r="AW36" s="276"/>
      <c r="AX36" s="244"/>
      <c r="AY36" s="261"/>
      <c r="AZ36" s="261"/>
      <c r="BA36" s="244">
        <f>SUM(BA37:BA38)</f>
        <v>0</v>
      </c>
      <c r="BB36" s="276"/>
      <c r="BC36" s="244"/>
      <c r="BD36" s="261"/>
      <c r="BE36" s="261"/>
      <c r="BF36" s="244">
        <f>SUM(BF37:BF38)</f>
        <v>0</v>
      </c>
      <c r="BG36" s="276"/>
      <c r="BH36" s="244"/>
      <c r="BI36" s="261"/>
      <c r="BJ36" s="261"/>
      <c r="BK36" s="244">
        <f>SUM(BK37:BK38)</f>
        <v>0</v>
      </c>
      <c r="BL36" s="276"/>
      <c r="BM36" s="244"/>
      <c r="BN36" s="261"/>
      <c r="BO36" s="261"/>
      <c r="BP36" s="244">
        <f>SUM(BP37:BP38)</f>
        <v>0</v>
      </c>
      <c r="BQ36" s="276"/>
      <c r="BR36" s="244"/>
      <c r="BS36" s="261"/>
      <c r="BT36" s="261"/>
      <c r="BU36" s="244">
        <f>SUM(BU37:BU38)</f>
        <v>0</v>
      </c>
      <c r="BV36" s="276"/>
      <c r="BW36" s="244"/>
      <c r="BX36" s="254"/>
      <c r="CA36" s="268"/>
      <c r="CB36" s="268"/>
    </row>
    <row r="37" spans="1:80" x14ac:dyDescent="0.2">
      <c r="A37" s="244"/>
      <c r="B37" s="244"/>
      <c r="C37" s="254" t="s">
        <v>279</v>
      </c>
      <c r="D37" s="244"/>
      <c r="E37" s="293" t="s">
        <v>268</v>
      </c>
      <c r="F37" s="294"/>
      <c r="G37" s="294"/>
      <c r="H37" s="277">
        <f>[65]domlongtermissues!G15</f>
        <v>3633916</v>
      </c>
      <c r="I37" s="276"/>
      <c r="J37" s="244"/>
      <c r="K37" s="261"/>
      <c r="L37" s="261"/>
      <c r="M37" s="277">
        <f>[65]domlongtermissues!L15</f>
        <v>3109689</v>
      </c>
      <c r="N37" s="276"/>
      <c r="O37" s="244"/>
      <c r="P37" s="261"/>
      <c r="Q37" s="261"/>
      <c r="R37" s="277">
        <f>[65]domlongtermissues!Q15</f>
        <v>0</v>
      </c>
      <c r="S37" s="276"/>
      <c r="T37" s="244"/>
      <c r="U37" s="261"/>
      <c r="V37" s="261"/>
      <c r="W37" s="277">
        <f>[65]domlongtermissues!V15</f>
        <v>0</v>
      </c>
      <c r="X37" s="276"/>
      <c r="Y37" s="244"/>
      <c r="Z37" s="261"/>
      <c r="AA37" s="261"/>
      <c r="AB37" s="277">
        <f>[65]domlongtermissues!AA15</f>
        <v>0</v>
      </c>
      <c r="AC37" s="276"/>
      <c r="AD37" s="244"/>
      <c r="AE37" s="261"/>
      <c r="AF37" s="261"/>
      <c r="AG37" s="277">
        <f>[65]domlongtermissues!AF15</f>
        <v>289217</v>
      </c>
      <c r="AH37" s="276"/>
      <c r="AI37" s="244"/>
      <c r="AJ37" s="261"/>
      <c r="AK37" s="261"/>
      <c r="AL37" s="277">
        <f>[65]domlongtermissues!AK15</f>
        <v>235010</v>
      </c>
      <c r="AM37" s="276"/>
      <c r="AN37" s="244"/>
      <c r="AO37" s="261"/>
      <c r="AP37" s="261"/>
      <c r="AQ37" s="277">
        <f>[65]domlongtermissues!AP15</f>
        <v>0</v>
      </c>
      <c r="AR37" s="276"/>
      <c r="AS37" s="244"/>
      <c r="AT37" s="261"/>
      <c r="AU37" s="261"/>
      <c r="AV37" s="277">
        <f>[65]domlongtermissues!AU15</f>
        <v>64127</v>
      </c>
      <c r="AW37" s="276"/>
      <c r="AX37" s="244"/>
      <c r="AY37" s="261"/>
      <c r="AZ37" s="261"/>
      <c r="BA37" s="277">
        <f>[65]domlongtermissues!AZ15</f>
        <v>0</v>
      </c>
      <c r="BB37" s="276"/>
      <c r="BC37" s="244"/>
      <c r="BD37" s="261"/>
      <c r="BE37" s="261"/>
      <c r="BF37" s="277">
        <f>[65]domlongtermissues!BE15</f>
        <v>0</v>
      </c>
      <c r="BG37" s="276"/>
      <c r="BH37" s="244"/>
      <c r="BI37" s="261"/>
      <c r="BJ37" s="261"/>
      <c r="BK37" s="277">
        <f>[65]domlongtermissues!BJ15</f>
        <v>0</v>
      </c>
      <c r="BL37" s="276"/>
      <c r="BM37" s="244"/>
      <c r="BN37" s="261"/>
      <c r="BO37" s="261"/>
      <c r="BP37" s="277">
        <f>[65]domlongtermissues!BO15</f>
        <v>663239</v>
      </c>
      <c r="BQ37" s="276"/>
      <c r="BR37" s="244"/>
      <c r="BS37" s="261"/>
      <c r="BT37" s="261"/>
      <c r="BU37" s="277">
        <f>[65]domlongtermissues!BT15</f>
        <v>4361282</v>
      </c>
      <c r="BV37" s="276"/>
      <c r="BW37" s="244"/>
      <c r="BX37" s="254"/>
      <c r="CA37" s="268"/>
      <c r="CB37" s="268"/>
    </row>
    <row r="38" spans="1:80" x14ac:dyDescent="0.2">
      <c r="A38" s="244"/>
      <c r="B38" s="244"/>
      <c r="C38" s="254" t="s">
        <v>280</v>
      </c>
      <c r="D38" s="244"/>
      <c r="E38" s="293" t="s">
        <v>272</v>
      </c>
      <c r="F38" s="294"/>
      <c r="G38" s="294"/>
      <c r="H38" s="281">
        <f>-[65]domredemp!G15</f>
        <v>-3633916</v>
      </c>
      <c r="I38" s="276"/>
      <c r="J38" s="244"/>
      <c r="K38" s="261"/>
      <c r="L38" s="261"/>
      <c r="M38" s="281">
        <f>-[65]domredemp!L15</f>
        <v>-3109689</v>
      </c>
      <c r="N38" s="276"/>
      <c r="O38" s="244"/>
      <c r="P38" s="261"/>
      <c r="Q38" s="261"/>
      <c r="R38" s="281">
        <f>-[65]domredemp!Q15</f>
        <v>0</v>
      </c>
      <c r="S38" s="276"/>
      <c r="T38" s="244"/>
      <c r="U38" s="261"/>
      <c r="V38" s="261"/>
      <c r="W38" s="281">
        <f>-[65]domredemp!V15</f>
        <v>0</v>
      </c>
      <c r="X38" s="276"/>
      <c r="Y38" s="244"/>
      <c r="Z38" s="261"/>
      <c r="AA38" s="261"/>
      <c r="AB38" s="281">
        <f>-[65]domredemp!AA15</f>
        <v>0</v>
      </c>
      <c r="AC38" s="276"/>
      <c r="AD38" s="244"/>
      <c r="AE38" s="261"/>
      <c r="AF38" s="261"/>
      <c r="AG38" s="281">
        <f>-[65]domredemp!AF15</f>
        <v>-289217</v>
      </c>
      <c r="AH38" s="276"/>
      <c r="AI38" s="244"/>
      <c r="AJ38" s="261"/>
      <c r="AK38" s="261"/>
      <c r="AL38" s="281">
        <f>-[65]domredemp!AK15</f>
        <v>-235010</v>
      </c>
      <c r="AM38" s="276"/>
      <c r="AN38" s="244"/>
      <c r="AO38" s="261"/>
      <c r="AP38" s="261"/>
      <c r="AQ38" s="281">
        <f>-[65]domredemp!AP15</f>
        <v>0</v>
      </c>
      <c r="AR38" s="276"/>
      <c r="AS38" s="244"/>
      <c r="AT38" s="261"/>
      <c r="AU38" s="261"/>
      <c r="AV38" s="281">
        <f>-[65]domredemp!AU15</f>
        <v>-64127</v>
      </c>
      <c r="AW38" s="276"/>
      <c r="AX38" s="244"/>
      <c r="AY38" s="261"/>
      <c r="AZ38" s="261"/>
      <c r="BA38" s="281">
        <f>-[65]domredemp!AZ15</f>
        <v>0</v>
      </c>
      <c r="BB38" s="276"/>
      <c r="BC38" s="244"/>
      <c r="BD38" s="261"/>
      <c r="BE38" s="261"/>
      <c r="BF38" s="281">
        <f>-[65]domredemp!BE15</f>
        <v>0</v>
      </c>
      <c r="BG38" s="276"/>
      <c r="BH38" s="244"/>
      <c r="BI38" s="261"/>
      <c r="BJ38" s="261"/>
      <c r="BK38" s="281">
        <f>-[65]domredemp!BJ15</f>
        <v>0</v>
      </c>
      <c r="BL38" s="276"/>
      <c r="BM38" s="244"/>
      <c r="BN38" s="261"/>
      <c r="BO38" s="261"/>
      <c r="BP38" s="281">
        <f>-[65]domredemp!BO15</f>
        <v>-663239</v>
      </c>
      <c r="BQ38" s="276"/>
      <c r="BR38" s="244"/>
      <c r="BS38" s="261"/>
      <c r="BT38" s="261"/>
      <c r="BU38" s="281">
        <f>-[65]domredemp!BT15</f>
        <v>-4361282</v>
      </c>
      <c r="BV38" s="276"/>
      <c r="BW38" s="244"/>
      <c r="BX38" s="254"/>
      <c r="CA38" s="268"/>
      <c r="CB38" s="268"/>
    </row>
    <row r="39" spans="1:80" ht="12.75" hidden="1" customHeight="1" x14ac:dyDescent="0.2">
      <c r="A39" s="244"/>
      <c r="B39" s="244"/>
      <c r="C39" s="254"/>
      <c r="D39" s="244"/>
      <c r="E39" s="293"/>
      <c r="F39" s="294"/>
      <c r="G39" s="294"/>
      <c r="H39" s="244"/>
      <c r="I39" s="276"/>
      <c r="J39" s="244"/>
      <c r="K39" s="261"/>
      <c r="L39" s="261"/>
      <c r="M39" s="244"/>
      <c r="N39" s="276"/>
      <c r="O39" s="244"/>
      <c r="P39" s="261"/>
      <c r="Q39" s="261"/>
      <c r="R39" s="244"/>
      <c r="S39" s="276"/>
      <c r="T39" s="244"/>
      <c r="U39" s="261"/>
      <c r="V39" s="261"/>
      <c r="W39" s="244"/>
      <c r="X39" s="276"/>
      <c r="Y39" s="244"/>
      <c r="Z39" s="261"/>
      <c r="AA39" s="261"/>
      <c r="AB39" s="244"/>
      <c r="AC39" s="276"/>
      <c r="AD39" s="244"/>
      <c r="AE39" s="261"/>
      <c r="AF39" s="261"/>
      <c r="AG39" s="244"/>
      <c r="AH39" s="276"/>
      <c r="AI39" s="244"/>
      <c r="AJ39" s="261"/>
      <c r="AK39" s="261"/>
      <c r="AL39" s="244"/>
      <c r="AM39" s="276"/>
      <c r="AN39" s="244"/>
      <c r="AO39" s="261"/>
      <c r="AP39" s="261"/>
      <c r="AQ39" s="244"/>
      <c r="AR39" s="276"/>
      <c r="AS39" s="244"/>
      <c r="AT39" s="261"/>
      <c r="AU39" s="261"/>
      <c r="AV39" s="244"/>
      <c r="AW39" s="276"/>
      <c r="AX39" s="244"/>
      <c r="AY39" s="261"/>
      <c r="AZ39" s="261"/>
      <c r="BA39" s="244"/>
      <c r="BB39" s="276"/>
      <c r="BC39" s="244"/>
      <c r="BD39" s="261"/>
      <c r="BE39" s="261"/>
      <c r="BF39" s="244"/>
      <c r="BG39" s="276"/>
      <c r="BH39" s="244"/>
      <c r="BI39" s="261"/>
      <c r="BJ39" s="261"/>
      <c r="BK39" s="244"/>
      <c r="BL39" s="276"/>
      <c r="BM39" s="244"/>
      <c r="BN39" s="261"/>
      <c r="BO39" s="261"/>
      <c r="BP39" s="244"/>
      <c r="BQ39" s="276"/>
      <c r="BR39" s="244"/>
      <c r="BS39" s="261"/>
      <c r="BT39" s="261"/>
      <c r="BU39" s="244"/>
      <c r="BV39" s="276"/>
      <c r="BW39" s="244"/>
      <c r="BX39" s="254"/>
      <c r="CA39" s="268"/>
      <c r="CB39" s="268"/>
    </row>
    <row r="40" spans="1:80" ht="12.75" hidden="1" customHeight="1" x14ac:dyDescent="0.2">
      <c r="A40" s="244"/>
      <c r="B40" s="244"/>
      <c r="C40" s="254" t="s">
        <v>281</v>
      </c>
      <c r="D40" s="297" t="s">
        <v>55</v>
      </c>
      <c r="E40" s="295"/>
      <c r="F40" s="296"/>
      <c r="G40" s="296"/>
      <c r="H40" s="244">
        <v>0</v>
      </c>
      <c r="I40" s="276"/>
      <c r="J40" s="244"/>
      <c r="K40" s="261"/>
      <c r="L40" s="261"/>
      <c r="M40" s="244">
        <f>SUM(M41:M41)</f>
        <v>0</v>
      </c>
      <c r="N40" s="276"/>
      <c r="O40" s="244"/>
      <c r="P40" s="261"/>
      <c r="Q40" s="261"/>
      <c r="R40" s="244">
        <f>SUM(R41:R41)</f>
        <v>0</v>
      </c>
      <c r="S40" s="276"/>
      <c r="T40" s="244"/>
      <c r="U40" s="261"/>
      <c r="V40" s="261"/>
      <c r="W40" s="244">
        <f>SUM(W41:W41)</f>
        <v>0</v>
      </c>
      <c r="X40" s="276"/>
      <c r="Y40" s="244"/>
      <c r="Z40" s="261"/>
      <c r="AA40" s="261"/>
      <c r="AB40" s="244">
        <f>SUM(AB41:AB41)</f>
        <v>0</v>
      </c>
      <c r="AC40" s="276"/>
      <c r="AD40" s="244"/>
      <c r="AE40" s="261"/>
      <c r="AF40" s="261"/>
      <c r="AG40" s="244">
        <f>SUM(AG41:AG41)</f>
        <v>0</v>
      </c>
      <c r="AH40" s="276"/>
      <c r="AI40" s="244"/>
      <c r="AJ40" s="261"/>
      <c r="AK40" s="261"/>
      <c r="AL40" s="244">
        <f>SUM(AL41:AL41)</f>
        <v>0</v>
      </c>
      <c r="AM40" s="276"/>
      <c r="AN40" s="244"/>
      <c r="AO40" s="261"/>
      <c r="AP40" s="261"/>
      <c r="AQ40" s="244">
        <f>SUM(AQ41:AQ41)</f>
        <v>0</v>
      </c>
      <c r="AR40" s="276"/>
      <c r="AS40" s="244"/>
      <c r="AT40" s="261"/>
      <c r="AU40" s="261"/>
      <c r="AV40" s="244">
        <f>SUM(AV41:AV41)</f>
        <v>0</v>
      </c>
      <c r="AW40" s="276"/>
      <c r="AX40" s="244"/>
      <c r="AY40" s="261"/>
      <c r="AZ40" s="261"/>
      <c r="BA40" s="244">
        <f>SUM(BA41:BA41)</f>
        <v>0</v>
      </c>
      <c r="BB40" s="276"/>
      <c r="BC40" s="244"/>
      <c r="BD40" s="261"/>
      <c r="BE40" s="261"/>
      <c r="BF40" s="244">
        <f>SUM(BF41:BF41)</f>
        <v>0</v>
      </c>
      <c r="BG40" s="276"/>
      <c r="BH40" s="244"/>
      <c r="BI40" s="261"/>
      <c r="BJ40" s="261"/>
      <c r="BK40" s="244">
        <f>SUM(BK41:BK41)</f>
        <v>0</v>
      </c>
      <c r="BL40" s="276"/>
      <c r="BM40" s="244"/>
      <c r="BN40" s="261"/>
      <c r="BO40" s="261"/>
      <c r="BP40" s="244">
        <f>SUM(BP41:BP41)</f>
        <v>0</v>
      </c>
      <c r="BQ40" s="276"/>
      <c r="BR40" s="244"/>
      <c r="BS40" s="261"/>
      <c r="BT40" s="261"/>
      <c r="BU40" s="244">
        <f>SUM(BU41:BU41)</f>
        <v>0</v>
      </c>
      <c r="BV40" s="276"/>
      <c r="BW40" s="244"/>
      <c r="BX40" s="254"/>
      <c r="CA40" s="268"/>
      <c r="CB40" s="268"/>
    </row>
    <row r="41" spans="1:80" ht="12.75" hidden="1" customHeight="1" x14ac:dyDescent="0.2">
      <c r="A41" s="244"/>
      <c r="B41" s="244"/>
      <c r="C41" s="254" t="s">
        <v>275</v>
      </c>
      <c r="D41" s="244"/>
      <c r="E41" s="293" t="s">
        <v>268</v>
      </c>
      <c r="F41" s="294"/>
      <c r="G41" s="294"/>
      <c r="H41" s="298">
        <v>0</v>
      </c>
      <c r="I41" s="276"/>
      <c r="J41" s="244"/>
      <c r="K41" s="261"/>
      <c r="L41" s="261"/>
      <c r="M41" s="298">
        <f>[65]domlongtermissues!L16</f>
        <v>0</v>
      </c>
      <c r="N41" s="276"/>
      <c r="O41" s="244"/>
      <c r="P41" s="261"/>
      <c r="Q41" s="261"/>
      <c r="R41" s="298">
        <f>[65]domlongtermissues!Q16</f>
        <v>0</v>
      </c>
      <c r="S41" s="276"/>
      <c r="T41" s="244"/>
      <c r="U41" s="261"/>
      <c r="V41" s="261"/>
      <c r="W41" s="298">
        <f>[65]domlongtermissues!V16</f>
        <v>0</v>
      </c>
      <c r="X41" s="276"/>
      <c r="Y41" s="244"/>
      <c r="Z41" s="261"/>
      <c r="AA41" s="261"/>
      <c r="AB41" s="298">
        <f>[65]domlongtermissues!AA16</f>
        <v>0</v>
      </c>
      <c r="AC41" s="276"/>
      <c r="AD41" s="244"/>
      <c r="AE41" s="261"/>
      <c r="AF41" s="261"/>
      <c r="AG41" s="298">
        <f>[65]domlongtermissues!AF16</f>
        <v>0</v>
      </c>
      <c r="AH41" s="276"/>
      <c r="AI41" s="244"/>
      <c r="AJ41" s="261"/>
      <c r="AK41" s="261"/>
      <c r="AL41" s="298">
        <f>[65]domlongtermissues!AK16</f>
        <v>0</v>
      </c>
      <c r="AM41" s="276"/>
      <c r="AN41" s="244"/>
      <c r="AO41" s="261"/>
      <c r="AP41" s="261"/>
      <c r="AQ41" s="298">
        <f>[65]domlongtermissues!AP16</f>
        <v>0</v>
      </c>
      <c r="AR41" s="276"/>
      <c r="AS41" s="244"/>
      <c r="AT41" s="261"/>
      <c r="AU41" s="261"/>
      <c r="AV41" s="298">
        <f>[65]domlongtermissues!AU16</f>
        <v>0</v>
      </c>
      <c r="AW41" s="276"/>
      <c r="AX41" s="244"/>
      <c r="AY41" s="261"/>
      <c r="AZ41" s="261"/>
      <c r="BA41" s="298">
        <f>[65]domlongtermissues!AZ16</f>
        <v>0</v>
      </c>
      <c r="BB41" s="276"/>
      <c r="BC41" s="244"/>
      <c r="BD41" s="261"/>
      <c r="BE41" s="261"/>
      <c r="BF41" s="298">
        <f>[65]domlongtermissues!BE16</f>
        <v>0</v>
      </c>
      <c r="BG41" s="276"/>
      <c r="BH41" s="244"/>
      <c r="BI41" s="261"/>
      <c r="BJ41" s="261"/>
      <c r="BK41" s="298">
        <f>[65]domlongtermissues!BJ16</f>
        <v>0</v>
      </c>
      <c r="BL41" s="276"/>
      <c r="BM41" s="244"/>
      <c r="BN41" s="261"/>
      <c r="BO41" s="261"/>
      <c r="BP41" s="244">
        <f>[65]domlongtermissues!BO16</f>
        <v>0</v>
      </c>
      <c r="BQ41" s="276"/>
      <c r="BR41" s="244"/>
      <c r="BS41" s="261"/>
      <c r="BT41" s="261"/>
      <c r="BU41" s="298">
        <f>[65]domlongtermissues!BT16</f>
        <v>0</v>
      </c>
      <c r="BV41" s="276"/>
      <c r="BW41" s="244"/>
      <c r="BX41" s="254"/>
      <c r="CA41" s="268"/>
      <c r="CB41" s="268"/>
    </row>
    <row r="42" spans="1:80" x14ac:dyDescent="0.2">
      <c r="A42" s="244"/>
      <c r="B42" s="244"/>
      <c r="C42" s="254"/>
      <c r="D42" s="244"/>
      <c r="E42" s="295"/>
      <c r="F42" s="296"/>
      <c r="G42" s="299"/>
      <c r="H42" s="287"/>
      <c r="I42" s="286"/>
      <c r="J42" s="244"/>
      <c r="K42" s="261"/>
      <c r="L42" s="284"/>
      <c r="M42" s="287"/>
      <c r="N42" s="286"/>
      <c r="O42" s="244"/>
      <c r="P42" s="261"/>
      <c r="Q42" s="284"/>
      <c r="R42" s="287"/>
      <c r="S42" s="286"/>
      <c r="T42" s="244"/>
      <c r="U42" s="261"/>
      <c r="V42" s="284"/>
      <c r="W42" s="287"/>
      <c r="X42" s="286"/>
      <c r="Y42" s="244"/>
      <c r="Z42" s="261"/>
      <c r="AA42" s="284"/>
      <c r="AB42" s="287"/>
      <c r="AC42" s="286"/>
      <c r="AD42" s="244"/>
      <c r="AE42" s="261"/>
      <c r="AF42" s="284"/>
      <c r="AG42" s="287"/>
      <c r="AH42" s="286"/>
      <c r="AI42" s="244"/>
      <c r="AJ42" s="261"/>
      <c r="AK42" s="284"/>
      <c r="AL42" s="287"/>
      <c r="AM42" s="286"/>
      <c r="AN42" s="244"/>
      <c r="AO42" s="261"/>
      <c r="AP42" s="284"/>
      <c r="AQ42" s="287"/>
      <c r="AR42" s="286"/>
      <c r="AS42" s="244"/>
      <c r="AT42" s="261"/>
      <c r="AU42" s="284"/>
      <c r="AV42" s="287"/>
      <c r="AW42" s="286"/>
      <c r="AX42" s="244"/>
      <c r="AY42" s="261"/>
      <c r="AZ42" s="284"/>
      <c r="BA42" s="287"/>
      <c r="BB42" s="286"/>
      <c r="BC42" s="244"/>
      <c r="BD42" s="261"/>
      <c r="BE42" s="284"/>
      <c r="BF42" s="287"/>
      <c r="BG42" s="286"/>
      <c r="BH42" s="244"/>
      <c r="BI42" s="261"/>
      <c r="BJ42" s="284"/>
      <c r="BK42" s="287"/>
      <c r="BL42" s="286"/>
      <c r="BM42" s="244"/>
      <c r="BN42" s="261"/>
      <c r="BO42" s="284"/>
      <c r="BP42" s="287"/>
      <c r="BQ42" s="286"/>
      <c r="BR42" s="244"/>
      <c r="BS42" s="261"/>
      <c r="BT42" s="284"/>
      <c r="BU42" s="287"/>
      <c r="BV42" s="286"/>
      <c r="BW42" s="244"/>
      <c r="BX42" s="254"/>
      <c r="CA42" s="268"/>
      <c r="CB42" s="268"/>
    </row>
    <row r="43" spans="1:80" hidden="1" x14ac:dyDescent="0.2">
      <c r="A43" s="244"/>
      <c r="B43" s="244"/>
      <c r="C43" s="254"/>
      <c r="D43" s="244"/>
      <c r="E43" s="295"/>
      <c r="F43" s="296"/>
      <c r="G43" s="300"/>
      <c r="H43" s="244"/>
      <c r="I43" s="244"/>
      <c r="J43" s="244"/>
      <c r="K43" s="261"/>
      <c r="L43" s="244"/>
      <c r="M43" s="244"/>
      <c r="N43" s="244"/>
      <c r="O43" s="244"/>
      <c r="P43" s="261"/>
      <c r="Q43" s="244"/>
      <c r="R43" s="244"/>
      <c r="S43" s="244"/>
      <c r="T43" s="244"/>
      <c r="U43" s="261"/>
      <c r="V43" s="244"/>
      <c r="W43" s="244"/>
      <c r="X43" s="244"/>
      <c r="Y43" s="244"/>
      <c r="Z43" s="261"/>
      <c r="AA43" s="244"/>
      <c r="AB43" s="244"/>
      <c r="AC43" s="244"/>
      <c r="AD43" s="244"/>
      <c r="AE43" s="261"/>
      <c r="AF43" s="244"/>
      <c r="AG43" s="244"/>
      <c r="AH43" s="244"/>
      <c r="AI43" s="244"/>
      <c r="AJ43" s="261"/>
      <c r="AK43" s="244"/>
      <c r="AL43" s="244"/>
      <c r="AM43" s="244"/>
      <c r="AN43" s="244"/>
      <c r="AO43" s="261"/>
      <c r="AP43" s="244"/>
      <c r="AQ43" s="244"/>
      <c r="AR43" s="244"/>
      <c r="AS43" s="244"/>
      <c r="AT43" s="261"/>
      <c r="AU43" s="244"/>
      <c r="AV43" s="244"/>
      <c r="AW43" s="244"/>
      <c r="AX43" s="244"/>
      <c r="AY43" s="261"/>
      <c r="AZ43" s="244"/>
      <c r="BA43" s="244"/>
      <c r="BB43" s="244"/>
      <c r="BC43" s="244"/>
      <c r="BD43" s="261"/>
      <c r="BE43" s="244"/>
      <c r="BF43" s="244"/>
      <c r="BG43" s="244"/>
      <c r="BH43" s="244"/>
      <c r="BI43" s="261"/>
      <c r="BJ43" s="244"/>
      <c r="BK43" s="244"/>
      <c r="BL43" s="244"/>
      <c r="BM43" s="244"/>
      <c r="BN43" s="261"/>
      <c r="BO43" s="244"/>
      <c r="BP43" s="244"/>
      <c r="BQ43" s="244"/>
      <c r="BR43" s="244"/>
      <c r="BS43" s="261"/>
      <c r="BT43" s="244"/>
      <c r="BU43" s="244"/>
      <c r="BV43" s="244"/>
      <c r="BW43" s="244"/>
      <c r="BX43" s="254"/>
      <c r="CA43" s="268"/>
      <c r="CB43" s="268"/>
    </row>
    <row r="44" spans="1:80" x14ac:dyDescent="0.2">
      <c r="A44" s="244"/>
      <c r="B44" s="244"/>
      <c r="C44" s="254"/>
      <c r="D44" s="244"/>
      <c r="E44" s="295"/>
      <c r="F44" s="296"/>
      <c r="G44" s="300"/>
      <c r="H44" s="244"/>
      <c r="I44" s="244"/>
      <c r="J44" s="244"/>
      <c r="K44" s="261"/>
      <c r="L44" s="244"/>
      <c r="M44" s="244"/>
      <c r="N44" s="244"/>
      <c r="O44" s="244"/>
      <c r="P44" s="261"/>
      <c r="Q44" s="244"/>
      <c r="R44" s="244"/>
      <c r="S44" s="244"/>
      <c r="T44" s="244"/>
      <c r="U44" s="261"/>
      <c r="V44" s="244"/>
      <c r="W44" s="244"/>
      <c r="X44" s="244"/>
      <c r="Y44" s="244"/>
      <c r="Z44" s="261"/>
      <c r="AA44" s="244"/>
      <c r="AB44" s="244"/>
      <c r="AC44" s="244"/>
      <c r="AD44" s="244"/>
      <c r="AE44" s="261"/>
      <c r="AF44" s="244"/>
      <c r="AG44" s="244"/>
      <c r="AH44" s="244"/>
      <c r="AI44" s="244"/>
      <c r="AJ44" s="261"/>
      <c r="AK44" s="244"/>
      <c r="AL44" s="244"/>
      <c r="AM44" s="244"/>
      <c r="AN44" s="244"/>
      <c r="AO44" s="261"/>
      <c r="AP44" s="244"/>
      <c r="AQ44" s="244"/>
      <c r="AR44" s="244"/>
      <c r="AS44" s="244"/>
      <c r="AT44" s="261"/>
      <c r="AU44" s="244"/>
      <c r="AV44" s="244"/>
      <c r="AW44" s="244"/>
      <c r="AX44" s="244"/>
      <c r="AY44" s="261"/>
      <c r="AZ44" s="244"/>
      <c r="BA44" s="244"/>
      <c r="BB44" s="244"/>
      <c r="BC44" s="244"/>
      <c r="BD44" s="261"/>
      <c r="BE44" s="244"/>
      <c r="BF44" s="244"/>
      <c r="BG44" s="244"/>
      <c r="BH44" s="244"/>
      <c r="BI44" s="261"/>
      <c r="BJ44" s="244"/>
      <c r="BK44" s="244"/>
      <c r="BL44" s="244"/>
      <c r="BM44" s="244"/>
      <c r="BN44" s="261"/>
      <c r="BO44" s="244"/>
      <c r="BP44" s="244"/>
      <c r="BQ44" s="244"/>
      <c r="BR44" s="244"/>
      <c r="BS44" s="261"/>
      <c r="BT44" s="244"/>
      <c r="BU44" s="244"/>
      <c r="BV44" s="244"/>
      <c r="BW44" s="244"/>
      <c r="BX44" s="254"/>
      <c r="CA44" s="268"/>
      <c r="CB44" s="268"/>
    </row>
    <row r="45" spans="1:80" s="268" customFormat="1" x14ac:dyDescent="0.2">
      <c r="A45" s="245"/>
      <c r="B45" s="245"/>
      <c r="C45" s="262" t="s">
        <v>282</v>
      </c>
      <c r="D45" s="245"/>
      <c r="E45" s="293" t="s">
        <v>283</v>
      </c>
      <c r="F45" s="294"/>
      <c r="G45" s="301"/>
      <c r="H45" s="245">
        <f>+H46+H53+H60</f>
        <v>25844000</v>
      </c>
      <c r="I45" s="245"/>
      <c r="J45" s="245"/>
      <c r="K45" s="264"/>
      <c r="L45" s="301"/>
      <c r="M45" s="245">
        <f>+M46+M53+M60</f>
        <v>-628449</v>
      </c>
      <c r="N45" s="245"/>
      <c r="O45" s="245"/>
      <c r="P45" s="264"/>
      <c r="Q45" s="301"/>
      <c r="R45" s="245">
        <f>+R46+R53+R60</f>
        <v>-25247385</v>
      </c>
      <c r="S45" s="245"/>
      <c r="T45" s="245"/>
      <c r="U45" s="264"/>
      <c r="V45" s="301"/>
      <c r="W45" s="245">
        <f>+W46+W53+W60</f>
        <v>0</v>
      </c>
      <c r="X45" s="245"/>
      <c r="Y45" s="245"/>
      <c r="Z45" s="264"/>
      <c r="AA45" s="301"/>
      <c r="AB45" s="245">
        <f>+AB46+AB53+AB60</f>
        <v>0</v>
      </c>
      <c r="AC45" s="245"/>
      <c r="AD45" s="245"/>
      <c r="AE45" s="264"/>
      <c r="AF45" s="301"/>
      <c r="AG45" s="245">
        <f>+AG46+AG53+AG60</f>
        <v>0</v>
      </c>
      <c r="AH45" s="245"/>
      <c r="AI45" s="245"/>
      <c r="AJ45" s="264"/>
      <c r="AK45" s="301"/>
      <c r="AL45" s="245">
        <f>+AL46+AL53+AL60</f>
        <v>76052000</v>
      </c>
      <c r="AM45" s="245"/>
      <c r="AN45" s="245"/>
      <c r="AO45" s="264"/>
      <c r="AP45" s="301"/>
      <c r="AQ45" s="245">
        <f>+AQ46+AQ53+AQ60</f>
        <v>-654491</v>
      </c>
      <c r="AR45" s="245"/>
      <c r="AS45" s="245"/>
      <c r="AT45" s="264"/>
      <c r="AU45" s="301"/>
      <c r="AV45" s="245">
        <f>+AV46+AV53+AV60</f>
        <v>-6365</v>
      </c>
      <c r="AW45" s="245"/>
      <c r="AX45" s="245"/>
      <c r="AY45" s="264"/>
      <c r="AZ45" s="301"/>
      <c r="BA45" s="245">
        <f>+BA46+BA53+BA60</f>
        <v>0</v>
      </c>
      <c r="BB45" s="245"/>
      <c r="BC45" s="245"/>
      <c r="BD45" s="264"/>
      <c r="BE45" s="301"/>
      <c r="BF45" s="245">
        <f>+BF46+BF53+BF60</f>
        <v>0</v>
      </c>
      <c r="BG45" s="245"/>
      <c r="BH45" s="245"/>
      <c r="BI45" s="264"/>
      <c r="BJ45" s="301"/>
      <c r="BK45" s="245">
        <f>+BK46+BK53+BK60</f>
        <v>0</v>
      </c>
      <c r="BL45" s="245"/>
      <c r="BM45" s="245"/>
      <c r="BN45" s="264"/>
      <c r="BO45" s="301"/>
      <c r="BP45" s="245">
        <f>+BP46+BP53+BP60</f>
        <v>-24692267</v>
      </c>
      <c r="BQ45" s="245"/>
      <c r="BR45" s="245"/>
      <c r="BS45" s="264"/>
      <c r="BT45" s="301"/>
      <c r="BU45" s="245">
        <f>+BU46+BU53+BU60</f>
        <v>24823043</v>
      </c>
      <c r="BV45" s="245"/>
      <c r="BW45" s="245"/>
      <c r="BX45" s="262"/>
      <c r="BY45" s="245"/>
    </row>
    <row r="46" spans="1:80" x14ac:dyDescent="0.2">
      <c r="A46" s="244"/>
      <c r="B46" s="244"/>
      <c r="C46" s="254" t="s">
        <v>266</v>
      </c>
      <c r="D46" s="244"/>
      <c r="E46" s="295"/>
      <c r="F46" s="296"/>
      <c r="G46" s="302"/>
      <c r="H46" s="270">
        <f>SUM(H47:H51)</f>
        <v>25844000</v>
      </c>
      <c r="I46" s="271"/>
      <c r="J46" s="244"/>
      <c r="K46" s="261"/>
      <c r="L46" s="302"/>
      <c r="M46" s="270">
        <f>SUM(M47:M51)</f>
        <v>-628449</v>
      </c>
      <c r="N46" s="271"/>
      <c r="O46" s="244"/>
      <c r="P46" s="261"/>
      <c r="Q46" s="302"/>
      <c r="R46" s="270">
        <f>SUM(R47:R51)</f>
        <v>-25247385</v>
      </c>
      <c r="S46" s="271"/>
      <c r="T46" s="244"/>
      <c r="U46" s="261"/>
      <c r="V46" s="302"/>
      <c r="W46" s="270">
        <f>SUM(W47:W51)</f>
        <v>0</v>
      </c>
      <c r="X46" s="271"/>
      <c r="Y46" s="244"/>
      <c r="Z46" s="261"/>
      <c r="AA46" s="302"/>
      <c r="AB46" s="270">
        <f>SUM(AB47:AB51)</f>
        <v>0</v>
      </c>
      <c r="AC46" s="271"/>
      <c r="AD46" s="244"/>
      <c r="AE46" s="261"/>
      <c r="AF46" s="302"/>
      <c r="AG46" s="270">
        <f>SUM(AG47:AG51)</f>
        <v>0</v>
      </c>
      <c r="AH46" s="271"/>
      <c r="AI46" s="244"/>
      <c r="AJ46" s="261"/>
      <c r="AK46" s="302"/>
      <c r="AL46" s="270">
        <f>SUM(AL47:AL51)</f>
        <v>76052000</v>
      </c>
      <c r="AM46" s="271"/>
      <c r="AN46" s="244"/>
      <c r="AO46" s="261"/>
      <c r="AP46" s="302"/>
      <c r="AQ46" s="270">
        <f>SUM(AQ47:AQ51)</f>
        <v>-654491</v>
      </c>
      <c r="AR46" s="271"/>
      <c r="AS46" s="244"/>
      <c r="AT46" s="261"/>
      <c r="AU46" s="302"/>
      <c r="AV46" s="270">
        <f>SUM(AV47:AV51)</f>
        <v>-6365</v>
      </c>
      <c r="AW46" s="271"/>
      <c r="AX46" s="244"/>
      <c r="AY46" s="261"/>
      <c r="AZ46" s="302"/>
      <c r="BA46" s="270">
        <f>SUM(BA47:BA51)</f>
        <v>0</v>
      </c>
      <c r="BB46" s="271"/>
      <c r="BC46" s="244"/>
      <c r="BD46" s="261"/>
      <c r="BE46" s="302"/>
      <c r="BF46" s="270">
        <f>SUM(BF47:BF51)</f>
        <v>0</v>
      </c>
      <c r="BG46" s="271"/>
      <c r="BH46" s="244"/>
      <c r="BI46" s="261"/>
      <c r="BJ46" s="302"/>
      <c r="BK46" s="270">
        <f>SUM(BK47:BK51)</f>
        <v>0</v>
      </c>
      <c r="BL46" s="271"/>
      <c r="BM46" s="244"/>
      <c r="BN46" s="261"/>
      <c r="BO46" s="302"/>
      <c r="BP46" s="270">
        <f>SUM(BP47:BP51)</f>
        <v>-24692267</v>
      </c>
      <c r="BQ46" s="271"/>
      <c r="BR46" s="244"/>
      <c r="BS46" s="261"/>
      <c r="BT46" s="302"/>
      <c r="BU46" s="270">
        <f>SUM(BU47:BU51)</f>
        <v>24823043</v>
      </c>
      <c r="BV46" s="271"/>
      <c r="BW46" s="244"/>
      <c r="BX46" s="254"/>
      <c r="CA46" s="268"/>
      <c r="CB46" s="268"/>
    </row>
    <row r="47" spans="1:80" x14ac:dyDescent="0.2">
      <c r="A47" s="244"/>
      <c r="B47" s="244"/>
      <c r="C47" s="254" t="s">
        <v>267</v>
      </c>
      <c r="D47" s="244"/>
      <c r="E47" s="260"/>
      <c r="F47" s="288"/>
      <c r="G47" s="288"/>
      <c r="H47" s="277">
        <f>+[65]foreigndebt!G17</f>
        <v>76052000</v>
      </c>
      <c r="I47" s="276"/>
      <c r="J47" s="244"/>
      <c r="K47" s="261"/>
      <c r="L47" s="288"/>
      <c r="M47" s="277">
        <f>+[65]foreigndebt!L17</f>
        <v>0</v>
      </c>
      <c r="N47" s="276"/>
      <c r="O47" s="244"/>
      <c r="P47" s="261"/>
      <c r="Q47" s="288"/>
      <c r="R47" s="277">
        <f>+[65]foreigndebt!Q17</f>
        <v>0</v>
      </c>
      <c r="S47" s="276"/>
      <c r="T47" s="244"/>
      <c r="U47" s="261"/>
      <c r="V47" s="288"/>
      <c r="W47" s="277">
        <f>+[65]foreigndebt!V17</f>
        <v>0</v>
      </c>
      <c r="X47" s="276"/>
      <c r="Y47" s="244"/>
      <c r="Z47" s="261"/>
      <c r="AA47" s="288"/>
      <c r="AB47" s="277">
        <f>+[65]foreigndebt!AA17</f>
        <v>0</v>
      </c>
      <c r="AC47" s="276"/>
      <c r="AD47" s="244"/>
      <c r="AE47" s="261"/>
      <c r="AF47" s="288"/>
      <c r="AG47" s="277">
        <f>+[65]foreigndebt!AF17</f>
        <v>0</v>
      </c>
      <c r="AH47" s="276"/>
      <c r="AI47" s="244"/>
      <c r="AJ47" s="261"/>
      <c r="AK47" s="288"/>
      <c r="AL47" s="277">
        <f>+[65]foreigndebt!AK17</f>
        <v>76052000</v>
      </c>
      <c r="AM47" s="276"/>
      <c r="AN47" s="244"/>
      <c r="AO47" s="261"/>
      <c r="AP47" s="288"/>
      <c r="AQ47" s="277">
        <f>+[65]foreigndebt!AP17</f>
        <v>0</v>
      </c>
      <c r="AR47" s="276"/>
      <c r="AS47" s="244"/>
      <c r="AT47" s="261"/>
      <c r="AU47" s="288"/>
      <c r="AV47" s="277">
        <f>+[65]foreigndebt!AU17</f>
        <v>0</v>
      </c>
      <c r="AW47" s="276"/>
      <c r="AX47" s="244"/>
      <c r="AY47" s="261"/>
      <c r="AZ47" s="288"/>
      <c r="BA47" s="277">
        <f>+[65]foreigndebt!AZ17</f>
        <v>0</v>
      </c>
      <c r="BB47" s="276"/>
      <c r="BC47" s="244"/>
      <c r="BD47" s="261"/>
      <c r="BE47" s="288"/>
      <c r="BF47" s="277">
        <f>+[65]foreigndebt!BE17</f>
        <v>0</v>
      </c>
      <c r="BG47" s="276"/>
      <c r="BH47" s="244"/>
      <c r="BI47" s="261"/>
      <c r="BJ47" s="288"/>
      <c r="BK47" s="277">
        <f>+[65]foreigndebt!BJ17</f>
        <v>0</v>
      </c>
      <c r="BL47" s="276"/>
      <c r="BM47" s="244"/>
      <c r="BN47" s="261"/>
      <c r="BO47" s="288"/>
      <c r="BP47" s="277">
        <f>+[65]foreigndebt!BO17</f>
        <v>0</v>
      </c>
      <c r="BQ47" s="276"/>
      <c r="BR47" s="244"/>
      <c r="BS47" s="261"/>
      <c r="BT47" s="288"/>
      <c r="BU47" s="277">
        <f>+[65]foreigndebt!BT17</f>
        <v>76052000</v>
      </c>
      <c r="BV47" s="276"/>
      <c r="BW47" s="244"/>
      <c r="BX47" s="254"/>
      <c r="CA47" s="268"/>
      <c r="CB47" s="268"/>
    </row>
    <row r="48" spans="1:80" x14ac:dyDescent="0.2">
      <c r="A48" s="244"/>
      <c r="B48" s="244"/>
      <c r="C48" s="254" t="s">
        <v>269</v>
      </c>
      <c r="D48" s="244"/>
      <c r="E48" s="260"/>
      <c r="F48" s="288"/>
      <c r="G48" s="288"/>
      <c r="H48" s="278">
        <f>-[65]foreigndebt!G19</f>
        <v>0</v>
      </c>
      <c r="I48" s="276"/>
      <c r="J48" s="244"/>
      <c r="K48" s="261"/>
      <c r="L48" s="288"/>
      <c r="M48" s="278">
        <f>-[65]foreigndebt!L19</f>
        <v>0</v>
      </c>
      <c r="N48" s="276"/>
      <c r="O48" s="244"/>
      <c r="P48" s="261"/>
      <c r="Q48" s="288"/>
      <c r="R48" s="278">
        <f>-[65]foreigndebt!Q19</f>
        <v>0</v>
      </c>
      <c r="S48" s="276"/>
      <c r="T48" s="244"/>
      <c r="U48" s="261"/>
      <c r="V48" s="288"/>
      <c r="W48" s="278">
        <f>-[65]foreigndebt!V19</f>
        <v>0</v>
      </c>
      <c r="X48" s="276"/>
      <c r="Y48" s="244"/>
      <c r="Z48" s="261"/>
      <c r="AA48" s="288"/>
      <c r="AB48" s="278">
        <f>-[65]foreigndebt!AA19</f>
        <v>0</v>
      </c>
      <c r="AC48" s="276"/>
      <c r="AD48" s="244"/>
      <c r="AE48" s="261"/>
      <c r="AF48" s="288"/>
      <c r="AG48" s="278">
        <f>-[65]foreigndebt!AF19</f>
        <v>0</v>
      </c>
      <c r="AH48" s="276"/>
      <c r="AI48" s="244"/>
      <c r="AJ48" s="261"/>
      <c r="AK48" s="288"/>
      <c r="AL48" s="278">
        <f>-[65]foreigndebt!AK19</f>
        <v>0</v>
      </c>
      <c r="AM48" s="276"/>
      <c r="AN48" s="244"/>
      <c r="AO48" s="261"/>
      <c r="AP48" s="288"/>
      <c r="AQ48" s="278">
        <f>-[65]foreigndebt!AP19</f>
        <v>0</v>
      </c>
      <c r="AR48" s="276"/>
      <c r="AS48" s="244"/>
      <c r="AT48" s="261"/>
      <c r="AU48" s="288"/>
      <c r="AV48" s="278">
        <f>-[65]foreigndebt!AU19</f>
        <v>0</v>
      </c>
      <c r="AW48" s="276"/>
      <c r="AX48" s="244"/>
      <c r="AY48" s="261"/>
      <c r="AZ48" s="288"/>
      <c r="BA48" s="278">
        <f>-[65]foreigndebt!AZ19</f>
        <v>0</v>
      </c>
      <c r="BB48" s="276"/>
      <c r="BC48" s="244"/>
      <c r="BD48" s="261"/>
      <c r="BE48" s="288"/>
      <c r="BF48" s="278">
        <f>-[65]foreigndebt!BE19</f>
        <v>0</v>
      </c>
      <c r="BG48" s="276"/>
      <c r="BH48" s="244"/>
      <c r="BI48" s="261"/>
      <c r="BJ48" s="288"/>
      <c r="BK48" s="278">
        <f>-[65]foreigndebt!BJ19</f>
        <v>0</v>
      </c>
      <c r="BL48" s="276"/>
      <c r="BM48" s="244"/>
      <c r="BN48" s="261"/>
      <c r="BO48" s="288"/>
      <c r="BP48" s="278">
        <f>-[65]foreigndebt!BO19</f>
        <v>0</v>
      </c>
      <c r="BQ48" s="276"/>
      <c r="BR48" s="244"/>
      <c r="BS48" s="261"/>
      <c r="BT48" s="288"/>
      <c r="BU48" s="278">
        <f>-[65]foreigndebt!BT19</f>
        <v>0</v>
      </c>
      <c r="BV48" s="276"/>
      <c r="BW48" s="244"/>
      <c r="BX48" s="254"/>
      <c r="CA48" s="268"/>
      <c r="CB48" s="268"/>
    </row>
    <row r="49" spans="1:80" x14ac:dyDescent="0.2">
      <c r="A49" s="244"/>
      <c r="B49" s="244"/>
      <c r="C49" s="254" t="s">
        <v>271</v>
      </c>
      <c r="D49" s="244"/>
      <c r="E49" s="260"/>
      <c r="F49" s="288"/>
      <c r="G49" s="288"/>
      <c r="H49" s="278"/>
      <c r="I49" s="276"/>
      <c r="J49" s="244"/>
      <c r="K49" s="261"/>
      <c r="L49" s="288"/>
      <c r="M49" s="278"/>
      <c r="N49" s="276"/>
      <c r="O49" s="244"/>
      <c r="P49" s="261"/>
      <c r="Q49" s="288"/>
      <c r="R49" s="278"/>
      <c r="S49" s="276"/>
      <c r="T49" s="244"/>
      <c r="U49" s="261"/>
      <c r="V49" s="288"/>
      <c r="W49" s="278"/>
      <c r="X49" s="276"/>
      <c r="Y49" s="244"/>
      <c r="Z49" s="261"/>
      <c r="AA49" s="288"/>
      <c r="AB49" s="278"/>
      <c r="AC49" s="276"/>
      <c r="AD49" s="244"/>
      <c r="AE49" s="261"/>
      <c r="AF49" s="288"/>
      <c r="AG49" s="278"/>
      <c r="AH49" s="276"/>
      <c r="AI49" s="244"/>
      <c r="AJ49" s="261"/>
      <c r="AK49" s="288"/>
      <c r="AL49" s="278"/>
      <c r="AM49" s="276"/>
      <c r="AN49" s="244"/>
      <c r="AO49" s="261"/>
      <c r="AP49" s="288"/>
      <c r="AQ49" s="278"/>
      <c r="AR49" s="276"/>
      <c r="AS49" s="244"/>
      <c r="AT49" s="261"/>
      <c r="AU49" s="288"/>
      <c r="AV49" s="278"/>
      <c r="AW49" s="276"/>
      <c r="AX49" s="244"/>
      <c r="AY49" s="261"/>
      <c r="AZ49" s="288"/>
      <c r="BA49" s="278"/>
      <c r="BB49" s="276"/>
      <c r="BC49" s="244"/>
      <c r="BD49" s="261"/>
      <c r="BE49" s="288"/>
      <c r="BF49" s="278"/>
      <c r="BG49" s="276"/>
      <c r="BH49" s="244"/>
      <c r="BI49" s="261"/>
      <c r="BJ49" s="288"/>
      <c r="BK49" s="278"/>
      <c r="BL49" s="276"/>
      <c r="BM49" s="244"/>
      <c r="BN49" s="261"/>
      <c r="BO49" s="288"/>
      <c r="BP49" s="278"/>
      <c r="BQ49" s="276"/>
      <c r="BR49" s="244"/>
      <c r="BS49" s="261"/>
      <c r="BT49" s="288"/>
      <c r="BU49" s="278"/>
      <c r="BV49" s="276"/>
      <c r="BW49" s="244"/>
      <c r="BX49" s="254"/>
      <c r="CA49" s="268"/>
      <c r="CB49" s="268"/>
    </row>
    <row r="50" spans="1:80" x14ac:dyDescent="0.2">
      <c r="A50" s="244"/>
      <c r="B50" s="244"/>
      <c r="C50" s="118" t="s">
        <v>284</v>
      </c>
      <c r="D50" s="244"/>
      <c r="E50" s="260"/>
      <c r="F50" s="288"/>
      <c r="G50" s="288"/>
      <c r="H50" s="278">
        <f>-[65]foreigndebt!G109</f>
        <v>-26952000</v>
      </c>
      <c r="I50" s="276"/>
      <c r="J50" s="244"/>
      <c r="K50" s="261"/>
      <c r="L50" s="288"/>
      <c r="M50" s="278">
        <f>-[65]foreigndebt!L109</f>
        <v>-391647</v>
      </c>
      <c r="N50" s="276"/>
      <c r="O50" s="244"/>
      <c r="P50" s="261"/>
      <c r="Q50" s="288"/>
      <c r="R50" s="278">
        <f>-[65]foreigndebt!Q109</f>
        <v>-14120864</v>
      </c>
      <c r="S50" s="276"/>
      <c r="T50" s="244"/>
      <c r="U50" s="261"/>
      <c r="V50" s="288"/>
      <c r="W50" s="278">
        <f>-[65]foreigndebt!V109</f>
        <v>0</v>
      </c>
      <c r="X50" s="276"/>
      <c r="Y50" s="244"/>
      <c r="Z50" s="261"/>
      <c r="AA50" s="288"/>
      <c r="AB50" s="278">
        <f>-[65]foreigndebt!AA109</f>
        <v>0</v>
      </c>
      <c r="AC50" s="276"/>
      <c r="AD50" s="244"/>
      <c r="AE50" s="261"/>
      <c r="AF50" s="288"/>
      <c r="AG50" s="278">
        <f>-[65]foreigndebt!AF109</f>
        <v>0</v>
      </c>
      <c r="AH50" s="276"/>
      <c r="AI50" s="244"/>
      <c r="AJ50" s="261"/>
      <c r="AK50" s="288"/>
      <c r="AL50" s="278">
        <f>-[65]foreigndebt!AK109</f>
        <v>0</v>
      </c>
      <c r="AM50" s="276"/>
      <c r="AN50" s="244"/>
      <c r="AO50" s="261"/>
      <c r="AP50" s="288"/>
      <c r="AQ50" s="278">
        <f>-[65]foreigndebt!AP109</f>
        <v>-391647</v>
      </c>
      <c r="AR50" s="276"/>
      <c r="AS50" s="244"/>
      <c r="AT50" s="261"/>
      <c r="AU50" s="288"/>
      <c r="AV50" s="278">
        <f>-[65]foreigndebt!AU109</f>
        <v>-1940</v>
      </c>
      <c r="AW50" s="276"/>
      <c r="AX50" s="244"/>
      <c r="AY50" s="261"/>
      <c r="AZ50" s="288"/>
      <c r="BA50" s="278">
        <f>-[65]foreigndebt!AZ109</f>
        <v>0</v>
      </c>
      <c r="BB50" s="276"/>
      <c r="BC50" s="244"/>
      <c r="BD50" s="261"/>
      <c r="BE50" s="288"/>
      <c r="BF50" s="278">
        <f>-[65]foreigndebt!BE109</f>
        <v>0</v>
      </c>
      <c r="BG50" s="276"/>
      <c r="BH50" s="244"/>
      <c r="BI50" s="261"/>
      <c r="BJ50" s="288"/>
      <c r="BK50" s="278">
        <f>-[65]foreigndebt!BJ109</f>
        <v>0</v>
      </c>
      <c r="BL50" s="276"/>
      <c r="BM50" s="244"/>
      <c r="BN50" s="261"/>
      <c r="BO50" s="288"/>
      <c r="BP50" s="278">
        <f>-[65]foreigndebt!BO109</f>
        <v>-12046193</v>
      </c>
      <c r="BQ50" s="276"/>
      <c r="BR50" s="244"/>
      <c r="BS50" s="261"/>
      <c r="BT50" s="288"/>
      <c r="BU50" s="278">
        <f>-[65]foreigndebt!BT109</f>
        <v>-26952291</v>
      </c>
      <c r="BV50" s="276"/>
      <c r="BW50" s="244"/>
      <c r="BX50" s="254"/>
      <c r="CA50" s="268"/>
      <c r="CB50" s="268"/>
    </row>
    <row r="51" spans="1:80" x14ac:dyDescent="0.2">
      <c r="A51" s="244"/>
      <c r="B51" s="244"/>
      <c r="C51" s="118" t="s">
        <v>285</v>
      </c>
      <c r="D51" s="244"/>
      <c r="E51" s="260"/>
      <c r="F51" s="288"/>
      <c r="G51" s="288"/>
      <c r="H51" s="281">
        <f>-[65]foreigndebt!G110</f>
        <v>-23256000</v>
      </c>
      <c r="I51" s="276"/>
      <c r="J51" s="244"/>
      <c r="K51" s="261"/>
      <c r="L51" s="288"/>
      <c r="M51" s="281">
        <f>-[65]foreigndebt!L110</f>
        <v>-236802</v>
      </c>
      <c r="N51" s="276"/>
      <c r="O51" s="244"/>
      <c r="P51" s="261"/>
      <c r="Q51" s="288"/>
      <c r="R51" s="281">
        <f>-[65]foreigndebt!Q110</f>
        <v>-11126521</v>
      </c>
      <c r="S51" s="276"/>
      <c r="T51" s="244"/>
      <c r="U51" s="261"/>
      <c r="V51" s="288"/>
      <c r="W51" s="281">
        <f>-[65]foreigndebt!V110</f>
        <v>0</v>
      </c>
      <c r="X51" s="276"/>
      <c r="Y51" s="244"/>
      <c r="Z51" s="261"/>
      <c r="AA51" s="288"/>
      <c r="AB51" s="281">
        <f>-[65]foreigndebt!AA110</f>
        <v>0</v>
      </c>
      <c r="AC51" s="276"/>
      <c r="AD51" s="244"/>
      <c r="AE51" s="261"/>
      <c r="AF51" s="288"/>
      <c r="AG51" s="281">
        <f>-[65]foreigndebt!AF110</f>
        <v>0</v>
      </c>
      <c r="AH51" s="276"/>
      <c r="AI51" s="244"/>
      <c r="AJ51" s="261"/>
      <c r="AK51" s="288"/>
      <c r="AL51" s="281">
        <f>-[65]foreigndebt!AK110</f>
        <v>0</v>
      </c>
      <c r="AM51" s="276"/>
      <c r="AN51" s="244"/>
      <c r="AO51" s="261"/>
      <c r="AP51" s="288"/>
      <c r="AQ51" s="281">
        <f>-[65]foreigndebt!AP110</f>
        <v>-262844</v>
      </c>
      <c r="AR51" s="276"/>
      <c r="AS51" s="244"/>
      <c r="AT51" s="261"/>
      <c r="AU51" s="288"/>
      <c r="AV51" s="281">
        <f>-[65]foreigndebt!AU110</f>
        <v>-4425</v>
      </c>
      <c r="AW51" s="276"/>
      <c r="AX51" s="244"/>
      <c r="AY51" s="261"/>
      <c r="AZ51" s="288"/>
      <c r="BA51" s="281">
        <f>-[65]foreigndebt!AZ110</f>
        <v>0</v>
      </c>
      <c r="BB51" s="276"/>
      <c r="BC51" s="244"/>
      <c r="BD51" s="261"/>
      <c r="BE51" s="288"/>
      <c r="BF51" s="281">
        <f>-[65]foreigndebt!BE110</f>
        <v>0</v>
      </c>
      <c r="BG51" s="276"/>
      <c r="BH51" s="244"/>
      <c r="BI51" s="261"/>
      <c r="BJ51" s="288"/>
      <c r="BK51" s="281">
        <f>-[65]foreigndebt!BJ110</f>
        <v>0</v>
      </c>
      <c r="BL51" s="276"/>
      <c r="BM51" s="244"/>
      <c r="BN51" s="261"/>
      <c r="BO51" s="288"/>
      <c r="BP51" s="281">
        <f>-[65]foreigndebt!BO110</f>
        <v>-12646074</v>
      </c>
      <c r="BQ51" s="276"/>
      <c r="BR51" s="244"/>
      <c r="BS51" s="261"/>
      <c r="BT51" s="288"/>
      <c r="BU51" s="281">
        <f>-[65]foreigndebt!BT110</f>
        <v>-24276666</v>
      </c>
      <c r="BV51" s="276"/>
      <c r="BW51" s="244"/>
      <c r="BX51" s="254"/>
      <c r="CA51" s="268"/>
      <c r="CB51" s="268"/>
    </row>
    <row r="52" spans="1:80" ht="13.9" hidden="1" customHeight="1" x14ac:dyDescent="0.2">
      <c r="A52" s="244"/>
      <c r="B52" s="244"/>
      <c r="C52" s="254"/>
      <c r="D52" s="244"/>
      <c r="E52" s="260"/>
      <c r="F52" s="288"/>
      <c r="G52" s="288"/>
      <c r="H52" s="244"/>
      <c r="I52" s="276"/>
      <c r="J52" s="244"/>
      <c r="K52" s="261"/>
      <c r="L52" s="288"/>
      <c r="M52" s="244"/>
      <c r="N52" s="276"/>
      <c r="O52" s="244"/>
      <c r="P52" s="261"/>
      <c r="Q52" s="288"/>
      <c r="R52" s="244"/>
      <c r="S52" s="276"/>
      <c r="T52" s="244"/>
      <c r="U52" s="261"/>
      <c r="V52" s="288"/>
      <c r="W52" s="244"/>
      <c r="X52" s="276"/>
      <c r="Y52" s="244"/>
      <c r="Z52" s="261"/>
      <c r="AA52" s="288"/>
      <c r="AB52" s="244"/>
      <c r="AC52" s="276"/>
      <c r="AD52" s="244"/>
      <c r="AE52" s="261"/>
      <c r="AF52" s="288"/>
      <c r="AG52" s="244"/>
      <c r="AH52" s="276"/>
      <c r="AI52" s="244"/>
      <c r="AJ52" s="261"/>
      <c r="AK52" s="288"/>
      <c r="AL52" s="244"/>
      <c r="AM52" s="276"/>
      <c r="AN52" s="244"/>
      <c r="AO52" s="261"/>
      <c r="AP52" s="288"/>
      <c r="AQ52" s="244"/>
      <c r="AR52" s="276"/>
      <c r="AS52" s="244"/>
      <c r="AT52" s="261"/>
      <c r="AU52" s="288"/>
      <c r="AV52" s="244"/>
      <c r="AW52" s="276"/>
      <c r="AX52" s="244"/>
      <c r="AY52" s="261"/>
      <c r="AZ52" s="288"/>
      <c r="BA52" s="244"/>
      <c r="BB52" s="276"/>
      <c r="BC52" s="244"/>
      <c r="BD52" s="261"/>
      <c r="BE52" s="288"/>
      <c r="BF52" s="244"/>
      <c r="BG52" s="276"/>
      <c r="BH52" s="244"/>
      <c r="BI52" s="261"/>
      <c r="BJ52" s="288"/>
      <c r="BK52" s="244"/>
      <c r="BL52" s="276"/>
      <c r="BM52" s="244"/>
      <c r="BN52" s="261"/>
      <c r="BO52" s="288"/>
      <c r="BP52" s="244"/>
      <c r="BQ52" s="276"/>
      <c r="BR52" s="244"/>
      <c r="BS52" s="261"/>
      <c r="BT52" s="288"/>
      <c r="BU52" s="244"/>
      <c r="BV52" s="276"/>
      <c r="BW52" s="244"/>
      <c r="BX52" s="254"/>
      <c r="CA52" s="268"/>
      <c r="CB52" s="268"/>
    </row>
    <row r="53" spans="1:80" ht="13.9" hidden="1" customHeight="1" x14ac:dyDescent="0.2">
      <c r="A53" s="244"/>
      <c r="B53" s="244"/>
      <c r="C53" s="254" t="s">
        <v>274</v>
      </c>
      <c r="D53" s="244"/>
      <c r="E53" s="260"/>
      <c r="F53" s="288"/>
      <c r="G53" s="288"/>
      <c r="H53" s="244">
        <f>SUM(H54:H58)</f>
        <v>0</v>
      </c>
      <c r="I53" s="276"/>
      <c r="J53" s="244"/>
      <c r="K53" s="261"/>
      <c r="L53" s="288"/>
      <c r="M53" s="244">
        <f>SUM(M54:M58)</f>
        <v>0</v>
      </c>
      <c r="N53" s="276"/>
      <c r="O53" s="244"/>
      <c r="P53" s="261"/>
      <c r="Q53" s="288"/>
      <c r="R53" s="244">
        <f>SUM(R54:R58)</f>
        <v>0</v>
      </c>
      <c r="S53" s="276"/>
      <c r="T53" s="244"/>
      <c r="U53" s="261"/>
      <c r="V53" s="288"/>
      <c r="W53" s="244">
        <f>SUM(W54:W58)</f>
        <v>0</v>
      </c>
      <c r="X53" s="276"/>
      <c r="Y53" s="244"/>
      <c r="Z53" s="261"/>
      <c r="AA53" s="288"/>
      <c r="AB53" s="244">
        <f>SUM(AB54:AB58)</f>
        <v>0</v>
      </c>
      <c r="AC53" s="276"/>
      <c r="AD53" s="244"/>
      <c r="AE53" s="261"/>
      <c r="AF53" s="288"/>
      <c r="AG53" s="244">
        <f>SUM(AG54:AG58)</f>
        <v>0</v>
      </c>
      <c r="AH53" s="276"/>
      <c r="AI53" s="244"/>
      <c r="AJ53" s="261"/>
      <c r="AK53" s="288"/>
      <c r="AL53" s="244">
        <f>SUM(AL54:AL58)</f>
        <v>0</v>
      </c>
      <c r="AM53" s="276"/>
      <c r="AN53" s="244"/>
      <c r="AO53" s="261"/>
      <c r="AP53" s="288"/>
      <c r="AQ53" s="244">
        <f>SUM(AQ54:AQ58)</f>
        <v>0</v>
      </c>
      <c r="AR53" s="276"/>
      <c r="AS53" s="244"/>
      <c r="AT53" s="261"/>
      <c r="AU53" s="288"/>
      <c r="AV53" s="244">
        <f>SUM(AV54:AV58)</f>
        <v>0</v>
      </c>
      <c r="AW53" s="276"/>
      <c r="AX53" s="244"/>
      <c r="AY53" s="261"/>
      <c r="AZ53" s="288"/>
      <c r="BA53" s="244">
        <f>SUM(BA54:BA58)</f>
        <v>0</v>
      </c>
      <c r="BB53" s="276"/>
      <c r="BC53" s="244"/>
      <c r="BD53" s="261"/>
      <c r="BE53" s="288"/>
      <c r="BF53" s="244">
        <f>SUM(BF54:BF58)</f>
        <v>0</v>
      </c>
      <c r="BG53" s="276"/>
      <c r="BH53" s="244"/>
      <c r="BI53" s="261"/>
      <c r="BJ53" s="288"/>
      <c r="BK53" s="244">
        <f>SUM(BK54:BK58)</f>
        <v>0</v>
      </c>
      <c r="BL53" s="276"/>
      <c r="BM53" s="244"/>
      <c r="BN53" s="261"/>
      <c r="BO53" s="288"/>
      <c r="BP53" s="244">
        <f>SUM(BP54:BP58)</f>
        <v>0</v>
      </c>
      <c r="BQ53" s="276"/>
      <c r="BR53" s="244"/>
      <c r="BS53" s="261"/>
      <c r="BT53" s="288"/>
      <c r="BU53" s="244">
        <f>SUM(BU54:BU58)</f>
        <v>0</v>
      </c>
      <c r="BV53" s="276"/>
      <c r="BW53" s="244"/>
      <c r="BX53" s="254"/>
      <c r="CA53" s="268"/>
      <c r="CB53" s="268"/>
    </row>
    <row r="54" spans="1:80" ht="13.9" hidden="1" customHeight="1" x14ac:dyDescent="0.2">
      <c r="A54" s="244"/>
      <c r="B54" s="244"/>
      <c r="C54" s="254" t="s">
        <v>267</v>
      </c>
      <c r="D54" s="244"/>
      <c r="E54" s="260"/>
      <c r="F54" s="288"/>
      <c r="G54" s="288"/>
      <c r="H54" s="277">
        <f>[65]foreigndebt!G63</f>
        <v>0</v>
      </c>
      <c r="I54" s="276"/>
      <c r="J54" s="244"/>
      <c r="K54" s="261"/>
      <c r="L54" s="288"/>
      <c r="M54" s="277">
        <f>[65]foreigndebt!L63</f>
        <v>0</v>
      </c>
      <c r="N54" s="276"/>
      <c r="O54" s="244"/>
      <c r="P54" s="261"/>
      <c r="Q54" s="288"/>
      <c r="R54" s="277">
        <f>[65]foreigndebt!Q63</f>
        <v>0</v>
      </c>
      <c r="S54" s="276"/>
      <c r="T54" s="244"/>
      <c r="U54" s="261"/>
      <c r="V54" s="288"/>
      <c r="W54" s="277">
        <f>[65]foreigndebt!V63</f>
        <v>0</v>
      </c>
      <c r="X54" s="276"/>
      <c r="Y54" s="244"/>
      <c r="Z54" s="261"/>
      <c r="AA54" s="288"/>
      <c r="AB54" s="277">
        <f>[65]foreigndebt!AA63</f>
        <v>0</v>
      </c>
      <c r="AC54" s="276"/>
      <c r="AD54" s="244"/>
      <c r="AE54" s="261"/>
      <c r="AF54" s="288"/>
      <c r="AG54" s="277">
        <f>[65]foreigndebt!AF63</f>
        <v>0</v>
      </c>
      <c r="AH54" s="276"/>
      <c r="AI54" s="244"/>
      <c r="AJ54" s="261"/>
      <c r="AK54" s="288"/>
      <c r="AL54" s="277">
        <f>[65]foreigndebt!AK63</f>
        <v>0</v>
      </c>
      <c r="AM54" s="276"/>
      <c r="AN54" s="244"/>
      <c r="AO54" s="261"/>
      <c r="AP54" s="288"/>
      <c r="AQ54" s="277">
        <f>[65]foreigndebt!AP63</f>
        <v>0</v>
      </c>
      <c r="AR54" s="276"/>
      <c r="AS54" s="244"/>
      <c r="AT54" s="261"/>
      <c r="AU54" s="288"/>
      <c r="AV54" s="277">
        <f>[65]foreigndebt!AU63</f>
        <v>0</v>
      </c>
      <c r="AW54" s="276"/>
      <c r="AX54" s="244"/>
      <c r="AY54" s="261"/>
      <c r="AZ54" s="288"/>
      <c r="BA54" s="277">
        <f>[65]foreigndebt!AZ63</f>
        <v>0</v>
      </c>
      <c r="BB54" s="276"/>
      <c r="BC54" s="244"/>
      <c r="BD54" s="261"/>
      <c r="BE54" s="288"/>
      <c r="BF54" s="277">
        <f>[65]foreigndebt!BE63</f>
        <v>0</v>
      </c>
      <c r="BG54" s="276"/>
      <c r="BH54" s="244"/>
      <c r="BI54" s="261"/>
      <c r="BJ54" s="288"/>
      <c r="BK54" s="277">
        <f>[65]foreigndebt!BJ63</f>
        <v>0</v>
      </c>
      <c r="BL54" s="276"/>
      <c r="BM54" s="244"/>
      <c r="BN54" s="261"/>
      <c r="BO54" s="288"/>
      <c r="BP54" s="277">
        <f>[65]foreigndebt!BO63</f>
        <v>0</v>
      </c>
      <c r="BQ54" s="276"/>
      <c r="BR54" s="244"/>
      <c r="BS54" s="261"/>
      <c r="BT54" s="288"/>
      <c r="BU54" s="277">
        <f>[65]foreigndebt!BT63</f>
        <v>0</v>
      </c>
      <c r="BV54" s="276"/>
      <c r="BW54" s="244"/>
      <c r="BX54" s="254"/>
      <c r="CA54" s="268"/>
      <c r="CB54" s="268"/>
    </row>
    <row r="55" spans="1:80" ht="13.9" hidden="1" customHeight="1" x14ac:dyDescent="0.2">
      <c r="A55" s="244"/>
      <c r="B55" s="244"/>
      <c r="C55" s="254" t="s">
        <v>269</v>
      </c>
      <c r="D55" s="244"/>
      <c r="E55" s="260"/>
      <c r="F55" s="288"/>
      <c r="G55" s="288"/>
      <c r="H55" s="278">
        <f>-[65]foreigndebt!G65</f>
        <v>0</v>
      </c>
      <c r="I55" s="276"/>
      <c r="J55" s="244"/>
      <c r="K55" s="261"/>
      <c r="L55" s="288"/>
      <c r="M55" s="278">
        <f>-[65]foreigndebt!L65</f>
        <v>0</v>
      </c>
      <c r="N55" s="276"/>
      <c r="O55" s="244"/>
      <c r="P55" s="261"/>
      <c r="Q55" s="288"/>
      <c r="R55" s="278">
        <f>-[65]foreigndebt!Q65</f>
        <v>0</v>
      </c>
      <c r="S55" s="276"/>
      <c r="T55" s="244"/>
      <c r="U55" s="261"/>
      <c r="V55" s="288"/>
      <c r="W55" s="278">
        <f>-[65]foreigndebt!V65</f>
        <v>0</v>
      </c>
      <c r="X55" s="276"/>
      <c r="Y55" s="244"/>
      <c r="Z55" s="261"/>
      <c r="AA55" s="288"/>
      <c r="AB55" s="278">
        <f>-[65]foreigndebt!AA65</f>
        <v>0</v>
      </c>
      <c r="AC55" s="276"/>
      <c r="AD55" s="244"/>
      <c r="AE55" s="261"/>
      <c r="AF55" s="288"/>
      <c r="AG55" s="278">
        <f>-[65]foreigndebt!AF65</f>
        <v>0</v>
      </c>
      <c r="AH55" s="276"/>
      <c r="AI55" s="244"/>
      <c r="AJ55" s="261"/>
      <c r="AK55" s="288"/>
      <c r="AL55" s="278">
        <f>-[65]foreigndebt!AK65</f>
        <v>0</v>
      </c>
      <c r="AM55" s="276"/>
      <c r="AN55" s="244"/>
      <c r="AO55" s="261"/>
      <c r="AP55" s="288"/>
      <c r="AQ55" s="278">
        <f>-[65]foreigndebt!AP65</f>
        <v>0</v>
      </c>
      <c r="AR55" s="276"/>
      <c r="AS55" s="244"/>
      <c r="AT55" s="261"/>
      <c r="AU55" s="288"/>
      <c r="AV55" s="278">
        <f>-[65]foreigndebt!AU65</f>
        <v>0</v>
      </c>
      <c r="AW55" s="276"/>
      <c r="AX55" s="244"/>
      <c r="AY55" s="261"/>
      <c r="AZ55" s="288"/>
      <c r="BA55" s="278">
        <f>-[65]foreigndebt!AZ65</f>
        <v>0</v>
      </c>
      <c r="BB55" s="276"/>
      <c r="BC55" s="244"/>
      <c r="BD55" s="261"/>
      <c r="BE55" s="288"/>
      <c r="BF55" s="278">
        <f>-[65]foreigndebt!BE65</f>
        <v>0</v>
      </c>
      <c r="BG55" s="276"/>
      <c r="BH55" s="244"/>
      <c r="BI55" s="261"/>
      <c r="BJ55" s="288"/>
      <c r="BK55" s="278">
        <f>-[65]foreigndebt!BJ65</f>
        <v>0</v>
      </c>
      <c r="BL55" s="276"/>
      <c r="BM55" s="244"/>
      <c r="BN55" s="261"/>
      <c r="BO55" s="288"/>
      <c r="BP55" s="278">
        <f>-[65]foreigndebt!BO65</f>
        <v>0</v>
      </c>
      <c r="BQ55" s="276"/>
      <c r="BR55" s="244"/>
      <c r="BS55" s="261"/>
      <c r="BT55" s="288"/>
      <c r="BU55" s="278">
        <f>-[65]foreigndebt!BT65</f>
        <v>0</v>
      </c>
      <c r="BV55" s="276"/>
      <c r="BW55" s="244"/>
      <c r="BX55" s="254"/>
      <c r="CA55" s="268"/>
      <c r="CB55" s="268"/>
    </row>
    <row r="56" spans="1:80" ht="13.9" hidden="1" customHeight="1" x14ac:dyDescent="0.2">
      <c r="A56" s="244"/>
      <c r="B56" s="244"/>
      <c r="C56" s="254" t="s">
        <v>286</v>
      </c>
      <c r="D56" s="244"/>
      <c r="E56" s="260"/>
      <c r="F56" s="288"/>
      <c r="G56" s="288"/>
      <c r="H56" s="278"/>
      <c r="I56" s="276"/>
      <c r="J56" s="244"/>
      <c r="K56" s="261"/>
      <c r="L56" s="288"/>
      <c r="M56" s="278"/>
      <c r="N56" s="276"/>
      <c r="O56" s="244"/>
      <c r="P56" s="261"/>
      <c r="Q56" s="288"/>
      <c r="R56" s="278"/>
      <c r="S56" s="276"/>
      <c r="T56" s="244"/>
      <c r="U56" s="261"/>
      <c r="V56" s="288"/>
      <c r="W56" s="278"/>
      <c r="X56" s="276"/>
      <c r="Y56" s="244"/>
      <c r="Z56" s="261"/>
      <c r="AA56" s="288"/>
      <c r="AB56" s="278"/>
      <c r="AC56" s="276"/>
      <c r="AD56" s="244"/>
      <c r="AE56" s="261"/>
      <c r="AF56" s="288"/>
      <c r="AG56" s="278"/>
      <c r="AH56" s="276"/>
      <c r="AI56" s="244"/>
      <c r="AJ56" s="261"/>
      <c r="AK56" s="288"/>
      <c r="AL56" s="278"/>
      <c r="AM56" s="276"/>
      <c r="AN56" s="244"/>
      <c r="AO56" s="261"/>
      <c r="AP56" s="288"/>
      <c r="AQ56" s="278"/>
      <c r="AR56" s="276"/>
      <c r="AS56" s="244"/>
      <c r="AT56" s="261"/>
      <c r="AU56" s="288"/>
      <c r="AV56" s="278"/>
      <c r="AW56" s="276"/>
      <c r="AX56" s="244"/>
      <c r="AY56" s="261"/>
      <c r="AZ56" s="288"/>
      <c r="BA56" s="278"/>
      <c r="BB56" s="276"/>
      <c r="BC56" s="244"/>
      <c r="BD56" s="261"/>
      <c r="BE56" s="288"/>
      <c r="BF56" s="278"/>
      <c r="BG56" s="276"/>
      <c r="BH56" s="244"/>
      <c r="BI56" s="261"/>
      <c r="BJ56" s="288"/>
      <c r="BK56" s="278"/>
      <c r="BL56" s="276"/>
      <c r="BM56" s="244"/>
      <c r="BN56" s="261"/>
      <c r="BO56" s="288"/>
      <c r="BP56" s="278"/>
      <c r="BQ56" s="276"/>
      <c r="BR56" s="244"/>
      <c r="BS56" s="261"/>
      <c r="BT56" s="288"/>
      <c r="BU56" s="278"/>
      <c r="BV56" s="276"/>
      <c r="BW56" s="244"/>
      <c r="BX56" s="254"/>
      <c r="CA56" s="268"/>
      <c r="CB56" s="268"/>
    </row>
    <row r="57" spans="1:80" ht="13.9" hidden="1" customHeight="1" x14ac:dyDescent="0.2">
      <c r="A57" s="244"/>
      <c r="B57" s="244"/>
      <c r="C57" s="118" t="s">
        <v>287</v>
      </c>
      <c r="D57" s="244"/>
      <c r="E57" s="260"/>
      <c r="F57" s="288"/>
      <c r="G57" s="288"/>
      <c r="H57" s="278">
        <f>-[65]foreigndebt!G157</f>
        <v>0</v>
      </c>
      <c r="I57" s="276"/>
      <c r="J57" s="244"/>
      <c r="K57" s="261"/>
      <c r="L57" s="288"/>
      <c r="M57" s="278">
        <f>-[65]foreigndebt!L157</f>
        <v>0</v>
      </c>
      <c r="N57" s="276"/>
      <c r="O57" s="244"/>
      <c r="P57" s="261"/>
      <c r="Q57" s="288"/>
      <c r="R57" s="278">
        <f>-[65]foreigndebt!Q157</f>
        <v>0</v>
      </c>
      <c r="S57" s="276"/>
      <c r="T57" s="244"/>
      <c r="U57" s="261"/>
      <c r="V57" s="288"/>
      <c r="W57" s="278">
        <f>-[65]foreigndebt!V157</f>
        <v>0</v>
      </c>
      <c r="X57" s="276"/>
      <c r="Y57" s="244"/>
      <c r="Z57" s="261"/>
      <c r="AA57" s="288"/>
      <c r="AB57" s="278">
        <f>-[65]foreigndebt!AA157</f>
        <v>0</v>
      </c>
      <c r="AC57" s="276"/>
      <c r="AD57" s="244"/>
      <c r="AE57" s="261"/>
      <c r="AF57" s="288"/>
      <c r="AG57" s="278">
        <f>-[65]foreigndebt!AF157</f>
        <v>0</v>
      </c>
      <c r="AH57" s="276"/>
      <c r="AI57" s="244"/>
      <c r="AJ57" s="261"/>
      <c r="AK57" s="288"/>
      <c r="AL57" s="278">
        <f>-[65]foreigndebt!AK157</f>
        <v>0</v>
      </c>
      <c r="AM57" s="276"/>
      <c r="AN57" s="244"/>
      <c r="AO57" s="261"/>
      <c r="AP57" s="288"/>
      <c r="AQ57" s="278">
        <f>-[65]foreigndebt!AP157</f>
        <v>0</v>
      </c>
      <c r="AR57" s="276"/>
      <c r="AS57" s="244"/>
      <c r="AT57" s="261"/>
      <c r="AU57" s="288"/>
      <c r="AV57" s="278">
        <f>-[65]foreigndebt!AU157</f>
        <v>0</v>
      </c>
      <c r="AW57" s="276"/>
      <c r="AX57" s="244"/>
      <c r="AY57" s="261"/>
      <c r="AZ57" s="288"/>
      <c r="BA57" s="278">
        <f>-[65]foreigndebt!AZ157</f>
        <v>0</v>
      </c>
      <c r="BB57" s="276"/>
      <c r="BC57" s="244"/>
      <c r="BD57" s="261"/>
      <c r="BE57" s="288"/>
      <c r="BF57" s="278">
        <f>-[65]foreigndebt!BE157</f>
        <v>0</v>
      </c>
      <c r="BG57" s="276"/>
      <c r="BH57" s="244"/>
      <c r="BI57" s="261"/>
      <c r="BJ57" s="288"/>
      <c r="BK57" s="278">
        <f>-[65]foreigndebt!BJ157</f>
        <v>0</v>
      </c>
      <c r="BL57" s="276"/>
      <c r="BM57" s="244"/>
      <c r="BN57" s="261"/>
      <c r="BO57" s="288"/>
      <c r="BP57" s="278">
        <f>-[65]foreigndebt!BO157</f>
        <v>0</v>
      </c>
      <c r="BQ57" s="276"/>
      <c r="BR57" s="244"/>
      <c r="BS57" s="261"/>
      <c r="BT57" s="288"/>
      <c r="BU57" s="278">
        <f>-[65]foreigndebt!BT157</f>
        <v>0</v>
      </c>
      <c r="BV57" s="276"/>
      <c r="BW57" s="244"/>
      <c r="BX57" s="254"/>
      <c r="CA57" s="268"/>
      <c r="CB57" s="268"/>
    </row>
    <row r="58" spans="1:80" ht="13.9" hidden="1" customHeight="1" x14ac:dyDescent="0.2">
      <c r="A58" s="244"/>
      <c r="B58" s="244"/>
      <c r="C58" s="118" t="s">
        <v>288</v>
      </c>
      <c r="D58" s="244"/>
      <c r="E58" s="260"/>
      <c r="F58" s="288"/>
      <c r="G58" s="288"/>
      <c r="H58" s="281">
        <f>-[65]foreigndebt!G158</f>
        <v>0</v>
      </c>
      <c r="I58" s="276"/>
      <c r="J58" s="244"/>
      <c r="K58" s="261"/>
      <c r="L58" s="288"/>
      <c r="M58" s="281">
        <f>-[65]foreigndebt!L158</f>
        <v>0</v>
      </c>
      <c r="N58" s="276"/>
      <c r="O58" s="244"/>
      <c r="P58" s="261"/>
      <c r="Q58" s="288"/>
      <c r="R58" s="281">
        <f>-[65]foreigndebt!Q158</f>
        <v>0</v>
      </c>
      <c r="S58" s="276"/>
      <c r="T58" s="244"/>
      <c r="U58" s="261"/>
      <c r="V58" s="288"/>
      <c r="W58" s="281">
        <f>-[65]foreigndebt!V158</f>
        <v>0</v>
      </c>
      <c r="X58" s="276"/>
      <c r="Y58" s="244"/>
      <c r="Z58" s="261"/>
      <c r="AA58" s="288"/>
      <c r="AB58" s="281">
        <f>-[65]foreigndebt!AA158</f>
        <v>0</v>
      </c>
      <c r="AC58" s="276"/>
      <c r="AD58" s="244"/>
      <c r="AE58" s="261"/>
      <c r="AF58" s="288"/>
      <c r="AG58" s="281">
        <f>-[65]foreigndebt!AF158</f>
        <v>0</v>
      </c>
      <c r="AH58" s="276"/>
      <c r="AI58" s="244"/>
      <c r="AJ58" s="261"/>
      <c r="AK58" s="288"/>
      <c r="AL58" s="281">
        <f>-[65]foreigndebt!AK158</f>
        <v>0</v>
      </c>
      <c r="AM58" s="276"/>
      <c r="AN58" s="244"/>
      <c r="AO58" s="261"/>
      <c r="AP58" s="288"/>
      <c r="AQ58" s="281">
        <f>-[65]foreigndebt!AP158</f>
        <v>0</v>
      </c>
      <c r="AR58" s="276"/>
      <c r="AS58" s="244"/>
      <c r="AT58" s="261"/>
      <c r="AU58" s="288"/>
      <c r="AV58" s="281">
        <f>-[65]foreigndebt!AU158</f>
        <v>0</v>
      </c>
      <c r="AW58" s="276"/>
      <c r="AX58" s="244"/>
      <c r="AY58" s="261"/>
      <c r="AZ58" s="288"/>
      <c r="BA58" s="281">
        <f>-[65]foreigndebt!AZ158</f>
        <v>0</v>
      </c>
      <c r="BB58" s="276"/>
      <c r="BC58" s="244"/>
      <c r="BD58" s="261"/>
      <c r="BE58" s="288"/>
      <c r="BF58" s="281">
        <f>-[65]foreigndebt!BE158</f>
        <v>0</v>
      </c>
      <c r="BG58" s="276"/>
      <c r="BH58" s="244"/>
      <c r="BI58" s="261"/>
      <c r="BJ58" s="288"/>
      <c r="BK58" s="281">
        <f>-[65]foreigndebt!BJ158</f>
        <v>0</v>
      </c>
      <c r="BL58" s="276"/>
      <c r="BM58" s="244"/>
      <c r="BN58" s="261"/>
      <c r="BO58" s="288"/>
      <c r="BP58" s="281">
        <f>-[65]foreigndebt!BO158</f>
        <v>0</v>
      </c>
      <c r="BQ58" s="276"/>
      <c r="BR58" s="244"/>
      <c r="BS58" s="261"/>
      <c r="BT58" s="288"/>
      <c r="BU58" s="281">
        <f>-[65]foreigndebt!BT158</f>
        <v>0</v>
      </c>
      <c r="BV58" s="276"/>
      <c r="BW58" s="244"/>
      <c r="BX58" s="254"/>
      <c r="CA58" s="268"/>
      <c r="CB58" s="268"/>
    </row>
    <row r="59" spans="1:80" ht="13.9" hidden="1" customHeight="1" x14ac:dyDescent="0.2">
      <c r="A59" s="244"/>
      <c r="B59" s="244"/>
      <c r="C59" s="254"/>
      <c r="D59" s="244"/>
      <c r="E59" s="260"/>
      <c r="F59" s="288"/>
      <c r="G59" s="288"/>
      <c r="H59" s="244"/>
      <c r="I59" s="276"/>
      <c r="J59" s="244"/>
      <c r="K59" s="261"/>
      <c r="L59" s="288"/>
      <c r="M59" s="244"/>
      <c r="N59" s="276"/>
      <c r="O59" s="244"/>
      <c r="P59" s="261"/>
      <c r="Q59" s="288"/>
      <c r="R59" s="244"/>
      <c r="S59" s="276"/>
      <c r="T59" s="244"/>
      <c r="U59" s="261"/>
      <c r="V59" s="288"/>
      <c r="W59" s="244"/>
      <c r="X59" s="276"/>
      <c r="Y59" s="244"/>
      <c r="Z59" s="261"/>
      <c r="AA59" s="288"/>
      <c r="AB59" s="244"/>
      <c r="AC59" s="276"/>
      <c r="AD59" s="244"/>
      <c r="AE59" s="261"/>
      <c r="AF59" s="288"/>
      <c r="AG59" s="244"/>
      <c r="AH59" s="276"/>
      <c r="AI59" s="244"/>
      <c r="AJ59" s="261"/>
      <c r="AK59" s="288"/>
      <c r="AL59" s="244"/>
      <c r="AM59" s="276"/>
      <c r="AN59" s="244"/>
      <c r="AO59" s="261"/>
      <c r="AP59" s="288"/>
      <c r="AQ59" s="244"/>
      <c r="AR59" s="276"/>
      <c r="AS59" s="244"/>
      <c r="AT59" s="261"/>
      <c r="AU59" s="288"/>
      <c r="AV59" s="244"/>
      <c r="AW59" s="276"/>
      <c r="AX59" s="244"/>
      <c r="AY59" s="261"/>
      <c r="AZ59" s="288"/>
      <c r="BA59" s="244"/>
      <c r="BB59" s="276"/>
      <c r="BC59" s="244"/>
      <c r="BD59" s="261"/>
      <c r="BE59" s="288"/>
      <c r="BF59" s="244"/>
      <c r="BG59" s="276"/>
      <c r="BH59" s="244"/>
      <c r="BI59" s="261"/>
      <c r="BJ59" s="288"/>
      <c r="BK59" s="244"/>
      <c r="BL59" s="276"/>
      <c r="BM59" s="244"/>
      <c r="BN59" s="261"/>
      <c r="BO59" s="288"/>
      <c r="BP59" s="244"/>
      <c r="BQ59" s="276"/>
      <c r="BR59" s="244"/>
      <c r="BS59" s="261"/>
      <c r="BT59" s="288"/>
      <c r="BU59" s="244"/>
      <c r="BV59" s="276"/>
      <c r="BW59" s="244"/>
      <c r="BX59" s="254"/>
      <c r="CA59" s="268"/>
      <c r="CB59" s="268"/>
    </row>
    <row r="60" spans="1:80" ht="12.75" hidden="1" customHeight="1" x14ac:dyDescent="0.2">
      <c r="A60" s="244"/>
      <c r="B60" s="244"/>
      <c r="C60" s="254" t="s">
        <v>289</v>
      </c>
      <c r="D60" s="244"/>
      <c r="E60" s="260"/>
      <c r="F60" s="288"/>
      <c r="G60" s="288"/>
      <c r="H60" s="244">
        <v>0</v>
      </c>
      <c r="I60" s="276"/>
      <c r="J60" s="244"/>
      <c r="K60" s="261"/>
      <c r="L60" s="288"/>
      <c r="M60" s="244">
        <f>SUM(M61:M65)</f>
        <v>0</v>
      </c>
      <c r="N60" s="276"/>
      <c r="O60" s="244"/>
      <c r="P60" s="261"/>
      <c r="Q60" s="288"/>
      <c r="R60" s="244">
        <f>SUM(R61:R65)</f>
        <v>0</v>
      </c>
      <c r="S60" s="276"/>
      <c r="T60" s="244"/>
      <c r="U60" s="261"/>
      <c r="V60" s="288"/>
      <c r="W60" s="244">
        <f>SUM(W61:W65)</f>
        <v>0</v>
      </c>
      <c r="X60" s="276"/>
      <c r="Y60" s="244"/>
      <c r="Z60" s="261"/>
      <c r="AA60" s="288"/>
      <c r="AB60" s="244">
        <f>SUM(AB61:AB65)</f>
        <v>0</v>
      </c>
      <c r="AC60" s="276"/>
      <c r="AD60" s="244"/>
      <c r="AE60" s="261"/>
      <c r="AF60" s="288"/>
      <c r="AG60" s="244">
        <f>SUM(AG61:AG65)</f>
        <v>0</v>
      </c>
      <c r="AH60" s="276"/>
      <c r="AI60" s="244"/>
      <c r="AJ60" s="261"/>
      <c r="AK60" s="288"/>
      <c r="AL60" s="244">
        <f>SUM(AL61:AL65)</f>
        <v>0</v>
      </c>
      <c r="AM60" s="276"/>
      <c r="AN60" s="244"/>
      <c r="AO60" s="261"/>
      <c r="AP60" s="288"/>
      <c r="AQ60" s="244">
        <f>SUM(AQ61:AQ65)</f>
        <v>0</v>
      </c>
      <c r="AR60" s="276"/>
      <c r="AS60" s="244"/>
      <c r="AT60" s="261"/>
      <c r="AU60" s="288"/>
      <c r="AV60" s="244">
        <f>SUM(AV61:AV65)</f>
        <v>0</v>
      </c>
      <c r="AW60" s="276"/>
      <c r="AX60" s="244"/>
      <c r="AY60" s="261"/>
      <c r="AZ60" s="288"/>
      <c r="BA60" s="244">
        <f>SUM(BA61:BA65)</f>
        <v>0</v>
      </c>
      <c r="BB60" s="276"/>
      <c r="BC60" s="244"/>
      <c r="BD60" s="261"/>
      <c r="BE60" s="288"/>
      <c r="BF60" s="244">
        <f>SUM(BF61:BF65)</f>
        <v>0</v>
      </c>
      <c r="BG60" s="276"/>
      <c r="BH60" s="244"/>
      <c r="BI60" s="261"/>
      <c r="BJ60" s="288"/>
      <c r="BK60" s="244">
        <f>SUM(BK61:BK65)</f>
        <v>0</v>
      </c>
      <c r="BL60" s="276"/>
      <c r="BM60" s="244"/>
      <c r="BN60" s="261"/>
      <c r="BO60" s="288"/>
      <c r="BP60" s="244">
        <f>SUM(BP61:BP65)</f>
        <v>0</v>
      </c>
      <c r="BQ60" s="276"/>
      <c r="BR60" s="244"/>
      <c r="BS60" s="261"/>
      <c r="BT60" s="288"/>
      <c r="BU60" s="244">
        <f>SUM(BU61:BU65)</f>
        <v>0</v>
      </c>
      <c r="BV60" s="276"/>
      <c r="BW60" s="244"/>
      <c r="BX60" s="254"/>
      <c r="CA60" s="268"/>
      <c r="CB60" s="268"/>
    </row>
    <row r="61" spans="1:80" ht="13.9" hidden="1" customHeight="1" x14ac:dyDescent="0.2">
      <c r="A61" s="244"/>
      <c r="B61" s="244"/>
      <c r="C61" s="254" t="s">
        <v>267</v>
      </c>
      <c r="D61" s="244"/>
      <c r="E61" s="260"/>
      <c r="F61" s="288"/>
      <c r="G61" s="288"/>
      <c r="H61" s="277">
        <v>0</v>
      </c>
      <c r="I61" s="276"/>
      <c r="J61" s="244"/>
      <c r="K61" s="261"/>
      <c r="L61" s="288"/>
      <c r="M61" s="277">
        <f>[65]foreigndebt!L73</f>
        <v>0</v>
      </c>
      <c r="N61" s="276"/>
      <c r="O61" s="244"/>
      <c r="P61" s="261"/>
      <c r="Q61" s="288"/>
      <c r="R61" s="277">
        <f>[65]foreigndebt!Q73</f>
        <v>0</v>
      </c>
      <c r="S61" s="276"/>
      <c r="T61" s="244"/>
      <c r="U61" s="261"/>
      <c r="V61" s="288"/>
      <c r="W61" s="277">
        <f>[65]foreigndebt!V73</f>
        <v>0</v>
      </c>
      <c r="X61" s="276"/>
      <c r="Y61" s="244"/>
      <c r="Z61" s="261"/>
      <c r="AA61" s="288"/>
      <c r="AB61" s="277">
        <f>[65]foreigndebt!AA73</f>
        <v>0</v>
      </c>
      <c r="AC61" s="276"/>
      <c r="AD61" s="244"/>
      <c r="AE61" s="261"/>
      <c r="AF61" s="288"/>
      <c r="AG61" s="277">
        <f>[65]foreigndebt!AF73</f>
        <v>0</v>
      </c>
      <c r="AH61" s="276"/>
      <c r="AI61" s="244"/>
      <c r="AJ61" s="261"/>
      <c r="AK61" s="288"/>
      <c r="AL61" s="277">
        <f>[65]foreigndebt!AK73</f>
        <v>0</v>
      </c>
      <c r="AM61" s="276"/>
      <c r="AN61" s="244"/>
      <c r="AO61" s="261"/>
      <c r="AP61" s="288"/>
      <c r="AQ61" s="277">
        <f>[65]foreigndebt!AP73</f>
        <v>0</v>
      </c>
      <c r="AR61" s="276"/>
      <c r="AS61" s="244"/>
      <c r="AT61" s="261"/>
      <c r="AU61" s="288"/>
      <c r="AV61" s="277">
        <f>[65]foreigndebt!AU73</f>
        <v>0</v>
      </c>
      <c r="AW61" s="276"/>
      <c r="AX61" s="244"/>
      <c r="AY61" s="261"/>
      <c r="AZ61" s="288"/>
      <c r="BA61" s="277">
        <f>[65]foreigndebt!AZ73</f>
        <v>0</v>
      </c>
      <c r="BB61" s="276"/>
      <c r="BC61" s="244"/>
      <c r="BD61" s="261"/>
      <c r="BE61" s="288"/>
      <c r="BF61" s="277">
        <f>[65]foreigndebt!BE73</f>
        <v>0</v>
      </c>
      <c r="BG61" s="276"/>
      <c r="BH61" s="244"/>
      <c r="BI61" s="261"/>
      <c r="BJ61" s="288"/>
      <c r="BK61" s="277">
        <f>[65]foreigndebt!BJ73</f>
        <v>0</v>
      </c>
      <c r="BL61" s="276"/>
      <c r="BM61" s="244"/>
      <c r="BN61" s="261"/>
      <c r="BO61" s="288"/>
      <c r="BP61" s="277">
        <f>[65]foreigndebt!BO73</f>
        <v>0</v>
      </c>
      <c r="BQ61" s="276"/>
      <c r="BR61" s="244"/>
      <c r="BS61" s="261"/>
      <c r="BT61" s="288"/>
      <c r="BU61" s="277">
        <f>[65]foreigndebt!BT73</f>
        <v>0</v>
      </c>
      <c r="BV61" s="276"/>
      <c r="BW61" s="244"/>
      <c r="BX61" s="254"/>
      <c r="CA61" s="268"/>
      <c r="CB61" s="268"/>
    </row>
    <row r="62" spans="1:80" ht="13.9" hidden="1" customHeight="1" x14ac:dyDescent="0.2">
      <c r="A62" s="244"/>
      <c r="B62" s="244"/>
      <c r="C62" s="254" t="s">
        <v>269</v>
      </c>
      <c r="D62" s="244"/>
      <c r="E62" s="260"/>
      <c r="F62" s="288"/>
      <c r="G62" s="288"/>
      <c r="H62" s="278">
        <v>0</v>
      </c>
      <c r="I62" s="276"/>
      <c r="J62" s="244"/>
      <c r="K62" s="261"/>
      <c r="L62" s="288"/>
      <c r="M62" s="278">
        <f>-[65]foreigndebt!L75</f>
        <v>0</v>
      </c>
      <c r="N62" s="276"/>
      <c r="O62" s="244"/>
      <c r="P62" s="261"/>
      <c r="Q62" s="288"/>
      <c r="R62" s="278">
        <f>-[65]foreigndebt!Q75</f>
        <v>0</v>
      </c>
      <c r="S62" s="276"/>
      <c r="T62" s="244"/>
      <c r="U62" s="261"/>
      <c r="V62" s="288"/>
      <c r="W62" s="278">
        <f>-[65]foreigndebt!V75</f>
        <v>0</v>
      </c>
      <c r="X62" s="276"/>
      <c r="Y62" s="244"/>
      <c r="Z62" s="261"/>
      <c r="AA62" s="288"/>
      <c r="AB62" s="278">
        <f>-[65]foreigndebt!AA75</f>
        <v>0</v>
      </c>
      <c r="AC62" s="276"/>
      <c r="AD62" s="244"/>
      <c r="AE62" s="261"/>
      <c r="AF62" s="288"/>
      <c r="AG62" s="278">
        <f>-[65]foreigndebt!AF75</f>
        <v>0</v>
      </c>
      <c r="AH62" s="276"/>
      <c r="AI62" s="244"/>
      <c r="AJ62" s="261"/>
      <c r="AK62" s="288"/>
      <c r="AL62" s="278">
        <f>-[65]foreigndebt!AK75</f>
        <v>0</v>
      </c>
      <c r="AM62" s="276"/>
      <c r="AN62" s="244"/>
      <c r="AO62" s="261"/>
      <c r="AP62" s="288"/>
      <c r="AQ62" s="278">
        <f>-[65]foreigndebt!AP75</f>
        <v>0</v>
      </c>
      <c r="AR62" s="276"/>
      <c r="AS62" s="244"/>
      <c r="AT62" s="261"/>
      <c r="AU62" s="288"/>
      <c r="AV62" s="278">
        <f>-[65]foreigndebt!AU75</f>
        <v>0</v>
      </c>
      <c r="AW62" s="276"/>
      <c r="AX62" s="244"/>
      <c r="AY62" s="261"/>
      <c r="AZ62" s="288"/>
      <c r="BA62" s="278">
        <f>-[65]foreigndebt!AZ75</f>
        <v>0</v>
      </c>
      <c r="BB62" s="276"/>
      <c r="BC62" s="244"/>
      <c r="BD62" s="261"/>
      <c r="BE62" s="288"/>
      <c r="BF62" s="278">
        <f>-[65]foreigndebt!BE75</f>
        <v>0</v>
      </c>
      <c r="BG62" s="276"/>
      <c r="BH62" s="244"/>
      <c r="BI62" s="261"/>
      <c r="BJ62" s="288"/>
      <c r="BK62" s="278">
        <f>-[65]foreigndebt!BJ75</f>
        <v>0</v>
      </c>
      <c r="BL62" s="276"/>
      <c r="BM62" s="244"/>
      <c r="BN62" s="261"/>
      <c r="BO62" s="288"/>
      <c r="BP62" s="278">
        <f>-[65]foreigndebt!BO75</f>
        <v>0</v>
      </c>
      <c r="BQ62" s="276"/>
      <c r="BR62" s="244"/>
      <c r="BS62" s="261"/>
      <c r="BT62" s="288"/>
      <c r="BU62" s="278">
        <f>-[65]foreigndebt!BT75</f>
        <v>0</v>
      </c>
      <c r="BV62" s="276"/>
      <c r="BW62" s="244"/>
      <c r="BX62" s="254"/>
      <c r="CA62" s="268"/>
      <c r="CB62" s="268"/>
    </row>
    <row r="63" spans="1:80" ht="13.9" hidden="1" customHeight="1" x14ac:dyDescent="0.2">
      <c r="A63" s="244"/>
      <c r="B63" s="244"/>
      <c r="C63" s="254" t="s">
        <v>273</v>
      </c>
      <c r="D63" s="244"/>
      <c r="E63" s="260"/>
      <c r="F63" s="288"/>
      <c r="G63" s="288"/>
      <c r="H63" s="278"/>
      <c r="I63" s="276"/>
      <c r="J63" s="244"/>
      <c r="K63" s="261"/>
      <c r="L63" s="288"/>
      <c r="M63" s="278"/>
      <c r="N63" s="276"/>
      <c r="O63" s="244"/>
      <c r="P63" s="261"/>
      <c r="Q63" s="288"/>
      <c r="R63" s="278"/>
      <c r="S63" s="276"/>
      <c r="T63" s="244"/>
      <c r="U63" s="261"/>
      <c r="V63" s="288"/>
      <c r="W63" s="278"/>
      <c r="X63" s="276"/>
      <c r="Y63" s="244"/>
      <c r="Z63" s="261"/>
      <c r="AA63" s="288"/>
      <c r="AB63" s="278"/>
      <c r="AC63" s="276"/>
      <c r="AD63" s="244"/>
      <c r="AE63" s="261"/>
      <c r="AF63" s="288"/>
      <c r="AG63" s="278"/>
      <c r="AH63" s="276"/>
      <c r="AI63" s="244"/>
      <c r="AJ63" s="261"/>
      <c r="AK63" s="288"/>
      <c r="AL63" s="278"/>
      <c r="AM63" s="276"/>
      <c r="AN63" s="244"/>
      <c r="AO63" s="261"/>
      <c r="AP63" s="288"/>
      <c r="AQ63" s="278"/>
      <c r="AR63" s="276"/>
      <c r="AS63" s="244"/>
      <c r="AT63" s="261"/>
      <c r="AU63" s="288"/>
      <c r="AV63" s="278"/>
      <c r="AW63" s="276"/>
      <c r="AX63" s="244"/>
      <c r="AY63" s="261"/>
      <c r="AZ63" s="288"/>
      <c r="BA63" s="278"/>
      <c r="BB63" s="276"/>
      <c r="BC63" s="244"/>
      <c r="BD63" s="261"/>
      <c r="BE63" s="288"/>
      <c r="BF63" s="278"/>
      <c r="BG63" s="276"/>
      <c r="BH63" s="244"/>
      <c r="BI63" s="261"/>
      <c r="BJ63" s="288"/>
      <c r="BK63" s="278"/>
      <c r="BL63" s="276"/>
      <c r="BM63" s="244"/>
      <c r="BN63" s="261"/>
      <c r="BO63" s="288"/>
      <c r="BP63" s="278"/>
      <c r="BQ63" s="276"/>
      <c r="BR63" s="244"/>
      <c r="BS63" s="261"/>
      <c r="BT63" s="288"/>
      <c r="BU63" s="278"/>
      <c r="BV63" s="276"/>
      <c r="BW63" s="244"/>
      <c r="BX63" s="254"/>
      <c r="CA63" s="268"/>
      <c r="CB63" s="268"/>
    </row>
    <row r="64" spans="1:80" ht="13.9" hidden="1" customHeight="1" x14ac:dyDescent="0.2">
      <c r="A64" s="244"/>
      <c r="B64" s="244"/>
      <c r="C64" s="118" t="s">
        <v>287</v>
      </c>
      <c r="D64" s="244"/>
      <c r="E64" s="260"/>
      <c r="F64" s="288"/>
      <c r="G64" s="288"/>
      <c r="H64" s="278">
        <v>0</v>
      </c>
      <c r="I64" s="276"/>
      <c r="J64" s="244"/>
      <c r="K64" s="261"/>
      <c r="L64" s="288"/>
      <c r="M64" s="278">
        <f>-[65]foreigndebt!L169</f>
        <v>0</v>
      </c>
      <c r="N64" s="276"/>
      <c r="O64" s="244"/>
      <c r="P64" s="261"/>
      <c r="Q64" s="288"/>
      <c r="R64" s="278">
        <f>-[65]foreigndebt!Q169</f>
        <v>0</v>
      </c>
      <c r="S64" s="276"/>
      <c r="T64" s="244"/>
      <c r="U64" s="261"/>
      <c r="V64" s="288"/>
      <c r="W64" s="278">
        <f>-[65]foreigndebt!V169</f>
        <v>0</v>
      </c>
      <c r="X64" s="276"/>
      <c r="Y64" s="244"/>
      <c r="Z64" s="261"/>
      <c r="AA64" s="288"/>
      <c r="AB64" s="278">
        <f>-[65]foreigndebt!AA169</f>
        <v>0</v>
      </c>
      <c r="AC64" s="276"/>
      <c r="AD64" s="244"/>
      <c r="AE64" s="261"/>
      <c r="AF64" s="288"/>
      <c r="AG64" s="278">
        <f>-[65]foreigndebt!AF169</f>
        <v>0</v>
      </c>
      <c r="AH64" s="276"/>
      <c r="AI64" s="244"/>
      <c r="AJ64" s="261"/>
      <c r="AK64" s="288"/>
      <c r="AL64" s="278">
        <f>-[65]foreigndebt!AK169</f>
        <v>0</v>
      </c>
      <c r="AM64" s="276"/>
      <c r="AN64" s="244"/>
      <c r="AO64" s="261"/>
      <c r="AP64" s="288"/>
      <c r="AQ64" s="278">
        <f>-[65]foreigndebt!AP169</f>
        <v>0</v>
      </c>
      <c r="AR64" s="276"/>
      <c r="AS64" s="244"/>
      <c r="AT64" s="261"/>
      <c r="AU64" s="288"/>
      <c r="AV64" s="278">
        <f>-[65]foreigndebt!AU169</f>
        <v>0</v>
      </c>
      <c r="AW64" s="276"/>
      <c r="AX64" s="244"/>
      <c r="AY64" s="261"/>
      <c r="AZ64" s="288"/>
      <c r="BA64" s="278">
        <f>-[65]foreigndebt!AZ169</f>
        <v>0</v>
      </c>
      <c r="BB64" s="276"/>
      <c r="BC64" s="244"/>
      <c r="BD64" s="261"/>
      <c r="BE64" s="288"/>
      <c r="BF64" s="278">
        <f>-[65]foreigndebt!BE169</f>
        <v>0</v>
      </c>
      <c r="BG64" s="276"/>
      <c r="BH64" s="244"/>
      <c r="BI64" s="261"/>
      <c r="BJ64" s="288"/>
      <c r="BK64" s="278">
        <f>-[65]foreigndebt!BJ169</f>
        <v>0</v>
      </c>
      <c r="BL64" s="276"/>
      <c r="BM64" s="244"/>
      <c r="BN64" s="261"/>
      <c r="BO64" s="288"/>
      <c r="BP64" s="278">
        <f>-[65]foreigndebt!BO169</f>
        <v>0</v>
      </c>
      <c r="BQ64" s="276"/>
      <c r="BR64" s="244"/>
      <c r="BS64" s="261"/>
      <c r="BT64" s="288"/>
      <c r="BU64" s="278">
        <f>-[65]foreigndebt!BT169</f>
        <v>0</v>
      </c>
      <c r="BV64" s="276"/>
      <c r="BW64" s="244"/>
      <c r="BX64" s="254"/>
      <c r="CA64" s="268"/>
      <c r="CB64" s="268"/>
    </row>
    <row r="65" spans="1:80" ht="13.9" hidden="1" customHeight="1" x14ac:dyDescent="0.2">
      <c r="A65" s="244"/>
      <c r="B65" s="244"/>
      <c r="C65" s="118" t="s">
        <v>288</v>
      </c>
      <c r="D65" s="244"/>
      <c r="E65" s="260"/>
      <c r="F65" s="288"/>
      <c r="G65" s="288"/>
      <c r="H65" s="281">
        <v>0</v>
      </c>
      <c r="I65" s="276"/>
      <c r="J65" s="244"/>
      <c r="K65" s="261"/>
      <c r="L65" s="288"/>
      <c r="M65" s="281">
        <f>-[65]foreigndebt!L170</f>
        <v>0</v>
      </c>
      <c r="N65" s="276"/>
      <c r="O65" s="244"/>
      <c r="P65" s="261"/>
      <c r="Q65" s="288"/>
      <c r="R65" s="281">
        <f>-[65]foreigndebt!Q170</f>
        <v>0</v>
      </c>
      <c r="S65" s="276"/>
      <c r="T65" s="244"/>
      <c r="U65" s="261"/>
      <c r="V65" s="288"/>
      <c r="W65" s="281">
        <f>-[65]foreigndebt!V170</f>
        <v>0</v>
      </c>
      <c r="X65" s="276"/>
      <c r="Y65" s="244"/>
      <c r="Z65" s="261"/>
      <c r="AA65" s="288"/>
      <c r="AB65" s="281">
        <f>-[65]foreigndebt!AA170</f>
        <v>0</v>
      </c>
      <c r="AC65" s="276"/>
      <c r="AD65" s="244"/>
      <c r="AE65" s="261"/>
      <c r="AF65" s="288"/>
      <c r="AG65" s="281">
        <f>-[65]foreigndebt!AF170</f>
        <v>0</v>
      </c>
      <c r="AH65" s="276"/>
      <c r="AI65" s="244"/>
      <c r="AJ65" s="261"/>
      <c r="AK65" s="288"/>
      <c r="AL65" s="281">
        <f>-[65]foreigndebt!AK170</f>
        <v>0</v>
      </c>
      <c r="AM65" s="276"/>
      <c r="AN65" s="244"/>
      <c r="AO65" s="261"/>
      <c r="AP65" s="288"/>
      <c r="AQ65" s="281">
        <f>-[65]foreigndebt!AP170</f>
        <v>0</v>
      </c>
      <c r="AR65" s="276"/>
      <c r="AS65" s="244"/>
      <c r="AT65" s="261"/>
      <c r="AU65" s="288"/>
      <c r="AV65" s="281">
        <f>-[65]foreigndebt!AU170</f>
        <v>0</v>
      </c>
      <c r="AW65" s="276"/>
      <c r="AX65" s="244"/>
      <c r="AY65" s="261"/>
      <c r="AZ65" s="288"/>
      <c r="BA65" s="281">
        <f>-[65]foreigndebt!AZ170</f>
        <v>0</v>
      </c>
      <c r="BB65" s="276"/>
      <c r="BC65" s="244"/>
      <c r="BD65" s="261"/>
      <c r="BE65" s="288"/>
      <c r="BF65" s="281">
        <f>-[65]foreigndebt!BE170</f>
        <v>0</v>
      </c>
      <c r="BG65" s="276"/>
      <c r="BH65" s="244"/>
      <c r="BI65" s="261"/>
      <c r="BJ65" s="288"/>
      <c r="BK65" s="281">
        <f>-[65]foreigndebt!BJ170</f>
        <v>0</v>
      </c>
      <c r="BL65" s="276"/>
      <c r="BM65" s="244"/>
      <c r="BN65" s="261"/>
      <c r="BO65" s="288"/>
      <c r="BP65" s="281">
        <f>-[65]foreigndebt!BO170</f>
        <v>0</v>
      </c>
      <c r="BQ65" s="276"/>
      <c r="BR65" s="244"/>
      <c r="BS65" s="261"/>
      <c r="BT65" s="288"/>
      <c r="BU65" s="281">
        <f>-[65]foreigndebt!BT170</f>
        <v>0</v>
      </c>
      <c r="BV65" s="276"/>
      <c r="BW65" s="244"/>
      <c r="BX65" s="254"/>
      <c r="CA65" s="268"/>
      <c r="CB65" s="268"/>
    </row>
    <row r="66" spans="1:80" x14ac:dyDescent="0.2">
      <c r="A66" s="244"/>
      <c r="B66" s="244"/>
      <c r="C66" s="254"/>
      <c r="D66" s="244"/>
      <c r="E66" s="260"/>
      <c r="F66" s="288"/>
      <c r="G66" s="303"/>
      <c r="H66" s="287"/>
      <c r="I66" s="286"/>
      <c r="J66" s="244"/>
      <c r="K66" s="261"/>
      <c r="L66" s="303"/>
      <c r="M66" s="287"/>
      <c r="N66" s="286"/>
      <c r="O66" s="244"/>
      <c r="P66" s="261"/>
      <c r="Q66" s="303"/>
      <c r="R66" s="287"/>
      <c r="S66" s="286"/>
      <c r="T66" s="244"/>
      <c r="U66" s="261"/>
      <c r="V66" s="303"/>
      <c r="W66" s="287"/>
      <c r="X66" s="286"/>
      <c r="Y66" s="244"/>
      <c r="Z66" s="261"/>
      <c r="AA66" s="303"/>
      <c r="AB66" s="287"/>
      <c r="AC66" s="286"/>
      <c r="AD66" s="244"/>
      <c r="AE66" s="261"/>
      <c r="AF66" s="303"/>
      <c r="AG66" s="287"/>
      <c r="AH66" s="286"/>
      <c r="AI66" s="244"/>
      <c r="AJ66" s="261"/>
      <c r="AK66" s="303"/>
      <c r="AL66" s="287"/>
      <c r="AM66" s="286"/>
      <c r="AN66" s="244"/>
      <c r="AO66" s="261"/>
      <c r="AP66" s="303"/>
      <c r="AQ66" s="287"/>
      <c r="AR66" s="286"/>
      <c r="AS66" s="244"/>
      <c r="AT66" s="261"/>
      <c r="AU66" s="303"/>
      <c r="AV66" s="287"/>
      <c r="AW66" s="286"/>
      <c r="AX66" s="244"/>
      <c r="AY66" s="261"/>
      <c r="AZ66" s="303"/>
      <c r="BA66" s="287"/>
      <c r="BB66" s="286"/>
      <c r="BC66" s="244"/>
      <c r="BD66" s="261"/>
      <c r="BE66" s="303"/>
      <c r="BF66" s="287"/>
      <c r="BG66" s="286"/>
      <c r="BH66" s="244"/>
      <c r="BI66" s="261"/>
      <c r="BJ66" s="303"/>
      <c r="BK66" s="287"/>
      <c r="BL66" s="286"/>
      <c r="BM66" s="244"/>
      <c r="BN66" s="261"/>
      <c r="BO66" s="303"/>
      <c r="BP66" s="287"/>
      <c r="BQ66" s="286"/>
      <c r="BR66" s="244"/>
      <c r="BS66" s="261"/>
      <c r="BT66" s="303"/>
      <c r="BU66" s="287"/>
      <c r="BV66" s="286"/>
      <c r="BW66" s="244"/>
      <c r="BX66" s="254"/>
      <c r="CA66" s="268"/>
      <c r="CB66" s="268"/>
    </row>
    <row r="67" spans="1:80" x14ac:dyDescent="0.2">
      <c r="A67" s="244"/>
      <c r="B67" s="244"/>
      <c r="C67" s="254"/>
      <c r="D67" s="244"/>
      <c r="E67" s="260"/>
      <c r="F67" s="288"/>
      <c r="G67" s="289"/>
      <c r="H67" s="244"/>
      <c r="I67" s="244"/>
      <c r="J67" s="244"/>
      <c r="K67" s="261"/>
      <c r="L67" s="244"/>
      <c r="M67" s="244"/>
      <c r="N67" s="244"/>
      <c r="O67" s="244"/>
      <c r="P67" s="261"/>
      <c r="Q67" s="244"/>
      <c r="R67" s="244"/>
      <c r="S67" s="244"/>
      <c r="T67" s="244"/>
      <c r="U67" s="261"/>
      <c r="V67" s="244"/>
      <c r="W67" s="244"/>
      <c r="X67" s="244"/>
      <c r="Y67" s="244"/>
      <c r="Z67" s="261"/>
      <c r="AA67" s="244"/>
      <c r="AB67" s="244"/>
      <c r="AC67" s="244"/>
      <c r="AD67" s="244"/>
      <c r="AE67" s="261"/>
      <c r="AF67" s="244"/>
      <c r="AG67" s="244"/>
      <c r="AH67" s="244"/>
      <c r="AI67" s="244"/>
      <c r="AJ67" s="261"/>
      <c r="AK67" s="244"/>
      <c r="AL67" s="244"/>
      <c r="AM67" s="244"/>
      <c r="AN67" s="244"/>
      <c r="AO67" s="261"/>
      <c r="AP67" s="244"/>
      <c r="AQ67" s="244"/>
      <c r="AR67" s="244"/>
      <c r="AS67" s="244"/>
      <c r="AT67" s="261"/>
      <c r="AU67" s="244"/>
      <c r="AV67" s="244"/>
      <c r="AW67" s="244"/>
      <c r="AX67" s="244"/>
      <c r="AY67" s="261"/>
      <c r="AZ67" s="244"/>
      <c r="BA67" s="244"/>
      <c r="BB67" s="244"/>
      <c r="BC67" s="244"/>
      <c r="BD67" s="261"/>
      <c r="BE67" s="244"/>
      <c r="BF67" s="244"/>
      <c r="BG67" s="244"/>
      <c r="BH67" s="244"/>
      <c r="BI67" s="261"/>
      <c r="BJ67" s="244"/>
      <c r="BK67" s="244"/>
      <c r="BL67" s="244"/>
      <c r="BM67" s="244"/>
      <c r="BN67" s="261"/>
      <c r="BO67" s="244"/>
      <c r="BP67" s="244"/>
      <c r="BQ67" s="244"/>
      <c r="BR67" s="244"/>
      <c r="BS67" s="261"/>
      <c r="BT67" s="244"/>
      <c r="BU67" s="244"/>
      <c r="BV67" s="244"/>
      <c r="BW67" s="244"/>
      <c r="BX67" s="254"/>
      <c r="CA67" s="268"/>
      <c r="CB67" s="268"/>
    </row>
    <row r="68" spans="1:80" s="268" customFormat="1" x14ac:dyDescent="0.2">
      <c r="A68" s="245"/>
      <c r="B68" s="245"/>
      <c r="C68" s="262" t="s">
        <v>290</v>
      </c>
      <c r="D68" s="245"/>
      <c r="E68" s="293" t="s">
        <v>291</v>
      </c>
      <c r="F68" s="294"/>
      <c r="G68" s="301"/>
      <c r="H68" s="265">
        <f>SUM(H69:H76)</f>
        <v>-3701168.8205058575</v>
      </c>
      <c r="I68" s="265"/>
      <c r="J68" s="265"/>
      <c r="K68" s="266"/>
      <c r="L68" s="265"/>
      <c r="M68" s="245">
        <f>SUM(M69:M76)</f>
        <v>12935068.914269969</v>
      </c>
      <c r="N68" s="245"/>
      <c r="O68" s="245"/>
      <c r="P68" s="264"/>
      <c r="Q68" s="245"/>
      <c r="R68" s="245">
        <f>SUM(R69:R76)</f>
        <v>6028814.930979982</v>
      </c>
      <c r="S68" s="245"/>
      <c r="T68" s="245"/>
      <c r="U68" s="264"/>
      <c r="V68" s="245"/>
      <c r="W68" s="245">
        <f>SUM(W69:W76)</f>
        <v>-64456252.997280002</v>
      </c>
      <c r="X68" s="245"/>
      <c r="Y68" s="245"/>
      <c r="Z68" s="264"/>
      <c r="AA68" s="245"/>
      <c r="AB68" s="245">
        <f>SUM(AB69:AB76)</f>
        <v>71916201.470700011</v>
      </c>
      <c r="AC68" s="245"/>
      <c r="AD68" s="245"/>
      <c r="AE68" s="264"/>
      <c r="AF68" s="245"/>
      <c r="AG68" s="245">
        <f>SUM(AG69:AG76)</f>
        <v>-5938593.6452499926</v>
      </c>
      <c r="AH68" s="245"/>
      <c r="AI68" s="245"/>
      <c r="AJ68" s="264"/>
      <c r="AK68" s="245"/>
      <c r="AL68" s="245">
        <f>SUM(AL69:AL76)</f>
        <v>-87185842.274320006</v>
      </c>
      <c r="AM68" s="245"/>
      <c r="AN68" s="245"/>
      <c r="AO68" s="264"/>
      <c r="AP68" s="245"/>
      <c r="AQ68" s="245">
        <f>SUM(AQ69:AQ76)</f>
        <v>4292248.2650700212</v>
      </c>
      <c r="AR68" s="245"/>
      <c r="AS68" s="245"/>
      <c r="AT68" s="264"/>
      <c r="AU68" s="245"/>
      <c r="AV68" s="245">
        <f>SUM(AV69:AV76)</f>
        <v>-21698105.034100011</v>
      </c>
      <c r="AW68" s="245"/>
      <c r="AX68" s="245"/>
      <c r="AY68" s="264"/>
      <c r="AZ68" s="245"/>
      <c r="BA68" s="245">
        <f>SUM(BA69:BA76)</f>
        <v>-5176181.425060004</v>
      </c>
      <c r="BB68" s="245"/>
      <c r="BC68" s="245"/>
      <c r="BD68" s="264"/>
      <c r="BE68" s="245"/>
      <c r="BF68" s="245">
        <f>SUM(BF69:BF76)</f>
        <v>31144738.333759978</v>
      </c>
      <c r="BG68" s="245"/>
      <c r="BH68" s="245"/>
      <c r="BI68" s="264"/>
      <c r="BJ68" s="245"/>
      <c r="BK68" s="245">
        <f>SUM(BK69:BK76)</f>
        <v>-28811986.091639996</v>
      </c>
      <c r="BL68" s="245"/>
      <c r="BM68" s="245"/>
      <c r="BN68" s="264"/>
      <c r="BO68" s="245"/>
      <c r="BP68" s="245">
        <f>SUM(BP69:BP76)</f>
        <v>86300995.50752002</v>
      </c>
      <c r="BQ68" s="245"/>
      <c r="BR68" s="245"/>
      <c r="BS68" s="264"/>
      <c r="BT68" s="245"/>
      <c r="BU68" s="245">
        <f>SUM(BU69:BU76)</f>
        <v>-648894.04535003006</v>
      </c>
      <c r="BV68" s="245"/>
      <c r="BW68" s="245"/>
      <c r="BX68" s="262"/>
      <c r="BY68" s="245"/>
    </row>
    <row r="69" spans="1:80" ht="12.75" customHeight="1" x14ac:dyDescent="0.2">
      <c r="A69" s="244"/>
      <c r="B69" s="244"/>
      <c r="C69" s="254" t="s">
        <v>292</v>
      </c>
      <c r="D69" s="244"/>
      <c r="E69" s="260"/>
      <c r="F69" s="288"/>
      <c r="G69" s="292"/>
      <c r="H69" s="270">
        <f>+[65]cashbalances!H12</f>
        <v>-724000</v>
      </c>
      <c r="I69" s="271"/>
      <c r="J69" s="244"/>
      <c r="K69" s="261"/>
      <c r="L69" s="269"/>
      <c r="M69" s="270">
        <f>+[65]cashbalances!M12</f>
        <v>39161985</v>
      </c>
      <c r="N69" s="271"/>
      <c r="O69" s="244"/>
      <c r="P69" s="261"/>
      <c r="Q69" s="269"/>
      <c r="R69" s="270">
        <f>+[65]cashbalances!R12</f>
        <v>6533576</v>
      </c>
      <c r="S69" s="271"/>
      <c r="T69" s="244"/>
      <c r="U69" s="261"/>
      <c r="V69" s="269"/>
      <c r="W69" s="270">
        <f>+[65]cashbalances!W12</f>
        <v>-80194837</v>
      </c>
      <c r="X69" s="271"/>
      <c r="Y69" s="244"/>
      <c r="Z69" s="261"/>
      <c r="AA69" s="269"/>
      <c r="AB69" s="270">
        <f>+[65]cashbalances!AB12</f>
        <v>71485782</v>
      </c>
      <c r="AC69" s="271"/>
      <c r="AD69" s="244"/>
      <c r="AE69" s="261"/>
      <c r="AF69" s="269"/>
      <c r="AG69" s="270">
        <f>+[65]cashbalances!AG12</f>
        <v>10515236</v>
      </c>
      <c r="AH69" s="271"/>
      <c r="AI69" s="244"/>
      <c r="AJ69" s="261"/>
      <c r="AK69" s="269"/>
      <c r="AL69" s="270">
        <f>+[65]cashbalances!AL12</f>
        <v>-104528279</v>
      </c>
      <c r="AM69" s="271"/>
      <c r="AN69" s="244"/>
      <c r="AO69" s="261"/>
      <c r="AP69" s="269"/>
      <c r="AQ69" s="270">
        <f>+[65]cashbalances!AQ12</f>
        <v>2731873</v>
      </c>
      <c r="AR69" s="271"/>
      <c r="AS69" s="244"/>
      <c r="AT69" s="261"/>
      <c r="AU69" s="269"/>
      <c r="AV69" s="270">
        <f>+[65]cashbalances!AV12</f>
        <v>-9369739</v>
      </c>
      <c r="AW69" s="271"/>
      <c r="AX69" s="244"/>
      <c r="AY69" s="261"/>
      <c r="AZ69" s="269"/>
      <c r="BA69" s="270">
        <f>+[65]cashbalances!BA12</f>
        <v>-7896523</v>
      </c>
      <c r="BB69" s="271"/>
      <c r="BC69" s="244"/>
      <c r="BD69" s="261"/>
      <c r="BE69" s="269"/>
      <c r="BF69" s="270">
        <f>+[65]cashbalances!BF12</f>
        <v>33364654</v>
      </c>
      <c r="BG69" s="271"/>
      <c r="BH69" s="244"/>
      <c r="BI69" s="261"/>
      <c r="BJ69" s="269"/>
      <c r="BK69" s="270">
        <f>+[65]cashbalances!BK12</f>
        <v>-27939762</v>
      </c>
      <c r="BL69" s="271"/>
      <c r="BM69" s="244"/>
      <c r="BN69" s="261"/>
      <c r="BO69" s="269"/>
      <c r="BP69" s="270">
        <f>+[65]cashbalances!BP12</f>
        <v>68610019</v>
      </c>
      <c r="BQ69" s="271"/>
      <c r="BR69" s="244"/>
      <c r="BS69" s="261"/>
      <c r="BT69" s="269"/>
      <c r="BU69" s="270">
        <f>+[65]cashbalances!BU12</f>
        <v>2473985</v>
      </c>
      <c r="BV69" s="271"/>
      <c r="BW69" s="244"/>
      <c r="BX69" s="254"/>
      <c r="CA69" s="268"/>
      <c r="CB69" s="268"/>
    </row>
    <row r="70" spans="1:80" ht="12.75" hidden="1" customHeight="1" x14ac:dyDescent="0.2">
      <c r="A70" s="244"/>
      <c r="B70" s="244"/>
      <c r="C70" s="254" t="s">
        <v>293</v>
      </c>
      <c r="D70" s="244"/>
      <c r="E70" s="260"/>
      <c r="F70" s="288"/>
      <c r="G70" s="288"/>
      <c r="H70" s="244"/>
      <c r="I70" s="276"/>
      <c r="J70" s="244"/>
      <c r="K70" s="261"/>
      <c r="L70" s="261"/>
      <c r="M70" s="244"/>
      <c r="N70" s="276"/>
      <c r="O70" s="244"/>
      <c r="P70" s="261"/>
      <c r="Q70" s="261"/>
      <c r="R70" s="244"/>
      <c r="S70" s="276"/>
      <c r="T70" s="244"/>
      <c r="U70" s="261"/>
      <c r="V70" s="261"/>
      <c r="W70" s="244"/>
      <c r="X70" s="276"/>
      <c r="Y70" s="244"/>
      <c r="Z70" s="261"/>
      <c r="AA70" s="261"/>
      <c r="AB70" s="244"/>
      <c r="AC70" s="276"/>
      <c r="AD70" s="244"/>
      <c r="AE70" s="261"/>
      <c r="AF70" s="261"/>
      <c r="AG70" s="244"/>
      <c r="AH70" s="276"/>
      <c r="AI70" s="244"/>
      <c r="AJ70" s="261"/>
      <c r="AK70" s="261"/>
      <c r="AL70" s="244"/>
      <c r="AM70" s="276"/>
      <c r="AN70" s="244"/>
      <c r="AO70" s="261"/>
      <c r="AP70" s="261"/>
      <c r="AQ70" s="244"/>
      <c r="AR70" s="276"/>
      <c r="AS70" s="244"/>
      <c r="AT70" s="261"/>
      <c r="AU70" s="261"/>
      <c r="AV70" s="244"/>
      <c r="AW70" s="276"/>
      <c r="AX70" s="244"/>
      <c r="AY70" s="261"/>
      <c r="AZ70" s="261"/>
      <c r="BA70" s="244"/>
      <c r="BB70" s="276"/>
      <c r="BC70" s="244"/>
      <c r="BD70" s="261"/>
      <c r="BE70" s="261"/>
      <c r="BF70" s="244"/>
      <c r="BG70" s="276"/>
      <c r="BH70" s="244"/>
      <c r="BI70" s="261"/>
      <c r="BJ70" s="261"/>
      <c r="BK70" s="244"/>
      <c r="BL70" s="276"/>
      <c r="BM70" s="244"/>
      <c r="BN70" s="261"/>
      <c r="BO70" s="261"/>
      <c r="BP70" s="244"/>
      <c r="BQ70" s="276"/>
      <c r="BR70" s="244"/>
      <c r="BS70" s="261"/>
      <c r="BT70" s="261"/>
      <c r="BU70" s="244"/>
      <c r="BV70" s="276"/>
      <c r="BW70" s="244"/>
      <c r="BX70" s="254"/>
      <c r="CA70" s="268"/>
      <c r="CB70" s="268"/>
    </row>
    <row r="71" spans="1:80" ht="12.75" customHeight="1" x14ac:dyDescent="0.2">
      <c r="A71" s="244"/>
      <c r="B71" s="244"/>
      <c r="C71" s="254" t="s">
        <v>293</v>
      </c>
      <c r="D71" s="244"/>
      <c r="E71" s="260"/>
      <c r="F71" s="288"/>
      <c r="G71" s="288"/>
      <c r="H71" s="244">
        <f>+[65]cashbalances!H23</f>
        <v>0</v>
      </c>
      <c r="I71" s="276"/>
      <c r="J71" s="244"/>
      <c r="K71" s="261"/>
      <c r="L71" s="261"/>
      <c r="M71" s="244">
        <f>+[65]cashbalances!M23</f>
        <v>-17895405</v>
      </c>
      <c r="N71" s="276"/>
      <c r="O71" s="244"/>
      <c r="P71" s="261"/>
      <c r="Q71" s="261"/>
      <c r="R71" s="244">
        <f>+[65]cashbalances!R23</f>
        <v>-2162772</v>
      </c>
      <c r="S71" s="276"/>
      <c r="T71" s="244"/>
      <c r="U71" s="261"/>
      <c r="V71" s="261"/>
      <c r="W71" s="244">
        <f>+[65]cashbalances!W23</f>
        <v>1746060</v>
      </c>
      <c r="X71" s="276"/>
      <c r="Y71" s="244"/>
      <c r="Z71" s="261"/>
      <c r="AA71" s="261"/>
      <c r="AB71" s="244">
        <f>+[65]cashbalances!AB23</f>
        <v>9207825</v>
      </c>
      <c r="AC71" s="276"/>
      <c r="AD71" s="244"/>
      <c r="AE71" s="261"/>
      <c r="AF71" s="261"/>
      <c r="AG71" s="244">
        <f>+[65]cashbalances!AG23</f>
        <v>-8222766</v>
      </c>
      <c r="AH71" s="276"/>
      <c r="AI71" s="244"/>
      <c r="AJ71" s="261"/>
      <c r="AK71" s="261"/>
      <c r="AL71" s="244">
        <f>+[65]cashbalances!AL23</f>
        <v>21412052</v>
      </c>
      <c r="AM71" s="276"/>
      <c r="AN71" s="244"/>
      <c r="AO71" s="261"/>
      <c r="AP71" s="261"/>
      <c r="AQ71" s="244">
        <f>+[65]cashbalances!AQ23</f>
        <v>67094</v>
      </c>
      <c r="AR71" s="276"/>
      <c r="AS71" s="244"/>
      <c r="AT71" s="261"/>
      <c r="AU71" s="261"/>
      <c r="AV71" s="244">
        <f>+[65]cashbalances!AV23</f>
        <v>5423083</v>
      </c>
      <c r="AW71" s="276"/>
      <c r="AX71" s="244"/>
      <c r="AY71" s="261"/>
      <c r="AZ71" s="261"/>
      <c r="BA71" s="244">
        <f>+[65]cashbalances!BA23</f>
        <v>3006040</v>
      </c>
      <c r="BB71" s="276"/>
      <c r="BC71" s="244"/>
      <c r="BD71" s="261"/>
      <c r="BE71" s="261"/>
      <c r="BF71" s="244">
        <f>+[65]cashbalances!BF23</f>
        <v>484408</v>
      </c>
      <c r="BG71" s="276"/>
      <c r="BH71" s="244"/>
      <c r="BI71" s="261"/>
      <c r="BJ71" s="261"/>
      <c r="BK71" s="244">
        <f>+[65]cashbalances!BK23</f>
        <v>4553332</v>
      </c>
      <c r="BL71" s="276"/>
      <c r="BM71" s="244"/>
      <c r="BN71" s="261"/>
      <c r="BO71" s="261"/>
      <c r="BP71" s="244">
        <f>+[65]cashbalances!BP23</f>
        <v>-34627077</v>
      </c>
      <c r="BQ71" s="276"/>
      <c r="BR71" s="244"/>
      <c r="BS71" s="261"/>
      <c r="BT71" s="261"/>
      <c r="BU71" s="244">
        <f>+[65]cashbalances!BU23</f>
        <v>-17008126</v>
      </c>
      <c r="BV71" s="276"/>
      <c r="BW71" s="244"/>
      <c r="BX71" s="254"/>
      <c r="CA71" s="268"/>
      <c r="CB71" s="268"/>
    </row>
    <row r="72" spans="1:80" ht="12.75" customHeight="1" x14ac:dyDescent="0.2">
      <c r="A72" s="244"/>
      <c r="B72" s="244"/>
      <c r="C72" s="118" t="s">
        <v>294</v>
      </c>
      <c r="D72" s="244"/>
      <c r="E72" s="260"/>
      <c r="F72" s="288"/>
      <c r="G72" s="288"/>
      <c r="H72" s="244">
        <f>+[65]cashbalances!H25</f>
        <v>0</v>
      </c>
      <c r="I72" s="276"/>
      <c r="J72" s="244"/>
      <c r="K72" s="261"/>
      <c r="L72" s="261"/>
      <c r="M72" s="244">
        <f>[65]cashbalances!M25</f>
        <v>0</v>
      </c>
      <c r="N72" s="276"/>
      <c r="O72" s="244"/>
      <c r="P72" s="261"/>
      <c r="Q72" s="261"/>
      <c r="R72" s="244">
        <f>[65]cashbalances!R25</f>
        <v>0</v>
      </c>
      <c r="S72" s="276"/>
      <c r="T72" s="244"/>
      <c r="U72" s="261"/>
      <c r="V72" s="261"/>
      <c r="W72" s="244">
        <f>[65]cashbalances!W25</f>
        <v>0</v>
      </c>
      <c r="X72" s="276"/>
      <c r="Y72" s="244"/>
      <c r="Z72" s="261"/>
      <c r="AA72" s="261"/>
      <c r="AB72" s="244">
        <f>[65]cashbalances!AB25</f>
        <v>0</v>
      </c>
      <c r="AC72" s="276"/>
      <c r="AD72" s="244"/>
      <c r="AE72" s="261"/>
      <c r="AF72" s="261"/>
      <c r="AG72" s="244">
        <f>[65]cashbalances!AG25</f>
        <v>0</v>
      </c>
      <c r="AH72" s="276"/>
      <c r="AI72" s="244"/>
      <c r="AJ72" s="261"/>
      <c r="AK72" s="261"/>
      <c r="AL72" s="244">
        <f>[65]cashbalances!AL25</f>
        <v>0</v>
      </c>
      <c r="AM72" s="276"/>
      <c r="AN72" s="244"/>
      <c r="AO72" s="261"/>
      <c r="AP72" s="261"/>
      <c r="AQ72" s="244">
        <f>[65]cashbalances!AQ25</f>
        <v>0</v>
      </c>
      <c r="AR72" s="276"/>
      <c r="AS72" s="244"/>
      <c r="AT72" s="261"/>
      <c r="AU72" s="261"/>
      <c r="AV72" s="244">
        <f>[65]cashbalances!AV25</f>
        <v>0</v>
      </c>
      <c r="AW72" s="276"/>
      <c r="AX72" s="244"/>
      <c r="AY72" s="261"/>
      <c r="AZ72" s="261"/>
      <c r="BA72" s="244">
        <f>[65]cashbalances!BA25</f>
        <v>0</v>
      </c>
      <c r="BB72" s="276"/>
      <c r="BC72" s="244"/>
      <c r="BD72" s="261"/>
      <c r="BE72" s="261"/>
      <c r="BF72" s="244">
        <f>[65]cashbalances!BF25</f>
        <v>0</v>
      </c>
      <c r="BG72" s="276"/>
      <c r="BH72" s="244"/>
      <c r="BI72" s="261"/>
      <c r="BJ72" s="261"/>
      <c r="BK72" s="244">
        <f>[65]cashbalances!BK25</f>
        <v>0</v>
      </c>
      <c r="BL72" s="276"/>
      <c r="BM72" s="244"/>
      <c r="BN72" s="261"/>
      <c r="BO72" s="261"/>
      <c r="BP72" s="244">
        <f>[65]cashbalances!BP25</f>
        <v>0</v>
      </c>
      <c r="BQ72" s="276"/>
      <c r="BR72" s="244"/>
      <c r="BS72" s="261"/>
      <c r="BT72" s="261"/>
      <c r="BU72" s="244">
        <f>[65]cashbalances!BU25</f>
        <v>0</v>
      </c>
      <c r="BV72" s="276"/>
      <c r="BW72" s="244"/>
      <c r="BX72" s="254"/>
      <c r="CA72" s="268"/>
      <c r="CB72" s="268"/>
    </row>
    <row r="73" spans="1:80" ht="12.75" customHeight="1" x14ac:dyDescent="0.2">
      <c r="A73" s="244"/>
      <c r="B73" s="244"/>
      <c r="C73" s="254" t="s">
        <v>295</v>
      </c>
      <c r="D73" s="244"/>
      <c r="E73" s="260"/>
      <c r="F73" s="288"/>
      <c r="G73" s="288"/>
      <c r="H73" s="244">
        <f>+[65]cashbalances!H27</f>
        <v>-2977168.8205058575</v>
      </c>
      <c r="I73" s="276"/>
      <c r="J73" s="244"/>
      <c r="K73" s="261"/>
      <c r="L73" s="261"/>
      <c r="M73" s="244">
        <f>+[65]cashbalances!M27</f>
        <v>1285536</v>
      </c>
      <c r="N73" s="276"/>
      <c r="O73" s="244"/>
      <c r="P73" s="261"/>
      <c r="Q73" s="261"/>
      <c r="R73" s="244">
        <f>+[65]cashbalances!R27</f>
        <v>0</v>
      </c>
      <c r="S73" s="276"/>
      <c r="T73" s="244"/>
      <c r="U73" s="261"/>
      <c r="V73" s="261"/>
      <c r="W73" s="244">
        <f>+[65]cashbalances!W27</f>
        <v>12272</v>
      </c>
      <c r="X73" s="276"/>
      <c r="Y73" s="244"/>
      <c r="Z73" s="261"/>
      <c r="AA73" s="261"/>
      <c r="AB73" s="244">
        <f>+[65]cashbalances!AB27</f>
        <v>0</v>
      </c>
      <c r="AC73" s="276"/>
      <c r="AD73" s="244"/>
      <c r="AE73" s="261"/>
      <c r="AF73" s="261"/>
      <c r="AG73" s="244">
        <f>+[65]cashbalances!AG27</f>
        <v>1736919</v>
      </c>
      <c r="AH73" s="276"/>
      <c r="AI73" s="244"/>
      <c r="AJ73" s="261"/>
      <c r="AK73" s="261"/>
      <c r="AL73" s="244">
        <f>+[65]cashbalances!AL27</f>
        <v>245929</v>
      </c>
      <c r="AM73" s="276"/>
      <c r="AN73" s="244"/>
      <c r="AO73" s="261"/>
      <c r="AP73" s="261"/>
      <c r="AQ73" s="244">
        <f>+[65]cashbalances!AQ27</f>
        <v>2261765</v>
      </c>
      <c r="AR73" s="276"/>
      <c r="AS73" s="244"/>
      <c r="AT73" s="261"/>
      <c r="AU73" s="261"/>
      <c r="AV73" s="244">
        <f>+[65]cashbalances!AV27</f>
        <v>1146180</v>
      </c>
      <c r="AW73" s="276"/>
      <c r="AX73" s="244"/>
      <c r="AY73" s="261"/>
      <c r="AZ73" s="261"/>
      <c r="BA73" s="244">
        <f>+[65]cashbalances!BA27</f>
        <v>1005353</v>
      </c>
      <c r="BB73" s="276"/>
      <c r="BC73" s="244"/>
      <c r="BD73" s="261"/>
      <c r="BE73" s="261"/>
      <c r="BF73" s="244">
        <f>+[65]cashbalances!BF27</f>
        <v>41798</v>
      </c>
      <c r="BG73" s="276"/>
      <c r="BH73" s="244"/>
      <c r="BI73" s="261"/>
      <c r="BJ73" s="261"/>
      <c r="BK73" s="244">
        <f>+[65]cashbalances!BK27</f>
        <v>360442</v>
      </c>
      <c r="BL73" s="276"/>
      <c r="BM73" s="244"/>
      <c r="BN73" s="261"/>
      <c r="BO73" s="261"/>
      <c r="BP73" s="244">
        <f>+[65]cashbalances!BP27</f>
        <v>3730402</v>
      </c>
      <c r="BQ73" s="276"/>
      <c r="BR73" s="244"/>
      <c r="BS73" s="261"/>
      <c r="BT73" s="261"/>
      <c r="BU73" s="244">
        <f>+[65]cashbalances!BU27</f>
        <v>11826596</v>
      </c>
      <c r="BV73" s="276"/>
      <c r="BW73" s="244"/>
      <c r="BX73" s="254"/>
      <c r="CA73" s="268"/>
      <c r="CB73" s="268"/>
    </row>
    <row r="74" spans="1:80" ht="12.75" customHeight="1" x14ac:dyDescent="0.2">
      <c r="A74" s="244"/>
      <c r="B74" s="244"/>
      <c r="C74" s="254" t="s">
        <v>296</v>
      </c>
      <c r="D74" s="244"/>
      <c r="E74" s="260"/>
      <c r="F74" s="288"/>
      <c r="G74" s="288"/>
      <c r="H74" s="244">
        <f>+[65]cashbalances!H32</f>
        <v>0</v>
      </c>
      <c r="I74" s="276"/>
      <c r="J74" s="244"/>
      <c r="K74" s="261"/>
      <c r="L74" s="261"/>
      <c r="M74" s="244">
        <f>+[65]cashbalances!M32</f>
        <v>0</v>
      </c>
      <c r="N74" s="276"/>
      <c r="O74" s="244"/>
      <c r="P74" s="261"/>
      <c r="Q74" s="261"/>
      <c r="R74" s="244">
        <f>+[65]cashbalances!R32</f>
        <v>0</v>
      </c>
      <c r="S74" s="276"/>
      <c r="T74" s="244"/>
      <c r="U74" s="261"/>
      <c r="V74" s="261"/>
      <c r="W74" s="244">
        <f>+[65]cashbalances!W32</f>
        <v>0</v>
      </c>
      <c r="X74" s="276"/>
      <c r="Y74" s="244"/>
      <c r="Z74" s="261"/>
      <c r="AA74" s="261"/>
      <c r="AB74" s="244">
        <f>+[65]cashbalances!AB32</f>
        <v>0</v>
      </c>
      <c r="AC74" s="276"/>
      <c r="AD74" s="244"/>
      <c r="AE74" s="261"/>
      <c r="AF74" s="261"/>
      <c r="AG74" s="244">
        <f>+[65]cashbalances!AG32</f>
        <v>-98</v>
      </c>
      <c r="AH74" s="276"/>
      <c r="AI74" s="244"/>
      <c r="AJ74" s="261"/>
      <c r="AK74" s="261"/>
      <c r="AL74" s="244">
        <f>+[65]cashbalances!AL32</f>
        <v>0</v>
      </c>
      <c r="AM74" s="276"/>
      <c r="AN74" s="244"/>
      <c r="AO74" s="261"/>
      <c r="AP74" s="261"/>
      <c r="AQ74" s="244">
        <f>+[65]cashbalances!AQ32</f>
        <v>-372528</v>
      </c>
      <c r="AR74" s="276"/>
      <c r="AS74" s="244"/>
      <c r="AT74" s="261"/>
      <c r="AU74" s="261"/>
      <c r="AV74" s="244">
        <f>+[65]cashbalances!AV32</f>
        <v>0</v>
      </c>
      <c r="AW74" s="276"/>
      <c r="AX74" s="244"/>
      <c r="AY74" s="261"/>
      <c r="AZ74" s="261"/>
      <c r="BA74" s="244">
        <f>+[65]cashbalances!BA32</f>
        <v>0</v>
      </c>
      <c r="BB74" s="276"/>
      <c r="BC74" s="244"/>
      <c r="BD74" s="261"/>
      <c r="BE74" s="261"/>
      <c r="BF74" s="244">
        <f>+[65]cashbalances!BF32</f>
        <v>0</v>
      </c>
      <c r="BG74" s="276"/>
      <c r="BH74" s="244"/>
      <c r="BI74" s="261"/>
      <c r="BJ74" s="261"/>
      <c r="BK74" s="244">
        <f>+[65]cashbalances!BK32</f>
        <v>0</v>
      </c>
      <c r="BL74" s="276"/>
      <c r="BM74" s="244"/>
      <c r="BN74" s="261"/>
      <c r="BO74" s="261"/>
      <c r="BP74" s="244">
        <f>+[65]cashbalances!BP32</f>
        <v>-77</v>
      </c>
      <c r="BQ74" s="276"/>
      <c r="BR74" s="244"/>
      <c r="BS74" s="261"/>
      <c r="BT74" s="261"/>
      <c r="BU74" s="244">
        <f>+[65]cashbalances!BU32</f>
        <v>-372703</v>
      </c>
      <c r="BV74" s="276"/>
      <c r="BW74" s="244"/>
      <c r="BX74" s="254"/>
      <c r="CA74" s="268"/>
      <c r="CB74" s="268"/>
    </row>
    <row r="75" spans="1:80" ht="12.75" hidden="1" customHeight="1" x14ac:dyDescent="0.2">
      <c r="A75" s="244"/>
      <c r="B75" s="244"/>
      <c r="C75" s="254" t="s">
        <v>297</v>
      </c>
      <c r="D75" s="244"/>
      <c r="E75" s="260"/>
      <c r="F75" s="288"/>
      <c r="G75" s="288"/>
      <c r="H75" s="244"/>
      <c r="I75" s="276"/>
      <c r="J75" s="244"/>
      <c r="K75" s="261"/>
      <c r="L75" s="261"/>
      <c r="M75" s="244"/>
      <c r="N75" s="276"/>
      <c r="O75" s="244"/>
      <c r="P75" s="261"/>
      <c r="Q75" s="261"/>
      <c r="R75" s="244"/>
      <c r="S75" s="276"/>
      <c r="T75" s="244"/>
      <c r="U75" s="261"/>
      <c r="V75" s="261"/>
      <c r="W75" s="244"/>
      <c r="X75" s="276"/>
      <c r="Y75" s="244"/>
      <c r="Z75" s="261"/>
      <c r="AA75" s="261"/>
      <c r="AB75" s="244"/>
      <c r="AC75" s="276"/>
      <c r="AD75" s="244"/>
      <c r="AE75" s="261"/>
      <c r="AF75" s="261"/>
      <c r="AG75" s="244"/>
      <c r="AH75" s="276"/>
      <c r="AI75" s="244"/>
      <c r="AJ75" s="261"/>
      <c r="AK75" s="261"/>
      <c r="AL75" s="244"/>
      <c r="AM75" s="276"/>
      <c r="AN75" s="244"/>
      <c r="AO75" s="261"/>
      <c r="AP75" s="261"/>
      <c r="AQ75" s="244"/>
      <c r="AR75" s="276"/>
      <c r="AS75" s="244"/>
      <c r="AT75" s="261"/>
      <c r="AU75" s="261"/>
      <c r="AV75" s="244"/>
      <c r="AW75" s="276"/>
      <c r="AX75" s="244"/>
      <c r="AY75" s="261"/>
      <c r="AZ75" s="261"/>
      <c r="BA75" s="244"/>
      <c r="BB75" s="276"/>
      <c r="BC75" s="244"/>
      <c r="BD75" s="261"/>
      <c r="BE75" s="261"/>
      <c r="BF75" s="244"/>
      <c r="BG75" s="276"/>
      <c r="BH75" s="244"/>
      <c r="BI75" s="261"/>
      <c r="BJ75" s="261"/>
      <c r="BK75" s="244"/>
      <c r="BL75" s="276"/>
      <c r="BM75" s="244"/>
      <c r="BN75" s="261"/>
      <c r="BO75" s="261"/>
      <c r="BP75" s="244"/>
      <c r="BQ75" s="276"/>
      <c r="BR75" s="244"/>
      <c r="BS75" s="261"/>
      <c r="BT75" s="261"/>
      <c r="BU75" s="244"/>
      <c r="BV75" s="276"/>
      <c r="BW75" s="244"/>
      <c r="BX75" s="254"/>
      <c r="CA75" s="268"/>
      <c r="CB75" s="268"/>
    </row>
    <row r="76" spans="1:80" ht="12.75" customHeight="1" x14ac:dyDescent="0.2">
      <c r="A76" s="244"/>
      <c r="B76" s="244"/>
      <c r="C76" s="254" t="s">
        <v>297</v>
      </c>
      <c r="D76" s="244"/>
      <c r="E76" s="260"/>
      <c r="F76" s="288"/>
      <c r="G76" s="303"/>
      <c r="H76" s="287">
        <f>+[65]cashbalances!H38</f>
        <v>0</v>
      </c>
      <c r="I76" s="286"/>
      <c r="J76" s="244"/>
      <c r="K76" s="261"/>
      <c r="L76" s="284"/>
      <c r="M76" s="287">
        <f>+[65]cashbalances!M38</f>
        <v>-9617047.0857300311</v>
      </c>
      <c r="N76" s="286"/>
      <c r="O76" s="244"/>
      <c r="P76" s="261"/>
      <c r="Q76" s="284"/>
      <c r="R76" s="287">
        <f>+[65]cashbalances!R38</f>
        <v>1658010.930979982</v>
      </c>
      <c r="S76" s="286"/>
      <c r="T76" s="244"/>
      <c r="U76" s="261"/>
      <c r="V76" s="284"/>
      <c r="W76" s="287">
        <f>+[65]cashbalances!W38</f>
        <v>13980252.002719998</v>
      </c>
      <c r="X76" s="286"/>
      <c r="Y76" s="244"/>
      <c r="Z76" s="261"/>
      <c r="AA76" s="284"/>
      <c r="AB76" s="287">
        <f>+[65]cashbalances!AB38</f>
        <v>-8777405.5292999893</v>
      </c>
      <c r="AC76" s="286"/>
      <c r="AD76" s="244"/>
      <c r="AE76" s="261"/>
      <c r="AF76" s="284"/>
      <c r="AG76" s="287">
        <f>+[65]cashbalances!AG38</f>
        <v>-9967884.6452499926</v>
      </c>
      <c r="AH76" s="286"/>
      <c r="AI76" s="244"/>
      <c r="AJ76" s="261"/>
      <c r="AK76" s="284"/>
      <c r="AL76" s="287">
        <f>+[65]cashbalances!AL38</f>
        <v>-4315544.2743200064</v>
      </c>
      <c r="AM76" s="286"/>
      <c r="AN76" s="244"/>
      <c r="AO76" s="261"/>
      <c r="AP76" s="284"/>
      <c r="AQ76" s="287">
        <f>+[65]cashbalances!AQ38</f>
        <v>-395955.73492997885</v>
      </c>
      <c r="AR76" s="286"/>
      <c r="AS76" s="244"/>
      <c r="AT76" s="261"/>
      <c r="AU76" s="284"/>
      <c r="AV76" s="287">
        <f>+[65]cashbalances!AV38</f>
        <v>-18897629.034100011</v>
      </c>
      <c r="AW76" s="286"/>
      <c r="AX76" s="244"/>
      <c r="AY76" s="261"/>
      <c r="AZ76" s="284"/>
      <c r="BA76" s="287">
        <f>+[65]cashbalances!BA38</f>
        <v>-1291051.425060004</v>
      </c>
      <c r="BB76" s="286"/>
      <c r="BC76" s="244"/>
      <c r="BD76" s="261"/>
      <c r="BE76" s="284"/>
      <c r="BF76" s="287">
        <f>+[65]cashbalances!BF38</f>
        <v>-2746121.6662400216</v>
      </c>
      <c r="BG76" s="286"/>
      <c r="BH76" s="244"/>
      <c r="BI76" s="261"/>
      <c r="BJ76" s="284"/>
      <c r="BK76" s="287">
        <f>+[65]cashbalances!BK38</f>
        <v>-5785998.0916399956</v>
      </c>
      <c r="BL76" s="286"/>
      <c r="BM76" s="244"/>
      <c r="BN76" s="261"/>
      <c r="BO76" s="284"/>
      <c r="BP76" s="287">
        <f>+[65]cashbalances!BP38</f>
        <v>48587728.50752002</v>
      </c>
      <c r="BQ76" s="286"/>
      <c r="BR76" s="244"/>
      <c r="BS76" s="261"/>
      <c r="BT76" s="284"/>
      <c r="BU76" s="287">
        <f>+[65]cashbalances!BU38</f>
        <v>2431353.9546499699</v>
      </c>
      <c r="BV76" s="286"/>
      <c r="BW76" s="244"/>
      <c r="BX76" s="254"/>
      <c r="CA76" s="268"/>
      <c r="CB76" s="268"/>
    </row>
    <row r="77" spans="1:80" x14ac:dyDescent="0.2">
      <c r="A77" s="244"/>
      <c r="B77" s="244"/>
      <c r="C77" s="254"/>
      <c r="D77" s="244"/>
      <c r="E77" s="260"/>
      <c r="F77" s="288"/>
      <c r="G77" s="289"/>
      <c r="H77" s="244"/>
      <c r="I77" s="244"/>
      <c r="J77" s="244"/>
      <c r="K77" s="261"/>
      <c r="L77" s="244"/>
      <c r="M77" s="244"/>
      <c r="N77" s="244"/>
      <c r="O77" s="244"/>
      <c r="P77" s="261"/>
      <c r="Q77" s="244"/>
      <c r="R77" s="244"/>
      <c r="S77" s="244"/>
      <c r="T77" s="244"/>
      <c r="U77" s="261"/>
      <c r="V77" s="244"/>
      <c r="W77" s="244"/>
      <c r="X77" s="244"/>
      <c r="Y77" s="244"/>
      <c r="Z77" s="261"/>
      <c r="AA77" s="244"/>
      <c r="AB77" s="244"/>
      <c r="AC77" s="244"/>
      <c r="AD77" s="244"/>
      <c r="AE77" s="261"/>
      <c r="AF77" s="244"/>
      <c r="AG77" s="244"/>
      <c r="AH77" s="244"/>
      <c r="AI77" s="244"/>
      <c r="AJ77" s="261"/>
      <c r="AK77" s="244"/>
      <c r="AL77" s="244"/>
      <c r="AM77" s="244"/>
      <c r="AN77" s="244"/>
      <c r="AO77" s="261"/>
      <c r="AP77" s="244"/>
      <c r="AQ77" s="244"/>
      <c r="AR77" s="244"/>
      <c r="AS77" s="244"/>
      <c r="AT77" s="261"/>
      <c r="AU77" s="244"/>
      <c r="AV77" s="244"/>
      <c r="AW77" s="244"/>
      <c r="AX77" s="244"/>
      <c r="AY77" s="261"/>
      <c r="AZ77" s="244"/>
      <c r="BA77" s="244"/>
      <c r="BB77" s="244"/>
      <c r="BC77" s="244"/>
      <c r="BD77" s="261"/>
      <c r="BE77" s="244"/>
      <c r="BF77" s="244"/>
      <c r="BG77" s="244"/>
      <c r="BH77" s="244"/>
      <c r="BI77" s="261"/>
      <c r="BJ77" s="244"/>
      <c r="BK77" s="244"/>
      <c r="BL77" s="244"/>
      <c r="BM77" s="244"/>
      <c r="BN77" s="261"/>
      <c r="BO77" s="244"/>
      <c r="BP77" s="244"/>
      <c r="BQ77" s="244"/>
      <c r="BR77" s="244"/>
      <c r="BS77" s="261"/>
      <c r="BT77" s="244"/>
      <c r="BU77" s="244"/>
      <c r="BV77" s="244"/>
      <c r="BW77" s="244"/>
      <c r="BX77" s="254"/>
      <c r="CA77" s="268"/>
      <c r="CB77" s="268"/>
    </row>
    <row r="78" spans="1:80" s="268" customFormat="1" x14ac:dyDescent="0.2">
      <c r="A78" s="245"/>
      <c r="B78" s="245"/>
      <c r="C78" s="304" t="s">
        <v>298</v>
      </c>
      <c r="D78" s="305"/>
      <c r="E78" s="263"/>
      <c r="F78" s="306"/>
      <c r="G78" s="307"/>
      <c r="H78" s="308">
        <f>+H13+H23+H45+H68</f>
        <v>337507831.17949414</v>
      </c>
      <c r="I78" s="308"/>
      <c r="J78" s="308"/>
      <c r="K78" s="309"/>
      <c r="L78" s="308"/>
      <c r="M78" s="308">
        <f>+M13+M23+M45+M68</f>
        <v>63530124.914269969</v>
      </c>
      <c r="N78" s="308"/>
      <c r="O78" s="308"/>
      <c r="P78" s="309"/>
      <c r="Q78" s="308"/>
      <c r="R78" s="308">
        <f>+R13+R23+R45+R68</f>
        <v>17540392.930979982</v>
      </c>
      <c r="S78" s="308"/>
      <c r="T78" s="308"/>
      <c r="U78" s="309"/>
      <c r="V78" s="308"/>
      <c r="W78" s="308">
        <f>+W13+W23+W45+W68</f>
        <v>-23606007.997280002</v>
      </c>
      <c r="X78" s="308"/>
      <c r="Y78" s="308"/>
      <c r="Z78" s="309"/>
      <c r="AA78" s="308"/>
      <c r="AB78" s="308">
        <f>+AB13+AB23+AB45+AB68</f>
        <v>99103979.470700011</v>
      </c>
      <c r="AC78" s="308"/>
      <c r="AD78" s="308"/>
      <c r="AE78" s="309"/>
      <c r="AF78" s="308"/>
      <c r="AG78" s="308">
        <f>+AG13+AG23+AG45+AG68</f>
        <v>32839807.354750007</v>
      </c>
      <c r="AH78" s="308"/>
      <c r="AI78" s="308"/>
      <c r="AJ78" s="309"/>
      <c r="AK78" s="308"/>
      <c r="AL78" s="308">
        <f>+AL13+AL23+AL45+AL68</f>
        <v>649646.72567999363</v>
      </c>
      <c r="AM78" s="308"/>
      <c r="AN78" s="308"/>
      <c r="AO78" s="309"/>
      <c r="AP78" s="308"/>
      <c r="AQ78" s="308">
        <f>+AQ13+AQ23+AQ45+AQ68</f>
        <v>42343200.265070021</v>
      </c>
      <c r="AR78" s="308"/>
      <c r="AS78" s="308"/>
      <c r="AT78" s="309"/>
      <c r="AU78" s="308"/>
      <c r="AV78" s="308">
        <f>+AV13+AV23+AV45+AV68</f>
        <v>15141181.965899989</v>
      </c>
      <c r="AW78" s="308"/>
      <c r="AX78" s="308"/>
      <c r="AY78" s="309"/>
      <c r="AZ78" s="308"/>
      <c r="BA78" s="308">
        <f>+BA13+BA23+BA45+BA68</f>
        <v>2169109.574939996</v>
      </c>
      <c r="BB78" s="308"/>
      <c r="BC78" s="308"/>
      <c r="BD78" s="309"/>
      <c r="BE78" s="308"/>
      <c r="BF78" s="308">
        <f>+BF13+BF23+BF45+BF68</f>
        <v>47546404.333759978</v>
      </c>
      <c r="BG78" s="308"/>
      <c r="BH78" s="308"/>
      <c r="BI78" s="309"/>
      <c r="BJ78" s="308"/>
      <c r="BK78" s="308">
        <f>+BK13+BK23+BK45+BK68</f>
        <v>-2152970.0916399956</v>
      </c>
      <c r="BL78" s="308"/>
      <c r="BM78" s="308"/>
      <c r="BN78" s="309"/>
      <c r="BO78" s="308"/>
      <c r="BP78" s="308">
        <f>+BP13+BP23+BP45+BP68</f>
        <v>51168362.50752002</v>
      </c>
      <c r="BQ78" s="308"/>
      <c r="BR78" s="308"/>
      <c r="BS78" s="309"/>
      <c r="BT78" s="308"/>
      <c r="BU78" s="308">
        <f>+BU13+BU23+BU45+BU68</f>
        <v>346273231.95464998</v>
      </c>
      <c r="BV78" s="308"/>
      <c r="BW78" s="308"/>
      <c r="BX78" s="262"/>
      <c r="BY78" s="245"/>
    </row>
    <row r="79" spans="1:80" ht="15" customHeight="1" x14ac:dyDescent="0.2">
      <c r="A79" s="244"/>
      <c r="B79" s="244"/>
      <c r="C79" s="310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1"/>
      <c r="BU79" s="311"/>
      <c r="BV79" s="311"/>
      <c r="BW79" s="311"/>
      <c r="BX79" s="244"/>
      <c r="CB79" s="268"/>
    </row>
    <row r="80" spans="1:80" ht="5.25" customHeight="1" x14ac:dyDescent="0.2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</row>
    <row r="81" spans="2:77" ht="15" customHeight="1" x14ac:dyDescent="0.2"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</row>
    <row r="82" spans="2:77" s="312" customFormat="1" ht="15" hidden="1" customHeight="1" x14ac:dyDescent="0.2">
      <c r="B82" s="313"/>
      <c r="D82" s="314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5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245" t="e">
        <f>+BW83+BW90</f>
        <v>#REF!</v>
      </c>
      <c r="BX82" s="313"/>
      <c r="BY82" s="313"/>
    </row>
    <row r="83" spans="2:77" s="312" customFormat="1" ht="15" hidden="1" customHeight="1" x14ac:dyDescent="0.2">
      <c r="B83" s="313"/>
      <c r="C83" s="316"/>
      <c r="D83" s="314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244" t="e">
        <f>SUM(BW84:BW88)</f>
        <v>#REF!</v>
      </c>
      <c r="BX83" s="313"/>
      <c r="BY83" s="313"/>
    </row>
    <row r="84" spans="2:77" ht="15" hidden="1" customHeight="1" x14ac:dyDescent="0.2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 t="e">
        <f>M13-#REF!</f>
        <v>#REF!</v>
      </c>
      <c r="N84" s="244" t="e">
        <f>N13-#REF!</f>
        <v>#REF!</v>
      </c>
      <c r="O84" s="244" t="e">
        <f>O13-#REF!</f>
        <v>#REF!</v>
      </c>
      <c r="P84" s="244" t="e">
        <f>P13-#REF!</f>
        <v>#REF!</v>
      </c>
      <c r="Q84" s="244" t="e">
        <f>Q13-#REF!</f>
        <v>#REF!</v>
      </c>
      <c r="R84" s="244" t="e">
        <f>R13-#REF!</f>
        <v>#REF!</v>
      </c>
      <c r="S84" s="244" t="e">
        <f>S13-#REF!</f>
        <v>#REF!</v>
      </c>
      <c r="T84" s="244" t="e">
        <f>T13-#REF!</f>
        <v>#REF!</v>
      </c>
      <c r="U84" s="244" t="e">
        <f>U13-#REF!</f>
        <v>#REF!</v>
      </c>
      <c r="V84" s="244" t="e">
        <f>V13-#REF!</f>
        <v>#REF!</v>
      </c>
      <c r="W84" s="244" t="e">
        <f>W13-#REF!</f>
        <v>#REF!</v>
      </c>
      <c r="X84" s="244" t="e">
        <f>X13-#REF!</f>
        <v>#REF!</v>
      </c>
      <c r="Y84" s="244" t="e">
        <f>Y13-#REF!</f>
        <v>#REF!</v>
      </c>
      <c r="Z84" s="244" t="e">
        <f>Z13-#REF!</f>
        <v>#REF!</v>
      </c>
      <c r="AA84" s="244" t="e">
        <f>AA13-#REF!</f>
        <v>#REF!</v>
      </c>
      <c r="AB84" s="244" t="e">
        <f>AB13-#REF!</f>
        <v>#REF!</v>
      </c>
      <c r="AC84" s="244" t="e">
        <f>AC13-#REF!</f>
        <v>#REF!</v>
      </c>
      <c r="AD84" s="244" t="e">
        <f>AD13-#REF!</f>
        <v>#REF!</v>
      </c>
      <c r="AE84" s="244" t="e">
        <f>AE13-#REF!</f>
        <v>#REF!</v>
      </c>
      <c r="AF84" s="244" t="e">
        <f>AF13-#REF!</f>
        <v>#REF!</v>
      </c>
      <c r="AG84" s="244" t="e">
        <f>AG13-#REF!</f>
        <v>#REF!</v>
      </c>
      <c r="AH84" s="244" t="e">
        <f>AH13-#REF!</f>
        <v>#REF!</v>
      </c>
      <c r="AI84" s="244" t="e">
        <f>AI13-#REF!</f>
        <v>#REF!</v>
      </c>
      <c r="AJ84" s="244" t="e">
        <f>AJ13-#REF!</f>
        <v>#REF!</v>
      </c>
      <c r="AK84" s="244" t="e">
        <f>AK13-#REF!</f>
        <v>#REF!</v>
      </c>
      <c r="AL84" s="244" t="e">
        <f>AL13-#REF!</f>
        <v>#REF!</v>
      </c>
      <c r="AM84" s="244" t="e">
        <f>AM13-#REF!</f>
        <v>#REF!</v>
      </c>
      <c r="AN84" s="244" t="e">
        <f>AN13-#REF!</f>
        <v>#REF!</v>
      </c>
      <c r="AO84" s="244" t="e">
        <f>AO13-#REF!</f>
        <v>#REF!</v>
      </c>
      <c r="AP84" s="244" t="e">
        <f>AP13-#REF!</f>
        <v>#REF!</v>
      </c>
      <c r="AQ84" s="244" t="e">
        <f>AQ13-#REF!</f>
        <v>#REF!</v>
      </c>
      <c r="AR84" s="244" t="e">
        <f>AR13-#REF!</f>
        <v>#REF!</v>
      </c>
      <c r="AS84" s="244" t="e">
        <f>AS13-#REF!</f>
        <v>#REF!</v>
      </c>
      <c r="AT84" s="244" t="e">
        <f>AT13-#REF!</f>
        <v>#REF!</v>
      </c>
      <c r="AU84" s="244" t="e">
        <f>AU13-#REF!</f>
        <v>#REF!</v>
      </c>
      <c r="AV84" s="244" t="e">
        <f>AV13-#REF!</f>
        <v>#REF!</v>
      </c>
      <c r="AW84" s="244" t="e">
        <f>AW13-#REF!</f>
        <v>#REF!</v>
      </c>
      <c r="AX84" s="244" t="e">
        <f>AX13-#REF!</f>
        <v>#REF!</v>
      </c>
      <c r="AY84" s="244" t="e">
        <f>AY13-#REF!</f>
        <v>#REF!</v>
      </c>
      <c r="AZ84" s="244" t="e">
        <f>AZ13-#REF!</f>
        <v>#REF!</v>
      </c>
      <c r="BA84" s="244" t="e">
        <f>BA13-#REF!</f>
        <v>#REF!</v>
      </c>
      <c r="BB84" s="244" t="e">
        <f>BB13-#REF!</f>
        <v>#REF!</v>
      </c>
      <c r="BC84" s="244" t="e">
        <f>BC13-#REF!</f>
        <v>#REF!</v>
      </c>
      <c r="BD84" s="244" t="e">
        <f>BD13-#REF!</f>
        <v>#REF!</v>
      </c>
      <c r="BE84" s="244" t="e">
        <f>BE13-#REF!</f>
        <v>#REF!</v>
      </c>
      <c r="BF84" s="244" t="e">
        <f>BF13-#REF!</f>
        <v>#REF!</v>
      </c>
      <c r="BG84" s="244" t="e">
        <f>BG13-#REF!</f>
        <v>#REF!</v>
      </c>
      <c r="BH84" s="244" t="e">
        <f>BH13-#REF!</f>
        <v>#REF!</v>
      </c>
      <c r="BI84" s="244" t="e">
        <f>BI13-#REF!</f>
        <v>#REF!</v>
      </c>
      <c r="BJ84" s="244" t="e">
        <f>BJ13-#REF!</f>
        <v>#REF!</v>
      </c>
      <c r="BK84" s="244" t="e">
        <f>BK13-#REF!</f>
        <v>#REF!</v>
      </c>
      <c r="BL84" s="244" t="e">
        <f>BL13-#REF!</f>
        <v>#REF!</v>
      </c>
      <c r="BM84" s="244" t="e">
        <f>BM13-#REF!</f>
        <v>#REF!</v>
      </c>
      <c r="BN84" s="244" t="e">
        <f>BN13-#REF!</f>
        <v>#REF!</v>
      </c>
      <c r="BO84" s="244" t="e">
        <f>BO13-#REF!</f>
        <v>#REF!</v>
      </c>
      <c r="BP84" s="244" t="e">
        <f>BP13-#REF!</f>
        <v>#REF!</v>
      </c>
      <c r="BQ84" s="244" t="e">
        <f>BQ13-#REF!</f>
        <v>#REF!</v>
      </c>
      <c r="BR84" s="244" t="e">
        <f>BR13-#REF!</f>
        <v>#REF!</v>
      </c>
      <c r="BS84" s="244" t="e">
        <f>BS13-#REF!</f>
        <v>#REF!</v>
      </c>
      <c r="BT84" s="244" t="e">
        <f>BT13-#REF!</f>
        <v>#REF!</v>
      </c>
      <c r="BU84" s="244" t="e">
        <f>BU13-#REF!</f>
        <v>#REF!</v>
      </c>
      <c r="BV84" s="244"/>
      <c r="BW84" s="244" t="e">
        <f>SUM(O84:BR84)</f>
        <v>#REF!</v>
      </c>
      <c r="BX84" s="244"/>
    </row>
    <row r="85" spans="2:77" ht="15" hidden="1" customHeight="1" x14ac:dyDescent="0.2">
      <c r="B85" s="244"/>
      <c r="C85" s="317"/>
      <c r="D85" s="244"/>
      <c r="E85" s="244"/>
      <c r="F85" s="244"/>
      <c r="G85" s="244"/>
      <c r="H85" s="318"/>
      <c r="I85" s="244"/>
      <c r="J85" s="244"/>
      <c r="K85" s="244"/>
      <c r="L85" s="244"/>
      <c r="M85" s="244" t="e">
        <f>M14-#REF!</f>
        <v>#REF!</v>
      </c>
      <c r="N85" s="244" t="e">
        <f>N14-#REF!</f>
        <v>#REF!</v>
      </c>
      <c r="O85" s="244" t="e">
        <f>O14-#REF!</f>
        <v>#REF!</v>
      </c>
      <c r="P85" s="244" t="e">
        <f>P14-#REF!</f>
        <v>#REF!</v>
      </c>
      <c r="Q85" s="244" t="e">
        <f>Q14-#REF!</f>
        <v>#REF!</v>
      </c>
      <c r="R85" s="244" t="e">
        <f>R14-#REF!</f>
        <v>#REF!</v>
      </c>
      <c r="S85" s="244" t="e">
        <f>S14-#REF!</f>
        <v>#REF!</v>
      </c>
      <c r="T85" s="244" t="e">
        <f>T14-#REF!</f>
        <v>#REF!</v>
      </c>
      <c r="U85" s="244" t="e">
        <f>U14-#REF!</f>
        <v>#REF!</v>
      </c>
      <c r="V85" s="244" t="e">
        <f>V14-#REF!</f>
        <v>#REF!</v>
      </c>
      <c r="W85" s="244" t="e">
        <f>W14-#REF!</f>
        <v>#REF!</v>
      </c>
      <c r="X85" s="244" t="e">
        <f>X14-#REF!</f>
        <v>#REF!</v>
      </c>
      <c r="Y85" s="244" t="e">
        <f>Y14-#REF!</f>
        <v>#REF!</v>
      </c>
      <c r="Z85" s="244" t="e">
        <f>Z14-#REF!</f>
        <v>#REF!</v>
      </c>
      <c r="AA85" s="244" t="e">
        <f>AA14-#REF!</f>
        <v>#REF!</v>
      </c>
      <c r="AB85" s="244" t="e">
        <f>AB14-#REF!</f>
        <v>#REF!</v>
      </c>
      <c r="AC85" s="244" t="e">
        <f>AC14-#REF!</f>
        <v>#REF!</v>
      </c>
      <c r="AD85" s="244" t="e">
        <f>AD14-#REF!</f>
        <v>#REF!</v>
      </c>
      <c r="AE85" s="244" t="e">
        <f>AE14-#REF!</f>
        <v>#REF!</v>
      </c>
      <c r="AF85" s="244" t="e">
        <f>AF14-#REF!</f>
        <v>#REF!</v>
      </c>
      <c r="AG85" s="244" t="e">
        <f>AG14-#REF!</f>
        <v>#REF!</v>
      </c>
      <c r="AH85" s="244" t="e">
        <f>AH14-#REF!</f>
        <v>#REF!</v>
      </c>
      <c r="AI85" s="244" t="e">
        <f>AI14-#REF!</f>
        <v>#REF!</v>
      </c>
      <c r="AJ85" s="244" t="e">
        <f>AJ14-#REF!</f>
        <v>#REF!</v>
      </c>
      <c r="AK85" s="244" t="e">
        <f>AK14-#REF!</f>
        <v>#REF!</v>
      </c>
      <c r="AL85" s="244" t="e">
        <f>AL14-#REF!</f>
        <v>#REF!</v>
      </c>
      <c r="AM85" s="244" t="e">
        <f>AM14-#REF!</f>
        <v>#REF!</v>
      </c>
      <c r="AN85" s="244" t="e">
        <f>AN14-#REF!</f>
        <v>#REF!</v>
      </c>
      <c r="AO85" s="244" t="e">
        <f>AO14-#REF!</f>
        <v>#REF!</v>
      </c>
      <c r="AP85" s="244" t="e">
        <f>AP14-#REF!</f>
        <v>#REF!</v>
      </c>
      <c r="AQ85" s="244" t="e">
        <f>AQ14-#REF!</f>
        <v>#REF!</v>
      </c>
      <c r="AR85" s="244" t="e">
        <f>AR14-#REF!</f>
        <v>#REF!</v>
      </c>
      <c r="AS85" s="244" t="e">
        <f>AS14-#REF!</f>
        <v>#REF!</v>
      </c>
      <c r="AT85" s="244" t="e">
        <f>AT14-#REF!</f>
        <v>#REF!</v>
      </c>
      <c r="AU85" s="244" t="e">
        <f>AU14-#REF!</f>
        <v>#REF!</v>
      </c>
      <c r="AV85" s="244" t="e">
        <f>AV14-#REF!</f>
        <v>#REF!</v>
      </c>
      <c r="AW85" s="244" t="e">
        <f>AW14-#REF!</f>
        <v>#REF!</v>
      </c>
      <c r="AX85" s="244" t="e">
        <f>AX14-#REF!</f>
        <v>#REF!</v>
      </c>
      <c r="AY85" s="244" t="e">
        <f>AY14-#REF!</f>
        <v>#REF!</v>
      </c>
      <c r="AZ85" s="244" t="e">
        <f>AZ14-#REF!</f>
        <v>#REF!</v>
      </c>
      <c r="BA85" s="244" t="e">
        <f>BA14-#REF!</f>
        <v>#REF!</v>
      </c>
      <c r="BB85" s="244" t="e">
        <f>BB14-#REF!</f>
        <v>#REF!</v>
      </c>
      <c r="BC85" s="244" t="e">
        <f>BC14-#REF!</f>
        <v>#REF!</v>
      </c>
      <c r="BD85" s="244" t="e">
        <f>BD14-#REF!</f>
        <v>#REF!</v>
      </c>
      <c r="BE85" s="244" t="e">
        <f>BE14-#REF!</f>
        <v>#REF!</v>
      </c>
      <c r="BF85" s="244" t="e">
        <f>BF14-#REF!</f>
        <v>#REF!</v>
      </c>
      <c r="BG85" s="244" t="e">
        <f>BG14-#REF!</f>
        <v>#REF!</v>
      </c>
      <c r="BH85" s="244" t="e">
        <f>BH14-#REF!</f>
        <v>#REF!</v>
      </c>
      <c r="BI85" s="244" t="e">
        <f>BI14-#REF!</f>
        <v>#REF!</v>
      </c>
      <c r="BJ85" s="244" t="e">
        <f>BJ14-#REF!</f>
        <v>#REF!</v>
      </c>
      <c r="BK85" s="244" t="e">
        <f>BK14-#REF!</f>
        <v>#REF!</v>
      </c>
      <c r="BL85" s="244" t="e">
        <f>BL14-#REF!</f>
        <v>#REF!</v>
      </c>
      <c r="BM85" s="244" t="e">
        <f>BM14-#REF!</f>
        <v>#REF!</v>
      </c>
      <c r="BN85" s="244" t="e">
        <f>BN14-#REF!</f>
        <v>#REF!</v>
      </c>
      <c r="BO85" s="244" t="e">
        <f>BO14-#REF!</f>
        <v>#REF!</v>
      </c>
      <c r="BP85" s="244" t="e">
        <f>BP14-#REF!</f>
        <v>#REF!</v>
      </c>
      <c r="BQ85" s="244" t="e">
        <f>BQ14-#REF!</f>
        <v>#REF!</v>
      </c>
      <c r="BR85" s="244" t="e">
        <f>BR14-#REF!</f>
        <v>#REF!</v>
      </c>
      <c r="BS85" s="244" t="e">
        <f>BS14-#REF!</f>
        <v>#REF!</v>
      </c>
      <c r="BT85" s="244" t="e">
        <f>BT14-#REF!</f>
        <v>#REF!</v>
      </c>
      <c r="BU85" s="244" t="e">
        <f>BU14-#REF!</f>
        <v>#REF!</v>
      </c>
      <c r="BV85" s="244"/>
      <c r="BW85" s="244" t="e">
        <f>SUM(O85:BR85)</f>
        <v>#REF!</v>
      </c>
      <c r="BX85" s="244"/>
    </row>
    <row r="86" spans="2:77" ht="15" hidden="1" customHeight="1" x14ac:dyDescent="0.2"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 t="e">
        <f>M15-#REF!</f>
        <v>#REF!</v>
      </c>
      <c r="N86" s="244" t="e">
        <f>N15-#REF!</f>
        <v>#REF!</v>
      </c>
      <c r="O86" s="244" t="e">
        <f>O15-#REF!</f>
        <v>#REF!</v>
      </c>
      <c r="P86" s="244" t="e">
        <f>P15-#REF!</f>
        <v>#REF!</v>
      </c>
      <c r="Q86" s="244" t="e">
        <f>Q15-#REF!</f>
        <v>#REF!</v>
      </c>
      <c r="R86" s="244" t="e">
        <f>R15-#REF!</f>
        <v>#REF!</v>
      </c>
      <c r="S86" s="244" t="e">
        <f>S15-#REF!</f>
        <v>#REF!</v>
      </c>
      <c r="T86" s="244" t="e">
        <f>T15-#REF!</f>
        <v>#REF!</v>
      </c>
      <c r="U86" s="244" t="e">
        <f>U15-#REF!</f>
        <v>#REF!</v>
      </c>
      <c r="V86" s="244" t="e">
        <f>V15-#REF!</f>
        <v>#REF!</v>
      </c>
      <c r="W86" s="244" t="e">
        <f>W15-#REF!</f>
        <v>#REF!</v>
      </c>
      <c r="X86" s="244" t="e">
        <f>X15-#REF!</f>
        <v>#REF!</v>
      </c>
      <c r="Y86" s="244" t="e">
        <f>Y15-#REF!</f>
        <v>#REF!</v>
      </c>
      <c r="Z86" s="244" t="e">
        <f>Z15-#REF!</f>
        <v>#REF!</v>
      </c>
      <c r="AA86" s="244" t="e">
        <f>AA15-#REF!</f>
        <v>#REF!</v>
      </c>
      <c r="AB86" s="244" t="e">
        <f>AB15-#REF!</f>
        <v>#REF!</v>
      </c>
      <c r="AC86" s="244" t="e">
        <f>AC15-#REF!</f>
        <v>#REF!</v>
      </c>
      <c r="AD86" s="244" t="e">
        <f>AD15-#REF!</f>
        <v>#REF!</v>
      </c>
      <c r="AE86" s="244" t="e">
        <f>AE15-#REF!</f>
        <v>#REF!</v>
      </c>
      <c r="AF86" s="244" t="e">
        <f>AF15-#REF!</f>
        <v>#REF!</v>
      </c>
      <c r="AG86" s="244" t="e">
        <f>AG15-#REF!</f>
        <v>#REF!</v>
      </c>
      <c r="AH86" s="244" t="e">
        <f>AH15-#REF!</f>
        <v>#REF!</v>
      </c>
      <c r="AI86" s="244" t="e">
        <f>AI15-#REF!</f>
        <v>#REF!</v>
      </c>
      <c r="AJ86" s="244" t="e">
        <f>AJ15-#REF!</f>
        <v>#REF!</v>
      </c>
      <c r="AK86" s="244" t="e">
        <f>AK15-#REF!</f>
        <v>#REF!</v>
      </c>
      <c r="AL86" s="244" t="e">
        <f>AL15-#REF!</f>
        <v>#REF!</v>
      </c>
      <c r="AM86" s="244" t="e">
        <f>AM15-#REF!</f>
        <v>#REF!</v>
      </c>
      <c r="AN86" s="244" t="e">
        <f>AN15-#REF!</f>
        <v>#REF!</v>
      </c>
      <c r="AO86" s="244" t="e">
        <f>AO15-#REF!</f>
        <v>#REF!</v>
      </c>
      <c r="AP86" s="244" t="e">
        <f>AP15-#REF!</f>
        <v>#REF!</v>
      </c>
      <c r="AQ86" s="244" t="e">
        <f>AQ15-#REF!</f>
        <v>#REF!</v>
      </c>
      <c r="AR86" s="244" t="e">
        <f>AR15-#REF!</f>
        <v>#REF!</v>
      </c>
      <c r="AS86" s="244" t="e">
        <f>AS15-#REF!</f>
        <v>#REF!</v>
      </c>
      <c r="AT86" s="244" t="e">
        <f>AT15-#REF!</f>
        <v>#REF!</v>
      </c>
      <c r="AU86" s="244" t="e">
        <f>AU15-#REF!</f>
        <v>#REF!</v>
      </c>
      <c r="AV86" s="244" t="e">
        <f>AV15-#REF!</f>
        <v>#REF!</v>
      </c>
      <c r="AW86" s="244" t="e">
        <f>AW15-#REF!</f>
        <v>#REF!</v>
      </c>
      <c r="AX86" s="244" t="e">
        <f>AX15-#REF!</f>
        <v>#REF!</v>
      </c>
      <c r="AY86" s="244" t="e">
        <f>AY15-#REF!</f>
        <v>#REF!</v>
      </c>
      <c r="AZ86" s="244" t="e">
        <f>AZ15-#REF!</f>
        <v>#REF!</v>
      </c>
      <c r="BA86" s="244" t="e">
        <f>BA15-#REF!</f>
        <v>#REF!</v>
      </c>
      <c r="BB86" s="244" t="e">
        <f>BB15-#REF!</f>
        <v>#REF!</v>
      </c>
      <c r="BC86" s="244" t="e">
        <f>BC15-#REF!</f>
        <v>#REF!</v>
      </c>
      <c r="BD86" s="244" t="e">
        <f>BD15-#REF!</f>
        <v>#REF!</v>
      </c>
      <c r="BE86" s="244" t="e">
        <f>BE15-#REF!</f>
        <v>#REF!</v>
      </c>
      <c r="BF86" s="244" t="e">
        <f>BF15-#REF!</f>
        <v>#REF!</v>
      </c>
      <c r="BG86" s="244" t="e">
        <f>BG15-#REF!</f>
        <v>#REF!</v>
      </c>
      <c r="BH86" s="244" t="e">
        <f>BH15-#REF!</f>
        <v>#REF!</v>
      </c>
      <c r="BI86" s="244" t="e">
        <f>BI15-#REF!</f>
        <v>#REF!</v>
      </c>
      <c r="BJ86" s="244" t="e">
        <f>BJ15-#REF!</f>
        <v>#REF!</v>
      </c>
      <c r="BK86" s="244" t="e">
        <f>BK15-#REF!</f>
        <v>#REF!</v>
      </c>
      <c r="BL86" s="244" t="e">
        <f>BL15-#REF!</f>
        <v>#REF!</v>
      </c>
      <c r="BM86" s="244" t="e">
        <f>BM15-#REF!</f>
        <v>#REF!</v>
      </c>
      <c r="BN86" s="244" t="e">
        <f>BN15-#REF!</f>
        <v>#REF!</v>
      </c>
      <c r="BO86" s="244" t="e">
        <f>BO15-#REF!</f>
        <v>#REF!</v>
      </c>
      <c r="BP86" s="244" t="e">
        <f>BP15-#REF!</f>
        <v>#REF!</v>
      </c>
      <c r="BQ86" s="244" t="e">
        <f>BQ15-#REF!</f>
        <v>#REF!</v>
      </c>
      <c r="BR86" s="244" t="e">
        <f>BR15-#REF!</f>
        <v>#REF!</v>
      </c>
      <c r="BS86" s="244" t="e">
        <f>BS15-#REF!</f>
        <v>#REF!</v>
      </c>
      <c r="BT86" s="244" t="e">
        <f>BT15-#REF!</f>
        <v>#REF!</v>
      </c>
      <c r="BU86" s="244" t="e">
        <f>BU15-#REF!</f>
        <v>#REF!</v>
      </c>
      <c r="BV86" s="244"/>
      <c r="BW86" s="244" t="e">
        <f>SUM(O86:BR86)</f>
        <v>#REF!</v>
      </c>
      <c r="BX86" s="244"/>
    </row>
    <row r="87" spans="2:77" ht="15" hidden="1" customHeight="1" x14ac:dyDescent="0.2"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 t="e">
        <f>M16-#REF!</f>
        <v>#REF!</v>
      </c>
      <c r="N87" s="244" t="e">
        <f>N16-#REF!</f>
        <v>#REF!</v>
      </c>
      <c r="O87" s="244" t="e">
        <f>O16-#REF!</f>
        <v>#REF!</v>
      </c>
      <c r="P87" s="244" t="e">
        <f>P16-#REF!</f>
        <v>#REF!</v>
      </c>
      <c r="Q87" s="244" t="e">
        <f>Q16-#REF!</f>
        <v>#REF!</v>
      </c>
      <c r="R87" s="244" t="e">
        <f>R16-#REF!</f>
        <v>#REF!</v>
      </c>
      <c r="S87" s="244" t="e">
        <f>S16-#REF!</f>
        <v>#REF!</v>
      </c>
      <c r="T87" s="244" t="e">
        <f>T16-#REF!</f>
        <v>#REF!</v>
      </c>
      <c r="U87" s="244" t="e">
        <f>U16-#REF!</f>
        <v>#REF!</v>
      </c>
      <c r="V87" s="244" t="e">
        <f>V16-#REF!</f>
        <v>#REF!</v>
      </c>
      <c r="W87" s="244" t="e">
        <f>W16-#REF!</f>
        <v>#REF!</v>
      </c>
      <c r="X87" s="244" t="e">
        <f>X16-#REF!</f>
        <v>#REF!</v>
      </c>
      <c r="Y87" s="244" t="e">
        <f>Y16-#REF!</f>
        <v>#REF!</v>
      </c>
      <c r="Z87" s="244" t="e">
        <f>Z16-#REF!</f>
        <v>#REF!</v>
      </c>
      <c r="AA87" s="244" t="e">
        <f>AA16-#REF!</f>
        <v>#REF!</v>
      </c>
      <c r="AB87" s="244" t="e">
        <f>AB16-#REF!</f>
        <v>#REF!</v>
      </c>
      <c r="AC87" s="244" t="e">
        <f>AC16-#REF!</f>
        <v>#REF!</v>
      </c>
      <c r="AD87" s="244" t="e">
        <f>AD16-#REF!</f>
        <v>#REF!</v>
      </c>
      <c r="AE87" s="244" t="e">
        <f>AE16-#REF!</f>
        <v>#REF!</v>
      </c>
      <c r="AF87" s="244" t="e">
        <f>AF16-#REF!</f>
        <v>#REF!</v>
      </c>
      <c r="AG87" s="244" t="e">
        <f>AG16-#REF!</f>
        <v>#REF!</v>
      </c>
      <c r="AH87" s="244" t="e">
        <f>AH16-#REF!</f>
        <v>#REF!</v>
      </c>
      <c r="AI87" s="244" t="e">
        <f>AI16-#REF!</f>
        <v>#REF!</v>
      </c>
      <c r="AJ87" s="244" t="e">
        <f>AJ16-#REF!</f>
        <v>#REF!</v>
      </c>
      <c r="AK87" s="244" t="e">
        <f>AK16-#REF!</f>
        <v>#REF!</v>
      </c>
      <c r="AL87" s="244" t="e">
        <f>AL16-#REF!</f>
        <v>#REF!</v>
      </c>
      <c r="AM87" s="244" t="e">
        <f>AM16-#REF!</f>
        <v>#REF!</v>
      </c>
      <c r="AN87" s="244" t="e">
        <f>AN16-#REF!</f>
        <v>#REF!</v>
      </c>
      <c r="AO87" s="244" t="e">
        <f>AO16-#REF!</f>
        <v>#REF!</v>
      </c>
      <c r="AP87" s="244" t="e">
        <f>AP16-#REF!</f>
        <v>#REF!</v>
      </c>
      <c r="AQ87" s="244" t="e">
        <f>AQ16-#REF!</f>
        <v>#REF!</v>
      </c>
      <c r="AR87" s="244" t="e">
        <f>AR16-#REF!</f>
        <v>#REF!</v>
      </c>
      <c r="AS87" s="244" t="e">
        <f>AS16-#REF!</f>
        <v>#REF!</v>
      </c>
      <c r="AT87" s="244" t="e">
        <f>AT16-#REF!</f>
        <v>#REF!</v>
      </c>
      <c r="AU87" s="244" t="e">
        <f>AU16-#REF!</f>
        <v>#REF!</v>
      </c>
      <c r="AV87" s="244" t="e">
        <f>AV16-#REF!</f>
        <v>#REF!</v>
      </c>
      <c r="AW87" s="244" t="e">
        <f>AW16-#REF!</f>
        <v>#REF!</v>
      </c>
      <c r="AX87" s="244" t="e">
        <f>AX16-#REF!</f>
        <v>#REF!</v>
      </c>
      <c r="AY87" s="244" t="e">
        <f>AY16-#REF!</f>
        <v>#REF!</v>
      </c>
      <c r="AZ87" s="244" t="e">
        <f>AZ16-#REF!</f>
        <v>#REF!</v>
      </c>
      <c r="BA87" s="244" t="e">
        <f>BA16-#REF!</f>
        <v>#REF!</v>
      </c>
      <c r="BB87" s="244" t="e">
        <f>BB16-#REF!</f>
        <v>#REF!</v>
      </c>
      <c r="BC87" s="244" t="e">
        <f>BC16-#REF!</f>
        <v>#REF!</v>
      </c>
      <c r="BD87" s="244" t="e">
        <f>BD16-#REF!</f>
        <v>#REF!</v>
      </c>
      <c r="BE87" s="244" t="e">
        <f>BE16-#REF!</f>
        <v>#REF!</v>
      </c>
      <c r="BF87" s="244" t="e">
        <f>BF16-#REF!</f>
        <v>#REF!</v>
      </c>
      <c r="BG87" s="244" t="e">
        <f>BG16-#REF!</f>
        <v>#REF!</v>
      </c>
      <c r="BH87" s="244" t="e">
        <f>BH16-#REF!</f>
        <v>#REF!</v>
      </c>
      <c r="BI87" s="244" t="e">
        <f>BI16-#REF!</f>
        <v>#REF!</v>
      </c>
      <c r="BJ87" s="244" t="e">
        <f>BJ16-#REF!</f>
        <v>#REF!</v>
      </c>
      <c r="BK87" s="244" t="e">
        <f>BK16-#REF!</f>
        <v>#REF!</v>
      </c>
      <c r="BL87" s="244" t="e">
        <f>BL16-#REF!</f>
        <v>#REF!</v>
      </c>
      <c r="BM87" s="244" t="e">
        <f>BM16-#REF!</f>
        <v>#REF!</v>
      </c>
      <c r="BN87" s="244" t="e">
        <f>BN16-#REF!</f>
        <v>#REF!</v>
      </c>
      <c r="BO87" s="244" t="e">
        <f>BO16-#REF!</f>
        <v>#REF!</v>
      </c>
      <c r="BP87" s="244" t="e">
        <f>BP16-#REF!</f>
        <v>#REF!</v>
      </c>
      <c r="BQ87" s="244" t="e">
        <f>BQ16-#REF!</f>
        <v>#REF!</v>
      </c>
      <c r="BR87" s="244" t="e">
        <f>BR16-#REF!</f>
        <v>#REF!</v>
      </c>
      <c r="BS87" s="244" t="e">
        <f>BS16-#REF!</f>
        <v>#REF!</v>
      </c>
      <c r="BT87" s="244" t="e">
        <f>BT16-#REF!</f>
        <v>#REF!</v>
      </c>
      <c r="BU87" s="244" t="e">
        <f>BU16-#REF!</f>
        <v>#REF!</v>
      </c>
      <c r="BV87" s="244"/>
      <c r="BW87" s="244"/>
      <c r="BX87" s="244"/>
    </row>
    <row r="88" spans="2:77" ht="15" hidden="1" customHeight="1" x14ac:dyDescent="0.2"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 t="e">
        <f>M17-#REF!</f>
        <v>#REF!</v>
      </c>
      <c r="N88" s="244" t="e">
        <f>N17-#REF!</f>
        <v>#REF!</v>
      </c>
      <c r="O88" s="244" t="e">
        <f>O17-#REF!</f>
        <v>#REF!</v>
      </c>
      <c r="P88" s="244" t="e">
        <f>P17-#REF!</f>
        <v>#REF!</v>
      </c>
      <c r="Q88" s="244" t="e">
        <f>Q17-#REF!</f>
        <v>#REF!</v>
      </c>
      <c r="R88" s="244" t="e">
        <f>R17-#REF!</f>
        <v>#REF!</v>
      </c>
      <c r="S88" s="244" t="e">
        <f>S17-#REF!</f>
        <v>#REF!</v>
      </c>
      <c r="T88" s="244" t="e">
        <f>T17-#REF!</f>
        <v>#REF!</v>
      </c>
      <c r="U88" s="244" t="e">
        <f>U17-#REF!</f>
        <v>#REF!</v>
      </c>
      <c r="V88" s="244" t="e">
        <f>V17-#REF!</f>
        <v>#REF!</v>
      </c>
      <c r="W88" s="244" t="e">
        <f>W17-#REF!</f>
        <v>#REF!</v>
      </c>
      <c r="X88" s="244" t="e">
        <f>X17-#REF!</f>
        <v>#REF!</v>
      </c>
      <c r="Y88" s="244" t="e">
        <f>Y17-#REF!</f>
        <v>#REF!</v>
      </c>
      <c r="Z88" s="244" t="e">
        <f>Z17-#REF!</f>
        <v>#REF!</v>
      </c>
      <c r="AA88" s="244" t="e">
        <f>AA17-#REF!</f>
        <v>#REF!</v>
      </c>
      <c r="AB88" s="244" t="e">
        <f>AB17-#REF!</f>
        <v>#REF!</v>
      </c>
      <c r="AC88" s="244" t="e">
        <f>AC17-#REF!</f>
        <v>#REF!</v>
      </c>
      <c r="AD88" s="244" t="e">
        <f>AD17-#REF!</f>
        <v>#REF!</v>
      </c>
      <c r="AE88" s="244" t="e">
        <f>AE17-#REF!</f>
        <v>#REF!</v>
      </c>
      <c r="AF88" s="244" t="e">
        <f>AF17-#REF!</f>
        <v>#REF!</v>
      </c>
      <c r="AG88" s="244" t="e">
        <f>AG17-#REF!</f>
        <v>#REF!</v>
      </c>
      <c r="AH88" s="244" t="e">
        <f>AH17-#REF!</f>
        <v>#REF!</v>
      </c>
      <c r="AI88" s="244" t="e">
        <f>AI17-#REF!</f>
        <v>#REF!</v>
      </c>
      <c r="AJ88" s="244" t="e">
        <f>AJ17-#REF!</f>
        <v>#REF!</v>
      </c>
      <c r="AK88" s="244" t="e">
        <f>AK17-#REF!</f>
        <v>#REF!</v>
      </c>
      <c r="AL88" s="244" t="e">
        <f>AL17-#REF!</f>
        <v>#REF!</v>
      </c>
      <c r="AM88" s="244" t="e">
        <f>AM17-#REF!</f>
        <v>#REF!</v>
      </c>
      <c r="AN88" s="244" t="e">
        <f>AN17-#REF!</f>
        <v>#REF!</v>
      </c>
      <c r="AO88" s="244" t="e">
        <f>AO17-#REF!</f>
        <v>#REF!</v>
      </c>
      <c r="AP88" s="244" t="e">
        <f>AP17-#REF!</f>
        <v>#REF!</v>
      </c>
      <c r="AQ88" s="244" t="e">
        <f>AQ17-#REF!</f>
        <v>#REF!</v>
      </c>
      <c r="AR88" s="244" t="e">
        <f>AR17-#REF!</f>
        <v>#REF!</v>
      </c>
      <c r="AS88" s="244" t="e">
        <f>AS17-#REF!</f>
        <v>#REF!</v>
      </c>
      <c r="AT88" s="244" t="e">
        <f>AT17-#REF!</f>
        <v>#REF!</v>
      </c>
      <c r="AU88" s="244" t="e">
        <f>AU17-#REF!</f>
        <v>#REF!</v>
      </c>
      <c r="AV88" s="244" t="e">
        <f>AV17-#REF!</f>
        <v>#REF!</v>
      </c>
      <c r="AW88" s="244" t="e">
        <f>AW17-#REF!</f>
        <v>#REF!</v>
      </c>
      <c r="AX88" s="244" t="e">
        <f>AX17-#REF!</f>
        <v>#REF!</v>
      </c>
      <c r="AY88" s="244" t="e">
        <f>AY17-#REF!</f>
        <v>#REF!</v>
      </c>
      <c r="AZ88" s="244" t="e">
        <f>AZ17-#REF!</f>
        <v>#REF!</v>
      </c>
      <c r="BA88" s="244" t="e">
        <f>BA17-#REF!</f>
        <v>#REF!</v>
      </c>
      <c r="BB88" s="244" t="e">
        <f>BB17-#REF!</f>
        <v>#REF!</v>
      </c>
      <c r="BC88" s="244" t="e">
        <f>BC17-#REF!</f>
        <v>#REF!</v>
      </c>
      <c r="BD88" s="244" t="e">
        <f>BD17-#REF!</f>
        <v>#REF!</v>
      </c>
      <c r="BE88" s="244" t="e">
        <f>BE17-#REF!</f>
        <v>#REF!</v>
      </c>
      <c r="BF88" s="244" t="e">
        <f>BF17-#REF!</f>
        <v>#REF!</v>
      </c>
      <c r="BG88" s="244" t="e">
        <f>BG17-#REF!</f>
        <v>#REF!</v>
      </c>
      <c r="BH88" s="244" t="e">
        <f>BH17-#REF!</f>
        <v>#REF!</v>
      </c>
      <c r="BI88" s="244" t="e">
        <f>BI17-#REF!</f>
        <v>#REF!</v>
      </c>
      <c r="BJ88" s="244" t="e">
        <f>BJ17-#REF!</f>
        <v>#REF!</v>
      </c>
      <c r="BK88" s="244" t="e">
        <f>BK17-#REF!</f>
        <v>#REF!</v>
      </c>
      <c r="BL88" s="244" t="e">
        <f>BL17-#REF!</f>
        <v>#REF!</v>
      </c>
      <c r="BM88" s="244" t="e">
        <f>BM17-#REF!</f>
        <v>#REF!</v>
      </c>
      <c r="BN88" s="244" t="e">
        <f>BN17-#REF!</f>
        <v>#REF!</v>
      </c>
      <c r="BO88" s="244" t="e">
        <f>BO17-#REF!</f>
        <v>#REF!</v>
      </c>
      <c r="BP88" s="244" t="e">
        <f>BP17-#REF!</f>
        <v>#REF!</v>
      </c>
      <c r="BQ88" s="244" t="e">
        <f>BQ17-#REF!</f>
        <v>#REF!</v>
      </c>
      <c r="BR88" s="244" t="e">
        <f>BR17-#REF!</f>
        <v>#REF!</v>
      </c>
      <c r="BS88" s="244" t="e">
        <f>BS17-#REF!</f>
        <v>#REF!</v>
      </c>
      <c r="BT88" s="244" t="e">
        <f>BT17-#REF!</f>
        <v>#REF!</v>
      </c>
      <c r="BU88" s="244" t="e">
        <f>BU17-#REF!</f>
        <v>#REF!</v>
      </c>
      <c r="BV88" s="244"/>
      <c r="BW88" s="244"/>
      <c r="BX88" s="244"/>
    </row>
    <row r="89" spans="2:77" hidden="1" x14ac:dyDescent="0.2">
      <c r="M89" s="244" t="e">
        <f>M18-#REF!</f>
        <v>#REF!</v>
      </c>
      <c r="N89" s="244" t="e">
        <f>N18-#REF!</f>
        <v>#REF!</v>
      </c>
      <c r="O89" s="244" t="e">
        <f>O18-#REF!</f>
        <v>#REF!</v>
      </c>
      <c r="P89" s="244" t="e">
        <f>P18-#REF!</f>
        <v>#REF!</v>
      </c>
      <c r="Q89" s="244" t="e">
        <f>Q18-#REF!</f>
        <v>#REF!</v>
      </c>
      <c r="R89" s="244" t="e">
        <f>R18-#REF!</f>
        <v>#REF!</v>
      </c>
      <c r="S89" s="244" t="e">
        <f>S18-#REF!</f>
        <v>#REF!</v>
      </c>
      <c r="T89" s="244" t="e">
        <f>T18-#REF!</f>
        <v>#REF!</v>
      </c>
      <c r="U89" s="244" t="e">
        <f>U18-#REF!</f>
        <v>#REF!</v>
      </c>
      <c r="V89" s="244" t="e">
        <f>V18-#REF!</f>
        <v>#REF!</v>
      </c>
      <c r="W89" s="244" t="e">
        <f>W18-#REF!</f>
        <v>#REF!</v>
      </c>
      <c r="X89" s="244" t="e">
        <f>X18-#REF!</f>
        <v>#REF!</v>
      </c>
      <c r="Y89" s="244" t="e">
        <f>Y18-#REF!</f>
        <v>#REF!</v>
      </c>
      <c r="Z89" s="244" t="e">
        <f>Z18-#REF!</f>
        <v>#REF!</v>
      </c>
      <c r="AA89" s="244" t="e">
        <f>AA18-#REF!</f>
        <v>#REF!</v>
      </c>
      <c r="AB89" s="244" t="e">
        <f>AB18-#REF!</f>
        <v>#REF!</v>
      </c>
      <c r="AC89" s="244" t="e">
        <f>AC18-#REF!</f>
        <v>#REF!</v>
      </c>
      <c r="AD89" s="244" t="e">
        <f>AD18-#REF!</f>
        <v>#REF!</v>
      </c>
      <c r="AE89" s="244" t="e">
        <f>AE18-#REF!</f>
        <v>#REF!</v>
      </c>
      <c r="AF89" s="244" t="e">
        <f>AF18-#REF!</f>
        <v>#REF!</v>
      </c>
      <c r="AG89" s="244" t="e">
        <f>AG18-#REF!</f>
        <v>#REF!</v>
      </c>
      <c r="AH89" s="244" t="e">
        <f>AH18-#REF!</f>
        <v>#REF!</v>
      </c>
      <c r="AI89" s="244" t="e">
        <f>AI18-#REF!</f>
        <v>#REF!</v>
      </c>
      <c r="AJ89" s="244" t="e">
        <f>AJ18-#REF!</f>
        <v>#REF!</v>
      </c>
      <c r="AK89" s="244" t="e">
        <f>AK18-#REF!</f>
        <v>#REF!</v>
      </c>
      <c r="AL89" s="244" t="e">
        <f>AL18-#REF!</f>
        <v>#REF!</v>
      </c>
      <c r="AM89" s="244" t="e">
        <f>AM18-#REF!</f>
        <v>#REF!</v>
      </c>
      <c r="AN89" s="244" t="e">
        <f>AN18-#REF!</f>
        <v>#REF!</v>
      </c>
      <c r="AO89" s="244" t="e">
        <f>AO18-#REF!</f>
        <v>#REF!</v>
      </c>
      <c r="AP89" s="244" t="e">
        <f>AP18-#REF!</f>
        <v>#REF!</v>
      </c>
      <c r="AQ89" s="244" t="e">
        <f>AQ18-#REF!</f>
        <v>#REF!</v>
      </c>
      <c r="AR89" s="244" t="e">
        <f>AR18-#REF!</f>
        <v>#REF!</v>
      </c>
      <c r="AS89" s="244" t="e">
        <f>AS18-#REF!</f>
        <v>#REF!</v>
      </c>
      <c r="AT89" s="244" t="e">
        <f>AT18-#REF!</f>
        <v>#REF!</v>
      </c>
      <c r="AU89" s="244" t="e">
        <f>AU18-#REF!</f>
        <v>#REF!</v>
      </c>
      <c r="AV89" s="244" t="e">
        <f>AV18-#REF!</f>
        <v>#REF!</v>
      </c>
      <c r="AW89" s="244" t="e">
        <f>AW18-#REF!</f>
        <v>#REF!</v>
      </c>
      <c r="AX89" s="244" t="e">
        <f>AX18-#REF!</f>
        <v>#REF!</v>
      </c>
      <c r="AY89" s="244" t="e">
        <f>AY18-#REF!</f>
        <v>#REF!</v>
      </c>
      <c r="AZ89" s="244" t="e">
        <f>AZ18-#REF!</f>
        <v>#REF!</v>
      </c>
      <c r="BA89" s="244" t="e">
        <f>BA18-#REF!</f>
        <v>#REF!</v>
      </c>
      <c r="BB89" s="244" t="e">
        <f>BB18-#REF!</f>
        <v>#REF!</v>
      </c>
      <c r="BC89" s="244" t="e">
        <f>BC18-#REF!</f>
        <v>#REF!</v>
      </c>
      <c r="BD89" s="244" t="e">
        <f>BD18-#REF!</f>
        <v>#REF!</v>
      </c>
      <c r="BE89" s="244" t="e">
        <f>BE18-#REF!</f>
        <v>#REF!</v>
      </c>
      <c r="BF89" s="244" t="e">
        <f>BF18-#REF!</f>
        <v>#REF!</v>
      </c>
      <c r="BG89" s="244" t="e">
        <f>BG18-#REF!</f>
        <v>#REF!</v>
      </c>
      <c r="BH89" s="244" t="e">
        <f>BH18-#REF!</f>
        <v>#REF!</v>
      </c>
      <c r="BI89" s="244" t="e">
        <f>BI18-#REF!</f>
        <v>#REF!</v>
      </c>
      <c r="BJ89" s="244" t="e">
        <f>BJ18-#REF!</f>
        <v>#REF!</v>
      </c>
      <c r="BK89" s="244" t="e">
        <f>BK18-#REF!</f>
        <v>#REF!</v>
      </c>
      <c r="BL89" s="244" t="e">
        <f>BL18-#REF!</f>
        <v>#REF!</v>
      </c>
      <c r="BM89" s="244" t="e">
        <f>BM18-#REF!</f>
        <v>#REF!</v>
      </c>
      <c r="BN89" s="244" t="e">
        <f>BN18-#REF!</f>
        <v>#REF!</v>
      </c>
      <c r="BO89" s="244" t="e">
        <f>BO18-#REF!</f>
        <v>#REF!</v>
      </c>
      <c r="BP89" s="244" t="e">
        <f>BP18-#REF!</f>
        <v>#REF!</v>
      </c>
      <c r="BQ89" s="244" t="e">
        <f>BQ18-#REF!</f>
        <v>#REF!</v>
      </c>
      <c r="BR89" s="244" t="e">
        <f>BR18-#REF!</f>
        <v>#REF!</v>
      </c>
      <c r="BS89" s="244" t="e">
        <f>BS18-#REF!</f>
        <v>#REF!</v>
      </c>
      <c r="BT89" s="244" t="e">
        <f>BT18-#REF!</f>
        <v>#REF!</v>
      </c>
      <c r="BU89" s="244" t="e">
        <f>BU18-#REF!</f>
        <v>#REF!</v>
      </c>
      <c r="BV89" s="244"/>
      <c r="BW89" s="244"/>
    </row>
    <row r="90" spans="2:77" hidden="1" x14ac:dyDescent="0.2">
      <c r="M90" s="244" t="e">
        <f>M19-#REF!</f>
        <v>#REF!</v>
      </c>
      <c r="N90" s="244" t="e">
        <f>N19-#REF!</f>
        <v>#REF!</v>
      </c>
      <c r="O90" s="244" t="e">
        <f>O19-#REF!</f>
        <v>#REF!</v>
      </c>
      <c r="P90" s="244" t="e">
        <f>P19-#REF!</f>
        <v>#REF!</v>
      </c>
      <c r="Q90" s="244" t="e">
        <f>Q19-#REF!</f>
        <v>#REF!</v>
      </c>
      <c r="R90" s="244" t="e">
        <f>R19-#REF!</f>
        <v>#REF!</v>
      </c>
      <c r="S90" s="244" t="e">
        <f>S19-#REF!</f>
        <v>#REF!</v>
      </c>
      <c r="T90" s="244" t="e">
        <f>T19-#REF!</f>
        <v>#REF!</v>
      </c>
      <c r="U90" s="244" t="e">
        <f>U19-#REF!</f>
        <v>#REF!</v>
      </c>
      <c r="V90" s="244" t="e">
        <f>V19-#REF!</f>
        <v>#REF!</v>
      </c>
      <c r="W90" s="244" t="e">
        <f>W19-#REF!</f>
        <v>#REF!</v>
      </c>
      <c r="X90" s="244" t="e">
        <f>X19-#REF!</f>
        <v>#REF!</v>
      </c>
      <c r="Y90" s="244" t="e">
        <f>Y19-#REF!</f>
        <v>#REF!</v>
      </c>
      <c r="Z90" s="244" t="e">
        <f>Z19-#REF!</f>
        <v>#REF!</v>
      </c>
      <c r="AA90" s="244" t="e">
        <f>AA19-#REF!</f>
        <v>#REF!</v>
      </c>
      <c r="AB90" s="244" t="e">
        <f>AB19-#REF!</f>
        <v>#REF!</v>
      </c>
      <c r="AC90" s="244" t="e">
        <f>AC19-#REF!</f>
        <v>#REF!</v>
      </c>
      <c r="AD90" s="244" t="e">
        <f>AD19-#REF!</f>
        <v>#REF!</v>
      </c>
      <c r="AE90" s="244" t="e">
        <f>AE19-#REF!</f>
        <v>#REF!</v>
      </c>
      <c r="AF90" s="244" t="e">
        <f>AF19-#REF!</f>
        <v>#REF!</v>
      </c>
      <c r="AG90" s="244" t="e">
        <f>AG19-#REF!</f>
        <v>#REF!</v>
      </c>
      <c r="AH90" s="244" t="e">
        <f>AH19-#REF!</f>
        <v>#REF!</v>
      </c>
      <c r="AI90" s="244" t="e">
        <f>AI19-#REF!</f>
        <v>#REF!</v>
      </c>
      <c r="AJ90" s="244" t="e">
        <f>AJ19-#REF!</f>
        <v>#REF!</v>
      </c>
      <c r="AK90" s="244" t="e">
        <f>AK19-#REF!</f>
        <v>#REF!</v>
      </c>
      <c r="AL90" s="244" t="e">
        <f>AL19-#REF!</f>
        <v>#REF!</v>
      </c>
      <c r="AM90" s="244" t="e">
        <f>AM19-#REF!</f>
        <v>#REF!</v>
      </c>
      <c r="AN90" s="244" t="e">
        <f>AN19-#REF!</f>
        <v>#REF!</v>
      </c>
      <c r="AO90" s="244" t="e">
        <f>AO19-#REF!</f>
        <v>#REF!</v>
      </c>
      <c r="AP90" s="244" t="e">
        <f>AP19-#REF!</f>
        <v>#REF!</v>
      </c>
      <c r="AQ90" s="244" t="e">
        <f>AQ19-#REF!</f>
        <v>#REF!</v>
      </c>
      <c r="AR90" s="244" t="e">
        <f>AR19-#REF!</f>
        <v>#REF!</v>
      </c>
      <c r="AS90" s="244" t="e">
        <f>AS19-#REF!</f>
        <v>#REF!</v>
      </c>
      <c r="AT90" s="244" t="e">
        <f>AT19-#REF!</f>
        <v>#REF!</v>
      </c>
      <c r="AU90" s="244" t="e">
        <f>AU19-#REF!</f>
        <v>#REF!</v>
      </c>
      <c r="AV90" s="244" t="e">
        <f>AV19-#REF!</f>
        <v>#REF!</v>
      </c>
      <c r="AW90" s="244" t="e">
        <f>AW19-#REF!</f>
        <v>#REF!</v>
      </c>
      <c r="AX90" s="244" t="e">
        <f>AX19-#REF!</f>
        <v>#REF!</v>
      </c>
      <c r="AY90" s="244" t="e">
        <f>AY19-#REF!</f>
        <v>#REF!</v>
      </c>
      <c r="AZ90" s="244" t="e">
        <f>AZ19-#REF!</f>
        <v>#REF!</v>
      </c>
      <c r="BA90" s="244" t="e">
        <f>BA19-#REF!</f>
        <v>#REF!</v>
      </c>
      <c r="BB90" s="244" t="e">
        <f>BB19-#REF!</f>
        <v>#REF!</v>
      </c>
      <c r="BC90" s="244" t="e">
        <f>BC19-#REF!</f>
        <v>#REF!</v>
      </c>
      <c r="BD90" s="244" t="e">
        <f>BD19-#REF!</f>
        <v>#REF!</v>
      </c>
      <c r="BE90" s="244" t="e">
        <f>BE19-#REF!</f>
        <v>#REF!</v>
      </c>
      <c r="BF90" s="244" t="e">
        <f>BF19-#REF!</f>
        <v>#REF!</v>
      </c>
      <c r="BG90" s="244" t="e">
        <f>BG19-#REF!</f>
        <v>#REF!</v>
      </c>
      <c r="BH90" s="244" t="e">
        <f>BH19-#REF!</f>
        <v>#REF!</v>
      </c>
      <c r="BI90" s="244" t="e">
        <f>BI19-#REF!</f>
        <v>#REF!</v>
      </c>
      <c r="BJ90" s="244" t="e">
        <f>BJ19-#REF!</f>
        <v>#REF!</v>
      </c>
      <c r="BK90" s="244" t="e">
        <f>BK19-#REF!</f>
        <v>#REF!</v>
      </c>
      <c r="BL90" s="244" t="e">
        <f>BL19-#REF!</f>
        <v>#REF!</v>
      </c>
      <c r="BM90" s="244" t="e">
        <f>BM19-#REF!</f>
        <v>#REF!</v>
      </c>
      <c r="BN90" s="244" t="e">
        <f>BN19-#REF!</f>
        <v>#REF!</v>
      </c>
      <c r="BO90" s="244" t="e">
        <f>BO19-#REF!</f>
        <v>#REF!</v>
      </c>
      <c r="BP90" s="244" t="e">
        <f>BP19-#REF!</f>
        <v>#REF!</v>
      </c>
      <c r="BQ90" s="244" t="e">
        <f>BQ19-#REF!</f>
        <v>#REF!</v>
      </c>
      <c r="BR90" s="244" t="e">
        <f>BR19-#REF!</f>
        <v>#REF!</v>
      </c>
      <c r="BS90" s="244" t="e">
        <f>BS19-#REF!</f>
        <v>#REF!</v>
      </c>
      <c r="BT90" s="244" t="e">
        <f>BT19-#REF!</f>
        <v>#REF!</v>
      </c>
      <c r="BU90" s="244" t="e">
        <f>BU19-#REF!</f>
        <v>#REF!</v>
      </c>
      <c r="BV90" s="244"/>
      <c r="BW90" s="244"/>
    </row>
    <row r="91" spans="2:77" hidden="1" x14ac:dyDescent="0.2">
      <c r="M91" s="244" t="e">
        <f>M20-#REF!</f>
        <v>#REF!</v>
      </c>
      <c r="N91" s="244" t="e">
        <f>N20-#REF!</f>
        <v>#REF!</v>
      </c>
      <c r="O91" s="244" t="e">
        <f>O20-#REF!</f>
        <v>#REF!</v>
      </c>
      <c r="P91" s="244" t="e">
        <f>P20-#REF!</f>
        <v>#REF!</v>
      </c>
      <c r="Q91" s="244" t="e">
        <f>Q20-#REF!</f>
        <v>#REF!</v>
      </c>
      <c r="R91" s="244" t="e">
        <f>R20-#REF!</f>
        <v>#REF!</v>
      </c>
      <c r="S91" s="244" t="e">
        <f>S20-#REF!</f>
        <v>#REF!</v>
      </c>
      <c r="T91" s="244" t="e">
        <f>T20-#REF!</f>
        <v>#REF!</v>
      </c>
      <c r="U91" s="244" t="e">
        <f>U20-#REF!</f>
        <v>#REF!</v>
      </c>
      <c r="V91" s="244" t="e">
        <f>V20-#REF!</f>
        <v>#REF!</v>
      </c>
      <c r="W91" s="244" t="e">
        <f>W20-#REF!</f>
        <v>#REF!</v>
      </c>
      <c r="X91" s="244" t="e">
        <f>X20-#REF!</f>
        <v>#REF!</v>
      </c>
      <c r="Y91" s="244" t="e">
        <f>Y20-#REF!</f>
        <v>#REF!</v>
      </c>
      <c r="Z91" s="244" t="e">
        <f>Z20-#REF!</f>
        <v>#REF!</v>
      </c>
      <c r="AA91" s="244" t="e">
        <f>AA20-#REF!</f>
        <v>#REF!</v>
      </c>
      <c r="AB91" s="244" t="e">
        <f>AB20-#REF!</f>
        <v>#REF!</v>
      </c>
      <c r="AC91" s="244" t="e">
        <f>AC20-#REF!</f>
        <v>#REF!</v>
      </c>
      <c r="AD91" s="244" t="e">
        <f>AD20-#REF!</f>
        <v>#REF!</v>
      </c>
      <c r="AE91" s="244" t="e">
        <f>AE20-#REF!</f>
        <v>#REF!</v>
      </c>
      <c r="AF91" s="244" t="e">
        <f>AF20-#REF!</f>
        <v>#REF!</v>
      </c>
      <c r="AG91" s="244" t="e">
        <f>AG20-#REF!</f>
        <v>#REF!</v>
      </c>
      <c r="AH91" s="244" t="e">
        <f>AH20-#REF!</f>
        <v>#REF!</v>
      </c>
      <c r="AI91" s="244" t="e">
        <f>AI20-#REF!</f>
        <v>#REF!</v>
      </c>
      <c r="AJ91" s="244" t="e">
        <f>AJ20-#REF!</f>
        <v>#REF!</v>
      </c>
      <c r="AK91" s="244" t="e">
        <f>AK20-#REF!</f>
        <v>#REF!</v>
      </c>
      <c r="AL91" s="244" t="e">
        <f>AL20-#REF!</f>
        <v>#REF!</v>
      </c>
      <c r="AM91" s="244" t="e">
        <f>AM20-#REF!</f>
        <v>#REF!</v>
      </c>
      <c r="AN91" s="244" t="e">
        <f>AN20-#REF!</f>
        <v>#REF!</v>
      </c>
      <c r="AO91" s="244" t="e">
        <f>AO20-#REF!</f>
        <v>#REF!</v>
      </c>
      <c r="AP91" s="244" t="e">
        <f>AP20-#REF!</f>
        <v>#REF!</v>
      </c>
      <c r="AQ91" s="244" t="e">
        <f>AQ20-#REF!</f>
        <v>#REF!</v>
      </c>
      <c r="AR91" s="244" t="e">
        <f>AR20-#REF!</f>
        <v>#REF!</v>
      </c>
      <c r="AS91" s="244" t="e">
        <f>AS20-#REF!</f>
        <v>#REF!</v>
      </c>
      <c r="AT91" s="244" t="e">
        <f>AT20-#REF!</f>
        <v>#REF!</v>
      </c>
      <c r="AU91" s="244" t="e">
        <f>AU20-#REF!</f>
        <v>#REF!</v>
      </c>
      <c r="AV91" s="244" t="e">
        <f>AV20-#REF!</f>
        <v>#REF!</v>
      </c>
      <c r="AW91" s="244" t="e">
        <f>AW20-#REF!</f>
        <v>#REF!</v>
      </c>
      <c r="AX91" s="244" t="e">
        <f>AX20-#REF!</f>
        <v>#REF!</v>
      </c>
      <c r="AY91" s="244" t="e">
        <f>AY20-#REF!</f>
        <v>#REF!</v>
      </c>
      <c r="AZ91" s="244" t="e">
        <f>AZ20-#REF!</f>
        <v>#REF!</v>
      </c>
      <c r="BA91" s="244" t="e">
        <f>BA20-#REF!</f>
        <v>#REF!</v>
      </c>
      <c r="BB91" s="244" t="e">
        <f>BB20-#REF!</f>
        <v>#REF!</v>
      </c>
      <c r="BC91" s="244" t="e">
        <f>BC20-#REF!</f>
        <v>#REF!</v>
      </c>
      <c r="BD91" s="244" t="e">
        <f>BD20-#REF!</f>
        <v>#REF!</v>
      </c>
      <c r="BE91" s="244" t="e">
        <f>BE20-#REF!</f>
        <v>#REF!</v>
      </c>
      <c r="BF91" s="244" t="e">
        <f>BF20-#REF!</f>
        <v>#REF!</v>
      </c>
      <c r="BG91" s="244" t="e">
        <f>BG20-#REF!</f>
        <v>#REF!</v>
      </c>
      <c r="BH91" s="244" t="e">
        <f>BH20-#REF!</f>
        <v>#REF!</v>
      </c>
      <c r="BI91" s="244" t="e">
        <f>BI20-#REF!</f>
        <v>#REF!</v>
      </c>
      <c r="BJ91" s="244" t="e">
        <f>BJ20-#REF!</f>
        <v>#REF!</v>
      </c>
      <c r="BK91" s="244" t="e">
        <f>BK20-#REF!</f>
        <v>#REF!</v>
      </c>
      <c r="BL91" s="244" t="e">
        <f>BL20-#REF!</f>
        <v>#REF!</v>
      </c>
      <c r="BM91" s="244" t="e">
        <f>BM20-#REF!</f>
        <v>#REF!</v>
      </c>
      <c r="BN91" s="244" t="e">
        <f>BN20-#REF!</f>
        <v>#REF!</v>
      </c>
      <c r="BO91" s="244" t="e">
        <f>BO20-#REF!</f>
        <v>#REF!</v>
      </c>
      <c r="BP91" s="244" t="e">
        <f>BP20-#REF!</f>
        <v>#REF!</v>
      </c>
      <c r="BQ91" s="244" t="e">
        <f>BQ20-#REF!</f>
        <v>#REF!</v>
      </c>
      <c r="BR91" s="244" t="e">
        <f>BR20-#REF!</f>
        <v>#REF!</v>
      </c>
      <c r="BS91" s="244" t="e">
        <f>BS20-#REF!</f>
        <v>#REF!</v>
      </c>
      <c r="BT91" s="244" t="e">
        <f>BT20-#REF!</f>
        <v>#REF!</v>
      </c>
      <c r="BU91" s="244" t="e">
        <f>BU20-#REF!</f>
        <v>#REF!</v>
      </c>
      <c r="BV91" s="244"/>
      <c r="BW91" s="244"/>
    </row>
    <row r="92" spans="2:77" hidden="1" x14ac:dyDescent="0.2">
      <c r="M92" s="244" t="e">
        <f>M21-#REF!</f>
        <v>#REF!</v>
      </c>
      <c r="N92" s="244" t="e">
        <f>N21-#REF!</f>
        <v>#REF!</v>
      </c>
      <c r="O92" s="244" t="e">
        <f>O21-#REF!</f>
        <v>#REF!</v>
      </c>
      <c r="P92" s="244" t="e">
        <f>P21-#REF!</f>
        <v>#REF!</v>
      </c>
      <c r="Q92" s="244" t="e">
        <f>Q21-#REF!</f>
        <v>#REF!</v>
      </c>
      <c r="R92" s="244" t="e">
        <f>R21-#REF!</f>
        <v>#REF!</v>
      </c>
      <c r="S92" s="244" t="e">
        <f>S21-#REF!</f>
        <v>#REF!</v>
      </c>
      <c r="T92" s="244" t="e">
        <f>T21-#REF!</f>
        <v>#REF!</v>
      </c>
      <c r="U92" s="244" t="e">
        <f>U21-#REF!</f>
        <v>#REF!</v>
      </c>
      <c r="V92" s="244" t="e">
        <f>V21-#REF!</f>
        <v>#REF!</v>
      </c>
      <c r="W92" s="244" t="e">
        <f>W21-#REF!</f>
        <v>#REF!</v>
      </c>
      <c r="X92" s="244" t="e">
        <f>X21-#REF!</f>
        <v>#REF!</v>
      </c>
      <c r="Y92" s="244" t="e">
        <f>Y21-#REF!</f>
        <v>#REF!</v>
      </c>
      <c r="Z92" s="244" t="e">
        <f>Z21-#REF!</f>
        <v>#REF!</v>
      </c>
      <c r="AA92" s="244" t="e">
        <f>AA21-#REF!</f>
        <v>#REF!</v>
      </c>
      <c r="AB92" s="244" t="e">
        <f>AB21-#REF!</f>
        <v>#REF!</v>
      </c>
      <c r="AC92" s="244" t="e">
        <f>AC21-#REF!</f>
        <v>#REF!</v>
      </c>
      <c r="AD92" s="244" t="e">
        <f>AD21-#REF!</f>
        <v>#REF!</v>
      </c>
      <c r="AE92" s="244" t="e">
        <f>AE21-#REF!</f>
        <v>#REF!</v>
      </c>
      <c r="AF92" s="244" t="e">
        <f>AF21-#REF!</f>
        <v>#REF!</v>
      </c>
      <c r="AG92" s="244" t="e">
        <f>AG21-#REF!</f>
        <v>#REF!</v>
      </c>
      <c r="AH92" s="244" t="e">
        <f>AH21-#REF!</f>
        <v>#REF!</v>
      </c>
      <c r="AI92" s="244" t="e">
        <f>AI21-#REF!</f>
        <v>#REF!</v>
      </c>
      <c r="AJ92" s="244" t="e">
        <f>AJ21-#REF!</f>
        <v>#REF!</v>
      </c>
      <c r="AK92" s="244" t="e">
        <f>AK21-#REF!</f>
        <v>#REF!</v>
      </c>
      <c r="AL92" s="244" t="e">
        <f>AL21-#REF!</f>
        <v>#REF!</v>
      </c>
      <c r="AM92" s="244" t="e">
        <f>AM21-#REF!</f>
        <v>#REF!</v>
      </c>
      <c r="AN92" s="244" t="e">
        <f>AN21-#REF!</f>
        <v>#REF!</v>
      </c>
      <c r="AO92" s="244" t="e">
        <f>AO21-#REF!</f>
        <v>#REF!</v>
      </c>
      <c r="AP92" s="244" t="e">
        <f>AP21-#REF!</f>
        <v>#REF!</v>
      </c>
      <c r="AQ92" s="244" t="e">
        <f>AQ21-#REF!</f>
        <v>#REF!</v>
      </c>
      <c r="AR92" s="244" t="e">
        <f>AR21-#REF!</f>
        <v>#REF!</v>
      </c>
      <c r="AS92" s="244" t="e">
        <f>AS21-#REF!</f>
        <v>#REF!</v>
      </c>
      <c r="AT92" s="244" t="e">
        <f>AT21-#REF!</f>
        <v>#REF!</v>
      </c>
      <c r="AU92" s="244" t="e">
        <f>AU21-#REF!</f>
        <v>#REF!</v>
      </c>
      <c r="AV92" s="244" t="e">
        <f>AV21-#REF!</f>
        <v>#REF!</v>
      </c>
      <c r="AW92" s="244" t="e">
        <f>AW21-#REF!</f>
        <v>#REF!</v>
      </c>
      <c r="AX92" s="244" t="e">
        <f>AX21-#REF!</f>
        <v>#REF!</v>
      </c>
      <c r="AY92" s="244" t="e">
        <f>AY21-#REF!</f>
        <v>#REF!</v>
      </c>
      <c r="AZ92" s="244" t="e">
        <f>AZ21-#REF!</f>
        <v>#REF!</v>
      </c>
      <c r="BA92" s="244" t="e">
        <f>BA21-#REF!</f>
        <v>#REF!</v>
      </c>
      <c r="BB92" s="244" t="e">
        <f>BB21-#REF!</f>
        <v>#REF!</v>
      </c>
      <c r="BC92" s="244" t="e">
        <f>BC21-#REF!</f>
        <v>#REF!</v>
      </c>
      <c r="BD92" s="244" t="e">
        <f>BD21-#REF!</f>
        <v>#REF!</v>
      </c>
      <c r="BE92" s="244" t="e">
        <f>BE21-#REF!</f>
        <v>#REF!</v>
      </c>
      <c r="BF92" s="244" t="e">
        <f>BF21-#REF!</f>
        <v>#REF!</v>
      </c>
      <c r="BG92" s="244" t="e">
        <f>BG21-#REF!</f>
        <v>#REF!</v>
      </c>
      <c r="BH92" s="244" t="e">
        <f>BH21-#REF!</f>
        <v>#REF!</v>
      </c>
      <c r="BI92" s="244" t="e">
        <f>BI21-#REF!</f>
        <v>#REF!</v>
      </c>
      <c r="BJ92" s="244" t="e">
        <f>BJ21-#REF!</f>
        <v>#REF!</v>
      </c>
      <c r="BK92" s="244" t="e">
        <f>BK21-#REF!</f>
        <v>#REF!</v>
      </c>
      <c r="BL92" s="244" t="e">
        <f>BL21-#REF!</f>
        <v>#REF!</v>
      </c>
      <c r="BM92" s="244" t="e">
        <f>BM21-#REF!</f>
        <v>#REF!</v>
      </c>
      <c r="BN92" s="244" t="e">
        <f>BN21-#REF!</f>
        <v>#REF!</v>
      </c>
      <c r="BO92" s="244" t="e">
        <f>BO21-#REF!</f>
        <v>#REF!</v>
      </c>
      <c r="BP92" s="244" t="e">
        <f>BP21-#REF!</f>
        <v>#REF!</v>
      </c>
      <c r="BQ92" s="244" t="e">
        <f>BQ21-#REF!</f>
        <v>#REF!</v>
      </c>
      <c r="BR92" s="244" t="e">
        <f>BR21-#REF!</f>
        <v>#REF!</v>
      </c>
      <c r="BS92" s="244" t="e">
        <f>BS21-#REF!</f>
        <v>#REF!</v>
      </c>
      <c r="BT92" s="244" t="e">
        <f>BT21-#REF!</f>
        <v>#REF!</v>
      </c>
      <c r="BU92" s="244" t="e">
        <f>BU21-#REF!</f>
        <v>#REF!</v>
      </c>
      <c r="BV92" s="244"/>
      <c r="BW92" s="244"/>
    </row>
    <row r="93" spans="2:77" hidden="1" x14ac:dyDescent="0.2">
      <c r="M93" s="244" t="e">
        <f>M22-#REF!</f>
        <v>#REF!</v>
      </c>
      <c r="N93" s="244" t="e">
        <f>N22-#REF!</f>
        <v>#REF!</v>
      </c>
      <c r="O93" s="244" t="e">
        <f>O22-#REF!</f>
        <v>#REF!</v>
      </c>
      <c r="P93" s="244" t="e">
        <f>P22-#REF!</f>
        <v>#REF!</v>
      </c>
      <c r="Q93" s="244" t="e">
        <f>Q22-#REF!</f>
        <v>#REF!</v>
      </c>
      <c r="R93" s="244" t="e">
        <f>R22-#REF!</f>
        <v>#REF!</v>
      </c>
      <c r="S93" s="244" t="e">
        <f>S22-#REF!</f>
        <v>#REF!</v>
      </c>
      <c r="T93" s="244" t="e">
        <f>T22-#REF!</f>
        <v>#REF!</v>
      </c>
      <c r="U93" s="244" t="e">
        <f>U22-#REF!</f>
        <v>#REF!</v>
      </c>
      <c r="V93" s="244" t="e">
        <f>V22-#REF!</f>
        <v>#REF!</v>
      </c>
      <c r="W93" s="244" t="e">
        <f>W22-#REF!</f>
        <v>#REF!</v>
      </c>
      <c r="X93" s="244" t="e">
        <f>X22-#REF!</f>
        <v>#REF!</v>
      </c>
      <c r="Y93" s="244" t="e">
        <f>Y22-#REF!</f>
        <v>#REF!</v>
      </c>
      <c r="Z93" s="244" t="e">
        <f>Z22-#REF!</f>
        <v>#REF!</v>
      </c>
      <c r="AA93" s="244" t="e">
        <f>AA22-#REF!</f>
        <v>#REF!</v>
      </c>
      <c r="AB93" s="244" t="e">
        <f>AB22-#REF!</f>
        <v>#REF!</v>
      </c>
      <c r="AC93" s="244" t="e">
        <f>AC22-#REF!</f>
        <v>#REF!</v>
      </c>
      <c r="AD93" s="244" t="e">
        <f>AD22-#REF!</f>
        <v>#REF!</v>
      </c>
      <c r="AE93" s="244" t="e">
        <f>AE22-#REF!</f>
        <v>#REF!</v>
      </c>
      <c r="AF93" s="244" t="e">
        <f>AF22-#REF!</f>
        <v>#REF!</v>
      </c>
      <c r="AG93" s="244" t="e">
        <f>AG22-#REF!</f>
        <v>#REF!</v>
      </c>
      <c r="AH93" s="244" t="e">
        <f>AH22-#REF!</f>
        <v>#REF!</v>
      </c>
      <c r="AI93" s="244" t="e">
        <f>AI22-#REF!</f>
        <v>#REF!</v>
      </c>
      <c r="AJ93" s="244" t="e">
        <f>AJ22-#REF!</f>
        <v>#REF!</v>
      </c>
      <c r="AK93" s="244" t="e">
        <f>AK22-#REF!</f>
        <v>#REF!</v>
      </c>
      <c r="AL93" s="244" t="e">
        <f>AL22-#REF!</f>
        <v>#REF!</v>
      </c>
      <c r="AM93" s="244" t="e">
        <f>AM22-#REF!</f>
        <v>#REF!</v>
      </c>
      <c r="AN93" s="244" t="e">
        <f>AN22-#REF!</f>
        <v>#REF!</v>
      </c>
      <c r="AO93" s="244" t="e">
        <f>AO22-#REF!</f>
        <v>#REF!</v>
      </c>
      <c r="AP93" s="244" t="e">
        <f>AP22-#REF!</f>
        <v>#REF!</v>
      </c>
      <c r="AQ93" s="244" t="e">
        <f>AQ22-#REF!</f>
        <v>#REF!</v>
      </c>
      <c r="AR93" s="244" t="e">
        <f>AR22-#REF!</f>
        <v>#REF!</v>
      </c>
      <c r="AS93" s="244" t="e">
        <f>AS22-#REF!</f>
        <v>#REF!</v>
      </c>
      <c r="AT93" s="244" t="e">
        <f>AT22-#REF!</f>
        <v>#REF!</v>
      </c>
      <c r="AU93" s="244" t="e">
        <f>AU22-#REF!</f>
        <v>#REF!</v>
      </c>
      <c r="AV93" s="244" t="e">
        <f>AV22-#REF!</f>
        <v>#REF!</v>
      </c>
      <c r="AW93" s="244" t="e">
        <f>AW22-#REF!</f>
        <v>#REF!</v>
      </c>
      <c r="AX93" s="244" t="e">
        <f>AX22-#REF!</f>
        <v>#REF!</v>
      </c>
      <c r="AY93" s="244" t="e">
        <f>AY22-#REF!</f>
        <v>#REF!</v>
      </c>
      <c r="AZ93" s="244" t="e">
        <f>AZ22-#REF!</f>
        <v>#REF!</v>
      </c>
      <c r="BA93" s="244" t="e">
        <f>BA22-#REF!</f>
        <v>#REF!</v>
      </c>
      <c r="BB93" s="244" t="e">
        <f>BB22-#REF!</f>
        <v>#REF!</v>
      </c>
      <c r="BC93" s="244" t="e">
        <f>BC22-#REF!</f>
        <v>#REF!</v>
      </c>
      <c r="BD93" s="244" t="e">
        <f>BD22-#REF!</f>
        <v>#REF!</v>
      </c>
      <c r="BE93" s="244" t="e">
        <f>BE22-#REF!</f>
        <v>#REF!</v>
      </c>
      <c r="BF93" s="244" t="e">
        <f>BF22-#REF!</f>
        <v>#REF!</v>
      </c>
      <c r="BG93" s="244" t="e">
        <f>BG22-#REF!</f>
        <v>#REF!</v>
      </c>
      <c r="BH93" s="244" t="e">
        <f>BH22-#REF!</f>
        <v>#REF!</v>
      </c>
      <c r="BI93" s="244" t="e">
        <f>BI22-#REF!</f>
        <v>#REF!</v>
      </c>
      <c r="BJ93" s="244" t="e">
        <f>BJ22-#REF!</f>
        <v>#REF!</v>
      </c>
      <c r="BK93" s="244" t="e">
        <f>BK22-#REF!</f>
        <v>#REF!</v>
      </c>
      <c r="BL93" s="244" t="e">
        <f>BL22-#REF!</f>
        <v>#REF!</v>
      </c>
      <c r="BM93" s="244" t="e">
        <f>BM22-#REF!</f>
        <v>#REF!</v>
      </c>
      <c r="BN93" s="244" t="e">
        <f>BN22-#REF!</f>
        <v>#REF!</v>
      </c>
      <c r="BO93" s="244" t="e">
        <f>BO22-#REF!</f>
        <v>#REF!</v>
      </c>
      <c r="BP93" s="244" t="e">
        <f>BP22-#REF!</f>
        <v>#REF!</v>
      </c>
      <c r="BQ93" s="244" t="e">
        <f>BQ22-#REF!</f>
        <v>#REF!</v>
      </c>
      <c r="BR93" s="244" t="e">
        <f>BR22-#REF!</f>
        <v>#REF!</v>
      </c>
      <c r="BS93" s="244" t="e">
        <f>BS22-#REF!</f>
        <v>#REF!</v>
      </c>
      <c r="BT93" s="244" t="e">
        <f>BT22-#REF!</f>
        <v>#REF!</v>
      </c>
      <c r="BU93" s="244" t="e">
        <f>BU22-#REF!</f>
        <v>#REF!</v>
      </c>
      <c r="BV93" s="244"/>
      <c r="BW93" s="244"/>
    </row>
    <row r="94" spans="2:77" hidden="1" x14ac:dyDescent="0.2">
      <c r="M94" s="244" t="e">
        <f>M23-#REF!</f>
        <v>#REF!</v>
      </c>
      <c r="N94" s="244" t="e">
        <f>N23-#REF!</f>
        <v>#REF!</v>
      </c>
      <c r="O94" s="244" t="e">
        <f>O23-#REF!</f>
        <v>#REF!</v>
      </c>
      <c r="P94" s="244" t="e">
        <f>P23-#REF!</f>
        <v>#REF!</v>
      </c>
      <c r="Q94" s="244" t="e">
        <f>Q23-#REF!</f>
        <v>#REF!</v>
      </c>
      <c r="R94" s="244" t="e">
        <f>R23-#REF!</f>
        <v>#REF!</v>
      </c>
      <c r="S94" s="244" t="e">
        <f>S23-#REF!</f>
        <v>#REF!</v>
      </c>
      <c r="T94" s="244" t="e">
        <f>T23-#REF!</f>
        <v>#REF!</v>
      </c>
      <c r="U94" s="244" t="e">
        <f>U23-#REF!</f>
        <v>#REF!</v>
      </c>
      <c r="V94" s="244" t="e">
        <f>V23-#REF!</f>
        <v>#REF!</v>
      </c>
      <c r="W94" s="244" t="e">
        <f>W23-#REF!</f>
        <v>#REF!</v>
      </c>
      <c r="X94" s="244" t="e">
        <f>X23-#REF!</f>
        <v>#REF!</v>
      </c>
      <c r="Y94" s="244" t="e">
        <f>Y23-#REF!</f>
        <v>#REF!</v>
      </c>
      <c r="Z94" s="244" t="e">
        <f>Z23-#REF!</f>
        <v>#REF!</v>
      </c>
      <c r="AA94" s="244" t="e">
        <f>AA23-#REF!</f>
        <v>#REF!</v>
      </c>
      <c r="AB94" s="244" t="e">
        <f>AB23-#REF!</f>
        <v>#REF!</v>
      </c>
      <c r="AC94" s="244" t="e">
        <f>AC23-#REF!</f>
        <v>#REF!</v>
      </c>
      <c r="AD94" s="244" t="e">
        <f>AD23-#REF!</f>
        <v>#REF!</v>
      </c>
      <c r="AE94" s="244" t="e">
        <f>AE23-#REF!</f>
        <v>#REF!</v>
      </c>
      <c r="AF94" s="244" t="e">
        <f>AF23-#REF!</f>
        <v>#REF!</v>
      </c>
      <c r="AG94" s="244" t="e">
        <f>AG23-#REF!</f>
        <v>#REF!</v>
      </c>
      <c r="AH94" s="244" t="e">
        <f>AH23-#REF!</f>
        <v>#REF!</v>
      </c>
      <c r="AI94" s="244" t="e">
        <f>AI23-#REF!</f>
        <v>#REF!</v>
      </c>
      <c r="AJ94" s="244" t="e">
        <f>AJ23-#REF!</f>
        <v>#REF!</v>
      </c>
      <c r="AK94" s="244" t="e">
        <f>AK23-#REF!</f>
        <v>#REF!</v>
      </c>
      <c r="AL94" s="244" t="e">
        <f>AL23-#REF!</f>
        <v>#REF!</v>
      </c>
      <c r="AM94" s="244" t="e">
        <f>AM23-#REF!</f>
        <v>#REF!</v>
      </c>
      <c r="AN94" s="244" t="e">
        <f>AN23-#REF!</f>
        <v>#REF!</v>
      </c>
      <c r="AO94" s="244" t="e">
        <f>AO23-#REF!</f>
        <v>#REF!</v>
      </c>
      <c r="AP94" s="244" t="e">
        <f>AP23-#REF!</f>
        <v>#REF!</v>
      </c>
      <c r="AQ94" s="244" t="e">
        <f>AQ23-#REF!</f>
        <v>#REF!</v>
      </c>
      <c r="AR94" s="244" t="e">
        <f>AR23-#REF!</f>
        <v>#REF!</v>
      </c>
      <c r="AS94" s="244" t="e">
        <f>AS23-#REF!</f>
        <v>#REF!</v>
      </c>
      <c r="AT94" s="244" t="e">
        <f>AT23-#REF!</f>
        <v>#REF!</v>
      </c>
      <c r="AU94" s="244" t="e">
        <f>AU23-#REF!</f>
        <v>#REF!</v>
      </c>
      <c r="AV94" s="244" t="e">
        <f>AV23-#REF!</f>
        <v>#REF!</v>
      </c>
      <c r="AW94" s="244" t="e">
        <f>AW23-#REF!</f>
        <v>#REF!</v>
      </c>
      <c r="AX94" s="244" t="e">
        <f>AX23-#REF!</f>
        <v>#REF!</v>
      </c>
      <c r="AY94" s="244" t="e">
        <f>AY23-#REF!</f>
        <v>#REF!</v>
      </c>
      <c r="AZ94" s="244" t="e">
        <f>AZ23-#REF!</f>
        <v>#REF!</v>
      </c>
      <c r="BA94" s="244" t="e">
        <f>BA23-#REF!</f>
        <v>#REF!</v>
      </c>
      <c r="BB94" s="244" t="e">
        <f>BB23-#REF!</f>
        <v>#REF!</v>
      </c>
      <c r="BC94" s="244" t="e">
        <f>BC23-#REF!</f>
        <v>#REF!</v>
      </c>
      <c r="BD94" s="244" t="e">
        <f>BD23-#REF!</f>
        <v>#REF!</v>
      </c>
      <c r="BE94" s="244" t="e">
        <f>BE23-#REF!</f>
        <v>#REF!</v>
      </c>
      <c r="BF94" s="244" t="e">
        <f>BF23-#REF!</f>
        <v>#REF!</v>
      </c>
      <c r="BG94" s="244" t="e">
        <f>BG23-#REF!</f>
        <v>#REF!</v>
      </c>
      <c r="BH94" s="244" t="e">
        <f>BH23-#REF!</f>
        <v>#REF!</v>
      </c>
      <c r="BI94" s="244" t="e">
        <f>BI23-#REF!</f>
        <v>#REF!</v>
      </c>
      <c r="BJ94" s="244" t="e">
        <f>BJ23-#REF!</f>
        <v>#REF!</v>
      </c>
      <c r="BK94" s="244" t="e">
        <f>BK23-#REF!</f>
        <v>#REF!</v>
      </c>
      <c r="BL94" s="244" t="e">
        <f>BL23-#REF!</f>
        <v>#REF!</v>
      </c>
      <c r="BM94" s="244" t="e">
        <f>BM23-#REF!</f>
        <v>#REF!</v>
      </c>
      <c r="BN94" s="244" t="e">
        <f>BN23-#REF!</f>
        <v>#REF!</v>
      </c>
      <c r="BO94" s="244" t="e">
        <f>BO23-#REF!</f>
        <v>#REF!</v>
      </c>
      <c r="BP94" s="244" t="e">
        <f>BP23-#REF!</f>
        <v>#REF!</v>
      </c>
      <c r="BQ94" s="244" t="e">
        <f>BQ23-#REF!</f>
        <v>#REF!</v>
      </c>
      <c r="BR94" s="244" t="e">
        <f>BR23-#REF!</f>
        <v>#REF!</v>
      </c>
      <c r="BS94" s="244" t="e">
        <f>BS23-#REF!</f>
        <v>#REF!</v>
      </c>
      <c r="BT94" s="244" t="e">
        <f>BT23-#REF!</f>
        <v>#REF!</v>
      </c>
      <c r="BU94" s="244" t="e">
        <f>BU23-#REF!</f>
        <v>#REF!</v>
      </c>
      <c r="BV94" s="244"/>
      <c r="BW94" s="244"/>
    </row>
    <row r="95" spans="2:77" hidden="1" x14ac:dyDescent="0.2">
      <c r="M95" s="244" t="e">
        <f>M24-#REF!</f>
        <v>#REF!</v>
      </c>
      <c r="N95" s="244" t="e">
        <f>N24-#REF!</f>
        <v>#REF!</v>
      </c>
      <c r="O95" s="244" t="e">
        <f>O24-#REF!</f>
        <v>#REF!</v>
      </c>
      <c r="P95" s="244" t="e">
        <f>P24-#REF!</f>
        <v>#REF!</v>
      </c>
      <c r="Q95" s="244" t="e">
        <f>Q24-#REF!</f>
        <v>#REF!</v>
      </c>
      <c r="R95" s="244" t="e">
        <f>R24-#REF!</f>
        <v>#REF!</v>
      </c>
      <c r="S95" s="244" t="e">
        <f>S24-#REF!</f>
        <v>#REF!</v>
      </c>
      <c r="T95" s="244" t="e">
        <f>T24-#REF!</f>
        <v>#REF!</v>
      </c>
      <c r="U95" s="244" t="e">
        <f>U24-#REF!</f>
        <v>#REF!</v>
      </c>
      <c r="V95" s="244" t="e">
        <f>V24-#REF!</f>
        <v>#REF!</v>
      </c>
      <c r="W95" s="244" t="e">
        <f>W24-#REF!</f>
        <v>#REF!</v>
      </c>
      <c r="X95" s="244" t="e">
        <f>X24-#REF!</f>
        <v>#REF!</v>
      </c>
      <c r="Y95" s="244" t="e">
        <f>Y24-#REF!</f>
        <v>#REF!</v>
      </c>
      <c r="Z95" s="244" t="e">
        <f>Z24-#REF!</f>
        <v>#REF!</v>
      </c>
      <c r="AA95" s="244" t="e">
        <f>AA24-#REF!</f>
        <v>#REF!</v>
      </c>
      <c r="AB95" s="244" t="e">
        <f>AB24-#REF!</f>
        <v>#REF!</v>
      </c>
      <c r="AC95" s="244" t="e">
        <f>AC24-#REF!</f>
        <v>#REF!</v>
      </c>
      <c r="AD95" s="244" t="e">
        <f>AD24-#REF!</f>
        <v>#REF!</v>
      </c>
      <c r="AE95" s="244" t="e">
        <f>AE24-#REF!</f>
        <v>#REF!</v>
      </c>
      <c r="AF95" s="244" t="e">
        <f>AF24-#REF!</f>
        <v>#REF!</v>
      </c>
      <c r="AG95" s="244" t="e">
        <f>AG24-#REF!</f>
        <v>#REF!</v>
      </c>
      <c r="AH95" s="244" t="e">
        <f>AH24-#REF!</f>
        <v>#REF!</v>
      </c>
      <c r="AI95" s="244" t="e">
        <f>AI24-#REF!</f>
        <v>#REF!</v>
      </c>
      <c r="AJ95" s="244" t="e">
        <f>AJ24-#REF!</f>
        <v>#REF!</v>
      </c>
      <c r="AK95" s="244" t="e">
        <f>AK24-#REF!</f>
        <v>#REF!</v>
      </c>
      <c r="AL95" s="244" t="e">
        <f>AL24-#REF!</f>
        <v>#REF!</v>
      </c>
      <c r="AM95" s="244" t="e">
        <f>AM24-#REF!</f>
        <v>#REF!</v>
      </c>
      <c r="AN95" s="244" t="e">
        <f>AN24-#REF!</f>
        <v>#REF!</v>
      </c>
      <c r="AO95" s="244" t="e">
        <f>AO24-#REF!</f>
        <v>#REF!</v>
      </c>
      <c r="AP95" s="244" t="e">
        <f>AP24-#REF!</f>
        <v>#REF!</v>
      </c>
      <c r="AQ95" s="244" t="e">
        <f>AQ24-#REF!</f>
        <v>#REF!</v>
      </c>
      <c r="AR95" s="244" t="e">
        <f>AR24-#REF!</f>
        <v>#REF!</v>
      </c>
      <c r="AS95" s="244" t="e">
        <f>AS24-#REF!</f>
        <v>#REF!</v>
      </c>
      <c r="AT95" s="244" t="e">
        <f>AT24-#REF!</f>
        <v>#REF!</v>
      </c>
      <c r="AU95" s="244" t="e">
        <f>AU24-#REF!</f>
        <v>#REF!</v>
      </c>
      <c r="AV95" s="244" t="e">
        <f>AV24-#REF!</f>
        <v>#REF!</v>
      </c>
      <c r="AW95" s="244" t="e">
        <f>AW24-#REF!</f>
        <v>#REF!</v>
      </c>
      <c r="AX95" s="244" t="e">
        <f>AX24-#REF!</f>
        <v>#REF!</v>
      </c>
      <c r="AY95" s="244" t="e">
        <f>AY24-#REF!</f>
        <v>#REF!</v>
      </c>
      <c r="AZ95" s="244" t="e">
        <f>AZ24-#REF!</f>
        <v>#REF!</v>
      </c>
      <c r="BA95" s="244" t="e">
        <f>BA24-#REF!</f>
        <v>#REF!</v>
      </c>
      <c r="BB95" s="244" t="e">
        <f>BB24-#REF!</f>
        <v>#REF!</v>
      </c>
      <c r="BC95" s="244" t="e">
        <f>BC24-#REF!</f>
        <v>#REF!</v>
      </c>
      <c r="BD95" s="244" t="e">
        <f>BD24-#REF!</f>
        <v>#REF!</v>
      </c>
      <c r="BE95" s="244" t="e">
        <f>BE24-#REF!</f>
        <v>#REF!</v>
      </c>
      <c r="BF95" s="244" t="e">
        <f>BF24-#REF!</f>
        <v>#REF!</v>
      </c>
      <c r="BG95" s="244" t="e">
        <f>BG24-#REF!</f>
        <v>#REF!</v>
      </c>
      <c r="BH95" s="244" t="e">
        <f>BH24-#REF!</f>
        <v>#REF!</v>
      </c>
      <c r="BI95" s="244" t="e">
        <f>BI24-#REF!</f>
        <v>#REF!</v>
      </c>
      <c r="BJ95" s="244" t="e">
        <f>BJ24-#REF!</f>
        <v>#REF!</v>
      </c>
      <c r="BK95" s="244" t="e">
        <f>BK24-#REF!</f>
        <v>#REF!</v>
      </c>
      <c r="BL95" s="244" t="e">
        <f>BL24-#REF!</f>
        <v>#REF!</v>
      </c>
      <c r="BM95" s="244" t="e">
        <f>BM24-#REF!</f>
        <v>#REF!</v>
      </c>
      <c r="BN95" s="244" t="e">
        <f>BN24-#REF!</f>
        <v>#REF!</v>
      </c>
      <c r="BO95" s="244" t="e">
        <f>BO24-#REF!</f>
        <v>#REF!</v>
      </c>
      <c r="BP95" s="244" t="e">
        <f>BP24-#REF!</f>
        <v>#REF!</v>
      </c>
      <c r="BQ95" s="244" t="e">
        <f>BQ24-#REF!</f>
        <v>#REF!</v>
      </c>
      <c r="BR95" s="244" t="e">
        <f>BR24-#REF!</f>
        <v>#REF!</v>
      </c>
      <c r="BS95" s="244" t="e">
        <f>BS24-#REF!</f>
        <v>#REF!</v>
      </c>
      <c r="BT95" s="244" t="e">
        <f>BT24-#REF!</f>
        <v>#REF!</v>
      </c>
      <c r="BU95" s="244" t="e">
        <f>BU24-#REF!</f>
        <v>#REF!</v>
      </c>
      <c r="BV95" s="244"/>
      <c r="BW95" s="244"/>
      <c r="BY95" s="243"/>
    </row>
    <row r="96" spans="2:77" hidden="1" x14ac:dyDescent="0.2">
      <c r="M96" s="244" t="e">
        <f>M25-#REF!</f>
        <v>#REF!</v>
      </c>
      <c r="N96" s="244" t="e">
        <f>N25-#REF!</f>
        <v>#REF!</v>
      </c>
      <c r="O96" s="244" t="e">
        <f>O25-#REF!</f>
        <v>#REF!</v>
      </c>
      <c r="P96" s="244" t="e">
        <f>P25-#REF!</f>
        <v>#REF!</v>
      </c>
      <c r="Q96" s="244" t="e">
        <f>Q25-#REF!</f>
        <v>#REF!</v>
      </c>
      <c r="R96" s="244" t="e">
        <f>R25-#REF!</f>
        <v>#REF!</v>
      </c>
      <c r="S96" s="244" t="e">
        <f>S25-#REF!</f>
        <v>#REF!</v>
      </c>
      <c r="T96" s="244" t="e">
        <f>T25-#REF!</f>
        <v>#REF!</v>
      </c>
      <c r="U96" s="244" t="e">
        <f>U25-#REF!</f>
        <v>#REF!</v>
      </c>
      <c r="V96" s="244" t="e">
        <f>V25-#REF!</f>
        <v>#REF!</v>
      </c>
      <c r="W96" s="244" t="e">
        <f>W25-#REF!</f>
        <v>#REF!</v>
      </c>
      <c r="X96" s="244" t="e">
        <f>X25-#REF!</f>
        <v>#REF!</v>
      </c>
      <c r="Y96" s="244" t="e">
        <f>Y25-#REF!</f>
        <v>#REF!</v>
      </c>
      <c r="Z96" s="244" t="e">
        <f>Z25-#REF!</f>
        <v>#REF!</v>
      </c>
      <c r="AA96" s="244" t="e">
        <f>AA25-#REF!</f>
        <v>#REF!</v>
      </c>
      <c r="AB96" s="244" t="e">
        <f>AB25-#REF!</f>
        <v>#REF!</v>
      </c>
      <c r="AC96" s="244" t="e">
        <f>AC25-#REF!</f>
        <v>#REF!</v>
      </c>
      <c r="AD96" s="244" t="e">
        <f>AD25-#REF!</f>
        <v>#REF!</v>
      </c>
      <c r="AE96" s="244" t="e">
        <f>AE25-#REF!</f>
        <v>#REF!</v>
      </c>
      <c r="AF96" s="244" t="e">
        <f>AF25-#REF!</f>
        <v>#REF!</v>
      </c>
      <c r="AG96" s="244" t="e">
        <f>AG25-#REF!</f>
        <v>#REF!</v>
      </c>
      <c r="AH96" s="244" t="e">
        <f>AH25-#REF!</f>
        <v>#REF!</v>
      </c>
      <c r="AI96" s="244" t="e">
        <f>AI25-#REF!</f>
        <v>#REF!</v>
      </c>
      <c r="AJ96" s="244" t="e">
        <f>AJ25-#REF!</f>
        <v>#REF!</v>
      </c>
      <c r="AK96" s="244" t="e">
        <f>AK25-#REF!</f>
        <v>#REF!</v>
      </c>
      <c r="AL96" s="244" t="e">
        <f>AL25-#REF!</f>
        <v>#REF!</v>
      </c>
      <c r="AM96" s="244" t="e">
        <f>AM25-#REF!</f>
        <v>#REF!</v>
      </c>
      <c r="AN96" s="244" t="e">
        <f>AN25-#REF!</f>
        <v>#REF!</v>
      </c>
      <c r="AO96" s="244" t="e">
        <f>AO25-#REF!</f>
        <v>#REF!</v>
      </c>
      <c r="AP96" s="244" t="e">
        <f>AP25-#REF!</f>
        <v>#REF!</v>
      </c>
      <c r="AQ96" s="244" t="e">
        <f>AQ25-#REF!</f>
        <v>#REF!</v>
      </c>
      <c r="AR96" s="244" t="e">
        <f>AR25-#REF!</f>
        <v>#REF!</v>
      </c>
      <c r="AS96" s="244" t="e">
        <f>AS25-#REF!</f>
        <v>#REF!</v>
      </c>
      <c r="AT96" s="244" t="e">
        <f>AT25-#REF!</f>
        <v>#REF!</v>
      </c>
      <c r="AU96" s="244" t="e">
        <f>AU25-#REF!</f>
        <v>#REF!</v>
      </c>
      <c r="AV96" s="244" t="e">
        <f>AV25-#REF!</f>
        <v>#REF!</v>
      </c>
      <c r="AW96" s="244" t="e">
        <f>AW25-#REF!</f>
        <v>#REF!</v>
      </c>
      <c r="AX96" s="244" t="e">
        <f>AX25-#REF!</f>
        <v>#REF!</v>
      </c>
      <c r="AY96" s="244" t="e">
        <f>AY25-#REF!</f>
        <v>#REF!</v>
      </c>
      <c r="AZ96" s="244" t="e">
        <f>AZ25-#REF!</f>
        <v>#REF!</v>
      </c>
      <c r="BA96" s="244" t="e">
        <f>BA25-#REF!</f>
        <v>#REF!</v>
      </c>
      <c r="BB96" s="244" t="e">
        <f>BB25-#REF!</f>
        <v>#REF!</v>
      </c>
      <c r="BC96" s="244" t="e">
        <f>BC25-#REF!</f>
        <v>#REF!</v>
      </c>
      <c r="BD96" s="244" t="e">
        <f>BD25-#REF!</f>
        <v>#REF!</v>
      </c>
      <c r="BE96" s="244" t="e">
        <f>BE25-#REF!</f>
        <v>#REF!</v>
      </c>
      <c r="BF96" s="244" t="e">
        <f>BF25-#REF!</f>
        <v>#REF!</v>
      </c>
      <c r="BG96" s="244" t="e">
        <f>BG25-#REF!</f>
        <v>#REF!</v>
      </c>
      <c r="BH96" s="244" t="e">
        <f>BH25-#REF!</f>
        <v>#REF!</v>
      </c>
      <c r="BI96" s="244" t="e">
        <f>BI25-#REF!</f>
        <v>#REF!</v>
      </c>
      <c r="BJ96" s="244" t="e">
        <f>BJ25-#REF!</f>
        <v>#REF!</v>
      </c>
      <c r="BK96" s="244" t="e">
        <f>BK25-#REF!</f>
        <v>#REF!</v>
      </c>
      <c r="BL96" s="244" t="e">
        <f>BL25-#REF!</f>
        <v>#REF!</v>
      </c>
      <c r="BM96" s="244" t="e">
        <f>BM25-#REF!</f>
        <v>#REF!</v>
      </c>
      <c r="BN96" s="244" t="e">
        <f>BN25-#REF!</f>
        <v>#REF!</v>
      </c>
      <c r="BO96" s="244" t="e">
        <f>BO25-#REF!</f>
        <v>#REF!</v>
      </c>
      <c r="BP96" s="244" t="e">
        <f>BP25-#REF!</f>
        <v>#REF!</v>
      </c>
      <c r="BQ96" s="244" t="e">
        <f>BQ25-#REF!</f>
        <v>#REF!</v>
      </c>
      <c r="BR96" s="244" t="e">
        <f>BR25-#REF!</f>
        <v>#REF!</v>
      </c>
      <c r="BS96" s="244" t="e">
        <f>BS25-#REF!</f>
        <v>#REF!</v>
      </c>
      <c r="BT96" s="244" t="e">
        <f>BT25-#REF!</f>
        <v>#REF!</v>
      </c>
      <c r="BU96" s="244" t="e">
        <f>BU25-#REF!</f>
        <v>#REF!</v>
      </c>
      <c r="BV96" s="244"/>
      <c r="BW96" s="244"/>
      <c r="BY96" s="243"/>
    </row>
    <row r="97" spans="13:77" hidden="1" x14ac:dyDescent="0.2">
      <c r="M97" s="244" t="e">
        <f>M26-#REF!</f>
        <v>#REF!</v>
      </c>
      <c r="N97" s="244" t="e">
        <f>N26-#REF!</f>
        <v>#REF!</v>
      </c>
      <c r="O97" s="244" t="e">
        <f>O26-#REF!</f>
        <v>#REF!</v>
      </c>
      <c r="P97" s="244" t="e">
        <f>P26-#REF!</f>
        <v>#REF!</v>
      </c>
      <c r="Q97" s="244" t="e">
        <f>Q26-#REF!</f>
        <v>#REF!</v>
      </c>
      <c r="R97" s="244" t="e">
        <f>R26-#REF!</f>
        <v>#REF!</v>
      </c>
      <c r="S97" s="244" t="e">
        <f>S26-#REF!</f>
        <v>#REF!</v>
      </c>
      <c r="T97" s="244" t="e">
        <f>T26-#REF!</f>
        <v>#REF!</v>
      </c>
      <c r="U97" s="244" t="e">
        <f>U26-#REF!</f>
        <v>#REF!</v>
      </c>
      <c r="V97" s="244" t="e">
        <f>V26-#REF!</f>
        <v>#REF!</v>
      </c>
      <c r="W97" s="244" t="e">
        <f>W26-#REF!</f>
        <v>#REF!</v>
      </c>
      <c r="X97" s="244" t="e">
        <f>X26-#REF!</f>
        <v>#REF!</v>
      </c>
      <c r="Y97" s="244" t="e">
        <f>Y26-#REF!</f>
        <v>#REF!</v>
      </c>
      <c r="Z97" s="244" t="e">
        <f>Z26-#REF!</f>
        <v>#REF!</v>
      </c>
      <c r="AA97" s="244" t="e">
        <f>AA26-#REF!</f>
        <v>#REF!</v>
      </c>
      <c r="AB97" s="244" t="e">
        <f>AB26-#REF!</f>
        <v>#REF!</v>
      </c>
      <c r="AC97" s="244" t="e">
        <f>AC26-#REF!</f>
        <v>#REF!</v>
      </c>
      <c r="AD97" s="244" t="e">
        <f>AD26-#REF!</f>
        <v>#REF!</v>
      </c>
      <c r="AE97" s="244" t="e">
        <f>AE26-#REF!</f>
        <v>#REF!</v>
      </c>
      <c r="AF97" s="244" t="e">
        <f>AF26-#REF!</f>
        <v>#REF!</v>
      </c>
      <c r="AG97" s="244" t="e">
        <f>AG26-#REF!</f>
        <v>#REF!</v>
      </c>
      <c r="AH97" s="244" t="e">
        <f>AH26-#REF!</f>
        <v>#REF!</v>
      </c>
      <c r="AI97" s="244" t="e">
        <f>AI26-#REF!</f>
        <v>#REF!</v>
      </c>
      <c r="AJ97" s="244" t="e">
        <f>AJ26-#REF!</f>
        <v>#REF!</v>
      </c>
      <c r="AK97" s="244" t="e">
        <f>AK26-#REF!</f>
        <v>#REF!</v>
      </c>
      <c r="AL97" s="244" t="e">
        <f>AL26-#REF!</f>
        <v>#REF!</v>
      </c>
      <c r="AM97" s="244" t="e">
        <f>AM26-#REF!</f>
        <v>#REF!</v>
      </c>
      <c r="AN97" s="244" t="e">
        <f>AN26-#REF!</f>
        <v>#REF!</v>
      </c>
      <c r="AO97" s="244" t="e">
        <f>AO26-#REF!</f>
        <v>#REF!</v>
      </c>
      <c r="AP97" s="244" t="e">
        <f>AP26-#REF!</f>
        <v>#REF!</v>
      </c>
      <c r="AQ97" s="244" t="e">
        <f>AQ26-#REF!</f>
        <v>#REF!</v>
      </c>
      <c r="AR97" s="244" t="e">
        <f>AR26-#REF!</f>
        <v>#REF!</v>
      </c>
      <c r="AS97" s="244" t="e">
        <f>AS26-#REF!</f>
        <v>#REF!</v>
      </c>
      <c r="AT97" s="244" t="e">
        <f>AT26-#REF!</f>
        <v>#REF!</v>
      </c>
      <c r="AU97" s="244" t="e">
        <f>AU26-#REF!</f>
        <v>#REF!</v>
      </c>
      <c r="AV97" s="244" t="e">
        <f>AV26-#REF!</f>
        <v>#REF!</v>
      </c>
      <c r="AW97" s="244" t="e">
        <f>AW26-#REF!</f>
        <v>#REF!</v>
      </c>
      <c r="AX97" s="244" t="e">
        <f>AX26-#REF!</f>
        <v>#REF!</v>
      </c>
      <c r="AY97" s="244" t="e">
        <f>AY26-#REF!</f>
        <v>#REF!</v>
      </c>
      <c r="AZ97" s="244" t="e">
        <f>AZ26-#REF!</f>
        <v>#REF!</v>
      </c>
      <c r="BA97" s="244" t="e">
        <f>BA26-#REF!</f>
        <v>#REF!</v>
      </c>
      <c r="BB97" s="244" t="e">
        <f>BB26-#REF!</f>
        <v>#REF!</v>
      </c>
      <c r="BC97" s="244" t="e">
        <f>BC26-#REF!</f>
        <v>#REF!</v>
      </c>
      <c r="BD97" s="244" t="e">
        <f>BD26-#REF!</f>
        <v>#REF!</v>
      </c>
      <c r="BE97" s="244" t="e">
        <f>BE26-#REF!</f>
        <v>#REF!</v>
      </c>
      <c r="BF97" s="244" t="e">
        <f>BF26-#REF!</f>
        <v>#REF!</v>
      </c>
      <c r="BG97" s="244" t="e">
        <f>BG26-#REF!</f>
        <v>#REF!</v>
      </c>
      <c r="BH97" s="244" t="e">
        <f>BH26-#REF!</f>
        <v>#REF!</v>
      </c>
      <c r="BI97" s="244" t="e">
        <f>BI26-#REF!</f>
        <v>#REF!</v>
      </c>
      <c r="BJ97" s="244" t="e">
        <f>BJ26-#REF!</f>
        <v>#REF!</v>
      </c>
      <c r="BK97" s="244" t="e">
        <f>BK26-#REF!</f>
        <v>#REF!</v>
      </c>
      <c r="BL97" s="244" t="e">
        <f>BL26-#REF!</f>
        <v>#REF!</v>
      </c>
      <c r="BM97" s="244" t="e">
        <f>BM26-#REF!</f>
        <v>#REF!</v>
      </c>
      <c r="BN97" s="244" t="e">
        <f>BN26-#REF!</f>
        <v>#REF!</v>
      </c>
      <c r="BO97" s="244" t="e">
        <f>BO26-#REF!</f>
        <v>#REF!</v>
      </c>
      <c r="BP97" s="244" t="e">
        <f>BP26-#REF!</f>
        <v>#REF!</v>
      </c>
      <c r="BQ97" s="244" t="e">
        <f>BQ26-#REF!</f>
        <v>#REF!</v>
      </c>
      <c r="BR97" s="244" t="e">
        <f>BR26-#REF!</f>
        <v>#REF!</v>
      </c>
      <c r="BS97" s="244" t="e">
        <f>BS26-#REF!</f>
        <v>#REF!</v>
      </c>
      <c r="BT97" s="244" t="e">
        <f>BT26-#REF!</f>
        <v>#REF!</v>
      </c>
      <c r="BU97" s="244" t="e">
        <f>BU26-#REF!</f>
        <v>#REF!</v>
      </c>
      <c r="BV97" s="244"/>
      <c r="BW97" s="244">
        <f>-[65]domredemp!BV98</f>
        <v>0</v>
      </c>
      <c r="BY97" s="243"/>
    </row>
    <row r="98" spans="13:77" hidden="1" x14ac:dyDescent="0.2">
      <c r="M98" s="244" t="e">
        <f>M27-#REF!</f>
        <v>#REF!</v>
      </c>
      <c r="N98" s="244" t="e">
        <f>N27-#REF!</f>
        <v>#REF!</v>
      </c>
      <c r="O98" s="244" t="e">
        <f>O27-#REF!</f>
        <v>#REF!</v>
      </c>
      <c r="P98" s="244" t="e">
        <f>P27-#REF!</f>
        <v>#REF!</v>
      </c>
      <c r="Q98" s="244" t="e">
        <f>Q27-#REF!</f>
        <v>#REF!</v>
      </c>
      <c r="R98" s="244" t="e">
        <f>R27-#REF!</f>
        <v>#REF!</v>
      </c>
      <c r="S98" s="244" t="e">
        <f>S27-#REF!</f>
        <v>#REF!</v>
      </c>
      <c r="T98" s="244" t="e">
        <f>T27-#REF!</f>
        <v>#REF!</v>
      </c>
      <c r="U98" s="244" t="e">
        <f>U27-#REF!</f>
        <v>#REF!</v>
      </c>
      <c r="V98" s="244" t="e">
        <f>V27-#REF!</f>
        <v>#REF!</v>
      </c>
      <c r="W98" s="244" t="e">
        <f>W27-#REF!</f>
        <v>#REF!</v>
      </c>
      <c r="X98" s="244" t="e">
        <f>X27-#REF!</f>
        <v>#REF!</v>
      </c>
      <c r="Y98" s="244" t="e">
        <f>Y27-#REF!</f>
        <v>#REF!</v>
      </c>
      <c r="Z98" s="244" t="e">
        <f>Z27-#REF!</f>
        <v>#REF!</v>
      </c>
      <c r="AA98" s="244" t="e">
        <f>AA27-#REF!</f>
        <v>#REF!</v>
      </c>
      <c r="AB98" s="244" t="e">
        <f>AB27-#REF!</f>
        <v>#REF!</v>
      </c>
      <c r="AC98" s="244" t="e">
        <f>AC27-#REF!</f>
        <v>#REF!</v>
      </c>
      <c r="AD98" s="244" t="e">
        <f>AD27-#REF!</f>
        <v>#REF!</v>
      </c>
      <c r="AE98" s="244" t="e">
        <f>AE27-#REF!</f>
        <v>#REF!</v>
      </c>
      <c r="AF98" s="244" t="e">
        <f>AF27-#REF!</f>
        <v>#REF!</v>
      </c>
      <c r="AG98" s="244" t="e">
        <f>AG27-#REF!</f>
        <v>#REF!</v>
      </c>
      <c r="AH98" s="244" t="e">
        <f>AH27-#REF!</f>
        <v>#REF!</v>
      </c>
      <c r="AI98" s="244" t="e">
        <f>AI27-#REF!</f>
        <v>#REF!</v>
      </c>
      <c r="AJ98" s="244" t="e">
        <f>AJ27-#REF!</f>
        <v>#REF!</v>
      </c>
      <c r="AK98" s="244" t="e">
        <f>AK27-#REF!</f>
        <v>#REF!</v>
      </c>
      <c r="AL98" s="244" t="e">
        <f>AL27-#REF!</f>
        <v>#REF!</v>
      </c>
      <c r="AM98" s="244" t="e">
        <f>AM27-#REF!</f>
        <v>#REF!</v>
      </c>
      <c r="AN98" s="244" t="e">
        <f>AN27-#REF!</f>
        <v>#REF!</v>
      </c>
      <c r="AO98" s="244" t="e">
        <f>AO27-#REF!</f>
        <v>#REF!</v>
      </c>
      <c r="AP98" s="244" t="e">
        <f>AP27-#REF!</f>
        <v>#REF!</v>
      </c>
      <c r="AQ98" s="244" t="e">
        <f>AQ27-#REF!</f>
        <v>#REF!</v>
      </c>
      <c r="AR98" s="244" t="e">
        <f>AR27-#REF!</f>
        <v>#REF!</v>
      </c>
      <c r="AS98" s="244" t="e">
        <f>AS27-#REF!</f>
        <v>#REF!</v>
      </c>
      <c r="AT98" s="244" t="e">
        <f>AT27-#REF!</f>
        <v>#REF!</v>
      </c>
      <c r="AU98" s="244" t="e">
        <f>AU27-#REF!</f>
        <v>#REF!</v>
      </c>
      <c r="AV98" s="244" t="e">
        <f>AV27-#REF!</f>
        <v>#REF!</v>
      </c>
      <c r="AW98" s="244" t="e">
        <f>AW27-#REF!</f>
        <v>#REF!</v>
      </c>
      <c r="AX98" s="244" t="e">
        <f>AX27-#REF!</f>
        <v>#REF!</v>
      </c>
      <c r="AY98" s="244" t="e">
        <f>AY27-#REF!</f>
        <v>#REF!</v>
      </c>
      <c r="AZ98" s="244" t="e">
        <f>AZ27-#REF!</f>
        <v>#REF!</v>
      </c>
      <c r="BA98" s="244" t="e">
        <f>BA27-#REF!</f>
        <v>#REF!</v>
      </c>
      <c r="BB98" s="244" t="e">
        <f>BB27-#REF!</f>
        <v>#REF!</v>
      </c>
      <c r="BC98" s="244" t="e">
        <f>BC27-#REF!</f>
        <v>#REF!</v>
      </c>
      <c r="BD98" s="244" t="e">
        <f>BD27-#REF!</f>
        <v>#REF!</v>
      </c>
      <c r="BE98" s="244" t="e">
        <f>BE27-#REF!</f>
        <v>#REF!</v>
      </c>
      <c r="BF98" s="244" t="e">
        <f>BF27-#REF!</f>
        <v>#REF!</v>
      </c>
      <c r="BG98" s="244" t="e">
        <f>BG27-#REF!</f>
        <v>#REF!</v>
      </c>
      <c r="BH98" s="244" t="e">
        <f>BH27-#REF!</f>
        <v>#REF!</v>
      </c>
      <c r="BI98" s="244" t="e">
        <f>BI27-#REF!</f>
        <v>#REF!</v>
      </c>
      <c r="BJ98" s="244" t="e">
        <f>BJ27-#REF!</f>
        <v>#REF!</v>
      </c>
      <c r="BK98" s="244" t="e">
        <f>BK27-#REF!</f>
        <v>#REF!</v>
      </c>
      <c r="BL98" s="244" t="e">
        <f>BL27-#REF!</f>
        <v>#REF!</v>
      </c>
      <c r="BM98" s="244" t="e">
        <f>BM27-#REF!</f>
        <v>#REF!</v>
      </c>
      <c r="BN98" s="244" t="e">
        <f>BN27-#REF!</f>
        <v>#REF!</v>
      </c>
      <c r="BO98" s="244" t="e">
        <f>BO27-#REF!</f>
        <v>#REF!</v>
      </c>
      <c r="BP98" s="244" t="e">
        <f>BP27-#REF!</f>
        <v>#REF!</v>
      </c>
      <c r="BQ98" s="244" t="e">
        <f>BQ27-#REF!</f>
        <v>#REF!</v>
      </c>
      <c r="BR98" s="244" t="e">
        <f>BR27-#REF!</f>
        <v>#REF!</v>
      </c>
      <c r="BS98" s="244" t="e">
        <f>BS27-#REF!</f>
        <v>#REF!</v>
      </c>
      <c r="BT98" s="244" t="e">
        <f>BT27-#REF!</f>
        <v>#REF!</v>
      </c>
      <c r="BU98" s="244" t="e">
        <f>BU27-#REF!</f>
        <v>#REF!</v>
      </c>
      <c r="BV98" s="244"/>
      <c r="BW98" s="244">
        <f>-[65]domredemp!BV101+[65]domredemp!BV211</f>
        <v>0</v>
      </c>
      <c r="BY98" s="243"/>
    </row>
    <row r="99" spans="13:77" hidden="1" x14ac:dyDescent="0.2">
      <c r="M99" s="244" t="e">
        <f>M28-#REF!</f>
        <v>#REF!</v>
      </c>
      <c r="N99" s="244" t="e">
        <f>N28-#REF!</f>
        <v>#REF!</v>
      </c>
      <c r="O99" s="244" t="e">
        <f>O28-#REF!</f>
        <v>#REF!</v>
      </c>
      <c r="P99" s="244" t="e">
        <f>P28-#REF!</f>
        <v>#REF!</v>
      </c>
      <c r="Q99" s="244" t="e">
        <f>Q28-#REF!</f>
        <v>#REF!</v>
      </c>
      <c r="R99" s="244" t="e">
        <f>R28-#REF!</f>
        <v>#REF!</v>
      </c>
      <c r="S99" s="244" t="e">
        <f>S28-#REF!</f>
        <v>#REF!</v>
      </c>
      <c r="T99" s="244" t="e">
        <f>T28-#REF!</f>
        <v>#REF!</v>
      </c>
      <c r="U99" s="244" t="e">
        <f>U28-#REF!</f>
        <v>#REF!</v>
      </c>
      <c r="V99" s="244" t="e">
        <f>V28-#REF!</f>
        <v>#REF!</v>
      </c>
      <c r="W99" s="244" t="e">
        <f>W28-#REF!</f>
        <v>#REF!</v>
      </c>
      <c r="X99" s="244" t="e">
        <f>X28-#REF!</f>
        <v>#REF!</v>
      </c>
      <c r="Y99" s="244" t="e">
        <f>Y28-#REF!</f>
        <v>#REF!</v>
      </c>
      <c r="Z99" s="244" t="e">
        <f>Z28-#REF!</f>
        <v>#REF!</v>
      </c>
      <c r="AA99" s="244" t="e">
        <f>AA28-#REF!</f>
        <v>#REF!</v>
      </c>
      <c r="AB99" s="244" t="e">
        <f>AB28-#REF!</f>
        <v>#REF!</v>
      </c>
      <c r="AC99" s="244" t="e">
        <f>AC28-#REF!</f>
        <v>#REF!</v>
      </c>
      <c r="AD99" s="244" t="e">
        <f>AD28-#REF!</f>
        <v>#REF!</v>
      </c>
      <c r="AE99" s="244" t="e">
        <f>AE28-#REF!</f>
        <v>#REF!</v>
      </c>
      <c r="AF99" s="244" t="e">
        <f>AF28-#REF!</f>
        <v>#REF!</v>
      </c>
      <c r="AG99" s="244" t="e">
        <f>AG28-#REF!</f>
        <v>#REF!</v>
      </c>
      <c r="AH99" s="244" t="e">
        <f>AH28-#REF!</f>
        <v>#REF!</v>
      </c>
      <c r="AI99" s="244" t="e">
        <f>AI28-#REF!</f>
        <v>#REF!</v>
      </c>
      <c r="AJ99" s="244" t="e">
        <f>AJ28-#REF!</f>
        <v>#REF!</v>
      </c>
      <c r="AK99" s="244" t="e">
        <f>AK28-#REF!</f>
        <v>#REF!</v>
      </c>
      <c r="AL99" s="244" t="e">
        <f>AL28-#REF!</f>
        <v>#REF!</v>
      </c>
      <c r="AM99" s="244" t="e">
        <f>AM28-#REF!</f>
        <v>#REF!</v>
      </c>
      <c r="AN99" s="244" t="e">
        <f>AN28-#REF!</f>
        <v>#REF!</v>
      </c>
      <c r="AO99" s="244" t="e">
        <f>AO28-#REF!</f>
        <v>#REF!</v>
      </c>
      <c r="AP99" s="244" t="e">
        <f>AP28-#REF!</f>
        <v>#REF!</v>
      </c>
      <c r="AQ99" s="244" t="e">
        <f>AQ28-#REF!</f>
        <v>#REF!</v>
      </c>
      <c r="AR99" s="244" t="e">
        <f>AR28-#REF!</f>
        <v>#REF!</v>
      </c>
      <c r="AS99" s="244" t="e">
        <f>AS28-#REF!</f>
        <v>#REF!</v>
      </c>
      <c r="AT99" s="244" t="e">
        <f>AT28-#REF!</f>
        <v>#REF!</v>
      </c>
      <c r="AU99" s="244" t="e">
        <f>AU28-#REF!</f>
        <v>#REF!</v>
      </c>
      <c r="AV99" s="244" t="e">
        <f>AV28-#REF!</f>
        <v>#REF!</v>
      </c>
      <c r="AW99" s="244" t="e">
        <f>AW28-#REF!</f>
        <v>#REF!</v>
      </c>
      <c r="AX99" s="244" t="e">
        <f>AX28-#REF!</f>
        <v>#REF!</v>
      </c>
      <c r="AY99" s="244" t="e">
        <f>AY28-#REF!</f>
        <v>#REF!</v>
      </c>
      <c r="AZ99" s="244" t="e">
        <f>AZ28-#REF!</f>
        <v>#REF!</v>
      </c>
      <c r="BA99" s="244" t="e">
        <f>BA28-#REF!</f>
        <v>#REF!</v>
      </c>
      <c r="BB99" s="244" t="e">
        <f>BB28-#REF!</f>
        <v>#REF!</v>
      </c>
      <c r="BC99" s="244" t="e">
        <f>BC28-#REF!</f>
        <v>#REF!</v>
      </c>
      <c r="BD99" s="244" t="e">
        <f>BD28-#REF!</f>
        <v>#REF!</v>
      </c>
      <c r="BE99" s="244" t="e">
        <f>BE28-#REF!</f>
        <v>#REF!</v>
      </c>
      <c r="BF99" s="244" t="e">
        <f>BF28-#REF!</f>
        <v>#REF!</v>
      </c>
      <c r="BG99" s="244" t="e">
        <f>BG28-#REF!</f>
        <v>#REF!</v>
      </c>
      <c r="BH99" s="244" t="e">
        <f>BH28-#REF!</f>
        <v>#REF!</v>
      </c>
      <c r="BI99" s="244" t="e">
        <f>BI28-#REF!</f>
        <v>#REF!</v>
      </c>
      <c r="BJ99" s="244" t="e">
        <f>BJ28-#REF!</f>
        <v>#REF!</v>
      </c>
      <c r="BK99" s="244" t="e">
        <f>BK28-#REF!</f>
        <v>#REF!</v>
      </c>
      <c r="BL99" s="244" t="e">
        <f>BL28-#REF!</f>
        <v>#REF!</v>
      </c>
      <c r="BM99" s="244" t="e">
        <f>BM28-#REF!</f>
        <v>#REF!</v>
      </c>
      <c r="BN99" s="244" t="e">
        <f>BN28-#REF!</f>
        <v>#REF!</v>
      </c>
      <c r="BO99" s="244" t="e">
        <f>BO28-#REF!</f>
        <v>#REF!</v>
      </c>
      <c r="BP99" s="244" t="e">
        <f>BP28-#REF!</f>
        <v>#REF!</v>
      </c>
      <c r="BQ99" s="244" t="e">
        <f>BQ28-#REF!</f>
        <v>#REF!</v>
      </c>
      <c r="BR99" s="244" t="e">
        <f>BR28-#REF!</f>
        <v>#REF!</v>
      </c>
      <c r="BS99" s="244" t="e">
        <f>BS28-#REF!</f>
        <v>#REF!</v>
      </c>
      <c r="BT99" s="244" t="e">
        <f>BT28-#REF!</f>
        <v>#REF!</v>
      </c>
      <c r="BU99" s="244" t="e">
        <f>BU28-#REF!</f>
        <v>#REF!</v>
      </c>
      <c r="BV99" s="244"/>
      <c r="BW99" s="244"/>
      <c r="BY99" s="243"/>
    </row>
    <row r="100" spans="13:77" hidden="1" x14ac:dyDescent="0.2">
      <c r="M100" s="244" t="e">
        <f>M29-#REF!</f>
        <v>#REF!</v>
      </c>
      <c r="N100" s="244" t="e">
        <f>N29-#REF!</f>
        <v>#REF!</v>
      </c>
      <c r="O100" s="244" t="e">
        <f>O29-#REF!</f>
        <v>#REF!</v>
      </c>
      <c r="P100" s="244" t="e">
        <f>P29-#REF!</f>
        <v>#REF!</v>
      </c>
      <c r="Q100" s="244" t="e">
        <f>Q29-#REF!</f>
        <v>#REF!</v>
      </c>
      <c r="R100" s="244" t="e">
        <f>R29-#REF!</f>
        <v>#REF!</v>
      </c>
      <c r="S100" s="244" t="e">
        <f>S29-#REF!</f>
        <v>#REF!</v>
      </c>
      <c r="T100" s="244" t="e">
        <f>T29-#REF!</f>
        <v>#REF!</v>
      </c>
      <c r="U100" s="244" t="e">
        <f>U29-#REF!</f>
        <v>#REF!</v>
      </c>
      <c r="V100" s="244" t="e">
        <f>V29-#REF!</f>
        <v>#REF!</v>
      </c>
      <c r="W100" s="244" t="e">
        <f>W29-#REF!</f>
        <v>#REF!</v>
      </c>
      <c r="X100" s="244" t="e">
        <f>X29-#REF!</f>
        <v>#REF!</v>
      </c>
      <c r="Y100" s="244" t="e">
        <f>Y29-#REF!</f>
        <v>#REF!</v>
      </c>
      <c r="Z100" s="244" t="e">
        <f>Z29-#REF!</f>
        <v>#REF!</v>
      </c>
      <c r="AA100" s="244" t="e">
        <f>AA29-#REF!</f>
        <v>#REF!</v>
      </c>
      <c r="AB100" s="244" t="e">
        <f>AB29-#REF!</f>
        <v>#REF!</v>
      </c>
      <c r="AC100" s="244" t="e">
        <f>AC29-#REF!</f>
        <v>#REF!</v>
      </c>
      <c r="AD100" s="244" t="e">
        <f>AD29-#REF!</f>
        <v>#REF!</v>
      </c>
      <c r="AE100" s="244" t="e">
        <f>AE29-#REF!</f>
        <v>#REF!</v>
      </c>
      <c r="AF100" s="244" t="e">
        <f>AF29-#REF!</f>
        <v>#REF!</v>
      </c>
      <c r="AG100" s="244" t="e">
        <f>AG29-#REF!</f>
        <v>#REF!</v>
      </c>
      <c r="AH100" s="244" t="e">
        <f>AH29-#REF!</f>
        <v>#REF!</v>
      </c>
      <c r="AI100" s="244" t="e">
        <f>AI29-#REF!</f>
        <v>#REF!</v>
      </c>
      <c r="AJ100" s="244" t="e">
        <f>AJ29-#REF!</f>
        <v>#REF!</v>
      </c>
      <c r="AK100" s="244" t="e">
        <f>AK29-#REF!</f>
        <v>#REF!</v>
      </c>
      <c r="AL100" s="244" t="e">
        <f>AL29-#REF!</f>
        <v>#REF!</v>
      </c>
      <c r="AM100" s="244" t="e">
        <f>AM29-#REF!</f>
        <v>#REF!</v>
      </c>
      <c r="AN100" s="244" t="e">
        <f>AN29-#REF!</f>
        <v>#REF!</v>
      </c>
      <c r="AO100" s="244" t="e">
        <f>AO29-#REF!</f>
        <v>#REF!</v>
      </c>
      <c r="AP100" s="244" t="e">
        <f>AP29-#REF!</f>
        <v>#REF!</v>
      </c>
      <c r="AQ100" s="244" t="e">
        <f>AQ29-#REF!</f>
        <v>#REF!</v>
      </c>
      <c r="AR100" s="244" t="e">
        <f>AR29-#REF!</f>
        <v>#REF!</v>
      </c>
      <c r="AS100" s="244" t="e">
        <f>AS29-#REF!</f>
        <v>#REF!</v>
      </c>
      <c r="AT100" s="244" t="e">
        <f>AT29-#REF!</f>
        <v>#REF!</v>
      </c>
      <c r="AU100" s="244" t="e">
        <f>AU29-#REF!</f>
        <v>#REF!</v>
      </c>
      <c r="AV100" s="244" t="e">
        <f>AV29-#REF!</f>
        <v>#REF!</v>
      </c>
      <c r="AW100" s="244" t="e">
        <f>AW29-#REF!</f>
        <v>#REF!</v>
      </c>
      <c r="AX100" s="244" t="e">
        <f>AX29-#REF!</f>
        <v>#REF!</v>
      </c>
      <c r="AY100" s="244" t="e">
        <f>AY29-#REF!</f>
        <v>#REF!</v>
      </c>
      <c r="AZ100" s="244" t="e">
        <f>AZ29-#REF!</f>
        <v>#REF!</v>
      </c>
      <c r="BA100" s="244" t="e">
        <f>BA29-#REF!</f>
        <v>#REF!</v>
      </c>
      <c r="BB100" s="244" t="e">
        <f>BB29-#REF!</f>
        <v>#REF!</v>
      </c>
      <c r="BC100" s="244" t="e">
        <f>BC29-#REF!</f>
        <v>#REF!</v>
      </c>
      <c r="BD100" s="244" t="e">
        <f>BD29-#REF!</f>
        <v>#REF!</v>
      </c>
      <c r="BE100" s="244" t="e">
        <f>BE29-#REF!</f>
        <v>#REF!</v>
      </c>
      <c r="BF100" s="244" t="e">
        <f>BF29-#REF!</f>
        <v>#REF!</v>
      </c>
      <c r="BG100" s="244" t="e">
        <f>BG29-#REF!</f>
        <v>#REF!</v>
      </c>
      <c r="BH100" s="244" t="e">
        <f>BH29-#REF!</f>
        <v>#REF!</v>
      </c>
      <c r="BI100" s="244" t="e">
        <f>BI29-#REF!</f>
        <v>#REF!</v>
      </c>
      <c r="BJ100" s="244" t="e">
        <f>BJ29-#REF!</f>
        <v>#REF!</v>
      </c>
      <c r="BK100" s="244" t="e">
        <f>BK29-#REF!</f>
        <v>#REF!</v>
      </c>
      <c r="BL100" s="244" t="e">
        <f>BL29-#REF!</f>
        <v>#REF!</v>
      </c>
      <c r="BM100" s="244" t="e">
        <f>BM29-#REF!</f>
        <v>#REF!</v>
      </c>
      <c r="BN100" s="244" t="e">
        <f>BN29-#REF!</f>
        <v>#REF!</v>
      </c>
      <c r="BO100" s="244" t="e">
        <f>BO29-#REF!</f>
        <v>#REF!</v>
      </c>
      <c r="BP100" s="244" t="e">
        <f>BP29-#REF!</f>
        <v>#REF!</v>
      </c>
      <c r="BQ100" s="244" t="e">
        <f>BQ29-#REF!</f>
        <v>#REF!</v>
      </c>
      <c r="BR100" s="244" t="e">
        <f>BR29-#REF!</f>
        <v>#REF!</v>
      </c>
      <c r="BS100" s="244" t="e">
        <f>BS29-#REF!</f>
        <v>#REF!</v>
      </c>
      <c r="BT100" s="244" t="e">
        <f>BT29-#REF!</f>
        <v>#REF!</v>
      </c>
      <c r="BU100" s="244" t="e">
        <f>BU29-#REF!</f>
        <v>#REF!</v>
      </c>
      <c r="BV100" s="244"/>
      <c r="BW100" s="244">
        <f>SUM(BW101:BW103)</f>
        <v>0</v>
      </c>
      <c r="BY100" s="243"/>
    </row>
    <row r="101" spans="13:77" hidden="1" x14ac:dyDescent="0.2">
      <c r="M101" s="244" t="e">
        <f>M30-#REF!</f>
        <v>#REF!</v>
      </c>
      <c r="N101" s="244" t="e">
        <f>N30-#REF!</f>
        <v>#REF!</v>
      </c>
      <c r="O101" s="244" t="e">
        <f>O30-#REF!</f>
        <v>#REF!</v>
      </c>
      <c r="P101" s="244" t="e">
        <f>P30-#REF!</f>
        <v>#REF!</v>
      </c>
      <c r="Q101" s="244" t="e">
        <f>Q30-#REF!</f>
        <v>#REF!</v>
      </c>
      <c r="R101" s="244" t="e">
        <f>R30-#REF!</f>
        <v>#REF!</v>
      </c>
      <c r="S101" s="244" t="e">
        <f>S30-#REF!</f>
        <v>#REF!</v>
      </c>
      <c r="T101" s="244" t="e">
        <f>T30-#REF!</f>
        <v>#REF!</v>
      </c>
      <c r="U101" s="244" t="e">
        <f>U30-#REF!</f>
        <v>#REF!</v>
      </c>
      <c r="V101" s="244" t="e">
        <f>V30-#REF!</f>
        <v>#REF!</v>
      </c>
      <c r="W101" s="244" t="e">
        <f>W30-#REF!</f>
        <v>#REF!</v>
      </c>
      <c r="X101" s="244" t="e">
        <f>X30-#REF!</f>
        <v>#REF!</v>
      </c>
      <c r="Y101" s="244" t="e">
        <f>Y30-#REF!</f>
        <v>#REF!</v>
      </c>
      <c r="Z101" s="244" t="e">
        <f>Z30-#REF!</f>
        <v>#REF!</v>
      </c>
      <c r="AA101" s="244" t="e">
        <f>AA30-#REF!</f>
        <v>#REF!</v>
      </c>
      <c r="AB101" s="244" t="e">
        <f>AB30-#REF!</f>
        <v>#REF!</v>
      </c>
      <c r="AC101" s="244" t="e">
        <f>AC30-#REF!</f>
        <v>#REF!</v>
      </c>
      <c r="AD101" s="244" t="e">
        <f>AD30-#REF!</f>
        <v>#REF!</v>
      </c>
      <c r="AE101" s="244" t="e">
        <f>AE30-#REF!</f>
        <v>#REF!</v>
      </c>
      <c r="AF101" s="244" t="e">
        <f>AF30-#REF!</f>
        <v>#REF!</v>
      </c>
      <c r="AG101" s="244" t="e">
        <f>AG30-#REF!</f>
        <v>#REF!</v>
      </c>
      <c r="AH101" s="244" t="e">
        <f>AH30-#REF!</f>
        <v>#REF!</v>
      </c>
      <c r="AI101" s="244" t="e">
        <f>AI30-#REF!</f>
        <v>#REF!</v>
      </c>
      <c r="AJ101" s="244" t="e">
        <f>AJ30-#REF!</f>
        <v>#REF!</v>
      </c>
      <c r="AK101" s="244" t="e">
        <f>AK30-#REF!</f>
        <v>#REF!</v>
      </c>
      <c r="AL101" s="244" t="e">
        <f>AL30-#REF!</f>
        <v>#REF!</v>
      </c>
      <c r="AM101" s="244" t="e">
        <f>AM30-#REF!</f>
        <v>#REF!</v>
      </c>
      <c r="AN101" s="244" t="e">
        <f>AN30-#REF!</f>
        <v>#REF!</v>
      </c>
      <c r="AO101" s="244" t="e">
        <f>AO30-#REF!</f>
        <v>#REF!</v>
      </c>
      <c r="AP101" s="244" t="e">
        <f>AP30-#REF!</f>
        <v>#REF!</v>
      </c>
      <c r="AQ101" s="244" t="e">
        <f>AQ30-#REF!</f>
        <v>#REF!</v>
      </c>
      <c r="AR101" s="244" t="e">
        <f>AR30-#REF!</f>
        <v>#REF!</v>
      </c>
      <c r="AS101" s="244" t="e">
        <f>AS30-#REF!</f>
        <v>#REF!</v>
      </c>
      <c r="AT101" s="244" t="e">
        <f>AT30-#REF!</f>
        <v>#REF!</v>
      </c>
      <c r="AU101" s="244" t="e">
        <f>AU30-#REF!</f>
        <v>#REF!</v>
      </c>
      <c r="AV101" s="244" t="e">
        <f>AV30-#REF!</f>
        <v>#REF!</v>
      </c>
      <c r="AW101" s="244" t="e">
        <f>AW30-#REF!</f>
        <v>#REF!</v>
      </c>
      <c r="AX101" s="244" t="e">
        <f>AX30-#REF!</f>
        <v>#REF!</v>
      </c>
      <c r="AY101" s="244" t="e">
        <f>AY30-#REF!</f>
        <v>#REF!</v>
      </c>
      <c r="AZ101" s="244" t="e">
        <f>AZ30-#REF!</f>
        <v>#REF!</v>
      </c>
      <c r="BA101" s="244" t="e">
        <f>BA30-#REF!</f>
        <v>#REF!</v>
      </c>
      <c r="BB101" s="244" t="e">
        <f>BB30-#REF!</f>
        <v>#REF!</v>
      </c>
      <c r="BC101" s="244" t="e">
        <f>BC30-#REF!</f>
        <v>#REF!</v>
      </c>
      <c r="BD101" s="244" t="e">
        <f>BD30-#REF!</f>
        <v>#REF!</v>
      </c>
      <c r="BE101" s="244" t="e">
        <f>BE30-#REF!</f>
        <v>#REF!</v>
      </c>
      <c r="BF101" s="244" t="e">
        <f>BF30-#REF!</f>
        <v>#REF!</v>
      </c>
      <c r="BG101" s="244" t="e">
        <f>BG30-#REF!</f>
        <v>#REF!</v>
      </c>
      <c r="BH101" s="244" t="e">
        <f>BH30-#REF!</f>
        <v>#REF!</v>
      </c>
      <c r="BI101" s="244" t="e">
        <f>BI30-#REF!</f>
        <v>#REF!</v>
      </c>
      <c r="BJ101" s="244" t="e">
        <f>BJ30-#REF!</f>
        <v>#REF!</v>
      </c>
      <c r="BK101" s="244" t="e">
        <f>BK30-#REF!</f>
        <v>#REF!</v>
      </c>
      <c r="BL101" s="244" t="e">
        <f>BL30-#REF!</f>
        <v>#REF!</v>
      </c>
      <c r="BM101" s="244" t="e">
        <f>BM30-#REF!</f>
        <v>#REF!</v>
      </c>
      <c r="BN101" s="244" t="e">
        <f>BN30-#REF!</f>
        <v>#REF!</v>
      </c>
      <c r="BO101" s="244" t="e">
        <f>BO30-#REF!</f>
        <v>#REF!</v>
      </c>
      <c r="BP101" s="244" t="e">
        <f>BP30-#REF!</f>
        <v>#REF!</v>
      </c>
      <c r="BQ101" s="244" t="e">
        <f>BQ30-#REF!</f>
        <v>#REF!</v>
      </c>
      <c r="BR101" s="244" t="e">
        <f>BR30-#REF!</f>
        <v>#REF!</v>
      </c>
      <c r="BS101" s="244" t="e">
        <f>BS30-#REF!</f>
        <v>#REF!</v>
      </c>
      <c r="BT101" s="244" t="e">
        <f>BT30-#REF!</f>
        <v>#REF!</v>
      </c>
      <c r="BU101" s="244" t="e">
        <f>BU30-#REF!</f>
        <v>#REF!</v>
      </c>
      <c r="BV101" s="244"/>
      <c r="BW101" s="244">
        <f>[65]domlongtermissues!BV97</f>
        <v>0</v>
      </c>
      <c r="BY101" s="243"/>
    </row>
    <row r="102" spans="13:77" hidden="1" x14ac:dyDescent="0.2">
      <c r="M102" s="244" t="e">
        <f>M31-#REF!</f>
        <v>#REF!</v>
      </c>
      <c r="N102" s="244" t="e">
        <f>N31-#REF!</f>
        <v>#REF!</v>
      </c>
      <c r="O102" s="244" t="e">
        <f>O31-#REF!</f>
        <v>#REF!</v>
      </c>
      <c r="P102" s="244" t="e">
        <f>P31-#REF!</f>
        <v>#REF!</v>
      </c>
      <c r="Q102" s="244" t="e">
        <f>Q31-#REF!</f>
        <v>#REF!</v>
      </c>
      <c r="R102" s="244" t="e">
        <f>R31-#REF!</f>
        <v>#REF!</v>
      </c>
      <c r="S102" s="244" t="e">
        <f>S31-#REF!</f>
        <v>#REF!</v>
      </c>
      <c r="T102" s="244" t="e">
        <f>T31-#REF!</f>
        <v>#REF!</v>
      </c>
      <c r="U102" s="244" t="e">
        <f>U31-#REF!</f>
        <v>#REF!</v>
      </c>
      <c r="V102" s="244" t="e">
        <f>V31-#REF!</f>
        <v>#REF!</v>
      </c>
      <c r="W102" s="244" t="e">
        <f>W31-#REF!</f>
        <v>#REF!</v>
      </c>
      <c r="X102" s="244" t="e">
        <f>X31-#REF!</f>
        <v>#REF!</v>
      </c>
      <c r="Y102" s="244" t="e">
        <f>Y31-#REF!</f>
        <v>#REF!</v>
      </c>
      <c r="Z102" s="244" t="e">
        <f>Z31-#REF!</f>
        <v>#REF!</v>
      </c>
      <c r="AA102" s="244" t="e">
        <f>AA31-#REF!</f>
        <v>#REF!</v>
      </c>
      <c r="AB102" s="244" t="e">
        <f>AB31-#REF!</f>
        <v>#REF!</v>
      </c>
      <c r="AC102" s="244" t="e">
        <f>AC31-#REF!</f>
        <v>#REF!</v>
      </c>
      <c r="AD102" s="244" t="e">
        <f>AD31-#REF!</f>
        <v>#REF!</v>
      </c>
      <c r="AE102" s="244" t="e">
        <f>AE31-#REF!</f>
        <v>#REF!</v>
      </c>
      <c r="AF102" s="244" t="e">
        <f>AF31-#REF!</f>
        <v>#REF!</v>
      </c>
      <c r="AG102" s="244" t="e">
        <f>AG31-#REF!</f>
        <v>#REF!</v>
      </c>
      <c r="AH102" s="244" t="e">
        <f>AH31-#REF!</f>
        <v>#REF!</v>
      </c>
      <c r="AI102" s="244" t="e">
        <f>AI31-#REF!</f>
        <v>#REF!</v>
      </c>
      <c r="AJ102" s="244" t="e">
        <f>AJ31-#REF!</f>
        <v>#REF!</v>
      </c>
      <c r="AK102" s="244" t="e">
        <f>AK31-#REF!</f>
        <v>#REF!</v>
      </c>
      <c r="AL102" s="244" t="e">
        <f>AL31-#REF!</f>
        <v>#REF!</v>
      </c>
      <c r="AM102" s="244" t="e">
        <f>AM31-#REF!</f>
        <v>#REF!</v>
      </c>
      <c r="AN102" s="244" t="e">
        <f>AN31-#REF!</f>
        <v>#REF!</v>
      </c>
      <c r="AO102" s="244" t="e">
        <f>AO31-#REF!</f>
        <v>#REF!</v>
      </c>
      <c r="AP102" s="244" t="e">
        <f>AP31-#REF!</f>
        <v>#REF!</v>
      </c>
      <c r="AQ102" s="244" t="e">
        <f>AQ31-#REF!</f>
        <v>#REF!</v>
      </c>
      <c r="AR102" s="244" t="e">
        <f>AR31-#REF!</f>
        <v>#REF!</v>
      </c>
      <c r="AS102" s="244" t="e">
        <f>AS31-#REF!</f>
        <v>#REF!</v>
      </c>
      <c r="AT102" s="244" t="e">
        <f>AT31-#REF!</f>
        <v>#REF!</v>
      </c>
      <c r="AU102" s="244" t="e">
        <f>AU31-#REF!</f>
        <v>#REF!</v>
      </c>
      <c r="AV102" s="244" t="e">
        <f>AV31-#REF!</f>
        <v>#REF!</v>
      </c>
      <c r="AW102" s="244" t="e">
        <f>AW31-#REF!</f>
        <v>#REF!</v>
      </c>
      <c r="AX102" s="244" t="e">
        <f>AX31-#REF!</f>
        <v>#REF!</v>
      </c>
      <c r="AY102" s="244" t="e">
        <f>AY31-#REF!</f>
        <v>#REF!</v>
      </c>
      <c r="AZ102" s="244" t="e">
        <f>AZ31-#REF!</f>
        <v>#REF!</v>
      </c>
      <c r="BA102" s="244" t="e">
        <f>BA31-#REF!</f>
        <v>#REF!</v>
      </c>
      <c r="BB102" s="244" t="e">
        <f>BB31-#REF!</f>
        <v>#REF!</v>
      </c>
      <c r="BC102" s="244" t="e">
        <f>BC31-#REF!</f>
        <v>#REF!</v>
      </c>
      <c r="BD102" s="244" t="e">
        <f>BD31-#REF!</f>
        <v>#REF!</v>
      </c>
      <c r="BE102" s="244" t="e">
        <f>BE31-#REF!</f>
        <v>#REF!</v>
      </c>
      <c r="BF102" s="244" t="e">
        <f>BF31-#REF!</f>
        <v>#REF!</v>
      </c>
      <c r="BG102" s="244" t="e">
        <f>BG31-#REF!</f>
        <v>#REF!</v>
      </c>
      <c r="BH102" s="244" t="e">
        <f>BH31-#REF!</f>
        <v>#REF!</v>
      </c>
      <c r="BI102" s="244" t="e">
        <f>BI31-#REF!</f>
        <v>#REF!</v>
      </c>
      <c r="BJ102" s="244" t="e">
        <f>BJ31-#REF!</f>
        <v>#REF!</v>
      </c>
      <c r="BK102" s="244" t="e">
        <f>BK31-#REF!</f>
        <v>#REF!</v>
      </c>
      <c r="BL102" s="244" t="e">
        <f>BL31-#REF!</f>
        <v>#REF!</v>
      </c>
      <c r="BM102" s="244" t="e">
        <f>BM31-#REF!</f>
        <v>#REF!</v>
      </c>
      <c r="BN102" s="244" t="e">
        <f>BN31-#REF!</f>
        <v>#REF!</v>
      </c>
      <c r="BO102" s="244" t="e">
        <f>BO31-#REF!</f>
        <v>#REF!</v>
      </c>
      <c r="BP102" s="244" t="e">
        <f>BP31-#REF!</f>
        <v>#REF!</v>
      </c>
      <c r="BQ102" s="244" t="e">
        <f>BQ31-#REF!</f>
        <v>#REF!</v>
      </c>
      <c r="BR102" s="244" t="e">
        <f>BR31-#REF!</f>
        <v>#REF!</v>
      </c>
      <c r="BS102" s="244" t="e">
        <f>BS31-#REF!</f>
        <v>#REF!</v>
      </c>
      <c r="BT102" s="244" t="e">
        <f>BT31-#REF!</f>
        <v>#REF!</v>
      </c>
      <c r="BU102" s="244" t="e">
        <f>BU31-#REF!</f>
        <v>#REF!</v>
      </c>
      <c r="BV102" s="244"/>
      <c r="BW102" s="244">
        <f>-[65]domlongtermissues!BV288</f>
        <v>0</v>
      </c>
      <c r="BY102" s="243"/>
    </row>
    <row r="103" spans="13:77" hidden="1" x14ac:dyDescent="0.2">
      <c r="M103" s="244" t="e">
        <f>M32-#REF!</f>
        <v>#REF!</v>
      </c>
      <c r="N103" s="244" t="e">
        <f>N32-#REF!</f>
        <v>#REF!</v>
      </c>
      <c r="O103" s="244" t="e">
        <f>O32-#REF!</f>
        <v>#REF!</v>
      </c>
      <c r="P103" s="244" t="e">
        <f>P32-#REF!</f>
        <v>#REF!</v>
      </c>
      <c r="Q103" s="244" t="e">
        <f>Q32-#REF!</f>
        <v>#REF!</v>
      </c>
      <c r="R103" s="244" t="e">
        <f>R32-#REF!</f>
        <v>#REF!</v>
      </c>
      <c r="S103" s="244" t="e">
        <f>S32-#REF!</f>
        <v>#REF!</v>
      </c>
      <c r="T103" s="244" t="e">
        <f>T32-#REF!</f>
        <v>#REF!</v>
      </c>
      <c r="U103" s="244" t="e">
        <f>U32-#REF!</f>
        <v>#REF!</v>
      </c>
      <c r="V103" s="244" t="e">
        <f>V32-#REF!</f>
        <v>#REF!</v>
      </c>
      <c r="W103" s="244" t="e">
        <f>W32-#REF!</f>
        <v>#REF!</v>
      </c>
      <c r="X103" s="244" t="e">
        <f>X32-#REF!</f>
        <v>#REF!</v>
      </c>
      <c r="Y103" s="244" t="e">
        <f>Y32-#REF!</f>
        <v>#REF!</v>
      </c>
      <c r="Z103" s="244" t="e">
        <f>Z32-#REF!</f>
        <v>#REF!</v>
      </c>
      <c r="AA103" s="244" t="e">
        <f>AA32-#REF!</f>
        <v>#REF!</v>
      </c>
      <c r="AB103" s="244" t="e">
        <f>AB32-#REF!</f>
        <v>#REF!</v>
      </c>
      <c r="AC103" s="244" t="e">
        <f>AC32-#REF!</f>
        <v>#REF!</v>
      </c>
      <c r="AD103" s="244" t="e">
        <f>AD32-#REF!</f>
        <v>#REF!</v>
      </c>
      <c r="AE103" s="244" t="e">
        <f>AE32-#REF!</f>
        <v>#REF!</v>
      </c>
      <c r="AF103" s="244" t="e">
        <f>AF32-#REF!</f>
        <v>#REF!</v>
      </c>
      <c r="AG103" s="244" t="e">
        <f>AG32-#REF!</f>
        <v>#REF!</v>
      </c>
      <c r="AH103" s="244" t="e">
        <f>AH32-#REF!</f>
        <v>#REF!</v>
      </c>
      <c r="AI103" s="244" t="e">
        <f>AI32-#REF!</f>
        <v>#REF!</v>
      </c>
      <c r="AJ103" s="244" t="e">
        <f>AJ32-#REF!</f>
        <v>#REF!</v>
      </c>
      <c r="AK103" s="244" t="e">
        <f>AK32-#REF!</f>
        <v>#REF!</v>
      </c>
      <c r="AL103" s="244" t="e">
        <f>AL32-#REF!</f>
        <v>#REF!</v>
      </c>
      <c r="AM103" s="244" t="e">
        <f>AM32-#REF!</f>
        <v>#REF!</v>
      </c>
      <c r="AN103" s="244" t="e">
        <f>AN32-#REF!</f>
        <v>#REF!</v>
      </c>
      <c r="AO103" s="244" t="e">
        <f>AO32-#REF!</f>
        <v>#REF!</v>
      </c>
      <c r="AP103" s="244" t="e">
        <f>AP32-#REF!</f>
        <v>#REF!</v>
      </c>
      <c r="AQ103" s="244" t="e">
        <f>AQ32-#REF!</f>
        <v>#REF!</v>
      </c>
      <c r="AR103" s="244" t="e">
        <f>AR32-#REF!</f>
        <v>#REF!</v>
      </c>
      <c r="AS103" s="244" t="e">
        <f>AS32-#REF!</f>
        <v>#REF!</v>
      </c>
      <c r="AT103" s="244" t="e">
        <f>AT32-#REF!</f>
        <v>#REF!</v>
      </c>
      <c r="AU103" s="244" t="e">
        <f>AU32-#REF!</f>
        <v>#REF!</v>
      </c>
      <c r="AV103" s="244" t="e">
        <f>AV32-#REF!</f>
        <v>#REF!</v>
      </c>
      <c r="AW103" s="244" t="e">
        <f>AW32-#REF!</f>
        <v>#REF!</v>
      </c>
      <c r="AX103" s="244" t="e">
        <f>AX32-#REF!</f>
        <v>#REF!</v>
      </c>
      <c r="AY103" s="244" t="e">
        <f>AY32-#REF!</f>
        <v>#REF!</v>
      </c>
      <c r="AZ103" s="244" t="e">
        <f>AZ32-#REF!</f>
        <v>#REF!</v>
      </c>
      <c r="BA103" s="244" t="e">
        <f>BA32-#REF!</f>
        <v>#REF!</v>
      </c>
      <c r="BB103" s="244" t="e">
        <f>BB32-#REF!</f>
        <v>#REF!</v>
      </c>
      <c r="BC103" s="244" t="e">
        <f>BC32-#REF!</f>
        <v>#REF!</v>
      </c>
      <c r="BD103" s="244" t="e">
        <f>BD32-#REF!</f>
        <v>#REF!</v>
      </c>
      <c r="BE103" s="244" t="e">
        <f>BE32-#REF!</f>
        <v>#REF!</v>
      </c>
      <c r="BF103" s="244" t="e">
        <f>BF32-#REF!</f>
        <v>#REF!</v>
      </c>
      <c r="BG103" s="244" t="e">
        <f>BG32-#REF!</f>
        <v>#REF!</v>
      </c>
      <c r="BH103" s="244" t="e">
        <f>BH32-#REF!</f>
        <v>#REF!</v>
      </c>
      <c r="BI103" s="244" t="e">
        <f>BI32-#REF!</f>
        <v>#REF!</v>
      </c>
      <c r="BJ103" s="244" t="e">
        <f>BJ32-#REF!</f>
        <v>#REF!</v>
      </c>
      <c r="BK103" s="244" t="e">
        <f>BK32-#REF!</f>
        <v>#REF!</v>
      </c>
      <c r="BL103" s="244" t="e">
        <f>BL32-#REF!</f>
        <v>#REF!</v>
      </c>
      <c r="BM103" s="244" t="e">
        <f>BM32-#REF!</f>
        <v>#REF!</v>
      </c>
      <c r="BN103" s="244" t="e">
        <f>BN32-#REF!</f>
        <v>#REF!</v>
      </c>
      <c r="BO103" s="244" t="e">
        <f>BO32-#REF!</f>
        <v>#REF!</v>
      </c>
      <c r="BP103" s="244" t="e">
        <f>BP32-#REF!</f>
        <v>#REF!</v>
      </c>
      <c r="BQ103" s="244" t="e">
        <f>BQ32-#REF!</f>
        <v>#REF!</v>
      </c>
      <c r="BR103" s="244" t="e">
        <f>BR32-#REF!</f>
        <v>#REF!</v>
      </c>
      <c r="BS103" s="244" t="e">
        <f>BS32-#REF!</f>
        <v>#REF!</v>
      </c>
      <c r="BT103" s="244" t="e">
        <f>BT32-#REF!</f>
        <v>#REF!</v>
      </c>
      <c r="BU103" s="244" t="e">
        <f>BU32-#REF!</f>
        <v>#REF!</v>
      </c>
      <c r="BV103" s="244"/>
      <c r="BW103" s="244">
        <f>-[65]domredemp!BV99+[65]domredemp!BV119</f>
        <v>0</v>
      </c>
      <c r="BY103" s="243"/>
    </row>
    <row r="104" spans="13:77" hidden="1" x14ac:dyDescent="0.2">
      <c r="M104" s="244" t="e">
        <f>M33-#REF!</f>
        <v>#REF!</v>
      </c>
      <c r="N104" s="244" t="e">
        <f>N33-#REF!</f>
        <v>#REF!</v>
      </c>
      <c r="O104" s="244" t="e">
        <f>O33-#REF!</f>
        <v>#REF!</v>
      </c>
      <c r="P104" s="244" t="e">
        <f>P33-#REF!</f>
        <v>#REF!</v>
      </c>
      <c r="Q104" s="244" t="e">
        <f>Q33-#REF!</f>
        <v>#REF!</v>
      </c>
      <c r="R104" s="244" t="e">
        <f>R33-#REF!</f>
        <v>#REF!</v>
      </c>
      <c r="S104" s="244" t="e">
        <f>S33-#REF!</f>
        <v>#REF!</v>
      </c>
      <c r="T104" s="244" t="e">
        <f>T33-#REF!</f>
        <v>#REF!</v>
      </c>
      <c r="U104" s="244" t="e">
        <f>U33-#REF!</f>
        <v>#REF!</v>
      </c>
      <c r="V104" s="244" t="e">
        <f>V33-#REF!</f>
        <v>#REF!</v>
      </c>
      <c r="W104" s="244" t="e">
        <f>W33-#REF!</f>
        <v>#REF!</v>
      </c>
      <c r="X104" s="244" t="e">
        <f>X33-#REF!</f>
        <v>#REF!</v>
      </c>
      <c r="Y104" s="244" t="e">
        <f>Y33-#REF!</f>
        <v>#REF!</v>
      </c>
      <c r="Z104" s="244" t="e">
        <f>Z33-#REF!</f>
        <v>#REF!</v>
      </c>
      <c r="AA104" s="244" t="e">
        <f>AA33-#REF!</f>
        <v>#REF!</v>
      </c>
      <c r="AB104" s="244" t="e">
        <f>AB33-#REF!</f>
        <v>#REF!</v>
      </c>
      <c r="AC104" s="244" t="e">
        <f>AC33-#REF!</f>
        <v>#REF!</v>
      </c>
      <c r="AD104" s="244" t="e">
        <f>AD33-#REF!</f>
        <v>#REF!</v>
      </c>
      <c r="AE104" s="244" t="e">
        <f>AE33-#REF!</f>
        <v>#REF!</v>
      </c>
      <c r="AF104" s="244" t="e">
        <f>AF33-#REF!</f>
        <v>#REF!</v>
      </c>
      <c r="AG104" s="244" t="e">
        <f>AG33-#REF!</f>
        <v>#REF!</v>
      </c>
      <c r="AH104" s="244" t="e">
        <f>AH33-#REF!</f>
        <v>#REF!</v>
      </c>
      <c r="AI104" s="244" t="e">
        <f>AI33-#REF!</f>
        <v>#REF!</v>
      </c>
      <c r="AJ104" s="244" t="e">
        <f>AJ33-#REF!</f>
        <v>#REF!</v>
      </c>
      <c r="AK104" s="244" t="e">
        <f>AK33-#REF!</f>
        <v>#REF!</v>
      </c>
      <c r="AL104" s="244" t="e">
        <f>AL33-#REF!</f>
        <v>#REF!</v>
      </c>
      <c r="AM104" s="244" t="e">
        <f>AM33-#REF!</f>
        <v>#REF!</v>
      </c>
      <c r="AN104" s="244" t="e">
        <f>AN33-#REF!</f>
        <v>#REF!</v>
      </c>
      <c r="AO104" s="244" t="e">
        <f>AO33-#REF!</f>
        <v>#REF!</v>
      </c>
      <c r="AP104" s="244" t="e">
        <f>AP33-#REF!</f>
        <v>#REF!</v>
      </c>
      <c r="AQ104" s="244" t="e">
        <f>AQ33-#REF!</f>
        <v>#REF!</v>
      </c>
      <c r="AR104" s="244" t="e">
        <f>AR33-#REF!</f>
        <v>#REF!</v>
      </c>
      <c r="AS104" s="244" t="e">
        <f>AS33-#REF!</f>
        <v>#REF!</v>
      </c>
      <c r="AT104" s="244" t="e">
        <f>AT33-#REF!</f>
        <v>#REF!</v>
      </c>
      <c r="AU104" s="244" t="e">
        <f>AU33-#REF!</f>
        <v>#REF!</v>
      </c>
      <c r="AV104" s="244" t="e">
        <f>AV33-#REF!</f>
        <v>#REF!</v>
      </c>
      <c r="AW104" s="244" t="e">
        <f>AW33-#REF!</f>
        <v>#REF!</v>
      </c>
      <c r="AX104" s="244" t="e">
        <f>AX33-#REF!</f>
        <v>#REF!</v>
      </c>
      <c r="AY104" s="244" t="e">
        <f>AY33-#REF!</f>
        <v>#REF!</v>
      </c>
      <c r="AZ104" s="244" t="e">
        <f>AZ33-#REF!</f>
        <v>#REF!</v>
      </c>
      <c r="BA104" s="244" t="e">
        <f>BA33-#REF!</f>
        <v>#REF!</v>
      </c>
      <c r="BB104" s="244" t="e">
        <f>BB33-#REF!</f>
        <v>#REF!</v>
      </c>
      <c r="BC104" s="244" t="e">
        <f>BC33-#REF!</f>
        <v>#REF!</v>
      </c>
      <c r="BD104" s="244" t="e">
        <f>BD33-#REF!</f>
        <v>#REF!</v>
      </c>
      <c r="BE104" s="244" t="e">
        <f>BE33-#REF!</f>
        <v>#REF!</v>
      </c>
      <c r="BF104" s="244" t="e">
        <f>BF33-#REF!</f>
        <v>#REF!</v>
      </c>
      <c r="BG104" s="244" t="e">
        <f>BG33-#REF!</f>
        <v>#REF!</v>
      </c>
      <c r="BH104" s="244" t="e">
        <f>BH33-#REF!</f>
        <v>#REF!</v>
      </c>
      <c r="BI104" s="244" t="e">
        <f>BI33-#REF!</f>
        <v>#REF!</v>
      </c>
      <c r="BJ104" s="244" t="e">
        <f>BJ33-#REF!</f>
        <v>#REF!</v>
      </c>
      <c r="BK104" s="244" t="e">
        <f>BK33-#REF!</f>
        <v>#REF!</v>
      </c>
      <c r="BL104" s="244" t="e">
        <f>BL33-#REF!</f>
        <v>#REF!</v>
      </c>
      <c r="BM104" s="244" t="e">
        <f>BM33-#REF!</f>
        <v>#REF!</v>
      </c>
      <c r="BN104" s="244" t="e">
        <f>BN33-#REF!</f>
        <v>#REF!</v>
      </c>
      <c r="BO104" s="244" t="e">
        <f>BO33-#REF!</f>
        <v>#REF!</v>
      </c>
      <c r="BP104" s="244" t="e">
        <f>BP33-#REF!</f>
        <v>#REF!</v>
      </c>
      <c r="BQ104" s="244" t="e">
        <f>BQ33-#REF!</f>
        <v>#REF!</v>
      </c>
      <c r="BR104" s="244" t="e">
        <f>BR33-#REF!</f>
        <v>#REF!</v>
      </c>
      <c r="BS104" s="244" t="e">
        <f>BS33-#REF!</f>
        <v>#REF!</v>
      </c>
      <c r="BT104" s="244" t="e">
        <f>BT33-#REF!</f>
        <v>#REF!</v>
      </c>
      <c r="BU104" s="244" t="e">
        <f>BU33-#REF!</f>
        <v>#REF!</v>
      </c>
      <c r="BV104" s="244"/>
      <c r="BW104" s="244"/>
      <c r="BY104" s="243"/>
    </row>
    <row r="105" spans="13:77" hidden="1" x14ac:dyDescent="0.2">
      <c r="M105" s="244" t="e">
        <f>M34-#REF!</f>
        <v>#REF!</v>
      </c>
      <c r="N105" s="244" t="e">
        <f>N34-#REF!</f>
        <v>#REF!</v>
      </c>
      <c r="O105" s="244" t="e">
        <f>O34-#REF!</f>
        <v>#REF!</v>
      </c>
      <c r="P105" s="244" t="e">
        <f>P34-#REF!</f>
        <v>#REF!</v>
      </c>
      <c r="Q105" s="244" t="e">
        <f>Q34-#REF!</f>
        <v>#REF!</v>
      </c>
      <c r="R105" s="244" t="e">
        <f>R34-#REF!</f>
        <v>#REF!</v>
      </c>
      <c r="S105" s="244" t="e">
        <f>S34-#REF!</f>
        <v>#REF!</v>
      </c>
      <c r="T105" s="244" t="e">
        <f>T34-#REF!</f>
        <v>#REF!</v>
      </c>
      <c r="U105" s="244" t="e">
        <f>U34-#REF!</f>
        <v>#REF!</v>
      </c>
      <c r="V105" s="244" t="e">
        <f>V34-#REF!</f>
        <v>#REF!</v>
      </c>
      <c r="W105" s="244" t="e">
        <f>W34-#REF!</f>
        <v>#REF!</v>
      </c>
      <c r="X105" s="244" t="e">
        <f>X34-#REF!</f>
        <v>#REF!</v>
      </c>
      <c r="Y105" s="244" t="e">
        <f>Y34-#REF!</f>
        <v>#REF!</v>
      </c>
      <c r="Z105" s="244" t="e">
        <f>Z34-#REF!</f>
        <v>#REF!</v>
      </c>
      <c r="AA105" s="244" t="e">
        <f>AA34-#REF!</f>
        <v>#REF!</v>
      </c>
      <c r="AB105" s="244" t="e">
        <f>AB34-#REF!</f>
        <v>#REF!</v>
      </c>
      <c r="AC105" s="244" t="e">
        <f>AC34-#REF!</f>
        <v>#REF!</v>
      </c>
      <c r="AD105" s="244" t="e">
        <f>AD34-#REF!</f>
        <v>#REF!</v>
      </c>
      <c r="AE105" s="244" t="e">
        <f>AE34-#REF!</f>
        <v>#REF!</v>
      </c>
      <c r="AF105" s="244" t="e">
        <f>AF34-#REF!</f>
        <v>#REF!</v>
      </c>
      <c r="AG105" s="244" t="e">
        <f>AG34-#REF!</f>
        <v>#REF!</v>
      </c>
      <c r="AH105" s="244" t="e">
        <f>AH34-#REF!</f>
        <v>#REF!</v>
      </c>
      <c r="AI105" s="244" t="e">
        <f>AI34-#REF!</f>
        <v>#REF!</v>
      </c>
      <c r="AJ105" s="244" t="e">
        <f>AJ34-#REF!</f>
        <v>#REF!</v>
      </c>
      <c r="AK105" s="244" t="e">
        <f>AK34-#REF!</f>
        <v>#REF!</v>
      </c>
      <c r="AL105" s="244" t="e">
        <f>AL34-#REF!</f>
        <v>#REF!</v>
      </c>
      <c r="AM105" s="244" t="e">
        <f>AM34-#REF!</f>
        <v>#REF!</v>
      </c>
      <c r="AN105" s="244" t="e">
        <f>AN34-#REF!</f>
        <v>#REF!</v>
      </c>
      <c r="AO105" s="244" t="e">
        <f>AO34-#REF!</f>
        <v>#REF!</v>
      </c>
      <c r="AP105" s="244" t="e">
        <f>AP34-#REF!</f>
        <v>#REF!</v>
      </c>
      <c r="AQ105" s="244" t="e">
        <f>AQ34-#REF!</f>
        <v>#REF!</v>
      </c>
      <c r="AR105" s="244" t="e">
        <f>AR34-#REF!</f>
        <v>#REF!</v>
      </c>
      <c r="AS105" s="244" t="e">
        <f>AS34-#REF!</f>
        <v>#REF!</v>
      </c>
      <c r="AT105" s="244" t="e">
        <f>AT34-#REF!</f>
        <v>#REF!</v>
      </c>
      <c r="AU105" s="244" t="e">
        <f>AU34-#REF!</f>
        <v>#REF!</v>
      </c>
      <c r="AV105" s="244" t="e">
        <f>AV34-#REF!</f>
        <v>#REF!</v>
      </c>
      <c r="AW105" s="244" t="e">
        <f>AW34-#REF!</f>
        <v>#REF!</v>
      </c>
      <c r="AX105" s="244" t="e">
        <f>AX34-#REF!</f>
        <v>#REF!</v>
      </c>
      <c r="AY105" s="244" t="e">
        <f>AY34-#REF!</f>
        <v>#REF!</v>
      </c>
      <c r="AZ105" s="244" t="e">
        <f>AZ34-#REF!</f>
        <v>#REF!</v>
      </c>
      <c r="BA105" s="244" t="e">
        <f>BA34-#REF!</f>
        <v>#REF!</v>
      </c>
      <c r="BB105" s="244" t="e">
        <f>BB34-#REF!</f>
        <v>#REF!</v>
      </c>
      <c r="BC105" s="244" t="e">
        <f>BC34-#REF!</f>
        <v>#REF!</v>
      </c>
      <c r="BD105" s="244" t="e">
        <f>BD34-#REF!</f>
        <v>#REF!</v>
      </c>
      <c r="BE105" s="244" t="e">
        <f>BE34-#REF!</f>
        <v>#REF!</v>
      </c>
      <c r="BF105" s="244" t="e">
        <f>BF34-#REF!</f>
        <v>#REF!</v>
      </c>
      <c r="BG105" s="244" t="e">
        <f>BG34-#REF!</f>
        <v>#REF!</v>
      </c>
      <c r="BH105" s="244" t="e">
        <f>BH34-#REF!</f>
        <v>#REF!</v>
      </c>
      <c r="BI105" s="244" t="e">
        <f>BI34-#REF!</f>
        <v>#REF!</v>
      </c>
      <c r="BJ105" s="244" t="e">
        <f>BJ34-#REF!</f>
        <v>#REF!</v>
      </c>
      <c r="BK105" s="244" t="e">
        <f>BK34-#REF!</f>
        <v>#REF!</v>
      </c>
      <c r="BL105" s="244" t="e">
        <f>BL34-#REF!</f>
        <v>#REF!</v>
      </c>
      <c r="BM105" s="244" t="e">
        <f>BM34-#REF!</f>
        <v>#REF!</v>
      </c>
      <c r="BN105" s="244" t="e">
        <f>BN34-#REF!</f>
        <v>#REF!</v>
      </c>
      <c r="BO105" s="244" t="e">
        <f>BO34-#REF!</f>
        <v>#REF!</v>
      </c>
      <c r="BP105" s="244" t="e">
        <f>BP34-#REF!</f>
        <v>#REF!</v>
      </c>
      <c r="BQ105" s="244" t="e">
        <f>BQ34-#REF!</f>
        <v>#REF!</v>
      </c>
      <c r="BR105" s="244" t="e">
        <f>BR34-#REF!</f>
        <v>#REF!</v>
      </c>
      <c r="BS105" s="244" t="e">
        <f>BS34-#REF!</f>
        <v>#REF!</v>
      </c>
      <c r="BT105" s="244" t="e">
        <f>BT34-#REF!</f>
        <v>#REF!</v>
      </c>
      <c r="BU105" s="244" t="e">
        <f>BU34-#REF!</f>
        <v>#REF!</v>
      </c>
      <c r="BV105" s="244"/>
      <c r="BW105" s="244">
        <f>SUM(BW106:BW107)</f>
        <v>0</v>
      </c>
      <c r="BY105" s="243"/>
    </row>
    <row r="106" spans="13:77" hidden="1" x14ac:dyDescent="0.2">
      <c r="M106" s="244" t="e">
        <f>M35-#REF!</f>
        <v>#REF!</v>
      </c>
      <c r="N106" s="244" t="e">
        <f>N35-#REF!</f>
        <v>#REF!</v>
      </c>
      <c r="O106" s="244" t="e">
        <f>O35-#REF!</f>
        <v>#REF!</v>
      </c>
      <c r="P106" s="244" t="e">
        <f>P35-#REF!</f>
        <v>#REF!</v>
      </c>
      <c r="Q106" s="244" t="e">
        <f>Q35-#REF!</f>
        <v>#REF!</v>
      </c>
      <c r="R106" s="244" t="e">
        <f>R35-#REF!</f>
        <v>#REF!</v>
      </c>
      <c r="S106" s="244" t="e">
        <f>S35-#REF!</f>
        <v>#REF!</v>
      </c>
      <c r="T106" s="244" t="e">
        <f>T35-#REF!</f>
        <v>#REF!</v>
      </c>
      <c r="U106" s="244" t="e">
        <f>U35-#REF!</f>
        <v>#REF!</v>
      </c>
      <c r="V106" s="244" t="e">
        <f>V35-#REF!</f>
        <v>#REF!</v>
      </c>
      <c r="W106" s="244" t="e">
        <f>W35-#REF!</f>
        <v>#REF!</v>
      </c>
      <c r="X106" s="244" t="e">
        <f>X35-#REF!</f>
        <v>#REF!</v>
      </c>
      <c r="Y106" s="244" t="e">
        <f>Y35-#REF!</f>
        <v>#REF!</v>
      </c>
      <c r="Z106" s="244" t="e">
        <f>Z35-#REF!</f>
        <v>#REF!</v>
      </c>
      <c r="AA106" s="244" t="e">
        <f>AA35-#REF!</f>
        <v>#REF!</v>
      </c>
      <c r="AB106" s="244" t="e">
        <f>AB35-#REF!</f>
        <v>#REF!</v>
      </c>
      <c r="AC106" s="244" t="e">
        <f>AC35-#REF!</f>
        <v>#REF!</v>
      </c>
      <c r="AD106" s="244" t="e">
        <f>AD35-#REF!</f>
        <v>#REF!</v>
      </c>
      <c r="AE106" s="244" t="e">
        <f>AE35-#REF!</f>
        <v>#REF!</v>
      </c>
      <c r="AF106" s="244" t="e">
        <f>AF35-#REF!</f>
        <v>#REF!</v>
      </c>
      <c r="AG106" s="244" t="e">
        <f>AG35-#REF!</f>
        <v>#REF!</v>
      </c>
      <c r="AH106" s="244" t="e">
        <f>AH35-#REF!</f>
        <v>#REF!</v>
      </c>
      <c r="AI106" s="244" t="e">
        <f>AI35-#REF!</f>
        <v>#REF!</v>
      </c>
      <c r="AJ106" s="244" t="e">
        <f>AJ35-#REF!</f>
        <v>#REF!</v>
      </c>
      <c r="AK106" s="244" t="e">
        <f>AK35-#REF!</f>
        <v>#REF!</v>
      </c>
      <c r="AL106" s="244" t="e">
        <f>AL35-#REF!</f>
        <v>#REF!</v>
      </c>
      <c r="AM106" s="244" t="e">
        <f>AM35-#REF!</f>
        <v>#REF!</v>
      </c>
      <c r="AN106" s="244" t="e">
        <f>AN35-#REF!</f>
        <v>#REF!</v>
      </c>
      <c r="AO106" s="244" t="e">
        <f>AO35-#REF!</f>
        <v>#REF!</v>
      </c>
      <c r="AP106" s="244" t="e">
        <f>AP35-#REF!</f>
        <v>#REF!</v>
      </c>
      <c r="AQ106" s="244" t="e">
        <f>AQ35-#REF!</f>
        <v>#REF!</v>
      </c>
      <c r="AR106" s="244" t="e">
        <f>AR35-#REF!</f>
        <v>#REF!</v>
      </c>
      <c r="AS106" s="244" t="e">
        <f>AS35-#REF!</f>
        <v>#REF!</v>
      </c>
      <c r="AT106" s="244" t="e">
        <f>AT35-#REF!</f>
        <v>#REF!</v>
      </c>
      <c r="AU106" s="244" t="e">
        <f>AU35-#REF!</f>
        <v>#REF!</v>
      </c>
      <c r="AV106" s="244" t="e">
        <f>AV35-#REF!</f>
        <v>#REF!</v>
      </c>
      <c r="AW106" s="244" t="e">
        <f>AW35-#REF!</f>
        <v>#REF!</v>
      </c>
      <c r="AX106" s="244" t="e">
        <f>AX35-#REF!</f>
        <v>#REF!</v>
      </c>
      <c r="AY106" s="244" t="e">
        <f>AY35-#REF!</f>
        <v>#REF!</v>
      </c>
      <c r="AZ106" s="244" t="e">
        <f>AZ35-#REF!</f>
        <v>#REF!</v>
      </c>
      <c r="BA106" s="244" t="e">
        <f>BA35-#REF!</f>
        <v>#REF!</v>
      </c>
      <c r="BB106" s="244" t="e">
        <f>BB35-#REF!</f>
        <v>#REF!</v>
      </c>
      <c r="BC106" s="244" t="e">
        <f>BC35-#REF!</f>
        <v>#REF!</v>
      </c>
      <c r="BD106" s="244" t="e">
        <f>BD35-#REF!</f>
        <v>#REF!</v>
      </c>
      <c r="BE106" s="244" t="e">
        <f>BE35-#REF!</f>
        <v>#REF!</v>
      </c>
      <c r="BF106" s="244" t="e">
        <f>BF35-#REF!</f>
        <v>#REF!</v>
      </c>
      <c r="BG106" s="244" t="e">
        <f>BG35-#REF!</f>
        <v>#REF!</v>
      </c>
      <c r="BH106" s="244" t="e">
        <f>BH35-#REF!</f>
        <v>#REF!</v>
      </c>
      <c r="BI106" s="244" t="e">
        <f>BI35-#REF!</f>
        <v>#REF!</v>
      </c>
      <c r="BJ106" s="244" t="e">
        <f>BJ35-#REF!</f>
        <v>#REF!</v>
      </c>
      <c r="BK106" s="244" t="e">
        <f>BK35-#REF!</f>
        <v>#REF!</v>
      </c>
      <c r="BL106" s="244" t="e">
        <f>BL35-#REF!</f>
        <v>#REF!</v>
      </c>
      <c r="BM106" s="244" t="e">
        <f>BM35-#REF!</f>
        <v>#REF!</v>
      </c>
      <c r="BN106" s="244" t="e">
        <f>BN35-#REF!</f>
        <v>#REF!</v>
      </c>
      <c r="BO106" s="244" t="e">
        <f>BO35-#REF!</f>
        <v>#REF!</v>
      </c>
      <c r="BP106" s="244" t="e">
        <f>BP35-#REF!</f>
        <v>#REF!</v>
      </c>
      <c r="BQ106" s="244" t="e">
        <f>BQ35-#REF!</f>
        <v>#REF!</v>
      </c>
      <c r="BR106" s="244" t="e">
        <f>BR35-#REF!</f>
        <v>#REF!</v>
      </c>
      <c r="BS106" s="244" t="e">
        <f>BS35-#REF!</f>
        <v>#REF!</v>
      </c>
      <c r="BT106" s="244" t="e">
        <f>BT35-#REF!</f>
        <v>#REF!</v>
      </c>
      <c r="BU106" s="244" t="e">
        <f>BU35-#REF!</f>
        <v>#REF!</v>
      </c>
      <c r="BV106" s="244"/>
      <c r="BW106" s="244">
        <f>[65]domlongtermissues!BV98</f>
        <v>0</v>
      </c>
      <c r="BY106" s="243"/>
    </row>
    <row r="107" spans="13:77" hidden="1" x14ac:dyDescent="0.2">
      <c r="M107" s="244" t="e">
        <f>M36-#REF!</f>
        <v>#REF!</v>
      </c>
      <c r="N107" s="244" t="e">
        <f>N36-#REF!</f>
        <v>#REF!</v>
      </c>
      <c r="O107" s="244" t="e">
        <f>O36-#REF!</f>
        <v>#REF!</v>
      </c>
      <c r="P107" s="244" t="e">
        <f>P36-#REF!</f>
        <v>#REF!</v>
      </c>
      <c r="Q107" s="244" t="e">
        <f>Q36-#REF!</f>
        <v>#REF!</v>
      </c>
      <c r="R107" s="244" t="e">
        <f>R36-#REF!</f>
        <v>#REF!</v>
      </c>
      <c r="S107" s="244" t="e">
        <f>S36-#REF!</f>
        <v>#REF!</v>
      </c>
      <c r="T107" s="244" t="e">
        <f>T36-#REF!</f>
        <v>#REF!</v>
      </c>
      <c r="U107" s="244" t="e">
        <f>U36-#REF!</f>
        <v>#REF!</v>
      </c>
      <c r="V107" s="244" t="e">
        <f>V36-#REF!</f>
        <v>#REF!</v>
      </c>
      <c r="W107" s="244" t="e">
        <f>W36-#REF!</f>
        <v>#REF!</v>
      </c>
      <c r="X107" s="244" t="e">
        <f>X36-#REF!</f>
        <v>#REF!</v>
      </c>
      <c r="Y107" s="244" t="e">
        <f>Y36-#REF!</f>
        <v>#REF!</v>
      </c>
      <c r="Z107" s="244" t="e">
        <f>Z36-#REF!</f>
        <v>#REF!</v>
      </c>
      <c r="AA107" s="244" t="e">
        <f>AA36-#REF!</f>
        <v>#REF!</v>
      </c>
      <c r="AB107" s="244" t="e">
        <f>AB36-#REF!</f>
        <v>#REF!</v>
      </c>
      <c r="AC107" s="244" t="e">
        <f>AC36-#REF!</f>
        <v>#REF!</v>
      </c>
      <c r="AD107" s="244" t="e">
        <f>AD36-#REF!</f>
        <v>#REF!</v>
      </c>
      <c r="AE107" s="244" t="e">
        <f>AE36-#REF!</f>
        <v>#REF!</v>
      </c>
      <c r="AF107" s="244" t="e">
        <f>AF36-#REF!</f>
        <v>#REF!</v>
      </c>
      <c r="AG107" s="244" t="e">
        <f>AG36-#REF!</f>
        <v>#REF!</v>
      </c>
      <c r="AH107" s="244" t="e">
        <f>AH36-#REF!</f>
        <v>#REF!</v>
      </c>
      <c r="AI107" s="244" t="e">
        <f>AI36-#REF!</f>
        <v>#REF!</v>
      </c>
      <c r="AJ107" s="244" t="e">
        <f>AJ36-#REF!</f>
        <v>#REF!</v>
      </c>
      <c r="AK107" s="244" t="e">
        <f>AK36-#REF!</f>
        <v>#REF!</v>
      </c>
      <c r="AL107" s="244" t="e">
        <f>AL36-#REF!</f>
        <v>#REF!</v>
      </c>
      <c r="AM107" s="244" t="e">
        <f>AM36-#REF!</f>
        <v>#REF!</v>
      </c>
      <c r="AN107" s="244" t="e">
        <f>AN36-#REF!</f>
        <v>#REF!</v>
      </c>
      <c r="AO107" s="244" t="e">
        <f>AO36-#REF!</f>
        <v>#REF!</v>
      </c>
      <c r="AP107" s="244" t="e">
        <f>AP36-#REF!</f>
        <v>#REF!</v>
      </c>
      <c r="AQ107" s="244" t="e">
        <f>AQ36-#REF!</f>
        <v>#REF!</v>
      </c>
      <c r="AR107" s="244" t="e">
        <f>AR36-#REF!</f>
        <v>#REF!</v>
      </c>
      <c r="AS107" s="244" t="e">
        <f>AS36-#REF!</f>
        <v>#REF!</v>
      </c>
      <c r="AT107" s="244" t="e">
        <f>AT36-#REF!</f>
        <v>#REF!</v>
      </c>
      <c r="AU107" s="244" t="e">
        <f>AU36-#REF!</f>
        <v>#REF!</v>
      </c>
      <c r="AV107" s="244" t="e">
        <f>AV36-#REF!</f>
        <v>#REF!</v>
      </c>
      <c r="AW107" s="244" t="e">
        <f>AW36-#REF!</f>
        <v>#REF!</v>
      </c>
      <c r="AX107" s="244" t="e">
        <f>AX36-#REF!</f>
        <v>#REF!</v>
      </c>
      <c r="AY107" s="244" t="e">
        <f>AY36-#REF!</f>
        <v>#REF!</v>
      </c>
      <c r="AZ107" s="244" t="e">
        <f>AZ36-#REF!</f>
        <v>#REF!</v>
      </c>
      <c r="BA107" s="244" t="e">
        <f>BA36-#REF!</f>
        <v>#REF!</v>
      </c>
      <c r="BB107" s="244" t="e">
        <f>BB36-#REF!</f>
        <v>#REF!</v>
      </c>
      <c r="BC107" s="244" t="e">
        <f>BC36-#REF!</f>
        <v>#REF!</v>
      </c>
      <c r="BD107" s="244" t="e">
        <f>BD36-#REF!</f>
        <v>#REF!</v>
      </c>
      <c r="BE107" s="244" t="e">
        <f>BE36-#REF!</f>
        <v>#REF!</v>
      </c>
      <c r="BF107" s="244" t="e">
        <f>BF36-#REF!</f>
        <v>#REF!</v>
      </c>
      <c r="BG107" s="244" t="e">
        <f>BG36-#REF!</f>
        <v>#REF!</v>
      </c>
      <c r="BH107" s="244" t="e">
        <f>BH36-#REF!</f>
        <v>#REF!</v>
      </c>
      <c r="BI107" s="244" t="e">
        <f>BI36-#REF!</f>
        <v>#REF!</v>
      </c>
      <c r="BJ107" s="244" t="e">
        <f>BJ36-#REF!</f>
        <v>#REF!</v>
      </c>
      <c r="BK107" s="244" t="e">
        <f>BK36-#REF!</f>
        <v>#REF!</v>
      </c>
      <c r="BL107" s="244" t="e">
        <f>BL36-#REF!</f>
        <v>#REF!</v>
      </c>
      <c r="BM107" s="244" t="e">
        <f>BM36-#REF!</f>
        <v>#REF!</v>
      </c>
      <c r="BN107" s="244" t="e">
        <f>BN36-#REF!</f>
        <v>#REF!</v>
      </c>
      <c r="BO107" s="244" t="e">
        <f>BO36-#REF!</f>
        <v>#REF!</v>
      </c>
      <c r="BP107" s="244" t="e">
        <f>BP36-#REF!</f>
        <v>#REF!</v>
      </c>
      <c r="BQ107" s="244" t="e">
        <f>BQ36-#REF!</f>
        <v>#REF!</v>
      </c>
      <c r="BR107" s="244" t="e">
        <f>BR36-#REF!</f>
        <v>#REF!</v>
      </c>
      <c r="BS107" s="244" t="e">
        <f>BS36-#REF!</f>
        <v>#REF!</v>
      </c>
      <c r="BT107" s="244" t="e">
        <f>BT36-#REF!</f>
        <v>#REF!</v>
      </c>
      <c r="BU107" s="244" t="e">
        <f>BU36-#REF!</f>
        <v>#REF!</v>
      </c>
      <c r="BV107" s="244"/>
      <c r="BW107" s="244">
        <f>-[65]domredemp!BV100</f>
        <v>0</v>
      </c>
      <c r="BY107" s="243"/>
    </row>
    <row r="108" spans="13:77" hidden="1" x14ac:dyDescent="0.2">
      <c r="M108" s="244" t="e">
        <f>M37-#REF!</f>
        <v>#REF!</v>
      </c>
      <c r="N108" s="244" t="e">
        <f>N37-#REF!</f>
        <v>#REF!</v>
      </c>
      <c r="O108" s="244" t="e">
        <f>O37-#REF!</f>
        <v>#REF!</v>
      </c>
      <c r="P108" s="244" t="e">
        <f>P37-#REF!</f>
        <v>#REF!</v>
      </c>
      <c r="Q108" s="244" t="e">
        <f>Q37-#REF!</f>
        <v>#REF!</v>
      </c>
      <c r="R108" s="244" t="e">
        <f>R37-#REF!</f>
        <v>#REF!</v>
      </c>
      <c r="S108" s="244" t="e">
        <f>S37-#REF!</f>
        <v>#REF!</v>
      </c>
      <c r="T108" s="244" t="e">
        <f>T37-#REF!</f>
        <v>#REF!</v>
      </c>
      <c r="U108" s="244" t="e">
        <f>U37-#REF!</f>
        <v>#REF!</v>
      </c>
      <c r="V108" s="244" t="e">
        <f>V37-#REF!</f>
        <v>#REF!</v>
      </c>
      <c r="W108" s="244" t="e">
        <f>W37-#REF!</f>
        <v>#REF!</v>
      </c>
      <c r="X108" s="244" t="e">
        <f>X37-#REF!</f>
        <v>#REF!</v>
      </c>
      <c r="Y108" s="244" t="e">
        <f>Y37-#REF!</f>
        <v>#REF!</v>
      </c>
      <c r="Z108" s="244" t="e">
        <f>Z37-#REF!</f>
        <v>#REF!</v>
      </c>
      <c r="AA108" s="244" t="e">
        <f>AA37-#REF!</f>
        <v>#REF!</v>
      </c>
      <c r="AB108" s="244" t="e">
        <f>AB37-#REF!</f>
        <v>#REF!</v>
      </c>
      <c r="AC108" s="244" t="e">
        <f>AC37-#REF!</f>
        <v>#REF!</v>
      </c>
      <c r="AD108" s="244" t="e">
        <f>AD37-#REF!</f>
        <v>#REF!</v>
      </c>
      <c r="AE108" s="244" t="e">
        <f>AE37-#REF!</f>
        <v>#REF!</v>
      </c>
      <c r="AF108" s="244" t="e">
        <f>AF37-#REF!</f>
        <v>#REF!</v>
      </c>
      <c r="AG108" s="244" t="e">
        <f>AG37-#REF!</f>
        <v>#REF!</v>
      </c>
      <c r="AH108" s="244" t="e">
        <f>AH37-#REF!</f>
        <v>#REF!</v>
      </c>
      <c r="AI108" s="244" t="e">
        <f>AI37-#REF!</f>
        <v>#REF!</v>
      </c>
      <c r="AJ108" s="244" t="e">
        <f>AJ37-#REF!</f>
        <v>#REF!</v>
      </c>
      <c r="AK108" s="244" t="e">
        <f>AK37-#REF!</f>
        <v>#REF!</v>
      </c>
      <c r="AL108" s="244" t="e">
        <f>AL37-#REF!</f>
        <v>#REF!</v>
      </c>
      <c r="AM108" s="244" t="e">
        <f>AM37-#REF!</f>
        <v>#REF!</v>
      </c>
      <c r="AN108" s="244" t="e">
        <f>AN37-#REF!</f>
        <v>#REF!</v>
      </c>
      <c r="AO108" s="244" t="e">
        <f>AO37-#REF!</f>
        <v>#REF!</v>
      </c>
      <c r="AP108" s="244" t="e">
        <f>AP37-#REF!</f>
        <v>#REF!</v>
      </c>
      <c r="AQ108" s="244" t="e">
        <f>AQ37-#REF!</f>
        <v>#REF!</v>
      </c>
      <c r="AR108" s="244" t="e">
        <f>AR37-#REF!</f>
        <v>#REF!</v>
      </c>
      <c r="AS108" s="244" t="e">
        <f>AS37-#REF!</f>
        <v>#REF!</v>
      </c>
      <c r="AT108" s="244" t="e">
        <f>AT37-#REF!</f>
        <v>#REF!</v>
      </c>
      <c r="AU108" s="244" t="e">
        <f>AU37-#REF!</f>
        <v>#REF!</v>
      </c>
      <c r="AV108" s="244" t="e">
        <f>AV37-#REF!</f>
        <v>#REF!</v>
      </c>
      <c r="AW108" s="244" t="e">
        <f>AW37-#REF!</f>
        <v>#REF!</v>
      </c>
      <c r="AX108" s="244" t="e">
        <f>AX37-#REF!</f>
        <v>#REF!</v>
      </c>
      <c r="AY108" s="244" t="e">
        <f>AY37-#REF!</f>
        <v>#REF!</v>
      </c>
      <c r="AZ108" s="244" t="e">
        <f>AZ37-#REF!</f>
        <v>#REF!</v>
      </c>
      <c r="BA108" s="244" t="e">
        <f>BA37-#REF!</f>
        <v>#REF!</v>
      </c>
      <c r="BB108" s="244" t="e">
        <f>BB37-#REF!</f>
        <v>#REF!</v>
      </c>
      <c r="BC108" s="244" t="e">
        <f>BC37-#REF!</f>
        <v>#REF!</v>
      </c>
      <c r="BD108" s="244" t="e">
        <f>BD37-#REF!</f>
        <v>#REF!</v>
      </c>
      <c r="BE108" s="244" t="e">
        <f>BE37-#REF!</f>
        <v>#REF!</v>
      </c>
      <c r="BF108" s="244" t="e">
        <f>BF37-#REF!</f>
        <v>#REF!</v>
      </c>
      <c r="BG108" s="244" t="e">
        <f>BG37-#REF!</f>
        <v>#REF!</v>
      </c>
      <c r="BH108" s="244" t="e">
        <f>BH37-#REF!</f>
        <v>#REF!</v>
      </c>
      <c r="BI108" s="244" t="e">
        <f>BI37-#REF!</f>
        <v>#REF!</v>
      </c>
      <c r="BJ108" s="244" t="e">
        <f>BJ37-#REF!</f>
        <v>#REF!</v>
      </c>
      <c r="BK108" s="244" t="e">
        <f>BK37-#REF!</f>
        <v>#REF!</v>
      </c>
      <c r="BL108" s="244" t="e">
        <f>BL37-#REF!</f>
        <v>#REF!</v>
      </c>
      <c r="BM108" s="244" t="e">
        <f>BM37-#REF!</f>
        <v>#REF!</v>
      </c>
      <c r="BN108" s="244" t="e">
        <f>BN37-#REF!</f>
        <v>#REF!</v>
      </c>
      <c r="BO108" s="244" t="e">
        <f>BO37-#REF!</f>
        <v>#REF!</v>
      </c>
      <c r="BP108" s="244" t="e">
        <f>BP37-#REF!</f>
        <v>#REF!</v>
      </c>
      <c r="BQ108" s="244" t="e">
        <f>BQ37-#REF!</f>
        <v>#REF!</v>
      </c>
      <c r="BR108" s="244" t="e">
        <f>BR37-#REF!</f>
        <v>#REF!</v>
      </c>
      <c r="BS108" s="244" t="e">
        <f>BS37-#REF!</f>
        <v>#REF!</v>
      </c>
      <c r="BT108" s="244" t="e">
        <f>BT37-#REF!</f>
        <v>#REF!</v>
      </c>
      <c r="BU108" s="244" t="e">
        <f>BU37-#REF!</f>
        <v>#REF!</v>
      </c>
      <c r="BV108" s="244"/>
      <c r="BW108" s="244"/>
      <c r="BY108" s="243"/>
    </row>
    <row r="109" spans="13:77" hidden="1" x14ac:dyDescent="0.2">
      <c r="M109" s="244" t="e">
        <f>M38-#REF!</f>
        <v>#REF!</v>
      </c>
      <c r="N109" s="244" t="e">
        <f>N38-#REF!</f>
        <v>#REF!</v>
      </c>
      <c r="O109" s="244" t="e">
        <f>O38-#REF!</f>
        <v>#REF!</v>
      </c>
      <c r="P109" s="244" t="e">
        <f>P38-#REF!</f>
        <v>#REF!</v>
      </c>
      <c r="Q109" s="244" t="e">
        <f>Q38-#REF!</f>
        <v>#REF!</v>
      </c>
      <c r="R109" s="244" t="e">
        <f>R38-#REF!</f>
        <v>#REF!</v>
      </c>
      <c r="S109" s="244" t="e">
        <f>S38-#REF!</f>
        <v>#REF!</v>
      </c>
      <c r="T109" s="244" t="e">
        <f>T38-#REF!</f>
        <v>#REF!</v>
      </c>
      <c r="U109" s="244" t="e">
        <f>U38-#REF!</f>
        <v>#REF!</v>
      </c>
      <c r="V109" s="244" t="e">
        <f>V38-#REF!</f>
        <v>#REF!</v>
      </c>
      <c r="W109" s="244" t="e">
        <f>W38-#REF!</f>
        <v>#REF!</v>
      </c>
      <c r="X109" s="244" t="e">
        <f>X38-#REF!</f>
        <v>#REF!</v>
      </c>
      <c r="Y109" s="244" t="e">
        <f>Y38-#REF!</f>
        <v>#REF!</v>
      </c>
      <c r="Z109" s="244" t="e">
        <f>Z38-#REF!</f>
        <v>#REF!</v>
      </c>
      <c r="AA109" s="244" t="e">
        <f>AA38-#REF!</f>
        <v>#REF!</v>
      </c>
      <c r="AB109" s="244" t="e">
        <f>AB38-#REF!</f>
        <v>#REF!</v>
      </c>
      <c r="AC109" s="244" t="e">
        <f>AC38-#REF!</f>
        <v>#REF!</v>
      </c>
      <c r="AD109" s="244" t="e">
        <f>AD38-#REF!</f>
        <v>#REF!</v>
      </c>
      <c r="AE109" s="244" t="e">
        <f>AE38-#REF!</f>
        <v>#REF!</v>
      </c>
      <c r="AF109" s="244" t="e">
        <f>AF38-#REF!</f>
        <v>#REF!</v>
      </c>
      <c r="AG109" s="244" t="e">
        <f>AG38-#REF!</f>
        <v>#REF!</v>
      </c>
      <c r="AH109" s="244" t="e">
        <f>AH38-#REF!</f>
        <v>#REF!</v>
      </c>
      <c r="AI109" s="244" t="e">
        <f>AI38-#REF!</f>
        <v>#REF!</v>
      </c>
      <c r="AJ109" s="244" t="e">
        <f>AJ38-#REF!</f>
        <v>#REF!</v>
      </c>
      <c r="AK109" s="244" t="e">
        <f>AK38-#REF!</f>
        <v>#REF!</v>
      </c>
      <c r="AL109" s="244" t="e">
        <f>AL38-#REF!</f>
        <v>#REF!</v>
      </c>
      <c r="AM109" s="244" t="e">
        <f>AM38-#REF!</f>
        <v>#REF!</v>
      </c>
      <c r="AN109" s="244" t="e">
        <f>AN38-#REF!</f>
        <v>#REF!</v>
      </c>
      <c r="AO109" s="244" t="e">
        <f>AO38-#REF!</f>
        <v>#REF!</v>
      </c>
      <c r="AP109" s="244" t="e">
        <f>AP38-#REF!</f>
        <v>#REF!</v>
      </c>
      <c r="AQ109" s="244" t="e">
        <f>AQ38-#REF!</f>
        <v>#REF!</v>
      </c>
      <c r="AR109" s="244" t="e">
        <f>AR38-#REF!</f>
        <v>#REF!</v>
      </c>
      <c r="AS109" s="244" t="e">
        <f>AS38-#REF!</f>
        <v>#REF!</v>
      </c>
      <c r="AT109" s="244" t="e">
        <f>AT38-#REF!</f>
        <v>#REF!</v>
      </c>
      <c r="AU109" s="244" t="e">
        <f>AU38-#REF!</f>
        <v>#REF!</v>
      </c>
      <c r="AV109" s="244" t="e">
        <f>AV38-#REF!</f>
        <v>#REF!</v>
      </c>
      <c r="AW109" s="244" t="e">
        <f>AW38-#REF!</f>
        <v>#REF!</v>
      </c>
      <c r="AX109" s="244" t="e">
        <f>AX38-#REF!</f>
        <v>#REF!</v>
      </c>
      <c r="AY109" s="244" t="e">
        <f>AY38-#REF!</f>
        <v>#REF!</v>
      </c>
      <c r="AZ109" s="244" t="e">
        <f>AZ38-#REF!</f>
        <v>#REF!</v>
      </c>
      <c r="BA109" s="244" t="e">
        <f>BA38-#REF!</f>
        <v>#REF!</v>
      </c>
      <c r="BB109" s="244" t="e">
        <f>BB38-#REF!</f>
        <v>#REF!</v>
      </c>
      <c r="BC109" s="244" t="e">
        <f>BC38-#REF!</f>
        <v>#REF!</v>
      </c>
      <c r="BD109" s="244" t="e">
        <f>BD38-#REF!</f>
        <v>#REF!</v>
      </c>
      <c r="BE109" s="244" t="e">
        <f>BE38-#REF!</f>
        <v>#REF!</v>
      </c>
      <c r="BF109" s="244" t="e">
        <f>BF38-#REF!</f>
        <v>#REF!</v>
      </c>
      <c r="BG109" s="244" t="e">
        <f>BG38-#REF!</f>
        <v>#REF!</v>
      </c>
      <c r="BH109" s="244" t="e">
        <f>BH38-#REF!</f>
        <v>#REF!</v>
      </c>
      <c r="BI109" s="244" t="e">
        <f>BI38-#REF!</f>
        <v>#REF!</v>
      </c>
      <c r="BJ109" s="244" t="e">
        <f>BJ38-#REF!</f>
        <v>#REF!</v>
      </c>
      <c r="BK109" s="244" t="e">
        <f>BK38-#REF!</f>
        <v>#REF!</v>
      </c>
      <c r="BL109" s="244" t="e">
        <f>BL38-#REF!</f>
        <v>#REF!</v>
      </c>
      <c r="BM109" s="244" t="e">
        <f>BM38-#REF!</f>
        <v>#REF!</v>
      </c>
      <c r="BN109" s="244" t="e">
        <f>BN38-#REF!</f>
        <v>#REF!</v>
      </c>
      <c r="BO109" s="244" t="e">
        <f>BO38-#REF!</f>
        <v>#REF!</v>
      </c>
      <c r="BP109" s="244" t="e">
        <f>BP38-#REF!</f>
        <v>#REF!</v>
      </c>
      <c r="BQ109" s="244" t="e">
        <f>BQ38-#REF!</f>
        <v>#REF!</v>
      </c>
      <c r="BR109" s="244" t="e">
        <f>BR38-#REF!</f>
        <v>#REF!</v>
      </c>
      <c r="BS109" s="244" t="e">
        <f>BS38-#REF!</f>
        <v>#REF!</v>
      </c>
      <c r="BT109" s="244" t="e">
        <f>BT38-#REF!</f>
        <v>#REF!</v>
      </c>
      <c r="BU109" s="244" t="e">
        <f>BU38-#REF!</f>
        <v>#REF!</v>
      </c>
      <c r="BV109" s="244"/>
      <c r="BW109" s="244">
        <f>SUM(BW110:BW110)</f>
        <v>0</v>
      </c>
      <c r="BY109" s="243"/>
    </row>
    <row r="110" spans="13:77" hidden="1" x14ac:dyDescent="0.2">
      <c r="M110" s="244" t="e">
        <f>M39-#REF!</f>
        <v>#REF!</v>
      </c>
      <c r="N110" s="244" t="e">
        <f>N39-#REF!</f>
        <v>#REF!</v>
      </c>
      <c r="O110" s="244" t="e">
        <f>O39-#REF!</f>
        <v>#REF!</v>
      </c>
      <c r="P110" s="244" t="e">
        <f>P39-#REF!</f>
        <v>#REF!</v>
      </c>
      <c r="Q110" s="244" t="e">
        <f>Q39-#REF!</f>
        <v>#REF!</v>
      </c>
      <c r="R110" s="244" t="e">
        <f>R39-#REF!</f>
        <v>#REF!</v>
      </c>
      <c r="S110" s="244" t="e">
        <f>S39-#REF!</f>
        <v>#REF!</v>
      </c>
      <c r="T110" s="244" t="e">
        <f>T39-#REF!</f>
        <v>#REF!</v>
      </c>
      <c r="U110" s="244" t="e">
        <f>U39-#REF!</f>
        <v>#REF!</v>
      </c>
      <c r="V110" s="244" t="e">
        <f>V39-#REF!</f>
        <v>#REF!</v>
      </c>
      <c r="W110" s="244" t="e">
        <f>W39-#REF!</f>
        <v>#REF!</v>
      </c>
      <c r="X110" s="244" t="e">
        <f>X39-#REF!</f>
        <v>#REF!</v>
      </c>
      <c r="Y110" s="244" t="e">
        <f>Y39-#REF!</f>
        <v>#REF!</v>
      </c>
      <c r="Z110" s="244" t="e">
        <f>Z39-#REF!</f>
        <v>#REF!</v>
      </c>
      <c r="AA110" s="244" t="e">
        <f>AA39-#REF!</f>
        <v>#REF!</v>
      </c>
      <c r="AB110" s="244" t="e">
        <f>AB39-#REF!</f>
        <v>#REF!</v>
      </c>
      <c r="AC110" s="244" t="e">
        <f>AC39-#REF!</f>
        <v>#REF!</v>
      </c>
      <c r="AD110" s="244" t="e">
        <f>AD39-#REF!</f>
        <v>#REF!</v>
      </c>
      <c r="AE110" s="244" t="e">
        <f>AE39-#REF!</f>
        <v>#REF!</v>
      </c>
      <c r="AF110" s="244" t="e">
        <f>AF39-#REF!</f>
        <v>#REF!</v>
      </c>
      <c r="AG110" s="244" t="e">
        <f>AG39-#REF!</f>
        <v>#REF!</v>
      </c>
      <c r="AH110" s="244" t="e">
        <f>AH39-#REF!</f>
        <v>#REF!</v>
      </c>
      <c r="AI110" s="244" t="e">
        <f>AI39-#REF!</f>
        <v>#REF!</v>
      </c>
      <c r="AJ110" s="244" t="e">
        <f>AJ39-#REF!</f>
        <v>#REF!</v>
      </c>
      <c r="AK110" s="244" t="e">
        <f>AK39-#REF!</f>
        <v>#REF!</v>
      </c>
      <c r="AL110" s="244" t="e">
        <f>AL39-#REF!</f>
        <v>#REF!</v>
      </c>
      <c r="AM110" s="244" t="e">
        <f>AM39-#REF!</f>
        <v>#REF!</v>
      </c>
      <c r="AN110" s="244" t="e">
        <f>AN39-#REF!</f>
        <v>#REF!</v>
      </c>
      <c r="AO110" s="244" t="e">
        <f>AO39-#REF!</f>
        <v>#REF!</v>
      </c>
      <c r="AP110" s="244" t="e">
        <f>AP39-#REF!</f>
        <v>#REF!</v>
      </c>
      <c r="AQ110" s="244" t="e">
        <f>AQ39-#REF!</f>
        <v>#REF!</v>
      </c>
      <c r="AR110" s="244" t="e">
        <f>AR39-#REF!</f>
        <v>#REF!</v>
      </c>
      <c r="AS110" s="244" t="e">
        <f>AS39-#REF!</f>
        <v>#REF!</v>
      </c>
      <c r="AT110" s="244" t="e">
        <f>AT39-#REF!</f>
        <v>#REF!</v>
      </c>
      <c r="AU110" s="244" t="e">
        <f>AU39-#REF!</f>
        <v>#REF!</v>
      </c>
      <c r="AV110" s="244" t="e">
        <f>AV39-#REF!</f>
        <v>#REF!</v>
      </c>
      <c r="AW110" s="244" t="e">
        <f>AW39-#REF!</f>
        <v>#REF!</v>
      </c>
      <c r="AX110" s="244" t="e">
        <f>AX39-#REF!</f>
        <v>#REF!</v>
      </c>
      <c r="AY110" s="244" t="e">
        <f>AY39-#REF!</f>
        <v>#REF!</v>
      </c>
      <c r="AZ110" s="244" t="e">
        <f>AZ39-#REF!</f>
        <v>#REF!</v>
      </c>
      <c r="BA110" s="244" t="e">
        <f>BA39-#REF!</f>
        <v>#REF!</v>
      </c>
      <c r="BB110" s="244" t="e">
        <f>BB39-#REF!</f>
        <v>#REF!</v>
      </c>
      <c r="BC110" s="244" t="e">
        <f>BC39-#REF!</f>
        <v>#REF!</v>
      </c>
      <c r="BD110" s="244" t="e">
        <f>BD39-#REF!</f>
        <v>#REF!</v>
      </c>
      <c r="BE110" s="244" t="e">
        <f>BE39-#REF!</f>
        <v>#REF!</v>
      </c>
      <c r="BF110" s="244" t="e">
        <f>BF39-#REF!</f>
        <v>#REF!</v>
      </c>
      <c r="BG110" s="244" t="e">
        <f>BG39-#REF!</f>
        <v>#REF!</v>
      </c>
      <c r="BH110" s="244" t="e">
        <f>BH39-#REF!</f>
        <v>#REF!</v>
      </c>
      <c r="BI110" s="244" t="e">
        <f>BI39-#REF!</f>
        <v>#REF!</v>
      </c>
      <c r="BJ110" s="244" t="e">
        <f>BJ39-#REF!</f>
        <v>#REF!</v>
      </c>
      <c r="BK110" s="244" t="e">
        <f>BK39-#REF!</f>
        <v>#REF!</v>
      </c>
      <c r="BL110" s="244" t="e">
        <f>BL39-#REF!</f>
        <v>#REF!</v>
      </c>
      <c r="BM110" s="244" t="e">
        <f>BM39-#REF!</f>
        <v>#REF!</v>
      </c>
      <c r="BN110" s="244" t="e">
        <f>BN39-#REF!</f>
        <v>#REF!</v>
      </c>
      <c r="BO110" s="244" t="e">
        <f>BO39-#REF!</f>
        <v>#REF!</v>
      </c>
      <c r="BP110" s="244" t="e">
        <f>BP39-#REF!</f>
        <v>#REF!</v>
      </c>
      <c r="BQ110" s="244" t="e">
        <f>BQ39-#REF!</f>
        <v>#REF!</v>
      </c>
      <c r="BR110" s="244" t="e">
        <f>BR39-#REF!</f>
        <v>#REF!</v>
      </c>
      <c r="BS110" s="244" t="e">
        <f>BS39-#REF!</f>
        <v>#REF!</v>
      </c>
      <c r="BT110" s="244" t="e">
        <f>BT39-#REF!</f>
        <v>#REF!</v>
      </c>
      <c r="BU110" s="244" t="e">
        <f>BU39-#REF!</f>
        <v>#REF!</v>
      </c>
      <c r="BV110" s="244"/>
      <c r="BW110" s="244">
        <f>[65]domlongtermissues!BV99</f>
        <v>0</v>
      </c>
      <c r="BY110" s="243"/>
    </row>
    <row r="111" spans="13:77" hidden="1" x14ac:dyDescent="0.2">
      <c r="M111" s="244" t="e">
        <f>M40-#REF!</f>
        <v>#REF!</v>
      </c>
      <c r="N111" s="244" t="e">
        <f>N40-#REF!</f>
        <v>#REF!</v>
      </c>
      <c r="O111" s="244" t="e">
        <f>O40-#REF!</f>
        <v>#REF!</v>
      </c>
      <c r="P111" s="244" t="e">
        <f>P40-#REF!</f>
        <v>#REF!</v>
      </c>
      <c r="Q111" s="244" t="e">
        <f>Q40-#REF!</f>
        <v>#REF!</v>
      </c>
      <c r="R111" s="244" t="e">
        <f>R40-#REF!</f>
        <v>#REF!</v>
      </c>
      <c r="S111" s="244" t="e">
        <f>S40-#REF!</f>
        <v>#REF!</v>
      </c>
      <c r="T111" s="244" t="e">
        <f>T40-#REF!</f>
        <v>#REF!</v>
      </c>
      <c r="U111" s="244" t="e">
        <f>U40-#REF!</f>
        <v>#REF!</v>
      </c>
      <c r="V111" s="244" t="e">
        <f>V40-#REF!</f>
        <v>#REF!</v>
      </c>
      <c r="W111" s="244" t="e">
        <f>W40-#REF!</f>
        <v>#REF!</v>
      </c>
      <c r="X111" s="244" t="e">
        <f>X40-#REF!</f>
        <v>#REF!</v>
      </c>
      <c r="Y111" s="244" t="e">
        <f>Y40-#REF!</f>
        <v>#REF!</v>
      </c>
      <c r="Z111" s="244" t="e">
        <f>Z40-#REF!</f>
        <v>#REF!</v>
      </c>
      <c r="AA111" s="244" t="e">
        <f>AA40-#REF!</f>
        <v>#REF!</v>
      </c>
      <c r="AB111" s="244" t="e">
        <f>AB40-#REF!</f>
        <v>#REF!</v>
      </c>
      <c r="AC111" s="244" t="e">
        <f>AC40-#REF!</f>
        <v>#REF!</v>
      </c>
      <c r="AD111" s="244" t="e">
        <f>AD40-#REF!</f>
        <v>#REF!</v>
      </c>
      <c r="AE111" s="244" t="e">
        <f>AE40-#REF!</f>
        <v>#REF!</v>
      </c>
      <c r="AF111" s="244" t="e">
        <f>AF40-#REF!</f>
        <v>#REF!</v>
      </c>
      <c r="AG111" s="244" t="e">
        <f>AG40-#REF!</f>
        <v>#REF!</v>
      </c>
      <c r="AH111" s="244" t="e">
        <f>AH40-#REF!</f>
        <v>#REF!</v>
      </c>
      <c r="AI111" s="244" t="e">
        <f>AI40-#REF!</f>
        <v>#REF!</v>
      </c>
      <c r="AJ111" s="244" t="e">
        <f>AJ40-#REF!</f>
        <v>#REF!</v>
      </c>
      <c r="AK111" s="244" t="e">
        <f>AK40-#REF!</f>
        <v>#REF!</v>
      </c>
      <c r="AL111" s="244" t="e">
        <f>AL40-#REF!</f>
        <v>#REF!</v>
      </c>
      <c r="AM111" s="244" t="e">
        <f>AM40-#REF!</f>
        <v>#REF!</v>
      </c>
      <c r="AN111" s="244" t="e">
        <f>AN40-#REF!</f>
        <v>#REF!</v>
      </c>
      <c r="AO111" s="244" t="e">
        <f>AO40-#REF!</f>
        <v>#REF!</v>
      </c>
      <c r="AP111" s="244" t="e">
        <f>AP40-#REF!</f>
        <v>#REF!</v>
      </c>
      <c r="AQ111" s="244" t="e">
        <f>AQ40-#REF!</f>
        <v>#REF!</v>
      </c>
      <c r="AR111" s="244" t="e">
        <f>AR40-#REF!</f>
        <v>#REF!</v>
      </c>
      <c r="AS111" s="244" t="e">
        <f>AS40-#REF!</f>
        <v>#REF!</v>
      </c>
      <c r="AT111" s="244" t="e">
        <f>AT40-#REF!</f>
        <v>#REF!</v>
      </c>
      <c r="AU111" s="244" t="e">
        <f>AU40-#REF!</f>
        <v>#REF!</v>
      </c>
      <c r="AV111" s="244" t="e">
        <f>AV40-#REF!</f>
        <v>#REF!</v>
      </c>
      <c r="AW111" s="244" t="e">
        <f>AW40-#REF!</f>
        <v>#REF!</v>
      </c>
      <c r="AX111" s="244" t="e">
        <f>AX40-#REF!</f>
        <v>#REF!</v>
      </c>
      <c r="AY111" s="244" t="e">
        <f>AY40-#REF!</f>
        <v>#REF!</v>
      </c>
      <c r="AZ111" s="244" t="e">
        <f>AZ40-#REF!</f>
        <v>#REF!</v>
      </c>
      <c r="BA111" s="244" t="e">
        <f>BA40-#REF!</f>
        <v>#REF!</v>
      </c>
      <c r="BB111" s="244" t="e">
        <f>BB40-#REF!</f>
        <v>#REF!</v>
      </c>
      <c r="BC111" s="244" t="e">
        <f>BC40-#REF!</f>
        <v>#REF!</v>
      </c>
      <c r="BD111" s="244" t="e">
        <f>BD40-#REF!</f>
        <v>#REF!</v>
      </c>
      <c r="BE111" s="244" t="e">
        <f>BE40-#REF!</f>
        <v>#REF!</v>
      </c>
      <c r="BF111" s="244" t="e">
        <f>BF40-#REF!</f>
        <v>#REF!</v>
      </c>
      <c r="BG111" s="244" t="e">
        <f>BG40-#REF!</f>
        <v>#REF!</v>
      </c>
      <c r="BH111" s="244" t="e">
        <f>BH40-#REF!</f>
        <v>#REF!</v>
      </c>
      <c r="BI111" s="244" t="e">
        <f>BI40-#REF!</f>
        <v>#REF!</v>
      </c>
      <c r="BJ111" s="244" t="e">
        <f>BJ40-#REF!</f>
        <v>#REF!</v>
      </c>
      <c r="BK111" s="244" t="e">
        <f>BK40-#REF!</f>
        <v>#REF!</v>
      </c>
      <c r="BL111" s="244" t="e">
        <f>BL40-#REF!</f>
        <v>#REF!</v>
      </c>
      <c r="BM111" s="244" t="e">
        <f>BM40-#REF!</f>
        <v>#REF!</v>
      </c>
      <c r="BN111" s="244" t="e">
        <f>BN40-#REF!</f>
        <v>#REF!</v>
      </c>
      <c r="BO111" s="244" t="e">
        <f>BO40-#REF!</f>
        <v>#REF!</v>
      </c>
      <c r="BP111" s="244" t="e">
        <f>BP40-#REF!</f>
        <v>#REF!</v>
      </c>
      <c r="BQ111" s="244" t="e">
        <f>BQ40-#REF!</f>
        <v>#REF!</v>
      </c>
      <c r="BR111" s="244" t="e">
        <f>BR40-#REF!</f>
        <v>#REF!</v>
      </c>
      <c r="BS111" s="244" t="e">
        <f>BS40-#REF!</f>
        <v>#REF!</v>
      </c>
      <c r="BT111" s="244" t="e">
        <f>BT40-#REF!</f>
        <v>#REF!</v>
      </c>
      <c r="BU111" s="244" t="e">
        <f>BU40-#REF!</f>
        <v>#REF!</v>
      </c>
      <c r="BV111" s="244"/>
      <c r="BW111" s="244"/>
      <c r="BY111" s="243"/>
    </row>
    <row r="112" spans="13:77" hidden="1" x14ac:dyDescent="0.2">
      <c r="M112" s="244" t="e">
        <f>M41-#REF!</f>
        <v>#REF!</v>
      </c>
      <c r="N112" s="244" t="e">
        <f>N41-#REF!</f>
        <v>#REF!</v>
      </c>
      <c r="O112" s="244" t="e">
        <f>O41-#REF!</f>
        <v>#REF!</v>
      </c>
      <c r="P112" s="244" t="e">
        <f>P41-#REF!</f>
        <v>#REF!</v>
      </c>
      <c r="Q112" s="244" t="e">
        <f>Q41-#REF!</f>
        <v>#REF!</v>
      </c>
      <c r="R112" s="244" t="e">
        <f>R41-#REF!</f>
        <v>#REF!</v>
      </c>
      <c r="S112" s="244" t="e">
        <f>S41-#REF!</f>
        <v>#REF!</v>
      </c>
      <c r="T112" s="244" t="e">
        <f>T41-#REF!</f>
        <v>#REF!</v>
      </c>
      <c r="U112" s="244" t="e">
        <f>U41-#REF!</f>
        <v>#REF!</v>
      </c>
      <c r="V112" s="244" t="e">
        <f>V41-#REF!</f>
        <v>#REF!</v>
      </c>
      <c r="W112" s="244" t="e">
        <f>W41-#REF!</f>
        <v>#REF!</v>
      </c>
      <c r="X112" s="244" t="e">
        <f>X41-#REF!</f>
        <v>#REF!</v>
      </c>
      <c r="Y112" s="244" t="e">
        <f>Y41-#REF!</f>
        <v>#REF!</v>
      </c>
      <c r="Z112" s="244" t="e">
        <f>Z41-#REF!</f>
        <v>#REF!</v>
      </c>
      <c r="AA112" s="244" t="e">
        <f>AA41-#REF!</f>
        <v>#REF!</v>
      </c>
      <c r="AB112" s="244" t="e">
        <f>AB41-#REF!</f>
        <v>#REF!</v>
      </c>
      <c r="AC112" s="244" t="e">
        <f>AC41-#REF!</f>
        <v>#REF!</v>
      </c>
      <c r="AD112" s="244" t="e">
        <f>AD41-#REF!</f>
        <v>#REF!</v>
      </c>
      <c r="AE112" s="244" t="e">
        <f>AE41-#REF!</f>
        <v>#REF!</v>
      </c>
      <c r="AF112" s="244" t="e">
        <f>AF41-#REF!</f>
        <v>#REF!</v>
      </c>
      <c r="AG112" s="244" t="e">
        <f>AG41-#REF!</f>
        <v>#REF!</v>
      </c>
      <c r="AH112" s="244" t="e">
        <f>AH41-#REF!</f>
        <v>#REF!</v>
      </c>
      <c r="AI112" s="244" t="e">
        <f>AI41-#REF!</f>
        <v>#REF!</v>
      </c>
      <c r="AJ112" s="244" t="e">
        <f>AJ41-#REF!</f>
        <v>#REF!</v>
      </c>
      <c r="AK112" s="244" t="e">
        <f>AK41-#REF!</f>
        <v>#REF!</v>
      </c>
      <c r="AL112" s="244" t="e">
        <f>AL41-#REF!</f>
        <v>#REF!</v>
      </c>
      <c r="AM112" s="244" t="e">
        <f>AM41-#REF!</f>
        <v>#REF!</v>
      </c>
      <c r="AN112" s="244" t="e">
        <f>AN41-#REF!</f>
        <v>#REF!</v>
      </c>
      <c r="AO112" s="244" t="e">
        <f>AO41-#REF!</f>
        <v>#REF!</v>
      </c>
      <c r="AP112" s="244" t="e">
        <f>AP41-#REF!</f>
        <v>#REF!</v>
      </c>
      <c r="AQ112" s="244" t="e">
        <f>AQ41-#REF!</f>
        <v>#REF!</v>
      </c>
      <c r="AR112" s="244" t="e">
        <f>AR41-#REF!</f>
        <v>#REF!</v>
      </c>
      <c r="AS112" s="244" t="e">
        <f>AS41-#REF!</f>
        <v>#REF!</v>
      </c>
      <c r="AT112" s="244" t="e">
        <f>AT41-#REF!</f>
        <v>#REF!</v>
      </c>
      <c r="AU112" s="244" t="e">
        <f>AU41-#REF!</f>
        <v>#REF!</v>
      </c>
      <c r="AV112" s="244" t="e">
        <f>AV41-#REF!</f>
        <v>#REF!</v>
      </c>
      <c r="AW112" s="244" t="e">
        <f>AW41-#REF!</f>
        <v>#REF!</v>
      </c>
      <c r="AX112" s="244" t="e">
        <f>AX41-#REF!</f>
        <v>#REF!</v>
      </c>
      <c r="AY112" s="244" t="e">
        <f>AY41-#REF!</f>
        <v>#REF!</v>
      </c>
      <c r="AZ112" s="244" t="e">
        <f>AZ41-#REF!</f>
        <v>#REF!</v>
      </c>
      <c r="BA112" s="244" t="e">
        <f>BA41-#REF!</f>
        <v>#REF!</v>
      </c>
      <c r="BB112" s="244" t="e">
        <f>BB41-#REF!</f>
        <v>#REF!</v>
      </c>
      <c r="BC112" s="244" t="e">
        <f>BC41-#REF!</f>
        <v>#REF!</v>
      </c>
      <c r="BD112" s="244" t="e">
        <f>BD41-#REF!</f>
        <v>#REF!</v>
      </c>
      <c r="BE112" s="244" t="e">
        <f>BE41-#REF!</f>
        <v>#REF!</v>
      </c>
      <c r="BF112" s="244" t="e">
        <f>BF41-#REF!</f>
        <v>#REF!</v>
      </c>
      <c r="BG112" s="244" t="e">
        <f>BG41-#REF!</f>
        <v>#REF!</v>
      </c>
      <c r="BH112" s="244" t="e">
        <f>BH41-#REF!</f>
        <v>#REF!</v>
      </c>
      <c r="BI112" s="244" t="e">
        <f>BI41-#REF!</f>
        <v>#REF!</v>
      </c>
      <c r="BJ112" s="244" t="e">
        <f>BJ41-#REF!</f>
        <v>#REF!</v>
      </c>
      <c r="BK112" s="244" t="e">
        <f>BK41-#REF!</f>
        <v>#REF!</v>
      </c>
      <c r="BL112" s="244" t="e">
        <f>BL41-#REF!</f>
        <v>#REF!</v>
      </c>
      <c r="BM112" s="244" t="e">
        <f>BM41-#REF!</f>
        <v>#REF!</v>
      </c>
      <c r="BN112" s="244" t="e">
        <f>BN41-#REF!</f>
        <v>#REF!</v>
      </c>
      <c r="BO112" s="244" t="e">
        <f>BO41-#REF!</f>
        <v>#REF!</v>
      </c>
      <c r="BP112" s="244" t="e">
        <f>BP41-#REF!</f>
        <v>#REF!</v>
      </c>
      <c r="BQ112" s="244" t="e">
        <f>BQ41-#REF!</f>
        <v>#REF!</v>
      </c>
      <c r="BR112" s="244" t="e">
        <f>BR41-#REF!</f>
        <v>#REF!</v>
      </c>
      <c r="BS112" s="244" t="e">
        <f>BS41-#REF!</f>
        <v>#REF!</v>
      </c>
      <c r="BT112" s="244" t="e">
        <f>BT41-#REF!</f>
        <v>#REF!</v>
      </c>
      <c r="BU112" s="244" t="e">
        <f>BU41-#REF!</f>
        <v>#REF!</v>
      </c>
      <c r="BV112" s="244"/>
      <c r="BW112" s="244"/>
      <c r="BY112" s="243"/>
    </row>
    <row r="113" spans="13:77" hidden="1" x14ac:dyDescent="0.2">
      <c r="M113" s="244" t="e">
        <f>M42-#REF!</f>
        <v>#REF!</v>
      </c>
      <c r="N113" s="244" t="e">
        <f>N42-#REF!</f>
        <v>#REF!</v>
      </c>
      <c r="O113" s="244" t="e">
        <f>O42-#REF!</f>
        <v>#REF!</v>
      </c>
      <c r="P113" s="244" t="e">
        <f>P42-#REF!</f>
        <v>#REF!</v>
      </c>
      <c r="Q113" s="244" t="e">
        <f>Q42-#REF!</f>
        <v>#REF!</v>
      </c>
      <c r="R113" s="244" t="e">
        <f>R42-#REF!</f>
        <v>#REF!</v>
      </c>
      <c r="S113" s="244" t="e">
        <f>S42-#REF!</f>
        <v>#REF!</v>
      </c>
      <c r="T113" s="244" t="e">
        <f>T42-#REF!</f>
        <v>#REF!</v>
      </c>
      <c r="U113" s="244" t="e">
        <f>U42-#REF!</f>
        <v>#REF!</v>
      </c>
      <c r="V113" s="244" t="e">
        <f>V42-#REF!</f>
        <v>#REF!</v>
      </c>
      <c r="W113" s="244" t="e">
        <f>W42-#REF!</f>
        <v>#REF!</v>
      </c>
      <c r="X113" s="244" t="e">
        <f>X42-#REF!</f>
        <v>#REF!</v>
      </c>
      <c r="Y113" s="244" t="e">
        <f>Y42-#REF!</f>
        <v>#REF!</v>
      </c>
      <c r="Z113" s="244" t="e">
        <f>Z42-#REF!</f>
        <v>#REF!</v>
      </c>
      <c r="AA113" s="244" t="e">
        <f>AA42-#REF!</f>
        <v>#REF!</v>
      </c>
      <c r="AB113" s="244" t="e">
        <f>AB42-#REF!</f>
        <v>#REF!</v>
      </c>
      <c r="AC113" s="244" t="e">
        <f>AC42-#REF!</f>
        <v>#REF!</v>
      </c>
      <c r="AD113" s="244" t="e">
        <f>AD42-#REF!</f>
        <v>#REF!</v>
      </c>
      <c r="AE113" s="244" t="e">
        <f>AE42-#REF!</f>
        <v>#REF!</v>
      </c>
      <c r="AF113" s="244" t="e">
        <f>AF42-#REF!</f>
        <v>#REF!</v>
      </c>
      <c r="AG113" s="244" t="e">
        <f>AG42-#REF!</f>
        <v>#REF!</v>
      </c>
      <c r="AH113" s="244" t="e">
        <f>AH42-#REF!</f>
        <v>#REF!</v>
      </c>
      <c r="AI113" s="244" t="e">
        <f>AI42-#REF!</f>
        <v>#REF!</v>
      </c>
      <c r="AJ113" s="244" t="e">
        <f>AJ42-#REF!</f>
        <v>#REF!</v>
      </c>
      <c r="AK113" s="244" t="e">
        <f>AK42-#REF!</f>
        <v>#REF!</v>
      </c>
      <c r="AL113" s="244" t="e">
        <f>AL42-#REF!</f>
        <v>#REF!</v>
      </c>
      <c r="AM113" s="244" t="e">
        <f>AM42-#REF!</f>
        <v>#REF!</v>
      </c>
      <c r="AN113" s="244" t="e">
        <f>AN42-#REF!</f>
        <v>#REF!</v>
      </c>
      <c r="AO113" s="244" t="e">
        <f>AO42-#REF!</f>
        <v>#REF!</v>
      </c>
      <c r="AP113" s="244" t="e">
        <f>AP42-#REF!</f>
        <v>#REF!</v>
      </c>
      <c r="AQ113" s="244" t="e">
        <f>AQ42-#REF!</f>
        <v>#REF!</v>
      </c>
      <c r="AR113" s="244" t="e">
        <f>AR42-#REF!</f>
        <v>#REF!</v>
      </c>
      <c r="AS113" s="244" t="e">
        <f>AS42-#REF!</f>
        <v>#REF!</v>
      </c>
      <c r="AT113" s="244" t="e">
        <f>AT42-#REF!</f>
        <v>#REF!</v>
      </c>
      <c r="AU113" s="244" t="e">
        <f>AU42-#REF!</f>
        <v>#REF!</v>
      </c>
      <c r="AV113" s="244" t="e">
        <f>AV42-#REF!</f>
        <v>#REF!</v>
      </c>
      <c r="AW113" s="244" t="e">
        <f>AW42-#REF!</f>
        <v>#REF!</v>
      </c>
      <c r="AX113" s="244" t="e">
        <f>AX42-#REF!</f>
        <v>#REF!</v>
      </c>
      <c r="AY113" s="244" t="e">
        <f>AY42-#REF!</f>
        <v>#REF!</v>
      </c>
      <c r="AZ113" s="244" t="e">
        <f>AZ42-#REF!</f>
        <v>#REF!</v>
      </c>
      <c r="BA113" s="244" t="e">
        <f>BA42-#REF!</f>
        <v>#REF!</v>
      </c>
      <c r="BB113" s="244" t="e">
        <f>BB42-#REF!</f>
        <v>#REF!</v>
      </c>
      <c r="BC113" s="244" t="e">
        <f>BC42-#REF!</f>
        <v>#REF!</v>
      </c>
      <c r="BD113" s="244" t="e">
        <f>BD42-#REF!</f>
        <v>#REF!</v>
      </c>
      <c r="BE113" s="244" t="e">
        <f>BE42-#REF!</f>
        <v>#REF!</v>
      </c>
      <c r="BF113" s="244" t="e">
        <f>BF42-#REF!</f>
        <v>#REF!</v>
      </c>
      <c r="BG113" s="244" t="e">
        <f>BG42-#REF!</f>
        <v>#REF!</v>
      </c>
      <c r="BH113" s="244" t="e">
        <f>BH42-#REF!</f>
        <v>#REF!</v>
      </c>
      <c r="BI113" s="244" t="e">
        <f>BI42-#REF!</f>
        <v>#REF!</v>
      </c>
      <c r="BJ113" s="244" t="e">
        <f>BJ42-#REF!</f>
        <v>#REF!</v>
      </c>
      <c r="BK113" s="244" t="e">
        <f>BK42-#REF!</f>
        <v>#REF!</v>
      </c>
      <c r="BL113" s="244" t="e">
        <f>BL42-#REF!</f>
        <v>#REF!</v>
      </c>
      <c r="BM113" s="244" t="e">
        <f>BM42-#REF!</f>
        <v>#REF!</v>
      </c>
      <c r="BN113" s="244" t="e">
        <f>BN42-#REF!</f>
        <v>#REF!</v>
      </c>
      <c r="BO113" s="244" t="e">
        <f>BO42-#REF!</f>
        <v>#REF!</v>
      </c>
      <c r="BP113" s="244" t="e">
        <f>BP42-#REF!</f>
        <v>#REF!</v>
      </c>
      <c r="BQ113" s="244" t="e">
        <f>BQ42-#REF!</f>
        <v>#REF!</v>
      </c>
      <c r="BR113" s="244" t="e">
        <f>BR42-#REF!</f>
        <v>#REF!</v>
      </c>
      <c r="BS113" s="244" t="e">
        <f>BS42-#REF!</f>
        <v>#REF!</v>
      </c>
      <c r="BT113" s="244" t="e">
        <f>BT42-#REF!</f>
        <v>#REF!</v>
      </c>
      <c r="BU113" s="244" t="e">
        <f>BU42-#REF!</f>
        <v>#REF!</v>
      </c>
      <c r="BV113" s="244"/>
      <c r="BW113" s="244"/>
      <c r="BY113" s="243"/>
    </row>
    <row r="114" spans="13:77" hidden="1" x14ac:dyDescent="0.2">
      <c r="BV114" s="244"/>
      <c r="BW114" s="245">
        <f>+BW115+BW123+BW130</f>
        <v>0</v>
      </c>
      <c r="BY114" s="243"/>
    </row>
    <row r="115" spans="13:77" hidden="1" x14ac:dyDescent="0.2">
      <c r="BV115" s="244"/>
      <c r="BW115" s="244">
        <f>SUM(BW116:BW121)</f>
        <v>0</v>
      </c>
      <c r="BY115" s="243"/>
    </row>
    <row r="116" spans="13:77" hidden="1" x14ac:dyDescent="0.2">
      <c r="BV116" s="244"/>
      <c r="BW116" s="244">
        <f>+[65]foreigndebt!BV114</f>
        <v>0</v>
      </c>
      <c r="BY116" s="243"/>
    </row>
    <row r="117" spans="13:77" hidden="1" x14ac:dyDescent="0.2">
      <c r="BV117" s="244"/>
      <c r="BW117" s="244">
        <f>-[65]foreigndebt!BV116</f>
        <v>0</v>
      </c>
      <c r="BY117" s="243"/>
    </row>
    <row r="118" spans="13:77" hidden="1" x14ac:dyDescent="0.2">
      <c r="BV118" s="244"/>
      <c r="BW118" s="244"/>
      <c r="BY118" s="243"/>
    </row>
    <row r="119" spans="13:77" hidden="1" x14ac:dyDescent="0.2">
      <c r="BV119" s="244"/>
      <c r="BW119" s="244"/>
      <c r="BY119" s="243"/>
    </row>
    <row r="120" spans="13:77" hidden="1" x14ac:dyDescent="0.2">
      <c r="BV120" s="244"/>
      <c r="BW120" s="244">
        <f>-[65]foreigndebt!BV185</f>
        <v>0</v>
      </c>
      <c r="BY120" s="243"/>
    </row>
    <row r="121" spans="13:77" hidden="1" x14ac:dyDescent="0.2">
      <c r="BV121" s="244"/>
      <c r="BW121" s="244">
        <f>-[65]foreigndebt!BV186</f>
        <v>0</v>
      </c>
      <c r="BY121" s="243"/>
    </row>
    <row r="122" spans="13:77" hidden="1" x14ac:dyDescent="0.2">
      <c r="BV122" s="244"/>
      <c r="BW122" s="244"/>
      <c r="BY122" s="243"/>
    </row>
    <row r="123" spans="13:77" hidden="1" x14ac:dyDescent="0.2">
      <c r="BV123" s="244"/>
      <c r="BW123" s="244">
        <f>SUM(BW124:BW128)</f>
        <v>0</v>
      </c>
      <c r="BY123" s="243"/>
    </row>
    <row r="124" spans="13:77" hidden="1" x14ac:dyDescent="0.2">
      <c r="BV124" s="244"/>
      <c r="BW124" s="244">
        <f>[65]foreigndebt!BV135</f>
        <v>0</v>
      </c>
      <c r="BY124" s="243"/>
    </row>
    <row r="125" spans="13:77" hidden="1" x14ac:dyDescent="0.2">
      <c r="BV125" s="244"/>
      <c r="BW125" s="244">
        <f>-[65]foreigndebt!BV137</f>
        <v>0</v>
      </c>
      <c r="BY125" s="243"/>
    </row>
    <row r="126" spans="13:77" hidden="1" x14ac:dyDescent="0.2">
      <c r="BV126" s="244"/>
      <c r="BW126" s="244"/>
      <c r="BY126" s="243"/>
    </row>
    <row r="127" spans="13:77" hidden="1" x14ac:dyDescent="0.2">
      <c r="BV127" s="244"/>
      <c r="BW127" s="244">
        <f>-[65]foreigndebt!BV228</f>
        <v>0</v>
      </c>
      <c r="BY127" s="243"/>
    </row>
    <row r="128" spans="13:77" hidden="1" x14ac:dyDescent="0.2">
      <c r="BV128" s="244"/>
      <c r="BW128" s="244">
        <f>-[65]foreigndebt!BV229</f>
        <v>0</v>
      </c>
      <c r="BY128" s="243"/>
    </row>
    <row r="129" spans="74:77" hidden="1" x14ac:dyDescent="0.2">
      <c r="BV129" s="244"/>
      <c r="BW129" s="244"/>
      <c r="BY129" s="243"/>
    </row>
    <row r="130" spans="74:77" hidden="1" x14ac:dyDescent="0.2">
      <c r="BV130" s="244"/>
      <c r="BW130" s="244">
        <f>SUM(BW131:BW135)</f>
        <v>0</v>
      </c>
      <c r="BY130" s="243"/>
    </row>
    <row r="131" spans="74:77" hidden="1" x14ac:dyDescent="0.2">
      <c r="BV131" s="244"/>
      <c r="BW131" s="244">
        <f>[65]foreigndebt!BV149</f>
        <v>0</v>
      </c>
      <c r="BY131" s="243"/>
    </row>
    <row r="132" spans="74:77" hidden="1" x14ac:dyDescent="0.2">
      <c r="BV132" s="244"/>
      <c r="BW132" s="244">
        <f>-[65]foreigndebt!BV151</f>
        <v>0</v>
      </c>
      <c r="BY132" s="243"/>
    </row>
    <row r="133" spans="74:77" hidden="1" x14ac:dyDescent="0.2">
      <c r="BV133" s="244"/>
      <c r="BW133" s="244"/>
      <c r="BY133" s="243"/>
    </row>
    <row r="134" spans="74:77" hidden="1" x14ac:dyDescent="0.2">
      <c r="BV134" s="244"/>
      <c r="BW134" s="244">
        <f>-[65]foreigndebt!BV240</f>
        <v>0</v>
      </c>
      <c r="BY134" s="243"/>
    </row>
    <row r="135" spans="74:77" hidden="1" x14ac:dyDescent="0.2">
      <c r="BV135" s="244"/>
      <c r="BW135" s="244">
        <f>-[65]foreigndebt!BV241</f>
        <v>0</v>
      </c>
      <c r="BY135" s="243"/>
    </row>
    <row r="136" spans="74:77" hidden="1" x14ac:dyDescent="0.2">
      <c r="BV136" s="244"/>
      <c r="BW136" s="244"/>
      <c r="BY136" s="243"/>
    </row>
    <row r="137" spans="74:77" hidden="1" x14ac:dyDescent="0.2">
      <c r="BV137" s="244"/>
      <c r="BW137" s="244"/>
      <c r="BY137" s="243"/>
    </row>
    <row r="138" spans="74:77" hidden="1" x14ac:dyDescent="0.2">
      <c r="BV138" s="244"/>
      <c r="BW138" s="245">
        <f>SUM(BW139:BW146)</f>
        <v>1</v>
      </c>
      <c r="BY138" s="243"/>
    </row>
    <row r="139" spans="74:77" hidden="1" x14ac:dyDescent="0.2">
      <c r="BV139" s="244"/>
      <c r="BW139" s="244">
        <f>+[65]cashbalances!BW86</f>
        <v>0</v>
      </c>
      <c r="BY139" s="243"/>
    </row>
    <row r="140" spans="74:77" hidden="1" x14ac:dyDescent="0.2">
      <c r="BV140" s="244"/>
      <c r="BW140" s="244"/>
      <c r="BY140" s="243"/>
    </row>
    <row r="141" spans="74:77" hidden="1" x14ac:dyDescent="0.2">
      <c r="BV141" s="244"/>
      <c r="BW141" s="244">
        <f>+[65]cashbalances!BW97</f>
        <v>0</v>
      </c>
      <c r="BY141" s="243"/>
    </row>
    <row r="142" spans="74:77" hidden="1" x14ac:dyDescent="0.2">
      <c r="BV142" s="244"/>
      <c r="BW142" s="244">
        <f>[65]cashbalances!BW99</f>
        <v>0</v>
      </c>
      <c r="BY142" s="243"/>
    </row>
    <row r="143" spans="74:77" hidden="1" x14ac:dyDescent="0.2">
      <c r="BV143" s="244"/>
      <c r="BW143" s="244">
        <f>+[65]cashbalances!BW101</f>
        <v>0</v>
      </c>
      <c r="BY143" s="243"/>
    </row>
    <row r="144" spans="74:77" hidden="1" x14ac:dyDescent="0.2">
      <c r="BV144" s="244"/>
      <c r="BW144" s="244">
        <f>+[65]cashbalances!BW106</f>
        <v>0</v>
      </c>
      <c r="BY144" s="243"/>
    </row>
    <row r="145" spans="74:77" hidden="1" x14ac:dyDescent="0.2">
      <c r="BV145" s="244"/>
      <c r="BW145" s="244"/>
      <c r="BY145" s="243"/>
    </row>
    <row r="146" spans="74:77" x14ac:dyDescent="0.2">
      <c r="BV146" s="244"/>
      <c r="BW146" s="244">
        <f>+[65]cashbalances!BW112+1</f>
        <v>1</v>
      </c>
      <c r="BY146" s="243"/>
    </row>
    <row r="147" spans="74:77" x14ac:dyDescent="0.2">
      <c r="BV147" s="244"/>
      <c r="BW147" s="244"/>
      <c r="BY147" s="243"/>
    </row>
    <row r="148" spans="74:77" x14ac:dyDescent="0.2">
      <c r="BV148" s="244"/>
      <c r="BW148" s="245" t="e">
        <f>+BW82+BW92+BW114+BW138</f>
        <v>#REF!</v>
      </c>
      <c r="BY148" s="243"/>
    </row>
    <row r="149" spans="74:77" x14ac:dyDescent="0.2">
      <c r="BV149" s="244"/>
      <c r="BW149" s="244"/>
      <c r="BY149" s="243"/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scale="3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16"/>
  <sheetViews>
    <sheetView view="pageBreakPreview" topLeftCell="AH1" zoomScale="110" zoomScaleNormal="100" zoomScaleSheetLayoutView="110" workbookViewId="0">
      <selection activeCell="C28" sqref="C28"/>
    </sheetView>
  </sheetViews>
  <sheetFormatPr defaultColWidth="10" defaultRowHeight="12.75" x14ac:dyDescent="0.2"/>
  <cols>
    <col min="1" max="1" width="1.85546875" style="243" hidden="1" customWidth="1"/>
    <col min="2" max="2" width="1.140625" style="243" hidden="1" customWidth="1"/>
    <col min="3" max="3" width="1" style="243" customWidth="1"/>
    <col min="4" max="4" width="56" style="243" customWidth="1"/>
    <col min="5" max="5" width="1" style="261" customWidth="1"/>
    <col min="6" max="6" width="1" style="243" customWidth="1"/>
    <col min="7" max="7" width="17.85546875" style="243" customWidth="1"/>
    <col min="8" max="11" width="1" style="243" customWidth="1"/>
    <col min="12" max="12" width="17.85546875" style="243" customWidth="1"/>
    <col min="13" max="16" width="1" style="243" customWidth="1"/>
    <col min="17" max="17" width="17.85546875" style="243" customWidth="1"/>
    <col min="18" max="21" width="1" style="243" customWidth="1"/>
    <col min="22" max="22" width="17.85546875" style="243" customWidth="1"/>
    <col min="23" max="26" width="1" style="243" customWidth="1"/>
    <col min="27" max="27" width="17.85546875" style="243" customWidth="1"/>
    <col min="28" max="31" width="1" style="243" customWidth="1"/>
    <col min="32" max="32" width="17.85546875" style="243" customWidth="1"/>
    <col min="33" max="35" width="1" style="243" customWidth="1"/>
    <col min="36" max="36" width="1.140625" style="243" customWidth="1"/>
    <col min="37" max="37" width="17.85546875" style="243" customWidth="1"/>
    <col min="38" max="41" width="1" style="243" customWidth="1"/>
    <col min="42" max="42" width="17.85546875" style="243" customWidth="1"/>
    <col min="43" max="46" width="1" style="243" customWidth="1"/>
    <col min="47" max="47" width="17.85546875" style="243" customWidth="1"/>
    <col min="48" max="51" width="1" style="243" customWidth="1"/>
    <col min="52" max="52" width="17.85546875" style="243" customWidth="1"/>
    <col min="53" max="56" width="1" style="243" customWidth="1"/>
    <col min="57" max="57" width="17.85546875" style="243" customWidth="1"/>
    <col min="58" max="61" width="1" style="243" customWidth="1"/>
    <col min="62" max="62" width="17.85546875" style="243" customWidth="1"/>
    <col min="63" max="66" width="1" style="243" customWidth="1"/>
    <col min="67" max="67" width="17.85546875" style="243" customWidth="1"/>
    <col min="68" max="71" width="1" style="243" customWidth="1"/>
    <col min="72" max="72" width="14.42578125" style="243" customWidth="1"/>
    <col min="73" max="75" width="1" style="243" customWidth="1"/>
    <col min="76" max="76" width="2" style="243" customWidth="1"/>
    <col min="77" max="77" width="3.85546875" style="243" customWidth="1"/>
    <col min="78" max="78" width="15.7109375" style="243" customWidth="1"/>
    <col min="79" max="79" width="12.85546875" style="243" bestFit="1" customWidth="1"/>
    <col min="80" max="80" width="13.85546875" style="243" customWidth="1"/>
    <col min="81" max="81" width="12.85546875" style="243" bestFit="1" customWidth="1"/>
    <col min="82" max="187" width="10" style="243"/>
    <col min="188" max="189" width="0" style="243" hidden="1" customWidth="1"/>
    <col min="190" max="190" width="1" style="243" customWidth="1"/>
    <col min="191" max="191" width="56" style="243" customWidth="1"/>
    <col min="192" max="193" width="1" style="243" customWidth="1"/>
    <col min="194" max="194" width="14.42578125" style="243" customWidth="1"/>
    <col min="195" max="196" width="1" style="243" customWidth="1"/>
    <col min="197" max="251" width="0" style="243" hidden="1" customWidth="1"/>
    <col min="252" max="253" width="1" style="243" customWidth="1"/>
    <col min="254" max="254" width="17.85546875" style="243" customWidth="1"/>
    <col min="255" max="258" width="1" style="243" customWidth="1"/>
    <col min="259" max="259" width="14.42578125" style="243" customWidth="1"/>
    <col min="260" max="263" width="1" style="243" customWidth="1"/>
    <col min="264" max="264" width="14.42578125" style="243" customWidth="1"/>
    <col min="265" max="266" width="1" style="243" customWidth="1"/>
    <col min="267" max="321" width="0" style="243" hidden="1" customWidth="1"/>
    <col min="322" max="323" width="1" style="243" customWidth="1"/>
    <col min="324" max="324" width="17.85546875" style="243" customWidth="1"/>
    <col min="325" max="328" width="1" style="243" customWidth="1"/>
    <col min="329" max="329" width="14.42578125" style="243" customWidth="1"/>
    <col min="330" max="331" width="1" style="243" customWidth="1"/>
    <col min="332" max="332" width="2" style="243" customWidth="1"/>
    <col min="333" max="333" width="3.85546875" style="243" customWidth="1"/>
    <col min="334" max="334" width="15.7109375" style="243" customWidth="1"/>
    <col min="335" max="335" width="12.85546875" style="243" bestFit="1" customWidth="1"/>
    <col min="336" max="336" width="13.85546875" style="243" customWidth="1"/>
    <col min="337" max="337" width="12.85546875" style="243" bestFit="1" customWidth="1"/>
    <col min="338" max="443" width="10" style="243"/>
    <col min="444" max="445" width="0" style="243" hidden="1" customWidth="1"/>
    <col min="446" max="446" width="1" style="243" customWidth="1"/>
    <col min="447" max="447" width="56" style="243" customWidth="1"/>
    <col min="448" max="449" width="1" style="243" customWidth="1"/>
    <col min="450" max="450" width="14.42578125" style="243" customWidth="1"/>
    <col min="451" max="452" width="1" style="243" customWidth="1"/>
    <col min="453" max="507" width="0" style="243" hidden="1" customWidth="1"/>
    <col min="508" max="509" width="1" style="243" customWidth="1"/>
    <col min="510" max="510" width="17.85546875" style="243" customWidth="1"/>
    <col min="511" max="514" width="1" style="243" customWidth="1"/>
    <col min="515" max="515" width="14.42578125" style="243" customWidth="1"/>
    <col min="516" max="519" width="1" style="243" customWidth="1"/>
    <col min="520" max="520" width="14.42578125" style="243" customWidth="1"/>
    <col min="521" max="522" width="1" style="243" customWidth="1"/>
    <col min="523" max="577" width="0" style="243" hidden="1" customWidth="1"/>
    <col min="578" max="579" width="1" style="243" customWidth="1"/>
    <col min="580" max="580" width="17.85546875" style="243" customWidth="1"/>
    <col min="581" max="584" width="1" style="243" customWidth="1"/>
    <col min="585" max="585" width="14.42578125" style="243" customWidth="1"/>
    <col min="586" max="587" width="1" style="243" customWidth="1"/>
    <col min="588" max="588" width="2" style="243" customWidth="1"/>
    <col min="589" max="589" width="3.85546875" style="243" customWidth="1"/>
    <col min="590" max="590" width="15.7109375" style="243" customWidth="1"/>
    <col min="591" max="591" width="12.85546875" style="243" bestFit="1" customWidth="1"/>
    <col min="592" max="592" width="13.85546875" style="243" customWidth="1"/>
    <col min="593" max="593" width="12.85546875" style="243" bestFit="1" customWidth="1"/>
    <col min="594" max="699" width="10" style="243"/>
    <col min="700" max="701" width="0" style="243" hidden="1" customWidth="1"/>
    <col min="702" max="702" width="1" style="243" customWidth="1"/>
    <col min="703" max="703" width="56" style="243" customWidth="1"/>
    <col min="704" max="705" width="1" style="243" customWidth="1"/>
    <col min="706" max="706" width="14.42578125" style="243" customWidth="1"/>
    <col min="707" max="708" width="1" style="243" customWidth="1"/>
    <col min="709" max="763" width="0" style="243" hidden="1" customWidth="1"/>
    <col min="764" max="765" width="1" style="243" customWidth="1"/>
    <col min="766" max="766" width="17.85546875" style="243" customWidth="1"/>
    <col min="767" max="770" width="1" style="243" customWidth="1"/>
    <col min="771" max="771" width="14.42578125" style="243" customWidth="1"/>
    <col min="772" max="775" width="1" style="243" customWidth="1"/>
    <col min="776" max="776" width="14.42578125" style="243" customWidth="1"/>
    <col min="777" max="778" width="1" style="243" customWidth="1"/>
    <col min="779" max="833" width="0" style="243" hidden="1" customWidth="1"/>
    <col min="834" max="835" width="1" style="243" customWidth="1"/>
    <col min="836" max="836" width="17.85546875" style="243" customWidth="1"/>
    <col min="837" max="840" width="1" style="243" customWidth="1"/>
    <col min="841" max="841" width="14.42578125" style="243" customWidth="1"/>
    <col min="842" max="843" width="1" style="243" customWidth="1"/>
    <col min="844" max="844" width="2" style="243" customWidth="1"/>
    <col min="845" max="845" width="3.85546875" style="243" customWidth="1"/>
    <col min="846" max="846" width="15.7109375" style="243" customWidth="1"/>
    <col min="847" max="847" width="12.85546875" style="243" bestFit="1" customWidth="1"/>
    <col min="848" max="848" width="13.85546875" style="243" customWidth="1"/>
    <col min="849" max="849" width="12.85546875" style="243" bestFit="1" customWidth="1"/>
    <col min="850" max="955" width="10" style="243"/>
    <col min="956" max="957" width="0" style="243" hidden="1" customWidth="1"/>
    <col min="958" max="958" width="1" style="243" customWidth="1"/>
    <col min="959" max="959" width="56" style="243" customWidth="1"/>
    <col min="960" max="961" width="1" style="243" customWidth="1"/>
    <col min="962" max="962" width="14.42578125" style="243" customWidth="1"/>
    <col min="963" max="964" width="1" style="243" customWidth="1"/>
    <col min="965" max="1019" width="0" style="243" hidden="1" customWidth="1"/>
    <col min="1020" max="1021" width="1" style="243" customWidth="1"/>
    <col min="1022" max="1022" width="17.85546875" style="243" customWidth="1"/>
    <col min="1023" max="1026" width="1" style="243" customWidth="1"/>
    <col min="1027" max="1027" width="14.42578125" style="243" customWidth="1"/>
    <col min="1028" max="1031" width="1" style="243" customWidth="1"/>
    <col min="1032" max="1032" width="14.42578125" style="243" customWidth="1"/>
    <col min="1033" max="1034" width="1" style="243" customWidth="1"/>
    <col min="1035" max="1089" width="0" style="243" hidden="1" customWidth="1"/>
    <col min="1090" max="1091" width="1" style="243" customWidth="1"/>
    <col min="1092" max="1092" width="17.85546875" style="243" customWidth="1"/>
    <col min="1093" max="1096" width="1" style="243" customWidth="1"/>
    <col min="1097" max="1097" width="14.42578125" style="243" customWidth="1"/>
    <col min="1098" max="1099" width="1" style="243" customWidth="1"/>
    <col min="1100" max="1100" width="2" style="243" customWidth="1"/>
    <col min="1101" max="1101" width="3.85546875" style="243" customWidth="1"/>
    <col min="1102" max="1102" width="15.7109375" style="243" customWidth="1"/>
    <col min="1103" max="1103" width="12.85546875" style="243" bestFit="1" customWidth="1"/>
    <col min="1104" max="1104" width="13.85546875" style="243" customWidth="1"/>
    <col min="1105" max="1105" width="12.85546875" style="243" bestFit="1" customWidth="1"/>
    <col min="1106" max="1211" width="10" style="243"/>
    <col min="1212" max="1213" width="0" style="243" hidden="1" customWidth="1"/>
    <col min="1214" max="1214" width="1" style="243" customWidth="1"/>
    <col min="1215" max="1215" width="56" style="243" customWidth="1"/>
    <col min="1216" max="1217" width="1" style="243" customWidth="1"/>
    <col min="1218" max="1218" width="14.42578125" style="243" customWidth="1"/>
    <col min="1219" max="1220" width="1" style="243" customWidth="1"/>
    <col min="1221" max="1275" width="0" style="243" hidden="1" customWidth="1"/>
    <col min="1276" max="1277" width="1" style="243" customWidth="1"/>
    <col min="1278" max="1278" width="17.85546875" style="243" customWidth="1"/>
    <col min="1279" max="1282" width="1" style="243" customWidth="1"/>
    <col min="1283" max="1283" width="14.42578125" style="243" customWidth="1"/>
    <col min="1284" max="1287" width="1" style="243" customWidth="1"/>
    <col min="1288" max="1288" width="14.42578125" style="243" customWidth="1"/>
    <col min="1289" max="1290" width="1" style="243" customWidth="1"/>
    <col min="1291" max="1345" width="0" style="243" hidden="1" customWidth="1"/>
    <col min="1346" max="1347" width="1" style="243" customWidth="1"/>
    <col min="1348" max="1348" width="17.85546875" style="243" customWidth="1"/>
    <col min="1349" max="1352" width="1" style="243" customWidth="1"/>
    <col min="1353" max="1353" width="14.42578125" style="243" customWidth="1"/>
    <col min="1354" max="1355" width="1" style="243" customWidth="1"/>
    <col min="1356" max="1356" width="2" style="243" customWidth="1"/>
    <col min="1357" max="1357" width="3.85546875" style="243" customWidth="1"/>
    <col min="1358" max="1358" width="15.7109375" style="243" customWidth="1"/>
    <col min="1359" max="1359" width="12.85546875" style="243" bestFit="1" customWidth="1"/>
    <col min="1360" max="1360" width="13.85546875" style="243" customWidth="1"/>
    <col min="1361" max="1361" width="12.85546875" style="243" bestFit="1" customWidth="1"/>
    <col min="1362" max="1467" width="10" style="243"/>
    <col min="1468" max="1469" width="0" style="243" hidden="1" customWidth="1"/>
    <col min="1470" max="1470" width="1" style="243" customWidth="1"/>
    <col min="1471" max="1471" width="56" style="243" customWidth="1"/>
    <col min="1472" max="1473" width="1" style="243" customWidth="1"/>
    <col min="1474" max="1474" width="14.42578125" style="243" customWidth="1"/>
    <col min="1475" max="1476" width="1" style="243" customWidth="1"/>
    <col min="1477" max="1531" width="0" style="243" hidden="1" customWidth="1"/>
    <col min="1532" max="1533" width="1" style="243" customWidth="1"/>
    <col min="1534" max="1534" width="17.85546875" style="243" customWidth="1"/>
    <col min="1535" max="1538" width="1" style="243" customWidth="1"/>
    <col min="1539" max="1539" width="14.42578125" style="243" customWidth="1"/>
    <col min="1540" max="1543" width="1" style="243" customWidth="1"/>
    <col min="1544" max="1544" width="14.42578125" style="243" customWidth="1"/>
    <col min="1545" max="1546" width="1" style="243" customWidth="1"/>
    <col min="1547" max="1601" width="0" style="243" hidden="1" customWidth="1"/>
    <col min="1602" max="1603" width="1" style="243" customWidth="1"/>
    <col min="1604" max="1604" width="17.85546875" style="243" customWidth="1"/>
    <col min="1605" max="1608" width="1" style="243" customWidth="1"/>
    <col min="1609" max="1609" width="14.42578125" style="243" customWidth="1"/>
    <col min="1610" max="1611" width="1" style="243" customWidth="1"/>
    <col min="1612" max="1612" width="2" style="243" customWidth="1"/>
    <col min="1613" max="1613" width="3.85546875" style="243" customWidth="1"/>
    <col min="1614" max="1614" width="15.7109375" style="243" customWidth="1"/>
    <col min="1615" max="1615" width="12.85546875" style="243" bestFit="1" customWidth="1"/>
    <col min="1616" max="1616" width="13.85546875" style="243" customWidth="1"/>
    <col min="1617" max="1617" width="12.85546875" style="243" bestFit="1" customWidth="1"/>
    <col min="1618" max="1723" width="10" style="243"/>
    <col min="1724" max="1725" width="0" style="243" hidden="1" customWidth="1"/>
    <col min="1726" max="1726" width="1" style="243" customWidth="1"/>
    <col min="1727" max="1727" width="56" style="243" customWidth="1"/>
    <col min="1728" max="1729" width="1" style="243" customWidth="1"/>
    <col min="1730" max="1730" width="14.42578125" style="243" customWidth="1"/>
    <col min="1731" max="1732" width="1" style="243" customWidth="1"/>
    <col min="1733" max="1787" width="0" style="243" hidden="1" customWidth="1"/>
    <col min="1788" max="1789" width="1" style="243" customWidth="1"/>
    <col min="1790" max="1790" width="17.85546875" style="243" customWidth="1"/>
    <col min="1791" max="1794" width="1" style="243" customWidth="1"/>
    <col min="1795" max="1795" width="14.42578125" style="243" customWidth="1"/>
    <col min="1796" max="1799" width="1" style="243" customWidth="1"/>
    <col min="1800" max="1800" width="14.42578125" style="243" customWidth="1"/>
    <col min="1801" max="1802" width="1" style="243" customWidth="1"/>
    <col min="1803" max="1857" width="0" style="243" hidden="1" customWidth="1"/>
    <col min="1858" max="1859" width="1" style="243" customWidth="1"/>
    <col min="1860" max="1860" width="17.85546875" style="243" customWidth="1"/>
    <col min="1861" max="1864" width="1" style="243" customWidth="1"/>
    <col min="1865" max="1865" width="14.42578125" style="243" customWidth="1"/>
    <col min="1866" max="1867" width="1" style="243" customWidth="1"/>
    <col min="1868" max="1868" width="2" style="243" customWidth="1"/>
    <col min="1869" max="1869" width="3.85546875" style="243" customWidth="1"/>
    <col min="1870" max="1870" width="15.7109375" style="243" customWidth="1"/>
    <col min="1871" max="1871" width="12.85546875" style="243" bestFit="1" customWidth="1"/>
    <col min="1872" max="1872" width="13.85546875" style="243" customWidth="1"/>
    <col min="1873" max="1873" width="12.85546875" style="243" bestFit="1" customWidth="1"/>
    <col min="1874" max="1979" width="10" style="243"/>
    <col min="1980" max="1981" width="0" style="243" hidden="1" customWidth="1"/>
    <col min="1982" max="1982" width="1" style="243" customWidth="1"/>
    <col min="1983" max="1983" width="56" style="243" customWidth="1"/>
    <col min="1984" max="1985" width="1" style="243" customWidth="1"/>
    <col min="1986" max="1986" width="14.42578125" style="243" customWidth="1"/>
    <col min="1987" max="1988" width="1" style="243" customWidth="1"/>
    <col min="1989" max="2043" width="0" style="243" hidden="1" customWidth="1"/>
    <col min="2044" max="2045" width="1" style="243" customWidth="1"/>
    <col min="2046" max="2046" width="17.85546875" style="243" customWidth="1"/>
    <col min="2047" max="2050" width="1" style="243" customWidth="1"/>
    <col min="2051" max="2051" width="14.42578125" style="243" customWidth="1"/>
    <col min="2052" max="2055" width="1" style="243" customWidth="1"/>
    <col min="2056" max="2056" width="14.42578125" style="243" customWidth="1"/>
    <col min="2057" max="2058" width="1" style="243" customWidth="1"/>
    <col min="2059" max="2113" width="0" style="243" hidden="1" customWidth="1"/>
    <col min="2114" max="2115" width="1" style="243" customWidth="1"/>
    <col min="2116" max="2116" width="17.85546875" style="243" customWidth="1"/>
    <col min="2117" max="2120" width="1" style="243" customWidth="1"/>
    <col min="2121" max="2121" width="14.42578125" style="243" customWidth="1"/>
    <col min="2122" max="2123" width="1" style="243" customWidth="1"/>
    <col min="2124" max="2124" width="2" style="243" customWidth="1"/>
    <col min="2125" max="2125" width="3.85546875" style="243" customWidth="1"/>
    <col min="2126" max="2126" width="15.7109375" style="243" customWidth="1"/>
    <col min="2127" max="2127" width="12.85546875" style="243" bestFit="1" customWidth="1"/>
    <col min="2128" max="2128" width="13.85546875" style="243" customWidth="1"/>
    <col min="2129" max="2129" width="12.85546875" style="243" bestFit="1" customWidth="1"/>
    <col min="2130" max="2235" width="10" style="243"/>
    <col min="2236" max="2237" width="0" style="243" hidden="1" customWidth="1"/>
    <col min="2238" max="2238" width="1" style="243" customWidth="1"/>
    <col min="2239" max="2239" width="56" style="243" customWidth="1"/>
    <col min="2240" max="2241" width="1" style="243" customWidth="1"/>
    <col min="2242" max="2242" width="14.42578125" style="243" customWidth="1"/>
    <col min="2243" max="2244" width="1" style="243" customWidth="1"/>
    <col min="2245" max="2299" width="0" style="243" hidden="1" customWidth="1"/>
    <col min="2300" max="2301" width="1" style="243" customWidth="1"/>
    <col min="2302" max="2302" width="17.85546875" style="243" customWidth="1"/>
    <col min="2303" max="2306" width="1" style="243" customWidth="1"/>
    <col min="2307" max="2307" width="14.42578125" style="243" customWidth="1"/>
    <col min="2308" max="2311" width="1" style="243" customWidth="1"/>
    <col min="2312" max="2312" width="14.42578125" style="243" customWidth="1"/>
    <col min="2313" max="2314" width="1" style="243" customWidth="1"/>
    <col min="2315" max="2369" width="0" style="243" hidden="1" customWidth="1"/>
    <col min="2370" max="2371" width="1" style="243" customWidth="1"/>
    <col min="2372" max="2372" width="17.85546875" style="243" customWidth="1"/>
    <col min="2373" max="2376" width="1" style="243" customWidth="1"/>
    <col min="2377" max="2377" width="14.42578125" style="243" customWidth="1"/>
    <col min="2378" max="2379" width="1" style="243" customWidth="1"/>
    <col min="2380" max="2380" width="2" style="243" customWidth="1"/>
    <col min="2381" max="2381" width="3.85546875" style="243" customWidth="1"/>
    <col min="2382" max="2382" width="15.7109375" style="243" customWidth="1"/>
    <col min="2383" max="2383" width="12.85546875" style="243" bestFit="1" customWidth="1"/>
    <col min="2384" max="2384" width="13.85546875" style="243" customWidth="1"/>
    <col min="2385" max="2385" width="12.85546875" style="243" bestFit="1" customWidth="1"/>
    <col min="2386" max="2491" width="10" style="243"/>
    <col min="2492" max="2493" width="0" style="243" hidden="1" customWidth="1"/>
    <col min="2494" max="2494" width="1" style="243" customWidth="1"/>
    <col min="2495" max="2495" width="56" style="243" customWidth="1"/>
    <col min="2496" max="2497" width="1" style="243" customWidth="1"/>
    <col min="2498" max="2498" width="14.42578125" style="243" customWidth="1"/>
    <col min="2499" max="2500" width="1" style="243" customWidth="1"/>
    <col min="2501" max="2555" width="0" style="243" hidden="1" customWidth="1"/>
    <col min="2556" max="2557" width="1" style="243" customWidth="1"/>
    <col min="2558" max="2558" width="17.85546875" style="243" customWidth="1"/>
    <col min="2559" max="2562" width="1" style="243" customWidth="1"/>
    <col min="2563" max="2563" width="14.42578125" style="243" customWidth="1"/>
    <col min="2564" max="2567" width="1" style="243" customWidth="1"/>
    <col min="2568" max="2568" width="14.42578125" style="243" customWidth="1"/>
    <col min="2569" max="2570" width="1" style="243" customWidth="1"/>
    <col min="2571" max="2625" width="0" style="243" hidden="1" customWidth="1"/>
    <col min="2626" max="2627" width="1" style="243" customWidth="1"/>
    <col min="2628" max="2628" width="17.85546875" style="243" customWidth="1"/>
    <col min="2629" max="2632" width="1" style="243" customWidth="1"/>
    <col min="2633" max="2633" width="14.42578125" style="243" customWidth="1"/>
    <col min="2634" max="2635" width="1" style="243" customWidth="1"/>
    <col min="2636" max="2636" width="2" style="243" customWidth="1"/>
    <col min="2637" max="2637" width="3.85546875" style="243" customWidth="1"/>
    <col min="2638" max="2638" width="15.7109375" style="243" customWidth="1"/>
    <col min="2639" max="2639" width="12.85546875" style="243" bestFit="1" customWidth="1"/>
    <col min="2640" max="2640" width="13.85546875" style="243" customWidth="1"/>
    <col min="2641" max="2641" width="12.85546875" style="243" bestFit="1" customWidth="1"/>
    <col min="2642" max="2747" width="10" style="243"/>
    <col min="2748" max="2749" width="0" style="243" hidden="1" customWidth="1"/>
    <col min="2750" max="2750" width="1" style="243" customWidth="1"/>
    <col min="2751" max="2751" width="56" style="243" customWidth="1"/>
    <col min="2752" max="2753" width="1" style="243" customWidth="1"/>
    <col min="2754" max="2754" width="14.42578125" style="243" customWidth="1"/>
    <col min="2755" max="2756" width="1" style="243" customWidth="1"/>
    <col min="2757" max="2811" width="0" style="243" hidden="1" customWidth="1"/>
    <col min="2812" max="2813" width="1" style="243" customWidth="1"/>
    <col min="2814" max="2814" width="17.85546875" style="243" customWidth="1"/>
    <col min="2815" max="2818" width="1" style="243" customWidth="1"/>
    <col min="2819" max="2819" width="14.42578125" style="243" customWidth="1"/>
    <col min="2820" max="2823" width="1" style="243" customWidth="1"/>
    <col min="2824" max="2824" width="14.42578125" style="243" customWidth="1"/>
    <col min="2825" max="2826" width="1" style="243" customWidth="1"/>
    <col min="2827" max="2881" width="0" style="243" hidden="1" customWidth="1"/>
    <col min="2882" max="2883" width="1" style="243" customWidth="1"/>
    <col min="2884" max="2884" width="17.85546875" style="243" customWidth="1"/>
    <col min="2885" max="2888" width="1" style="243" customWidth="1"/>
    <col min="2889" max="2889" width="14.42578125" style="243" customWidth="1"/>
    <col min="2890" max="2891" width="1" style="243" customWidth="1"/>
    <col min="2892" max="2892" width="2" style="243" customWidth="1"/>
    <col min="2893" max="2893" width="3.85546875" style="243" customWidth="1"/>
    <col min="2894" max="2894" width="15.7109375" style="243" customWidth="1"/>
    <col min="2895" max="2895" width="12.85546875" style="243" bestFit="1" customWidth="1"/>
    <col min="2896" max="2896" width="13.85546875" style="243" customWidth="1"/>
    <col min="2897" max="2897" width="12.85546875" style="243" bestFit="1" customWidth="1"/>
    <col min="2898" max="3003" width="10" style="243"/>
    <col min="3004" max="3005" width="0" style="243" hidden="1" customWidth="1"/>
    <col min="3006" max="3006" width="1" style="243" customWidth="1"/>
    <col min="3007" max="3007" width="56" style="243" customWidth="1"/>
    <col min="3008" max="3009" width="1" style="243" customWidth="1"/>
    <col min="3010" max="3010" width="14.42578125" style="243" customWidth="1"/>
    <col min="3011" max="3012" width="1" style="243" customWidth="1"/>
    <col min="3013" max="3067" width="0" style="243" hidden="1" customWidth="1"/>
    <col min="3068" max="3069" width="1" style="243" customWidth="1"/>
    <col min="3070" max="3070" width="17.85546875" style="243" customWidth="1"/>
    <col min="3071" max="3074" width="1" style="243" customWidth="1"/>
    <col min="3075" max="3075" width="14.42578125" style="243" customWidth="1"/>
    <col min="3076" max="3079" width="1" style="243" customWidth="1"/>
    <col min="3080" max="3080" width="14.42578125" style="243" customWidth="1"/>
    <col min="3081" max="3082" width="1" style="243" customWidth="1"/>
    <col min="3083" max="3137" width="0" style="243" hidden="1" customWidth="1"/>
    <col min="3138" max="3139" width="1" style="243" customWidth="1"/>
    <col min="3140" max="3140" width="17.85546875" style="243" customWidth="1"/>
    <col min="3141" max="3144" width="1" style="243" customWidth="1"/>
    <col min="3145" max="3145" width="14.42578125" style="243" customWidth="1"/>
    <col min="3146" max="3147" width="1" style="243" customWidth="1"/>
    <col min="3148" max="3148" width="2" style="243" customWidth="1"/>
    <col min="3149" max="3149" width="3.85546875" style="243" customWidth="1"/>
    <col min="3150" max="3150" width="15.7109375" style="243" customWidth="1"/>
    <col min="3151" max="3151" width="12.85546875" style="243" bestFit="1" customWidth="1"/>
    <col min="3152" max="3152" width="13.85546875" style="243" customWidth="1"/>
    <col min="3153" max="3153" width="12.85546875" style="243" bestFit="1" customWidth="1"/>
    <col min="3154" max="3259" width="10" style="243"/>
    <col min="3260" max="3261" width="0" style="243" hidden="1" customWidth="1"/>
    <col min="3262" max="3262" width="1" style="243" customWidth="1"/>
    <col min="3263" max="3263" width="56" style="243" customWidth="1"/>
    <col min="3264" max="3265" width="1" style="243" customWidth="1"/>
    <col min="3266" max="3266" width="14.42578125" style="243" customWidth="1"/>
    <col min="3267" max="3268" width="1" style="243" customWidth="1"/>
    <col min="3269" max="3323" width="0" style="243" hidden="1" customWidth="1"/>
    <col min="3324" max="3325" width="1" style="243" customWidth="1"/>
    <col min="3326" max="3326" width="17.85546875" style="243" customWidth="1"/>
    <col min="3327" max="3330" width="1" style="243" customWidth="1"/>
    <col min="3331" max="3331" width="14.42578125" style="243" customWidth="1"/>
    <col min="3332" max="3335" width="1" style="243" customWidth="1"/>
    <col min="3336" max="3336" width="14.42578125" style="243" customWidth="1"/>
    <col min="3337" max="3338" width="1" style="243" customWidth="1"/>
    <col min="3339" max="3393" width="0" style="243" hidden="1" customWidth="1"/>
    <col min="3394" max="3395" width="1" style="243" customWidth="1"/>
    <col min="3396" max="3396" width="17.85546875" style="243" customWidth="1"/>
    <col min="3397" max="3400" width="1" style="243" customWidth="1"/>
    <col min="3401" max="3401" width="14.42578125" style="243" customWidth="1"/>
    <col min="3402" max="3403" width="1" style="243" customWidth="1"/>
    <col min="3404" max="3404" width="2" style="243" customWidth="1"/>
    <col min="3405" max="3405" width="3.85546875" style="243" customWidth="1"/>
    <col min="3406" max="3406" width="15.7109375" style="243" customWidth="1"/>
    <col min="3407" max="3407" width="12.85546875" style="243" bestFit="1" customWidth="1"/>
    <col min="3408" max="3408" width="13.85546875" style="243" customWidth="1"/>
    <col min="3409" max="3409" width="12.85546875" style="243" bestFit="1" customWidth="1"/>
    <col min="3410" max="3515" width="10" style="243"/>
    <col min="3516" max="3517" width="0" style="243" hidden="1" customWidth="1"/>
    <col min="3518" max="3518" width="1" style="243" customWidth="1"/>
    <col min="3519" max="3519" width="56" style="243" customWidth="1"/>
    <col min="3520" max="3521" width="1" style="243" customWidth="1"/>
    <col min="3522" max="3522" width="14.42578125" style="243" customWidth="1"/>
    <col min="3523" max="3524" width="1" style="243" customWidth="1"/>
    <col min="3525" max="3579" width="0" style="243" hidden="1" customWidth="1"/>
    <col min="3580" max="3581" width="1" style="243" customWidth="1"/>
    <col min="3582" max="3582" width="17.85546875" style="243" customWidth="1"/>
    <col min="3583" max="3586" width="1" style="243" customWidth="1"/>
    <col min="3587" max="3587" width="14.42578125" style="243" customWidth="1"/>
    <col min="3588" max="3591" width="1" style="243" customWidth="1"/>
    <col min="3592" max="3592" width="14.42578125" style="243" customWidth="1"/>
    <col min="3593" max="3594" width="1" style="243" customWidth="1"/>
    <col min="3595" max="3649" width="0" style="243" hidden="1" customWidth="1"/>
    <col min="3650" max="3651" width="1" style="243" customWidth="1"/>
    <col min="3652" max="3652" width="17.85546875" style="243" customWidth="1"/>
    <col min="3653" max="3656" width="1" style="243" customWidth="1"/>
    <col min="3657" max="3657" width="14.42578125" style="243" customWidth="1"/>
    <col min="3658" max="3659" width="1" style="243" customWidth="1"/>
    <col min="3660" max="3660" width="2" style="243" customWidth="1"/>
    <col min="3661" max="3661" width="3.85546875" style="243" customWidth="1"/>
    <col min="3662" max="3662" width="15.7109375" style="243" customWidth="1"/>
    <col min="3663" max="3663" width="12.85546875" style="243" bestFit="1" customWidth="1"/>
    <col min="3664" max="3664" width="13.85546875" style="243" customWidth="1"/>
    <col min="3665" max="3665" width="12.85546875" style="243" bestFit="1" customWidth="1"/>
    <col min="3666" max="3771" width="10" style="243"/>
    <col min="3772" max="3773" width="0" style="243" hidden="1" customWidth="1"/>
    <col min="3774" max="3774" width="1" style="243" customWidth="1"/>
    <col min="3775" max="3775" width="56" style="243" customWidth="1"/>
    <col min="3776" max="3777" width="1" style="243" customWidth="1"/>
    <col min="3778" max="3778" width="14.42578125" style="243" customWidth="1"/>
    <col min="3779" max="3780" width="1" style="243" customWidth="1"/>
    <col min="3781" max="3835" width="0" style="243" hidden="1" customWidth="1"/>
    <col min="3836" max="3837" width="1" style="243" customWidth="1"/>
    <col min="3838" max="3838" width="17.85546875" style="243" customWidth="1"/>
    <col min="3839" max="3842" width="1" style="243" customWidth="1"/>
    <col min="3843" max="3843" width="14.42578125" style="243" customWidth="1"/>
    <col min="3844" max="3847" width="1" style="243" customWidth="1"/>
    <col min="3848" max="3848" width="14.42578125" style="243" customWidth="1"/>
    <col min="3849" max="3850" width="1" style="243" customWidth="1"/>
    <col min="3851" max="3905" width="0" style="243" hidden="1" customWidth="1"/>
    <col min="3906" max="3907" width="1" style="243" customWidth="1"/>
    <col min="3908" max="3908" width="17.85546875" style="243" customWidth="1"/>
    <col min="3909" max="3912" width="1" style="243" customWidth="1"/>
    <col min="3913" max="3913" width="14.42578125" style="243" customWidth="1"/>
    <col min="3914" max="3915" width="1" style="243" customWidth="1"/>
    <col min="3916" max="3916" width="2" style="243" customWidth="1"/>
    <col min="3917" max="3917" width="3.85546875" style="243" customWidth="1"/>
    <col min="3918" max="3918" width="15.7109375" style="243" customWidth="1"/>
    <col min="3919" max="3919" width="12.85546875" style="243" bestFit="1" customWidth="1"/>
    <col min="3920" max="3920" width="13.85546875" style="243" customWidth="1"/>
    <col min="3921" max="3921" width="12.85546875" style="243" bestFit="1" customWidth="1"/>
    <col min="3922" max="4027" width="10" style="243"/>
    <col min="4028" max="4029" width="0" style="243" hidden="1" customWidth="1"/>
    <col min="4030" max="4030" width="1" style="243" customWidth="1"/>
    <col min="4031" max="4031" width="56" style="243" customWidth="1"/>
    <col min="4032" max="4033" width="1" style="243" customWidth="1"/>
    <col min="4034" max="4034" width="14.42578125" style="243" customWidth="1"/>
    <col min="4035" max="4036" width="1" style="243" customWidth="1"/>
    <col min="4037" max="4091" width="0" style="243" hidden="1" customWidth="1"/>
    <col min="4092" max="4093" width="1" style="243" customWidth="1"/>
    <col min="4094" max="4094" width="17.85546875" style="243" customWidth="1"/>
    <col min="4095" max="4098" width="1" style="243" customWidth="1"/>
    <col min="4099" max="4099" width="14.42578125" style="243" customWidth="1"/>
    <col min="4100" max="4103" width="1" style="243" customWidth="1"/>
    <col min="4104" max="4104" width="14.42578125" style="243" customWidth="1"/>
    <col min="4105" max="4106" width="1" style="243" customWidth="1"/>
    <col min="4107" max="4161" width="0" style="243" hidden="1" customWidth="1"/>
    <col min="4162" max="4163" width="1" style="243" customWidth="1"/>
    <col min="4164" max="4164" width="17.85546875" style="243" customWidth="1"/>
    <col min="4165" max="4168" width="1" style="243" customWidth="1"/>
    <col min="4169" max="4169" width="14.42578125" style="243" customWidth="1"/>
    <col min="4170" max="4171" width="1" style="243" customWidth="1"/>
    <col min="4172" max="4172" width="2" style="243" customWidth="1"/>
    <col min="4173" max="4173" width="3.85546875" style="243" customWidth="1"/>
    <col min="4174" max="4174" width="15.7109375" style="243" customWidth="1"/>
    <col min="4175" max="4175" width="12.85546875" style="243" bestFit="1" customWidth="1"/>
    <col min="4176" max="4176" width="13.85546875" style="243" customWidth="1"/>
    <col min="4177" max="4177" width="12.85546875" style="243" bestFit="1" customWidth="1"/>
    <col min="4178" max="4283" width="10" style="243"/>
    <col min="4284" max="4285" width="0" style="243" hidden="1" customWidth="1"/>
    <col min="4286" max="4286" width="1" style="243" customWidth="1"/>
    <col min="4287" max="4287" width="56" style="243" customWidth="1"/>
    <col min="4288" max="4289" width="1" style="243" customWidth="1"/>
    <col min="4290" max="4290" width="14.42578125" style="243" customWidth="1"/>
    <col min="4291" max="4292" width="1" style="243" customWidth="1"/>
    <col min="4293" max="4347" width="0" style="243" hidden="1" customWidth="1"/>
    <col min="4348" max="4349" width="1" style="243" customWidth="1"/>
    <col min="4350" max="4350" width="17.85546875" style="243" customWidth="1"/>
    <col min="4351" max="4354" width="1" style="243" customWidth="1"/>
    <col min="4355" max="4355" width="14.42578125" style="243" customWidth="1"/>
    <col min="4356" max="4359" width="1" style="243" customWidth="1"/>
    <col min="4360" max="4360" width="14.42578125" style="243" customWidth="1"/>
    <col min="4361" max="4362" width="1" style="243" customWidth="1"/>
    <col min="4363" max="4417" width="0" style="243" hidden="1" customWidth="1"/>
    <col min="4418" max="4419" width="1" style="243" customWidth="1"/>
    <col min="4420" max="4420" width="17.85546875" style="243" customWidth="1"/>
    <col min="4421" max="4424" width="1" style="243" customWidth="1"/>
    <col min="4425" max="4425" width="14.42578125" style="243" customWidth="1"/>
    <col min="4426" max="4427" width="1" style="243" customWidth="1"/>
    <col min="4428" max="4428" width="2" style="243" customWidth="1"/>
    <col min="4429" max="4429" width="3.85546875" style="243" customWidth="1"/>
    <col min="4430" max="4430" width="15.7109375" style="243" customWidth="1"/>
    <col min="4431" max="4431" width="12.85546875" style="243" bestFit="1" customWidth="1"/>
    <col min="4432" max="4432" width="13.85546875" style="243" customWidth="1"/>
    <col min="4433" max="4433" width="12.85546875" style="243" bestFit="1" customWidth="1"/>
    <col min="4434" max="4539" width="10" style="243"/>
    <col min="4540" max="4541" width="0" style="243" hidden="1" customWidth="1"/>
    <col min="4542" max="4542" width="1" style="243" customWidth="1"/>
    <col min="4543" max="4543" width="56" style="243" customWidth="1"/>
    <col min="4544" max="4545" width="1" style="243" customWidth="1"/>
    <col min="4546" max="4546" width="14.42578125" style="243" customWidth="1"/>
    <col min="4547" max="4548" width="1" style="243" customWidth="1"/>
    <col min="4549" max="4603" width="0" style="243" hidden="1" customWidth="1"/>
    <col min="4604" max="4605" width="1" style="243" customWidth="1"/>
    <col min="4606" max="4606" width="17.85546875" style="243" customWidth="1"/>
    <col min="4607" max="4610" width="1" style="243" customWidth="1"/>
    <col min="4611" max="4611" width="14.42578125" style="243" customWidth="1"/>
    <col min="4612" max="4615" width="1" style="243" customWidth="1"/>
    <col min="4616" max="4616" width="14.42578125" style="243" customWidth="1"/>
    <col min="4617" max="4618" width="1" style="243" customWidth="1"/>
    <col min="4619" max="4673" width="0" style="243" hidden="1" customWidth="1"/>
    <col min="4674" max="4675" width="1" style="243" customWidth="1"/>
    <col min="4676" max="4676" width="17.85546875" style="243" customWidth="1"/>
    <col min="4677" max="4680" width="1" style="243" customWidth="1"/>
    <col min="4681" max="4681" width="14.42578125" style="243" customWidth="1"/>
    <col min="4682" max="4683" width="1" style="243" customWidth="1"/>
    <col min="4684" max="4684" width="2" style="243" customWidth="1"/>
    <col min="4685" max="4685" width="3.85546875" style="243" customWidth="1"/>
    <col min="4686" max="4686" width="15.7109375" style="243" customWidth="1"/>
    <col min="4687" max="4687" width="12.85546875" style="243" bestFit="1" customWidth="1"/>
    <col min="4688" max="4688" width="13.85546875" style="243" customWidth="1"/>
    <col min="4689" max="4689" width="12.85546875" style="243" bestFit="1" customWidth="1"/>
    <col min="4690" max="4795" width="10" style="243"/>
    <col min="4796" max="4797" width="0" style="243" hidden="1" customWidth="1"/>
    <col min="4798" max="4798" width="1" style="243" customWidth="1"/>
    <col min="4799" max="4799" width="56" style="243" customWidth="1"/>
    <col min="4800" max="4801" width="1" style="243" customWidth="1"/>
    <col min="4802" max="4802" width="14.42578125" style="243" customWidth="1"/>
    <col min="4803" max="4804" width="1" style="243" customWidth="1"/>
    <col min="4805" max="4859" width="0" style="243" hidden="1" customWidth="1"/>
    <col min="4860" max="4861" width="1" style="243" customWidth="1"/>
    <col min="4862" max="4862" width="17.85546875" style="243" customWidth="1"/>
    <col min="4863" max="4866" width="1" style="243" customWidth="1"/>
    <col min="4867" max="4867" width="14.42578125" style="243" customWidth="1"/>
    <col min="4868" max="4871" width="1" style="243" customWidth="1"/>
    <col min="4872" max="4872" width="14.42578125" style="243" customWidth="1"/>
    <col min="4873" max="4874" width="1" style="243" customWidth="1"/>
    <col min="4875" max="4929" width="0" style="243" hidden="1" customWidth="1"/>
    <col min="4930" max="4931" width="1" style="243" customWidth="1"/>
    <col min="4932" max="4932" width="17.85546875" style="243" customWidth="1"/>
    <col min="4933" max="4936" width="1" style="243" customWidth="1"/>
    <col min="4937" max="4937" width="14.42578125" style="243" customWidth="1"/>
    <col min="4938" max="4939" width="1" style="243" customWidth="1"/>
    <col min="4940" max="4940" width="2" style="243" customWidth="1"/>
    <col min="4941" max="4941" width="3.85546875" style="243" customWidth="1"/>
    <col min="4942" max="4942" width="15.7109375" style="243" customWidth="1"/>
    <col min="4943" max="4943" width="12.85546875" style="243" bestFit="1" customWidth="1"/>
    <col min="4944" max="4944" width="13.85546875" style="243" customWidth="1"/>
    <col min="4945" max="4945" width="12.85546875" style="243" bestFit="1" customWidth="1"/>
    <col min="4946" max="5051" width="10" style="243"/>
    <col min="5052" max="5053" width="0" style="243" hidden="1" customWidth="1"/>
    <col min="5054" max="5054" width="1" style="243" customWidth="1"/>
    <col min="5055" max="5055" width="56" style="243" customWidth="1"/>
    <col min="5056" max="5057" width="1" style="243" customWidth="1"/>
    <col min="5058" max="5058" width="14.42578125" style="243" customWidth="1"/>
    <col min="5059" max="5060" width="1" style="243" customWidth="1"/>
    <col min="5061" max="5115" width="0" style="243" hidden="1" customWidth="1"/>
    <col min="5116" max="5117" width="1" style="243" customWidth="1"/>
    <col min="5118" max="5118" width="17.85546875" style="243" customWidth="1"/>
    <col min="5119" max="5122" width="1" style="243" customWidth="1"/>
    <col min="5123" max="5123" width="14.42578125" style="243" customWidth="1"/>
    <col min="5124" max="5127" width="1" style="243" customWidth="1"/>
    <col min="5128" max="5128" width="14.42578125" style="243" customWidth="1"/>
    <col min="5129" max="5130" width="1" style="243" customWidth="1"/>
    <col min="5131" max="5185" width="0" style="243" hidden="1" customWidth="1"/>
    <col min="5186" max="5187" width="1" style="243" customWidth="1"/>
    <col min="5188" max="5188" width="17.85546875" style="243" customWidth="1"/>
    <col min="5189" max="5192" width="1" style="243" customWidth="1"/>
    <col min="5193" max="5193" width="14.42578125" style="243" customWidth="1"/>
    <col min="5194" max="5195" width="1" style="243" customWidth="1"/>
    <col min="5196" max="5196" width="2" style="243" customWidth="1"/>
    <col min="5197" max="5197" width="3.85546875" style="243" customWidth="1"/>
    <col min="5198" max="5198" width="15.7109375" style="243" customWidth="1"/>
    <col min="5199" max="5199" width="12.85546875" style="243" bestFit="1" customWidth="1"/>
    <col min="5200" max="5200" width="13.85546875" style="243" customWidth="1"/>
    <col min="5201" max="5201" width="12.85546875" style="243" bestFit="1" customWidth="1"/>
    <col min="5202" max="5307" width="10" style="243"/>
    <col min="5308" max="5309" width="0" style="243" hidden="1" customWidth="1"/>
    <col min="5310" max="5310" width="1" style="243" customWidth="1"/>
    <col min="5311" max="5311" width="56" style="243" customWidth="1"/>
    <col min="5312" max="5313" width="1" style="243" customWidth="1"/>
    <col min="5314" max="5314" width="14.42578125" style="243" customWidth="1"/>
    <col min="5315" max="5316" width="1" style="243" customWidth="1"/>
    <col min="5317" max="5371" width="0" style="243" hidden="1" customWidth="1"/>
    <col min="5372" max="5373" width="1" style="243" customWidth="1"/>
    <col min="5374" max="5374" width="17.85546875" style="243" customWidth="1"/>
    <col min="5375" max="5378" width="1" style="243" customWidth="1"/>
    <col min="5379" max="5379" width="14.42578125" style="243" customWidth="1"/>
    <col min="5380" max="5383" width="1" style="243" customWidth="1"/>
    <col min="5384" max="5384" width="14.42578125" style="243" customWidth="1"/>
    <col min="5385" max="5386" width="1" style="243" customWidth="1"/>
    <col min="5387" max="5441" width="0" style="243" hidden="1" customWidth="1"/>
    <col min="5442" max="5443" width="1" style="243" customWidth="1"/>
    <col min="5444" max="5444" width="17.85546875" style="243" customWidth="1"/>
    <col min="5445" max="5448" width="1" style="243" customWidth="1"/>
    <col min="5449" max="5449" width="14.42578125" style="243" customWidth="1"/>
    <col min="5450" max="5451" width="1" style="243" customWidth="1"/>
    <col min="5452" max="5452" width="2" style="243" customWidth="1"/>
    <col min="5453" max="5453" width="3.85546875" style="243" customWidth="1"/>
    <col min="5454" max="5454" width="15.7109375" style="243" customWidth="1"/>
    <col min="5455" max="5455" width="12.85546875" style="243" bestFit="1" customWidth="1"/>
    <col min="5456" max="5456" width="13.85546875" style="243" customWidth="1"/>
    <col min="5457" max="5457" width="12.85546875" style="243" bestFit="1" customWidth="1"/>
    <col min="5458" max="5563" width="10" style="243"/>
    <col min="5564" max="5565" width="0" style="243" hidden="1" customWidth="1"/>
    <col min="5566" max="5566" width="1" style="243" customWidth="1"/>
    <col min="5567" max="5567" width="56" style="243" customWidth="1"/>
    <col min="5568" max="5569" width="1" style="243" customWidth="1"/>
    <col min="5570" max="5570" width="14.42578125" style="243" customWidth="1"/>
    <col min="5571" max="5572" width="1" style="243" customWidth="1"/>
    <col min="5573" max="5627" width="0" style="243" hidden="1" customWidth="1"/>
    <col min="5628" max="5629" width="1" style="243" customWidth="1"/>
    <col min="5630" max="5630" width="17.85546875" style="243" customWidth="1"/>
    <col min="5631" max="5634" width="1" style="243" customWidth="1"/>
    <col min="5635" max="5635" width="14.42578125" style="243" customWidth="1"/>
    <col min="5636" max="5639" width="1" style="243" customWidth="1"/>
    <col min="5640" max="5640" width="14.42578125" style="243" customWidth="1"/>
    <col min="5641" max="5642" width="1" style="243" customWidth="1"/>
    <col min="5643" max="5697" width="0" style="243" hidden="1" customWidth="1"/>
    <col min="5698" max="5699" width="1" style="243" customWidth="1"/>
    <col min="5700" max="5700" width="17.85546875" style="243" customWidth="1"/>
    <col min="5701" max="5704" width="1" style="243" customWidth="1"/>
    <col min="5705" max="5705" width="14.42578125" style="243" customWidth="1"/>
    <col min="5706" max="5707" width="1" style="243" customWidth="1"/>
    <col min="5708" max="5708" width="2" style="243" customWidth="1"/>
    <col min="5709" max="5709" width="3.85546875" style="243" customWidth="1"/>
    <col min="5710" max="5710" width="15.7109375" style="243" customWidth="1"/>
    <col min="5711" max="5711" width="12.85546875" style="243" bestFit="1" customWidth="1"/>
    <col min="5712" max="5712" width="13.85546875" style="243" customWidth="1"/>
    <col min="5713" max="5713" width="12.85546875" style="243" bestFit="1" customWidth="1"/>
    <col min="5714" max="5819" width="10" style="243"/>
    <col min="5820" max="5821" width="0" style="243" hidden="1" customWidth="1"/>
    <col min="5822" max="5822" width="1" style="243" customWidth="1"/>
    <col min="5823" max="5823" width="56" style="243" customWidth="1"/>
    <col min="5824" max="5825" width="1" style="243" customWidth="1"/>
    <col min="5826" max="5826" width="14.42578125" style="243" customWidth="1"/>
    <col min="5827" max="5828" width="1" style="243" customWidth="1"/>
    <col min="5829" max="5883" width="0" style="243" hidden="1" customWidth="1"/>
    <col min="5884" max="5885" width="1" style="243" customWidth="1"/>
    <col min="5886" max="5886" width="17.85546875" style="243" customWidth="1"/>
    <col min="5887" max="5890" width="1" style="243" customWidth="1"/>
    <col min="5891" max="5891" width="14.42578125" style="243" customWidth="1"/>
    <col min="5892" max="5895" width="1" style="243" customWidth="1"/>
    <col min="5896" max="5896" width="14.42578125" style="243" customWidth="1"/>
    <col min="5897" max="5898" width="1" style="243" customWidth="1"/>
    <col min="5899" max="5953" width="0" style="243" hidden="1" customWidth="1"/>
    <col min="5954" max="5955" width="1" style="243" customWidth="1"/>
    <col min="5956" max="5956" width="17.85546875" style="243" customWidth="1"/>
    <col min="5957" max="5960" width="1" style="243" customWidth="1"/>
    <col min="5961" max="5961" width="14.42578125" style="243" customWidth="1"/>
    <col min="5962" max="5963" width="1" style="243" customWidth="1"/>
    <col min="5964" max="5964" width="2" style="243" customWidth="1"/>
    <col min="5965" max="5965" width="3.85546875" style="243" customWidth="1"/>
    <col min="5966" max="5966" width="15.7109375" style="243" customWidth="1"/>
    <col min="5967" max="5967" width="12.85546875" style="243" bestFit="1" customWidth="1"/>
    <col min="5968" max="5968" width="13.85546875" style="243" customWidth="1"/>
    <col min="5969" max="5969" width="12.85546875" style="243" bestFit="1" customWidth="1"/>
    <col min="5970" max="6075" width="10" style="243"/>
    <col min="6076" max="6077" width="0" style="243" hidden="1" customWidth="1"/>
    <col min="6078" max="6078" width="1" style="243" customWidth="1"/>
    <col min="6079" max="6079" width="56" style="243" customWidth="1"/>
    <col min="6080" max="6081" width="1" style="243" customWidth="1"/>
    <col min="6082" max="6082" width="14.42578125" style="243" customWidth="1"/>
    <col min="6083" max="6084" width="1" style="243" customWidth="1"/>
    <col min="6085" max="6139" width="0" style="243" hidden="1" customWidth="1"/>
    <col min="6140" max="6141" width="1" style="243" customWidth="1"/>
    <col min="6142" max="6142" width="17.85546875" style="243" customWidth="1"/>
    <col min="6143" max="6146" width="1" style="243" customWidth="1"/>
    <col min="6147" max="6147" width="14.42578125" style="243" customWidth="1"/>
    <col min="6148" max="6151" width="1" style="243" customWidth="1"/>
    <col min="6152" max="6152" width="14.42578125" style="243" customWidth="1"/>
    <col min="6153" max="6154" width="1" style="243" customWidth="1"/>
    <col min="6155" max="6209" width="0" style="243" hidden="1" customWidth="1"/>
    <col min="6210" max="6211" width="1" style="243" customWidth="1"/>
    <col min="6212" max="6212" width="17.85546875" style="243" customWidth="1"/>
    <col min="6213" max="6216" width="1" style="243" customWidth="1"/>
    <col min="6217" max="6217" width="14.42578125" style="243" customWidth="1"/>
    <col min="6218" max="6219" width="1" style="243" customWidth="1"/>
    <col min="6220" max="6220" width="2" style="243" customWidth="1"/>
    <col min="6221" max="6221" width="3.85546875" style="243" customWidth="1"/>
    <col min="6222" max="6222" width="15.7109375" style="243" customWidth="1"/>
    <col min="6223" max="6223" width="12.85546875" style="243" bestFit="1" customWidth="1"/>
    <col min="6224" max="6224" width="13.85546875" style="243" customWidth="1"/>
    <col min="6225" max="6225" width="12.85546875" style="243" bestFit="1" customWidth="1"/>
    <col min="6226" max="6331" width="10" style="243"/>
    <col min="6332" max="6333" width="0" style="243" hidden="1" customWidth="1"/>
    <col min="6334" max="6334" width="1" style="243" customWidth="1"/>
    <col min="6335" max="6335" width="56" style="243" customWidth="1"/>
    <col min="6336" max="6337" width="1" style="243" customWidth="1"/>
    <col min="6338" max="6338" width="14.42578125" style="243" customWidth="1"/>
    <col min="6339" max="6340" width="1" style="243" customWidth="1"/>
    <col min="6341" max="6395" width="0" style="243" hidden="1" customWidth="1"/>
    <col min="6396" max="6397" width="1" style="243" customWidth="1"/>
    <col min="6398" max="6398" width="17.85546875" style="243" customWidth="1"/>
    <col min="6399" max="6402" width="1" style="243" customWidth="1"/>
    <col min="6403" max="6403" width="14.42578125" style="243" customWidth="1"/>
    <col min="6404" max="6407" width="1" style="243" customWidth="1"/>
    <col min="6408" max="6408" width="14.42578125" style="243" customWidth="1"/>
    <col min="6409" max="6410" width="1" style="243" customWidth="1"/>
    <col min="6411" max="6465" width="0" style="243" hidden="1" customWidth="1"/>
    <col min="6466" max="6467" width="1" style="243" customWidth="1"/>
    <col min="6468" max="6468" width="17.85546875" style="243" customWidth="1"/>
    <col min="6469" max="6472" width="1" style="243" customWidth="1"/>
    <col min="6473" max="6473" width="14.42578125" style="243" customWidth="1"/>
    <col min="6474" max="6475" width="1" style="243" customWidth="1"/>
    <col min="6476" max="6476" width="2" style="243" customWidth="1"/>
    <col min="6477" max="6477" width="3.85546875" style="243" customWidth="1"/>
    <col min="6478" max="6478" width="15.7109375" style="243" customWidth="1"/>
    <col min="6479" max="6479" width="12.85546875" style="243" bestFit="1" customWidth="1"/>
    <col min="6480" max="6480" width="13.85546875" style="243" customWidth="1"/>
    <col min="6481" max="6481" width="12.85546875" style="243" bestFit="1" customWidth="1"/>
    <col min="6482" max="6587" width="10" style="243"/>
    <col min="6588" max="6589" width="0" style="243" hidden="1" customWidth="1"/>
    <col min="6590" max="6590" width="1" style="243" customWidth="1"/>
    <col min="6591" max="6591" width="56" style="243" customWidth="1"/>
    <col min="6592" max="6593" width="1" style="243" customWidth="1"/>
    <col min="6594" max="6594" width="14.42578125" style="243" customWidth="1"/>
    <col min="6595" max="6596" width="1" style="243" customWidth="1"/>
    <col min="6597" max="6651" width="0" style="243" hidden="1" customWidth="1"/>
    <col min="6652" max="6653" width="1" style="243" customWidth="1"/>
    <col min="6654" max="6654" width="17.85546875" style="243" customWidth="1"/>
    <col min="6655" max="6658" width="1" style="243" customWidth="1"/>
    <col min="6659" max="6659" width="14.42578125" style="243" customWidth="1"/>
    <col min="6660" max="6663" width="1" style="243" customWidth="1"/>
    <col min="6664" max="6664" width="14.42578125" style="243" customWidth="1"/>
    <col min="6665" max="6666" width="1" style="243" customWidth="1"/>
    <col min="6667" max="6721" width="0" style="243" hidden="1" customWidth="1"/>
    <col min="6722" max="6723" width="1" style="243" customWidth="1"/>
    <col min="6724" max="6724" width="17.85546875" style="243" customWidth="1"/>
    <col min="6725" max="6728" width="1" style="243" customWidth="1"/>
    <col min="6729" max="6729" width="14.42578125" style="243" customWidth="1"/>
    <col min="6730" max="6731" width="1" style="243" customWidth="1"/>
    <col min="6732" max="6732" width="2" style="243" customWidth="1"/>
    <col min="6733" max="6733" width="3.85546875" style="243" customWidth="1"/>
    <col min="6734" max="6734" width="15.7109375" style="243" customWidth="1"/>
    <col min="6735" max="6735" width="12.85546875" style="243" bestFit="1" customWidth="1"/>
    <col min="6736" max="6736" width="13.85546875" style="243" customWidth="1"/>
    <col min="6737" max="6737" width="12.85546875" style="243" bestFit="1" customWidth="1"/>
    <col min="6738" max="6843" width="10" style="243"/>
    <col min="6844" max="6845" width="0" style="243" hidden="1" customWidth="1"/>
    <col min="6846" max="6846" width="1" style="243" customWidth="1"/>
    <col min="6847" max="6847" width="56" style="243" customWidth="1"/>
    <col min="6848" max="6849" width="1" style="243" customWidth="1"/>
    <col min="6850" max="6850" width="14.42578125" style="243" customWidth="1"/>
    <col min="6851" max="6852" width="1" style="243" customWidth="1"/>
    <col min="6853" max="6907" width="0" style="243" hidden="1" customWidth="1"/>
    <col min="6908" max="6909" width="1" style="243" customWidth="1"/>
    <col min="6910" max="6910" width="17.85546875" style="243" customWidth="1"/>
    <col min="6911" max="6914" width="1" style="243" customWidth="1"/>
    <col min="6915" max="6915" width="14.42578125" style="243" customWidth="1"/>
    <col min="6916" max="6919" width="1" style="243" customWidth="1"/>
    <col min="6920" max="6920" width="14.42578125" style="243" customWidth="1"/>
    <col min="6921" max="6922" width="1" style="243" customWidth="1"/>
    <col min="6923" max="6977" width="0" style="243" hidden="1" customWidth="1"/>
    <col min="6978" max="6979" width="1" style="243" customWidth="1"/>
    <col min="6980" max="6980" width="17.85546875" style="243" customWidth="1"/>
    <col min="6981" max="6984" width="1" style="243" customWidth="1"/>
    <col min="6985" max="6985" width="14.42578125" style="243" customWidth="1"/>
    <col min="6986" max="6987" width="1" style="243" customWidth="1"/>
    <col min="6988" max="6988" width="2" style="243" customWidth="1"/>
    <col min="6989" max="6989" width="3.85546875" style="243" customWidth="1"/>
    <col min="6990" max="6990" width="15.7109375" style="243" customWidth="1"/>
    <col min="6991" max="6991" width="12.85546875" style="243" bestFit="1" customWidth="1"/>
    <col min="6992" max="6992" width="13.85546875" style="243" customWidth="1"/>
    <col min="6993" max="6993" width="12.85546875" style="243" bestFit="1" customWidth="1"/>
    <col min="6994" max="7099" width="10" style="243"/>
    <col min="7100" max="7101" width="0" style="243" hidden="1" customWidth="1"/>
    <col min="7102" max="7102" width="1" style="243" customWidth="1"/>
    <col min="7103" max="7103" width="56" style="243" customWidth="1"/>
    <col min="7104" max="7105" width="1" style="243" customWidth="1"/>
    <col min="7106" max="7106" width="14.42578125" style="243" customWidth="1"/>
    <col min="7107" max="7108" width="1" style="243" customWidth="1"/>
    <col min="7109" max="7163" width="0" style="243" hidden="1" customWidth="1"/>
    <col min="7164" max="7165" width="1" style="243" customWidth="1"/>
    <col min="7166" max="7166" width="17.85546875" style="243" customWidth="1"/>
    <col min="7167" max="7170" width="1" style="243" customWidth="1"/>
    <col min="7171" max="7171" width="14.42578125" style="243" customWidth="1"/>
    <col min="7172" max="7175" width="1" style="243" customWidth="1"/>
    <col min="7176" max="7176" width="14.42578125" style="243" customWidth="1"/>
    <col min="7177" max="7178" width="1" style="243" customWidth="1"/>
    <col min="7179" max="7233" width="0" style="243" hidden="1" customWidth="1"/>
    <col min="7234" max="7235" width="1" style="243" customWidth="1"/>
    <col min="7236" max="7236" width="17.85546875" style="243" customWidth="1"/>
    <col min="7237" max="7240" width="1" style="243" customWidth="1"/>
    <col min="7241" max="7241" width="14.42578125" style="243" customWidth="1"/>
    <col min="7242" max="7243" width="1" style="243" customWidth="1"/>
    <col min="7244" max="7244" width="2" style="243" customWidth="1"/>
    <col min="7245" max="7245" width="3.85546875" style="243" customWidth="1"/>
    <col min="7246" max="7246" width="15.7109375" style="243" customWidth="1"/>
    <col min="7247" max="7247" width="12.85546875" style="243" bestFit="1" customWidth="1"/>
    <col min="7248" max="7248" width="13.85546875" style="243" customWidth="1"/>
    <col min="7249" max="7249" width="12.85546875" style="243" bestFit="1" customWidth="1"/>
    <col min="7250" max="7355" width="10" style="243"/>
    <col min="7356" max="7357" width="0" style="243" hidden="1" customWidth="1"/>
    <col min="7358" max="7358" width="1" style="243" customWidth="1"/>
    <col min="7359" max="7359" width="56" style="243" customWidth="1"/>
    <col min="7360" max="7361" width="1" style="243" customWidth="1"/>
    <col min="7362" max="7362" width="14.42578125" style="243" customWidth="1"/>
    <col min="7363" max="7364" width="1" style="243" customWidth="1"/>
    <col min="7365" max="7419" width="0" style="243" hidden="1" customWidth="1"/>
    <col min="7420" max="7421" width="1" style="243" customWidth="1"/>
    <col min="7422" max="7422" width="17.85546875" style="243" customWidth="1"/>
    <col min="7423" max="7426" width="1" style="243" customWidth="1"/>
    <col min="7427" max="7427" width="14.42578125" style="243" customWidth="1"/>
    <col min="7428" max="7431" width="1" style="243" customWidth="1"/>
    <col min="7432" max="7432" width="14.42578125" style="243" customWidth="1"/>
    <col min="7433" max="7434" width="1" style="243" customWidth="1"/>
    <col min="7435" max="7489" width="0" style="243" hidden="1" customWidth="1"/>
    <col min="7490" max="7491" width="1" style="243" customWidth="1"/>
    <col min="7492" max="7492" width="17.85546875" style="243" customWidth="1"/>
    <col min="7493" max="7496" width="1" style="243" customWidth="1"/>
    <col min="7497" max="7497" width="14.42578125" style="243" customWidth="1"/>
    <col min="7498" max="7499" width="1" style="243" customWidth="1"/>
    <col min="7500" max="7500" width="2" style="243" customWidth="1"/>
    <col min="7501" max="7501" width="3.85546875" style="243" customWidth="1"/>
    <col min="7502" max="7502" width="15.7109375" style="243" customWidth="1"/>
    <col min="7503" max="7503" width="12.85546875" style="243" bestFit="1" customWidth="1"/>
    <col min="7504" max="7504" width="13.85546875" style="243" customWidth="1"/>
    <col min="7505" max="7505" width="12.85546875" style="243" bestFit="1" customWidth="1"/>
    <col min="7506" max="7611" width="10" style="243"/>
    <col min="7612" max="7613" width="0" style="243" hidden="1" customWidth="1"/>
    <col min="7614" max="7614" width="1" style="243" customWidth="1"/>
    <col min="7615" max="7615" width="56" style="243" customWidth="1"/>
    <col min="7616" max="7617" width="1" style="243" customWidth="1"/>
    <col min="7618" max="7618" width="14.42578125" style="243" customWidth="1"/>
    <col min="7619" max="7620" width="1" style="243" customWidth="1"/>
    <col min="7621" max="7675" width="0" style="243" hidden="1" customWidth="1"/>
    <col min="7676" max="7677" width="1" style="243" customWidth="1"/>
    <col min="7678" max="7678" width="17.85546875" style="243" customWidth="1"/>
    <col min="7679" max="7682" width="1" style="243" customWidth="1"/>
    <col min="7683" max="7683" width="14.42578125" style="243" customWidth="1"/>
    <col min="7684" max="7687" width="1" style="243" customWidth="1"/>
    <col min="7688" max="7688" width="14.42578125" style="243" customWidth="1"/>
    <col min="7689" max="7690" width="1" style="243" customWidth="1"/>
    <col min="7691" max="7745" width="0" style="243" hidden="1" customWidth="1"/>
    <col min="7746" max="7747" width="1" style="243" customWidth="1"/>
    <col min="7748" max="7748" width="17.85546875" style="243" customWidth="1"/>
    <col min="7749" max="7752" width="1" style="243" customWidth="1"/>
    <col min="7753" max="7753" width="14.42578125" style="243" customWidth="1"/>
    <col min="7754" max="7755" width="1" style="243" customWidth="1"/>
    <col min="7756" max="7756" width="2" style="243" customWidth="1"/>
    <col min="7757" max="7757" width="3.85546875" style="243" customWidth="1"/>
    <col min="7758" max="7758" width="15.7109375" style="243" customWidth="1"/>
    <col min="7759" max="7759" width="12.85546875" style="243" bestFit="1" customWidth="1"/>
    <col min="7760" max="7760" width="13.85546875" style="243" customWidth="1"/>
    <col min="7761" max="7761" width="12.85546875" style="243" bestFit="1" customWidth="1"/>
    <col min="7762" max="7867" width="10" style="243"/>
    <col min="7868" max="7869" width="0" style="243" hidden="1" customWidth="1"/>
    <col min="7870" max="7870" width="1" style="243" customWidth="1"/>
    <col min="7871" max="7871" width="56" style="243" customWidth="1"/>
    <col min="7872" max="7873" width="1" style="243" customWidth="1"/>
    <col min="7874" max="7874" width="14.42578125" style="243" customWidth="1"/>
    <col min="7875" max="7876" width="1" style="243" customWidth="1"/>
    <col min="7877" max="7931" width="0" style="243" hidden="1" customWidth="1"/>
    <col min="7932" max="7933" width="1" style="243" customWidth="1"/>
    <col min="7934" max="7934" width="17.85546875" style="243" customWidth="1"/>
    <col min="7935" max="7938" width="1" style="243" customWidth="1"/>
    <col min="7939" max="7939" width="14.42578125" style="243" customWidth="1"/>
    <col min="7940" max="7943" width="1" style="243" customWidth="1"/>
    <col min="7944" max="7944" width="14.42578125" style="243" customWidth="1"/>
    <col min="7945" max="7946" width="1" style="243" customWidth="1"/>
    <col min="7947" max="8001" width="0" style="243" hidden="1" customWidth="1"/>
    <col min="8002" max="8003" width="1" style="243" customWidth="1"/>
    <col min="8004" max="8004" width="17.85546875" style="243" customWidth="1"/>
    <col min="8005" max="8008" width="1" style="243" customWidth="1"/>
    <col min="8009" max="8009" width="14.42578125" style="243" customWidth="1"/>
    <col min="8010" max="8011" width="1" style="243" customWidth="1"/>
    <col min="8012" max="8012" width="2" style="243" customWidth="1"/>
    <col min="8013" max="8013" width="3.85546875" style="243" customWidth="1"/>
    <col min="8014" max="8014" width="15.7109375" style="243" customWidth="1"/>
    <col min="8015" max="8015" width="12.85546875" style="243" bestFit="1" customWidth="1"/>
    <col min="8016" max="8016" width="13.85546875" style="243" customWidth="1"/>
    <col min="8017" max="8017" width="12.85546875" style="243" bestFit="1" customWidth="1"/>
    <col min="8018" max="8123" width="10" style="243"/>
    <col min="8124" max="8125" width="0" style="243" hidden="1" customWidth="1"/>
    <col min="8126" max="8126" width="1" style="243" customWidth="1"/>
    <col min="8127" max="8127" width="56" style="243" customWidth="1"/>
    <col min="8128" max="8129" width="1" style="243" customWidth="1"/>
    <col min="8130" max="8130" width="14.42578125" style="243" customWidth="1"/>
    <col min="8131" max="8132" width="1" style="243" customWidth="1"/>
    <col min="8133" max="8187" width="0" style="243" hidden="1" customWidth="1"/>
    <col min="8188" max="8189" width="1" style="243" customWidth="1"/>
    <col min="8190" max="8190" width="17.85546875" style="243" customWidth="1"/>
    <col min="8191" max="8194" width="1" style="243" customWidth="1"/>
    <col min="8195" max="8195" width="14.42578125" style="243" customWidth="1"/>
    <col min="8196" max="8199" width="1" style="243" customWidth="1"/>
    <col min="8200" max="8200" width="14.42578125" style="243" customWidth="1"/>
    <col min="8201" max="8202" width="1" style="243" customWidth="1"/>
    <col min="8203" max="8257" width="0" style="243" hidden="1" customWidth="1"/>
    <col min="8258" max="8259" width="1" style="243" customWidth="1"/>
    <col min="8260" max="8260" width="17.85546875" style="243" customWidth="1"/>
    <col min="8261" max="8264" width="1" style="243" customWidth="1"/>
    <col min="8265" max="8265" width="14.42578125" style="243" customWidth="1"/>
    <col min="8266" max="8267" width="1" style="243" customWidth="1"/>
    <col min="8268" max="8268" width="2" style="243" customWidth="1"/>
    <col min="8269" max="8269" width="3.85546875" style="243" customWidth="1"/>
    <col min="8270" max="8270" width="15.7109375" style="243" customWidth="1"/>
    <col min="8271" max="8271" width="12.85546875" style="243" bestFit="1" customWidth="1"/>
    <col min="8272" max="8272" width="13.85546875" style="243" customWidth="1"/>
    <col min="8273" max="8273" width="12.85546875" style="243" bestFit="1" customWidth="1"/>
    <col min="8274" max="8379" width="10" style="243"/>
    <col min="8380" max="8381" width="0" style="243" hidden="1" customWidth="1"/>
    <col min="8382" max="8382" width="1" style="243" customWidth="1"/>
    <col min="8383" max="8383" width="56" style="243" customWidth="1"/>
    <col min="8384" max="8385" width="1" style="243" customWidth="1"/>
    <col min="8386" max="8386" width="14.42578125" style="243" customWidth="1"/>
    <col min="8387" max="8388" width="1" style="243" customWidth="1"/>
    <col min="8389" max="8443" width="0" style="243" hidden="1" customWidth="1"/>
    <col min="8444" max="8445" width="1" style="243" customWidth="1"/>
    <col min="8446" max="8446" width="17.85546875" style="243" customWidth="1"/>
    <col min="8447" max="8450" width="1" style="243" customWidth="1"/>
    <col min="8451" max="8451" width="14.42578125" style="243" customWidth="1"/>
    <col min="8452" max="8455" width="1" style="243" customWidth="1"/>
    <col min="8456" max="8456" width="14.42578125" style="243" customWidth="1"/>
    <col min="8457" max="8458" width="1" style="243" customWidth="1"/>
    <col min="8459" max="8513" width="0" style="243" hidden="1" customWidth="1"/>
    <col min="8514" max="8515" width="1" style="243" customWidth="1"/>
    <col min="8516" max="8516" width="17.85546875" style="243" customWidth="1"/>
    <col min="8517" max="8520" width="1" style="243" customWidth="1"/>
    <col min="8521" max="8521" width="14.42578125" style="243" customWidth="1"/>
    <col min="8522" max="8523" width="1" style="243" customWidth="1"/>
    <col min="8524" max="8524" width="2" style="243" customWidth="1"/>
    <col min="8525" max="8525" width="3.85546875" style="243" customWidth="1"/>
    <col min="8526" max="8526" width="15.7109375" style="243" customWidth="1"/>
    <col min="8527" max="8527" width="12.85546875" style="243" bestFit="1" customWidth="1"/>
    <col min="8528" max="8528" width="13.85546875" style="243" customWidth="1"/>
    <col min="8529" max="8529" width="12.85546875" style="243" bestFit="1" customWidth="1"/>
    <col min="8530" max="8635" width="10" style="243"/>
    <col min="8636" max="8637" width="0" style="243" hidden="1" customWidth="1"/>
    <col min="8638" max="8638" width="1" style="243" customWidth="1"/>
    <col min="8639" max="8639" width="56" style="243" customWidth="1"/>
    <col min="8640" max="8641" width="1" style="243" customWidth="1"/>
    <col min="8642" max="8642" width="14.42578125" style="243" customWidth="1"/>
    <col min="8643" max="8644" width="1" style="243" customWidth="1"/>
    <col min="8645" max="8699" width="0" style="243" hidden="1" customWidth="1"/>
    <col min="8700" max="8701" width="1" style="243" customWidth="1"/>
    <col min="8702" max="8702" width="17.85546875" style="243" customWidth="1"/>
    <col min="8703" max="8706" width="1" style="243" customWidth="1"/>
    <col min="8707" max="8707" width="14.42578125" style="243" customWidth="1"/>
    <col min="8708" max="8711" width="1" style="243" customWidth="1"/>
    <col min="8712" max="8712" width="14.42578125" style="243" customWidth="1"/>
    <col min="8713" max="8714" width="1" style="243" customWidth="1"/>
    <col min="8715" max="8769" width="0" style="243" hidden="1" customWidth="1"/>
    <col min="8770" max="8771" width="1" style="243" customWidth="1"/>
    <col min="8772" max="8772" width="17.85546875" style="243" customWidth="1"/>
    <col min="8773" max="8776" width="1" style="243" customWidth="1"/>
    <col min="8777" max="8777" width="14.42578125" style="243" customWidth="1"/>
    <col min="8778" max="8779" width="1" style="243" customWidth="1"/>
    <col min="8780" max="8780" width="2" style="243" customWidth="1"/>
    <col min="8781" max="8781" width="3.85546875" style="243" customWidth="1"/>
    <col min="8782" max="8782" width="15.7109375" style="243" customWidth="1"/>
    <col min="8783" max="8783" width="12.85546875" style="243" bestFit="1" customWidth="1"/>
    <col min="8784" max="8784" width="13.85546875" style="243" customWidth="1"/>
    <col min="8785" max="8785" width="12.85546875" style="243" bestFit="1" customWidth="1"/>
    <col min="8786" max="8891" width="10" style="243"/>
    <col min="8892" max="8893" width="0" style="243" hidden="1" customWidth="1"/>
    <col min="8894" max="8894" width="1" style="243" customWidth="1"/>
    <col min="8895" max="8895" width="56" style="243" customWidth="1"/>
    <col min="8896" max="8897" width="1" style="243" customWidth="1"/>
    <col min="8898" max="8898" width="14.42578125" style="243" customWidth="1"/>
    <col min="8899" max="8900" width="1" style="243" customWidth="1"/>
    <col min="8901" max="8955" width="0" style="243" hidden="1" customWidth="1"/>
    <col min="8956" max="8957" width="1" style="243" customWidth="1"/>
    <col min="8958" max="8958" width="17.85546875" style="243" customWidth="1"/>
    <col min="8959" max="8962" width="1" style="243" customWidth="1"/>
    <col min="8963" max="8963" width="14.42578125" style="243" customWidth="1"/>
    <col min="8964" max="8967" width="1" style="243" customWidth="1"/>
    <col min="8968" max="8968" width="14.42578125" style="243" customWidth="1"/>
    <col min="8969" max="8970" width="1" style="243" customWidth="1"/>
    <col min="8971" max="9025" width="0" style="243" hidden="1" customWidth="1"/>
    <col min="9026" max="9027" width="1" style="243" customWidth="1"/>
    <col min="9028" max="9028" width="17.85546875" style="243" customWidth="1"/>
    <col min="9029" max="9032" width="1" style="243" customWidth="1"/>
    <col min="9033" max="9033" width="14.42578125" style="243" customWidth="1"/>
    <col min="9034" max="9035" width="1" style="243" customWidth="1"/>
    <col min="9036" max="9036" width="2" style="243" customWidth="1"/>
    <col min="9037" max="9037" width="3.85546875" style="243" customWidth="1"/>
    <col min="9038" max="9038" width="15.7109375" style="243" customWidth="1"/>
    <col min="9039" max="9039" width="12.85546875" style="243" bestFit="1" customWidth="1"/>
    <col min="9040" max="9040" width="13.85546875" style="243" customWidth="1"/>
    <col min="9041" max="9041" width="12.85546875" style="243" bestFit="1" customWidth="1"/>
    <col min="9042" max="9147" width="10" style="243"/>
    <col min="9148" max="9149" width="0" style="243" hidden="1" customWidth="1"/>
    <col min="9150" max="9150" width="1" style="243" customWidth="1"/>
    <col min="9151" max="9151" width="56" style="243" customWidth="1"/>
    <col min="9152" max="9153" width="1" style="243" customWidth="1"/>
    <col min="9154" max="9154" width="14.42578125" style="243" customWidth="1"/>
    <col min="9155" max="9156" width="1" style="243" customWidth="1"/>
    <col min="9157" max="9211" width="0" style="243" hidden="1" customWidth="1"/>
    <col min="9212" max="9213" width="1" style="243" customWidth="1"/>
    <col min="9214" max="9214" width="17.85546875" style="243" customWidth="1"/>
    <col min="9215" max="9218" width="1" style="243" customWidth="1"/>
    <col min="9219" max="9219" width="14.42578125" style="243" customWidth="1"/>
    <col min="9220" max="9223" width="1" style="243" customWidth="1"/>
    <col min="9224" max="9224" width="14.42578125" style="243" customWidth="1"/>
    <col min="9225" max="9226" width="1" style="243" customWidth="1"/>
    <col min="9227" max="9281" width="0" style="243" hidden="1" customWidth="1"/>
    <col min="9282" max="9283" width="1" style="243" customWidth="1"/>
    <col min="9284" max="9284" width="17.85546875" style="243" customWidth="1"/>
    <col min="9285" max="9288" width="1" style="243" customWidth="1"/>
    <col min="9289" max="9289" width="14.42578125" style="243" customWidth="1"/>
    <col min="9290" max="9291" width="1" style="243" customWidth="1"/>
    <col min="9292" max="9292" width="2" style="243" customWidth="1"/>
    <col min="9293" max="9293" width="3.85546875" style="243" customWidth="1"/>
    <col min="9294" max="9294" width="15.7109375" style="243" customWidth="1"/>
    <col min="9295" max="9295" width="12.85546875" style="243" bestFit="1" customWidth="1"/>
    <col min="9296" max="9296" width="13.85546875" style="243" customWidth="1"/>
    <col min="9297" max="9297" width="12.85546875" style="243" bestFit="1" customWidth="1"/>
    <col min="9298" max="9403" width="10" style="243"/>
    <col min="9404" max="9405" width="0" style="243" hidden="1" customWidth="1"/>
    <col min="9406" max="9406" width="1" style="243" customWidth="1"/>
    <col min="9407" max="9407" width="56" style="243" customWidth="1"/>
    <col min="9408" max="9409" width="1" style="243" customWidth="1"/>
    <col min="9410" max="9410" width="14.42578125" style="243" customWidth="1"/>
    <col min="9411" max="9412" width="1" style="243" customWidth="1"/>
    <col min="9413" max="9467" width="0" style="243" hidden="1" customWidth="1"/>
    <col min="9468" max="9469" width="1" style="243" customWidth="1"/>
    <col min="9470" max="9470" width="17.85546875" style="243" customWidth="1"/>
    <col min="9471" max="9474" width="1" style="243" customWidth="1"/>
    <col min="9475" max="9475" width="14.42578125" style="243" customWidth="1"/>
    <col min="9476" max="9479" width="1" style="243" customWidth="1"/>
    <col min="9480" max="9480" width="14.42578125" style="243" customWidth="1"/>
    <col min="9481" max="9482" width="1" style="243" customWidth="1"/>
    <col min="9483" max="9537" width="0" style="243" hidden="1" customWidth="1"/>
    <col min="9538" max="9539" width="1" style="243" customWidth="1"/>
    <col min="9540" max="9540" width="17.85546875" style="243" customWidth="1"/>
    <col min="9541" max="9544" width="1" style="243" customWidth="1"/>
    <col min="9545" max="9545" width="14.42578125" style="243" customWidth="1"/>
    <col min="9546" max="9547" width="1" style="243" customWidth="1"/>
    <col min="9548" max="9548" width="2" style="243" customWidth="1"/>
    <col min="9549" max="9549" width="3.85546875" style="243" customWidth="1"/>
    <col min="9550" max="9550" width="15.7109375" style="243" customWidth="1"/>
    <col min="9551" max="9551" width="12.85546875" style="243" bestFit="1" customWidth="1"/>
    <col min="9552" max="9552" width="13.85546875" style="243" customWidth="1"/>
    <col min="9553" max="9553" width="12.85546875" style="243" bestFit="1" customWidth="1"/>
    <col min="9554" max="9659" width="10" style="243"/>
    <col min="9660" max="9661" width="0" style="243" hidden="1" customWidth="1"/>
    <col min="9662" max="9662" width="1" style="243" customWidth="1"/>
    <col min="9663" max="9663" width="56" style="243" customWidth="1"/>
    <col min="9664" max="9665" width="1" style="243" customWidth="1"/>
    <col min="9666" max="9666" width="14.42578125" style="243" customWidth="1"/>
    <col min="9667" max="9668" width="1" style="243" customWidth="1"/>
    <col min="9669" max="9723" width="0" style="243" hidden="1" customWidth="1"/>
    <col min="9724" max="9725" width="1" style="243" customWidth="1"/>
    <col min="9726" max="9726" width="17.85546875" style="243" customWidth="1"/>
    <col min="9727" max="9730" width="1" style="243" customWidth="1"/>
    <col min="9731" max="9731" width="14.42578125" style="243" customWidth="1"/>
    <col min="9732" max="9735" width="1" style="243" customWidth="1"/>
    <col min="9736" max="9736" width="14.42578125" style="243" customWidth="1"/>
    <col min="9737" max="9738" width="1" style="243" customWidth="1"/>
    <col min="9739" max="9793" width="0" style="243" hidden="1" customWidth="1"/>
    <col min="9794" max="9795" width="1" style="243" customWidth="1"/>
    <col min="9796" max="9796" width="17.85546875" style="243" customWidth="1"/>
    <col min="9797" max="9800" width="1" style="243" customWidth="1"/>
    <col min="9801" max="9801" width="14.42578125" style="243" customWidth="1"/>
    <col min="9802" max="9803" width="1" style="243" customWidth="1"/>
    <col min="9804" max="9804" width="2" style="243" customWidth="1"/>
    <col min="9805" max="9805" width="3.85546875" style="243" customWidth="1"/>
    <col min="9806" max="9806" width="15.7109375" style="243" customWidth="1"/>
    <col min="9807" max="9807" width="12.85546875" style="243" bestFit="1" customWidth="1"/>
    <col min="9808" max="9808" width="13.85546875" style="243" customWidth="1"/>
    <col min="9809" max="9809" width="12.85546875" style="243" bestFit="1" customWidth="1"/>
    <col min="9810" max="9915" width="10" style="243"/>
    <col min="9916" max="9917" width="0" style="243" hidden="1" customWidth="1"/>
    <col min="9918" max="9918" width="1" style="243" customWidth="1"/>
    <col min="9919" max="9919" width="56" style="243" customWidth="1"/>
    <col min="9920" max="9921" width="1" style="243" customWidth="1"/>
    <col min="9922" max="9922" width="14.42578125" style="243" customWidth="1"/>
    <col min="9923" max="9924" width="1" style="243" customWidth="1"/>
    <col min="9925" max="9979" width="0" style="243" hidden="1" customWidth="1"/>
    <col min="9980" max="9981" width="1" style="243" customWidth="1"/>
    <col min="9982" max="9982" width="17.85546875" style="243" customWidth="1"/>
    <col min="9983" max="9986" width="1" style="243" customWidth="1"/>
    <col min="9987" max="9987" width="14.42578125" style="243" customWidth="1"/>
    <col min="9988" max="9991" width="1" style="243" customWidth="1"/>
    <col min="9992" max="9992" width="14.42578125" style="243" customWidth="1"/>
    <col min="9993" max="9994" width="1" style="243" customWidth="1"/>
    <col min="9995" max="10049" width="0" style="243" hidden="1" customWidth="1"/>
    <col min="10050" max="10051" width="1" style="243" customWidth="1"/>
    <col min="10052" max="10052" width="17.85546875" style="243" customWidth="1"/>
    <col min="10053" max="10056" width="1" style="243" customWidth="1"/>
    <col min="10057" max="10057" width="14.42578125" style="243" customWidth="1"/>
    <col min="10058" max="10059" width="1" style="243" customWidth="1"/>
    <col min="10060" max="10060" width="2" style="243" customWidth="1"/>
    <col min="10061" max="10061" width="3.85546875" style="243" customWidth="1"/>
    <col min="10062" max="10062" width="15.7109375" style="243" customWidth="1"/>
    <col min="10063" max="10063" width="12.85546875" style="243" bestFit="1" customWidth="1"/>
    <col min="10064" max="10064" width="13.85546875" style="243" customWidth="1"/>
    <col min="10065" max="10065" width="12.85546875" style="243" bestFit="1" customWidth="1"/>
    <col min="10066" max="10171" width="10" style="243"/>
    <col min="10172" max="10173" width="0" style="243" hidden="1" customWidth="1"/>
    <col min="10174" max="10174" width="1" style="243" customWidth="1"/>
    <col min="10175" max="10175" width="56" style="243" customWidth="1"/>
    <col min="10176" max="10177" width="1" style="243" customWidth="1"/>
    <col min="10178" max="10178" width="14.42578125" style="243" customWidth="1"/>
    <col min="10179" max="10180" width="1" style="243" customWidth="1"/>
    <col min="10181" max="10235" width="0" style="243" hidden="1" customWidth="1"/>
    <col min="10236" max="10237" width="1" style="243" customWidth="1"/>
    <col min="10238" max="10238" width="17.85546875" style="243" customWidth="1"/>
    <col min="10239" max="10242" width="1" style="243" customWidth="1"/>
    <col min="10243" max="10243" width="14.42578125" style="243" customWidth="1"/>
    <col min="10244" max="10247" width="1" style="243" customWidth="1"/>
    <col min="10248" max="10248" width="14.42578125" style="243" customWidth="1"/>
    <col min="10249" max="10250" width="1" style="243" customWidth="1"/>
    <col min="10251" max="10305" width="0" style="243" hidden="1" customWidth="1"/>
    <col min="10306" max="10307" width="1" style="243" customWidth="1"/>
    <col min="10308" max="10308" width="17.85546875" style="243" customWidth="1"/>
    <col min="10309" max="10312" width="1" style="243" customWidth="1"/>
    <col min="10313" max="10313" width="14.42578125" style="243" customWidth="1"/>
    <col min="10314" max="10315" width="1" style="243" customWidth="1"/>
    <col min="10316" max="10316" width="2" style="243" customWidth="1"/>
    <col min="10317" max="10317" width="3.85546875" style="243" customWidth="1"/>
    <col min="10318" max="10318" width="15.7109375" style="243" customWidth="1"/>
    <col min="10319" max="10319" width="12.85546875" style="243" bestFit="1" customWidth="1"/>
    <col min="10320" max="10320" width="13.85546875" style="243" customWidth="1"/>
    <col min="10321" max="10321" width="12.85546875" style="243" bestFit="1" customWidth="1"/>
    <col min="10322" max="10427" width="10" style="243"/>
    <col min="10428" max="10429" width="0" style="243" hidden="1" customWidth="1"/>
    <col min="10430" max="10430" width="1" style="243" customWidth="1"/>
    <col min="10431" max="10431" width="56" style="243" customWidth="1"/>
    <col min="10432" max="10433" width="1" style="243" customWidth="1"/>
    <col min="10434" max="10434" width="14.42578125" style="243" customWidth="1"/>
    <col min="10435" max="10436" width="1" style="243" customWidth="1"/>
    <col min="10437" max="10491" width="0" style="243" hidden="1" customWidth="1"/>
    <col min="10492" max="10493" width="1" style="243" customWidth="1"/>
    <col min="10494" max="10494" width="17.85546875" style="243" customWidth="1"/>
    <col min="10495" max="10498" width="1" style="243" customWidth="1"/>
    <col min="10499" max="10499" width="14.42578125" style="243" customWidth="1"/>
    <col min="10500" max="10503" width="1" style="243" customWidth="1"/>
    <col min="10504" max="10504" width="14.42578125" style="243" customWidth="1"/>
    <col min="10505" max="10506" width="1" style="243" customWidth="1"/>
    <col min="10507" max="10561" width="0" style="243" hidden="1" customWidth="1"/>
    <col min="10562" max="10563" width="1" style="243" customWidth="1"/>
    <col min="10564" max="10564" width="17.85546875" style="243" customWidth="1"/>
    <col min="10565" max="10568" width="1" style="243" customWidth="1"/>
    <col min="10569" max="10569" width="14.42578125" style="243" customWidth="1"/>
    <col min="10570" max="10571" width="1" style="243" customWidth="1"/>
    <col min="10572" max="10572" width="2" style="243" customWidth="1"/>
    <col min="10573" max="10573" width="3.85546875" style="243" customWidth="1"/>
    <col min="10574" max="10574" width="15.7109375" style="243" customWidth="1"/>
    <col min="10575" max="10575" width="12.85546875" style="243" bestFit="1" customWidth="1"/>
    <col min="10576" max="10576" width="13.85546875" style="243" customWidth="1"/>
    <col min="10577" max="10577" width="12.85546875" style="243" bestFit="1" customWidth="1"/>
    <col min="10578" max="10683" width="10" style="243"/>
    <col min="10684" max="10685" width="0" style="243" hidden="1" customWidth="1"/>
    <col min="10686" max="10686" width="1" style="243" customWidth="1"/>
    <col min="10687" max="10687" width="56" style="243" customWidth="1"/>
    <col min="10688" max="10689" width="1" style="243" customWidth="1"/>
    <col min="10690" max="10690" width="14.42578125" style="243" customWidth="1"/>
    <col min="10691" max="10692" width="1" style="243" customWidth="1"/>
    <col min="10693" max="10747" width="0" style="243" hidden="1" customWidth="1"/>
    <col min="10748" max="10749" width="1" style="243" customWidth="1"/>
    <col min="10750" max="10750" width="17.85546875" style="243" customWidth="1"/>
    <col min="10751" max="10754" width="1" style="243" customWidth="1"/>
    <col min="10755" max="10755" width="14.42578125" style="243" customWidth="1"/>
    <col min="10756" max="10759" width="1" style="243" customWidth="1"/>
    <col min="10760" max="10760" width="14.42578125" style="243" customWidth="1"/>
    <col min="10761" max="10762" width="1" style="243" customWidth="1"/>
    <col min="10763" max="10817" width="0" style="243" hidden="1" customWidth="1"/>
    <col min="10818" max="10819" width="1" style="243" customWidth="1"/>
    <col min="10820" max="10820" width="17.85546875" style="243" customWidth="1"/>
    <col min="10821" max="10824" width="1" style="243" customWidth="1"/>
    <col min="10825" max="10825" width="14.42578125" style="243" customWidth="1"/>
    <col min="10826" max="10827" width="1" style="243" customWidth="1"/>
    <col min="10828" max="10828" width="2" style="243" customWidth="1"/>
    <col min="10829" max="10829" width="3.85546875" style="243" customWidth="1"/>
    <col min="10830" max="10830" width="15.7109375" style="243" customWidth="1"/>
    <col min="10831" max="10831" width="12.85546875" style="243" bestFit="1" customWidth="1"/>
    <col min="10832" max="10832" width="13.85546875" style="243" customWidth="1"/>
    <col min="10833" max="10833" width="12.85546875" style="243" bestFit="1" customWidth="1"/>
    <col min="10834" max="10939" width="10" style="243"/>
    <col min="10940" max="10941" width="0" style="243" hidden="1" customWidth="1"/>
    <col min="10942" max="10942" width="1" style="243" customWidth="1"/>
    <col min="10943" max="10943" width="56" style="243" customWidth="1"/>
    <col min="10944" max="10945" width="1" style="243" customWidth="1"/>
    <col min="10946" max="10946" width="14.42578125" style="243" customWidth="1"/>
    <col min="10947" max="10948" width="1" style="243" customWidth="1"/>
    <col min="10949" max="11003" width="0" style="243" hidden="1" customWidth="1"/>
    <col min="11004" max="11005" width="1" style="243" customWidth="1"/>
    <col min="11006" max="11006" width="17.85546875" style="243" customWidth="1"/>
    <col min="11007" max="11010" width="1" style="243" customWidth="1"/>
    <col min="11011" max="11011" width="14.42578125" style="243" customWidth="1"/>
    <col min="11012" max="11015" width="1" style="243" customWidth="1"/>
    <col min="11016" max="11016" width="14.42578125" style="243" customWidth="1"/>
    <col min="11017" max="11018" width="1" style="243" customWidth="1"/>
    <col min="11019" max="11073" width="0" style="243" hidden="1" customWidth="1"/>
    <col min="11074" max="11075" width="1" style="243" customWidth="1"/>
    <col min="11076" max="11076" width="17.85546875" style="243" customWidth="1"/>
    <col min="11077" max="11080" width="1" style="243" customWidth="1"/>
    <col min="11081" max="11081" width="14.42578125" style="243" customWidth="1"/>
    <col min="11082" max="11083" width="1" style="243" customWidth="1"/>
    <col min="11084" max="11084" width="2" style="243" customWidth="1"/>
    <col min="11085" max="11085" width="3.85546875" style="243" customWidth="1"/>
    <col min="11086" max="11086" width="15.7109375" style="243" customWidth="1"/>
    <col min="11087" max="11087" width="12.85546875" style="243" bestFit="1" customWidth="1"/>
    <col min="11088" max="11088" width="13.85546875" style="243" customWidth="1"/>
    <col min="11089" max="11089" width="12.85546875" style="243" bestFit="1" customWidth="1"/>
    <col min="11090" max="11195" width="10" style="243"/>
    <col min="11196" max="11197" width="0" style="243" hidden="1" customWidth="1"/>
    <col min="11198" max="11198" width="1" style="243" customWidth="1"/>
    <col min="11199" max="11199" width="56" style="243" customWidth="1"/>
    <col min="11200" max="11201" width="1" style="243" customWidth="1"/>
    <col min="11202" max="11202" width="14.42578125" style="243" customWidth="1"/>
    <col min="11203" max="11204" width="1" style="243" customWidth="1"/>
    <col min="11205" max="11259" width="0" style="243" hidden="1" customWidth="1"/>
    <col min="11260" max="11261" width="1" style="243" customWidth="1"/>
    <col min="11262" max="11262" width="17.85546875" style="243" customWidth="1"/>
    <col min="11263" max="11266" width="1" style="243" customWidth="1"/>
    <col min="11267" max="11267" width="14.42578125" style="243" customWidth="1"/>
    <col min="11268" max="11271" width="1" style="243" customWidth="1"/>
    <col min="11272" max="11272" width="14.42578125" style="243" customWidth="1"/>
    <col min="11273" max="11274" width="1" style="243" customWidth="1"/>
    <col min="11275" max="11329" width="0" style="243" hidden="1" customWidth="1"/>
    <col min="11330" max="11331" width="1" style="243" customWidth="1"/>
    <col min="11332" max="11332" width="17.85546875" style="243" customWidth="1"/>
    <col min="11333" max="11336" width="1" style="243" customWidth="1"/>
    <col min="11337" max="11337" width="14.42578125" style="243" customWidth="1"/>
    <col min="11338" max="11339" width="1" style="243" customWidth="1"/>
    <col min="11340" max="11340" width="2" style="243" customWidth="1"/>
    <col min="11341" max="11341" width="3.85546875" style="243" customWidth="1"/>
    <col min="11342" max="11342" width="15.7109375" style="243" customWidth="1"/>
    <col min="11343" max="11343" width="12.85546875" style="243" bestFit="1" customWidth="1"/>
    <col min="11344" max="11344" width="13.85546875" style="243" customWidth="1"/>
    <col min="11345" max="11345" width="12.85546875" style="243" bestFit="1" customWidth="1"/>
    <col min="11346" max="11451" width="10" style="243"/>
    <col min="11452" max="11453" width="0" style="243" hidden="1" customWidth="1"/>
    <col min="11454" max="11454" width="1" style="243" customWidth="1"/>
    <col min="11455" max="11455" width="56" style="243" customWidth="1"/>
    <col min="11456" max="11457" width="1" style="243" customWidth="1"/>
    <col min="11458" max="11458" width="14.42578125" style="243" customWidth="1"/>
    <col min="11459" max="11460" width="1" style="243" customWidth="1"/>
    <col min="11461" max="11515" width="0" style="243" hidden="1" customWidth="1"/>
    <col min="11516" max="11517" width="1" style="243" customWidth="1"/>
    <col min="11518" max="11518" width="17.85546875" style="243" customWidth="1"/>
    <col min="11519" max="11522" width="1" style="243" customWidth="1"/>
    <col min="11523" max="11523" width="14.42578125" style="243" customWidth="1"/>
    <col min="11524" max="11527" width="1" style="243" customWidth="1"/>
    <col min="11528" max="11528" width="14.42578125" style="243" customWidth="1"/>
    <col min="11529" max="11530" width="1" style="243" customWidth="1"/>
    <col min="11531" max="11585" width="0" style="243" hidden="1" customWidth="1"/>
    <col min="11586" max="11587" width="1" style="243" customWidth="1"/>
    <col min="11588" max="11588" width="17.85546875" style="243" customWidth="1"/>
    <col min="11589" max="11592" width="1" style="243" customWidth="1"/>
    <col min="11593" max="11593" width="14.42578125" style="243" customWidth="1"/>
    <col min="11594" max="11595" width="1" style="243" customWidth="1"/>
    <col min="11596" max="11596" width="2" style="243" customWidth="1"/>
    <col min="11597" max="11597" width="3.85546875" style="243" customWidth="1"/>
    <col min="11598" max="11598" width="15.7109375" style="243" customWidth="1"/>
    <col min="11599" max="11599" width="12.85546875" style="243" bestFit="1" customWidth="1"/>
    <col min="11600" max="11600" width="13.85546875" style="243" customWidth="1"/>
    <col min="11601" max="11601" width="12.85546875" style="243" bestFit="1" customWidth="1"/>
    <col min="11602" max="11707" width="10" style="243"/>
    <col min="11708" max="11709" width="0" style="243" hidden="1" customWidth="1"/>
    <col min="11710" max="11710" width="1" style="243" customWidth="1"/>
    <col min="11711" max="11711" width="56" style="243" customWidth="1"/>
    <col min="11712" max="11713" width="1" style="243" customWidth="1"/>
    <col min="11714" max="11714" width="14.42578125" style="243" customWidth="1"/>
    <col min="11715" max="11716" width="1" style="243" customWidth="1"/>
    <col min="11717" max="11771" width="0" style="243" hidden="1" customWidth="1"/>
    <col min="11772" max="11773" width="1" style="243" customWidth="1"/>
    <col min="11774" max="11774" width="17.85546875" style="243" customWidth="1"/>
    <col min="11775" max="11778" width="1" style="243" customWidth="1"/>
    <col min="11779" max="11779" width="14.42578125" style="243" customWidth="1"/>
    <col min="11780" max="11783" width="1" style="243" customWidth="1"/>
    <col min="11784" max="11784" width="14.42578125" style="243" customWidth="1"/>
    <col min="11785" max="11786" width="1" style="243" customWidth="1"/>
    <col min="11787" max="11841" width="0" style="243" hidden="1" customWidth="1"/>
    <col min="11842" max="11843" width="1" style="243" customWidth="1"/>
    <col min="11844" max="11844" width="17.85546875" style="243" customWidth="1"/>
    <col min="11845" max="11848" width="1" style="243" customWidth="1"/>
    <col min="11849" max="11849" width="14.42578125" style="243" customWidth="1"/>
    <col min="11850" max="11851" width="1" style="243" customWidth="1"/>
    <col min="11852" max="11852" width="2" style="243" customWidth="1"/>
    <col min="11853" max="11853" width="3.85546875" style="243" customWidth="1"/>
    <col min="11854" max="11854" width="15.7109375" style="243" customWidth="1"/>
    <col min="11855" max="11855" width="12.85546875" style="243" bestFit="1" customWidth="1"/>
    <col min="11856" max="11856" width="13.85546875" style="243" customWidth="1"/>
    <col min="11857" max="11857" width="12.85546875" style="243" bestFit="1" customWidth="1"/>
    <col min="11858" max="11963" width="10" style="243"/>
    <col min="11964" max="11965" width="0" style="243" hidden="1" customWidth="1"/>
    <col min="11966" max="11966" width="1" style="243" customWidth="1"/>
    <col min="11967" max="11967" width="56" style="243" customWidth="1"/>
    <col min="11968" max="11969" width="1" style="243" customWidth="1"/>
    <col min="11970" max="11970" width="14.42578125" style="243" customWidth="1"/>
    <col min="11971" max="11972" width="1" style="243" customWidth="1"/>
    <col min="11973" max="12027" width="0" style="243" hidden="1" customWidth="1"/>
    <col min="12028" max="12029" width="1" style="243" customWidth="1"/>
    <col min="12030" max="12030" width="17.85546875" style="243" customWidth="1"/>
    <col min="12031" max="12034" width="1" style="243" customWidth="1"/>
    <col min="12035" max="12035" width="14.42578125" style="243" customWidth="1"/>
    <col min="12036" max="12039" width="1" style="243" customWidth="1"/>
    <col min="12040" max="12040" width="14.42578125" style="243" customWidth="1"/>
    <col min="12041" max="12042" width="1" style="243" customWidth="1"/>
    <col min="12043" max="12097" width="0" style="243" hidden="1" customWidth="1"/>
    <col min="12098" max="12099" width="1" style="243" customWidth="1"/>
    <col min="12100" max="12100" width="17.85546875" style="243" customWidth="1"/>
    <col min="12101" max="12104" width="1" style="243" customWidth="1"/>
    <col min="12105" max="12105" width="14.42578125" style="243" customWidth="1"/>
    <col min="12106" max="12107" width="1" style="243" customWidth="1"/>
    <col min="12108" max="12108" width="2" style="243" customWidth="1"/>
    <col min="12109" max="12109" width="3.85546875" style="243" customWidth="1"/>
    <col min="12110" max="12110" width="15.7109375" style="243" customWidth="1"/>
    <col min="12111" max="12111" width="12.85546875" style="243" bestFit="1" customWidth="1"/>
    <col min="12112" max="12112" width="13.85546875" style="243" customWidth="1"/>
    <col min="12113" max="12113" width="12.85546875" style="243" bestFit="1" customWidth="1"/>
    <col min="12114" max="12219" width="10" style="243"/>
    <col min="12220" max="12221" width="0" style="243" hidden="1" customWidth="1"/>
    <col min="12222" max="12222" width="1" style="243" customWidth="1"/>
    <col min="12223" max="12223" width="56" style="243" customWidth="1"/>
    <col min="12224" max="12225" width="1" style="243" customWidth="1"/>
    <col min="12226" max="12226" width="14.42578125" style="243" customWidth="1"/>
    <col min="12227" max="12228" width="1" style="243" customWidth="1"/>
    <col min="12229" max="12283" width="0" style="243" hidden="1" customWidth="1"/>
    <col min="12284" max="12285" width="1" style="243" customWidth="1"/>
    <col min="12286" max="12286" width="17.85546875" style="243" customWidth="1"/>
    <col min="12287" max="12290" width="1" style="243" customWidth="1"/>
    <col min="12291" max="12291" width="14.42578125" style="243" customWidth="1"/>
    <col min="12292" max="12295" width="1" style="243" customWidth="1"/>
    <col min="12296" max="12296" width="14.42578125" style="243" customWidth="1"/>
    <col min="12297" max="12298" width="1" style="243" customWidth="1"/>
    <col min="12299" max="12353" width="0" style="243" hidden="1" customWidth="1"/>
    <col min="12354" max="12355" width="1" style="243" customWidth="1"/>
    <col min="12356" max="12356" width="17.85546875" style="243" customWidth="1"/>
    <col min="12357" max="12360" width="1" style="243" customWidth="1"/>
    <col min="12361" max="12361" width="14.42578125" style="243" customWidth="1"/>
    <col min="12362" max="12363" width="1" style="243" customWidth="1"/>
    <col min="12364" max="12364" width="2" style="243" customWidth="1"/>
    <col min="12365" max="12365" width="3.85546875" style="243" customWidth="1"/>
    <col min="12366" max="12366" width="15.7109375" style="243" customWidth="1"/>
    <col min="12367" max="12367" width="12.85546875" style="243" bestFit="1" customWidth="1"/>
    <col min="12368" max="12368" width="13.85546875" style="243" customWidth="1"/>
    <col min="12369" max="12369" width="12.85546875" style="243" bestFit="1" customWidth="1"/>
    <col min="12370" max="12475" width="10" style="243"/>
    <col min="12476" max="12477" width="0" style="243" hidden="1" customWidth="1"/>
    <col min="12478" max="12478" width="1" style="243" customWidth="1"/>
    <col min="12479" max="12479" width="56" style="243" customWidth="1"/>
    <col min="12480" max="12481" width="1" style="243" customWidth="1"/>
    <col min="12482" max="12482" width="14.42578125" style="243" customWidth="1"/>
    <col min="12483" max="12484" width="1" style="243" customWidth="1"/>
    <col min="12485" max="12539" width="0" style="243" hidden="1" customWidth="1"/>
    <col min="12540" max="12541" width="1" style="243" customWidth="1"/>
    <col min="12542" max="12542" width="17.85546875" style="243" customWidth="1"/>
    <col min="12543" max="12546" width="1" style="243" customWidth="1"/>
    <col min="12547" max="12547" width="14.42578125" style="243" customWidth="1"/>
    <col min="12548" max="12551" width="1" style="243" customWidth="1"/>
    <col min="12552" max="12552" width="14.42578125" style="243" customWidth="1"/>
    <col min="12553" max="12554" width="1" style="243" customWidth="1"/>
    <col min="12555" max="12609" width="0" style="243" hidden="1" customWidth="1"/>
    <col min="12610" max="12611" width="1" style="243" customWidth="1"/>
    <col min="12612" max="12612" width="17.85546875" style="243" customWidth="1"/>
    <col min="12613" max="12616" width="1" style="243" customWidth="1"/>
    <col min="12617" max="12617" width="14.42578125" style="243" customWidth="1"/>
    <col min="12618" max="12619" width="1" style="243" customWidth="1"/>
    <col min="12620" max="12620" width="2" style="243" customWidth="1"/>
    <col min="12621" max="12621" width="3.85546875" style="243" customWidth="1"/>
    <col min="12622" max="12622" width="15.7109375" style="243" customWidth="1"/>
    <col min="12623" max="12623" width="12.85546875" style="243" bestFit="1" customWidth="1"/>
    <col min="12624" max="12624" width="13.85546875" style="243" customWidth="1"/>
    <col min="12625" max="12625" width="12.85546875" style="243" bestFit="1" customWidth="1"/>
    <col min="12626" max="12731" width="10" style="243"/>
    <col min="12732" max="12733" width="0" style="243" hidden="1" customWidth="1"/>
    <col min="12734" max="12734" width="1" style="243" customWidth="1"/>
    <col min="12735" max="12735" width="56" style="243" customWidth="1"/>
    <col min="12736" max="12737" width="1" style="243" customWidth="1"/>
    <col min="12738" max="12738" width="14.42578125" style="243" customWidth="1"/>
    <col min="12739" max="12740" width="1" style="243" customWidth="1"/>
    <col min="12741" max="12795" width="0" style="243" hidden="1" customWidth="1"/>
    <col min="12796" max="12797" width="1" style="243" customWidth="1"/>
    <col min="12798" max="12798" width="17.85546875" style="243" customWidth="1"/>
    <col min="12799" max="12802" width="1" style="243" customWidth="1"/>
    <col min="12803" max="12803" width="14.42578125" style="243" customWidth="1"/>
    <col min="12804" max="12807" width="1" style="243" customWidth="1"/>
    <col min="12808" max="12808" width="14.42578125" style="243" customWidth="1"/>
    <col min="12809" max="12810" width="1" style="243" customWidth="1"/>
    <col min="12811" max="12865" width="0" style="243" hidden="1" customWidth="1"/>
    <col min="12866" max="12867" width="1" style="243" customWidth="1"/>
    <col min="12868" max="12868" width="17.85546875" style="243" customWidth="1"/>
    <col min="12869" max="12872" width="1" style="243" customWidth="1"/>
    <col min="12873" max="12873" width="14.42578125" style="243" customWidth="1"/>
    <col min="12874" max="12875" width="1" style="243" customWidth="1"/>
    <col min="12876" max="12876" width="2" style="243" customWidth="1"/>
    <col min="12877" max="12877" width="3.85546875" style="243" customWidth="1"/>
    <col min="12878" max="12878" width="15.7109375" style="243" customWidth="1"/>
    <col min="12879" max="12879" width="12.85546875" style="243" bestFit="1" customWidth="1"/>
    <col min="12880" max="12880" width="13.85546875" style="243" customWidth="1"/>
    <col min="12881" max="12881" width="12.85546875" style="243" bestFit="1" customWidth="1"/>
    <col min="12882" max="12987" width="10" style="243"/>
    <col min="12988" max="12989" width="0" style="243" hidden="1" customWidth="1"/>
    <col min="12990" max="12990" width="1" style="243" customWidth="1"/>
    <col min="12991" max="12991" width="56" style="243" customWidth="1"/>
    <col min="12992" max="12993" width="1" style="243" customWidth="1"/>
    <col min="12994" max="12994" width="14.42578125" style="243" customWidth="1"/>
    <col min="12995" max="12996" width="1" style="243" customWidth="1"/>
    <col min="12997" max="13051" width="0" style="243" hidden="1" customWidth="1"/>
    <col min="13052" max="13053" width="1" style="243" customWidth="1"/>
    <col min="13054" max="13054" width="17.85546875" style="243" customWidth="1"/>
    <col min="13055" max="13058" width="1" style="243" customWidth="1"/>
    <col min="13059" max="13059" width="14.42578125" style="243" customWidth="1"/>
    <col min="13060" max="13063" width="1" style="243" customWidth="1"/>
    <col min="13064" max="13064" width="14.42578125" style="243" customWidth="1"/>
    <col min="13065" max="13066" width="1" style="243" customWidth="1"/>
    <col min="13067" max="13121" width="0" style="243" hidden="1" customWidth="1"/>
    <col min="13122" max="13123" width="1" style="243" customWidth="1"/>
    <col min="13124" max="13124" width="17.85546875" style="243" customWidth="1"/>
    <col min="13125" max="13128" width="1" style="243" customWidth="1"/>
    <col min="13129" max="13129" width="14.42578125" style="243" customWidth="1"/>
    <col min="13130" max="13131" width="1" style="243" customWidth="1"/>
    <col min="13132" max="13132" width="2" style="243" customWidth="1"/>
    <col min="13133" max="13133" width="3.85546875" style="243" customWidth="1"/>
    <col min="13134" max="13134" width="15.7109375" style="243" customWidth="1"/>
    <col min="13135" max="13135" width="12.85546875" style="243" bestFit="1" customWidth="1"/>
    <col min="13136" max="13136" width="13.85546875" style="243" customWidth="1"/>
    <col min="13137" max="13137" width="12.85546875" style="243" bestFit="1" customWidth="1"/>
    <col min="13138" max="13243" width="10" style="243"/>
    <col min="13244" max="13245" width="0" style="243" hidden="1" customWidth="1"/>
    <col min="13246" max="13246" width="1" style="243" customWidth="1"/>
    <col min="13247" max="13247" width="56" style="243" customWidth="1"/>
    <col min="13248" max="13249" width="1" style="243" customWidth="1"/>
    <col min="13250" max="13250" width="14.42578125" style="243" customWidth="1"/>
    <col min="13251" max="13252" width="1" style="243" customWidth="1"/>
    <col min="13253" max="13307" width="0" style="243" hidden="1" customWidth="1"/>
    <col min="13308" max="13309" width="1" style="243" customWidth="1"/>
    <col min="13310" max="13310" width="17.85546875" style="243" customWidth="1"/>
    <col min="13311" max="13314" width="1" style="243" customWidth="1"/>
    <col min="13315" max="13315" width="14.42578125" style="243" customWidth="1"/>
    <col min="13316" max="13319" width="1" style="243" customWidth="1"/>
    <col min="13320" max="13320" width="14.42578125" style="243" customWidth="1"/>
    <col min="13321" max="13322" width="1" style="243" customWidth="1"/>
    <col min="13323" max="13377" width="0" style="243" hidden="1" customWidth="1"/>
    <col min="13378" max="13379" width="1" style="243" customWidth="1"/>
    <col min="13380" max="13380" width="17.85546875" style="243" customWidth="1"/>
    <col min="13381" max="13384" width="1" style="243" customWidth="1"/>
    <col min="13385" max="13385" width="14.42578125" style="243" customWidth="1"/>
    <col min="13386" max="13387" width="1" style="243" customWidth="1"/>
    <col min="13388" max="13388" width="2" style="243" customWidth="1"/>
    <col min="13389" max="13389" width="3.85546875" style="243" customWidth="1"/>
    <col min="13390" max="13390" width="15.7109375" style="243" customWidth="1"/>
    <col min="13391" max="13391" width="12.85546875" style="243" bestFit="1" customWidth="1"/>
    <col min="13392" max="13392" width="13.85546875" style="243" customWidth="1"/>
    <col min="13393" max="13393" width="12.85546875" style="243" bestFit="1" customWidth="1"/>
    <col min="13394" max="13499" width="10" style="243"/>
    <col min="13500" max="13501" width="0" style="243" hidden="1" customWidth="1"/>
    <col min="13502" max="13502" width="1" style="243" customWidth="1"/>
    <col min="13503" max="13503" width="56" style="243" customWidth="1"/>
    <col min="13504" max="13505" width="1" style="243" customWidth="1"/>
    <col min="13506" max="13506" width="14.42578125" style="243" customWidth="1"/>
    <col min="13507" max="13508" width="1" style="243" customWidth="1"/>
    <col min="13509" max="13563" width="0" style="243" hidden="1" customWidth="1"/>
    <col min="13564" max="13565" width="1" style="243" customWidth="1"/>
    <col min="13566" max="13566" width="17.85546875" style="243" customWidth="1"/>
    <col min="13567" max="13570" width="1" style="243" customWidth="1"/>
    <col min="13571" max="13571" width="14.42578125" style="243" customWidth="1"/>
    <col min="13572" max="13575" width="1" style="243" customWidth="1"/>
    <col min="13576" max="13576" width="14.42578125" style="243" customWidth="1"/>
    <col min="13577" max="13578" width="1" style="243" customWidth="1"/>
    <col min="13579" max="13633" width="0" style="243" hidden="1" customWidth="1"/>
    <col min="13634" max="13635" width="1" style="243" customWidth="1"/>
    <col min="13636" max="13636" width="17.85546875" style="243" customWidth="1"/>
    <col min="13637" max="13640" width="1" style="243" customWidth="1"/>
    <col min="13641" max="13641" width="14.42578125" style="243" customWidth="1"/>
    <col min="13642" max="13643" width="1" style="243" customWidth="1"/>
    <col min="13644" max="13644" width="2" style="243" customWidth="1"/>
    <col min="13645" max="13645" width="3.85546875" style="243" customWidth="1"/>
    <col min="13646" max="13646" width="15.7109375" style="243" customWidth="1"/>
    <col min="13647" max="13647" width="12.85546875" style="243" bestFit="1" customWidth="1"/>
    <col min="13648" max="13648" width="13.85546875" style="243" customWidth="1"/>
    <col min="13649" max="13649" width="12.85546875" style="243" bestFit="1" customWidth="1"/>
    <col min="13650" max="13755" width="10" style="243"/>
    <col min="13756" max="13757" width="0" style="243" hidden="1" customWidth="1"/>
    <col min="13758" max="13758" width="1" style="243" customWidth="1"/>
    <col min="13759" max="13759" width="56" style="243" customWidth="1"/>
    <col min="13760" max="13761" width="1" style="243" customWidth="1"/>
    <col min="13762" max="13762" width="14.42578125" style="243" customWidth="1"/>
    <col min="13763" max="13764" width="1" style="243" customWidth="1"/>
    <col min="13765" max="13819" width="0" style="243" hidden="1" customWidth="1"/>
    <col min="13820" max="13821" width="1" style="243" customWidth="1"/>
    <col min="13822" max="13822" width="17.85546875" style="243" customWidth="1"/>
    <col min="13823" max="13826" width="1" style="243" customWidth="1"/>
    <col min="13827" max="13827" width="14.42578125" style="243" customWidth="1"/>
    <col min="13828" max="13831" width="1" style="243" customWidth="1"/>
    <col min="13832" max="13832" width="14.42578125" style="243" customWidth="1"/>
    <col min="13833" max="13834" width="1" style="243" customWidth="1"/>
    <col min="13835" max="13889" width="0" style="243" hidden="1" customWidth="1"/>
    <col min="13890" max="13891" width="1" style="243" customWidth="1"/>
    <col min="13892" max="13892" width="17.85546875" style="243" customWidth="1"/>
    <col min="13893" max="13896" width="1" style="243" customWidth="1"/>
    <col min="13897" max="13897" width="14.42578125" style="243" customWidth="1"/>
    <col min="13898" max="13899" width="1" style="243" customWidth="1"/>
    <col min="13900" max="13900" width="2" style="243" customWidth="1"/>
    <col min="13901" max="13901" width="3.85546875" style="243" customWidth="1"/>
    <col min="13902" max="13902" width="15.7109375" style="243" customWidth="1"/>
    <col min="13903" max="13903" width="12.85546875" style="243" bestFit="1" customWidth="1"/>
    <col min="13904" max="13904" width="13.85546875" style="243" customWidth="1"/>
    <col min="13905" max="13905" width="12.85546875" style="243" bestFit="1" customWidth="1"/>
    <col min="13906" max="14011" width="10" style="243"/>
    <col min="14012" max="14013" width="0" style="243" hidden="1" customWidth="1"/>
    <col min="14014" max="14014" width="1" style="243" customWidth="1"/>
    <col min="14015" max="14015" width="56" style="243" customWidth="1"/>
    <col min="14016" max="14017" width="1" style="243" customWidth="1"/>
    <col min="14018" max="14018" width="14.42578125" style="243" customWidth="1"/>
    <col min="14019" max="14020" width="1" style="243" customWidth="1"/>
    <col min="14021" max="14075" width="0" style="243" hidden="1" customWidth="1"/>
    <col min="14076" max="14077" width="1" style="243" customWidth="1"/>
    <col min="14078" max="14078" width="17.85546875" style="243" customWidth="1"/>
    <col min="14079" max="14082" width="1" style="243" customWidth="1"/>
    <col min="14083" max="14083" width="14.42578125" style="243" customWidth="1"/>
    <col min="14084" max="14087" width="1" style="243" customWidth="1"/>
    <col min="14088" max="14088" width="14.42578125" style="243" customWidth="1"/>
    <col min="14089" max="14090" width="1" style="243" customWidth="1"/>
    <col min="14091" max="14145" width="0" style="243" hidden="1" customWidth="1"/>
    <col min="14146" max="14147" width="1" style="243" customWidth="1"/>
    <col min="14148" max="14148" width="17.85546875" style="243" customWidth="1"/>
    <col min="14149" max="14152" width="1" style="243" customWidth="1"/>
    <col min="14153" max="14153" width="14.42578125" style="243" customWidth="1"/>
    <col min="14154" max="14155" width="1" style="243" customWidth="1"/>
    <col min="14156" max="14156" width="2" style="243" customWidth="1"/>
    <col min="14157" max="14157" width="3.85546875" style="243" customWidth="1"/>
    <col min="14158" max="14158" width="15.7109375" style="243" customWidth="1"/>
    <col min="14159" max="14159" width="12.85546875" style="243" bestFit="1" customWidth="1"/>
    <col min="14160" max="14160" width="13.85546875" style="243" customWidth="1"/>
    <col min="14161" max="14161" width="12.85546875" style="243" bestFit="1" customWidth="1"/>
    <col min="14162" max="14267" width="10" style="243"/>
    <col min="14268" max="14269" width="0" style="243" hidden="1" customWidth="1"/>
    <col min="14270" max="14270" width="1" style="243" customWidth="1"/>
    <col min="14271" max="14271" width="56" style="243" customWidth="1"/>
    <col min="14272" max="14273" width="1" style="243" customWidth="1"/>
    <col min="14274" max="14274" width="14.42578125" style="243" customWidth="1"/>
    <col min="14275" max="14276" width="1" style="243" customWidth="1"/>
    <col min="14277" max="14331" width="0" style="243" hidden="1" customWidth="1"/>
    <col min="14332" max="14333" width="1" style="243" customWidth="1"/>
    <col min="14334" max="14334" width="17.85546875" style="243" customWidth="1"/>
    <col min="14335" max="14338" width="1" style="243" customWidth="1"/>
    <col min="14339" max="14339" width="14.42578125" style="243" customWidth="1"/>
    <col min="14340" max="14343" width="1" style="243" customWidth="1"/>
    <col min="14344" max="14344" width="14.42578125" style="243" customWidth="1"/>
    <col min="14345" max="14346" width="1" style="243" customWidth="1"/>
    <col min="14347" max="14401" width="0" style="243" hidden="1" customWidth="1"/>
    <col min="14402" max="14403" width="1" style="243" customWidth="1"/>
    <col min="14404" max="14404" width="17.85546875" style="243" customWidth="1"/>
    <col min="14405" max="14408" width="1" style="243" customWidth="1"/>
    <col min="14409" max="14409" width="14.42578125" style="243" customWidth="1"/>
    <col min="14410" max="14411" width="1" style="243" customWidth="1"/>
    <col min="14412" max="14412" width="2" style="243" customWidth="1"/>
    <col min="14413" max="14413" width="3.85546875" style="243" customWidth="1"/>
    <col min="14414" max="14414" width="15.7109375" style="243" customWidth="1"/>
    <col min="14415" max="14415" width="12.85546875" style="243" bestFit="1" customWidth="1"/>
    <col min="14416" max="14416" width="13.85546875" style="243" customWidth="1"/>
    <col min="14417" max="14417" width="12.85546875" style="243" bestFit="1" customWidth="1"/>
    <col min="14418" max="14523" width="10" style="243"/>
    <col min="14524" max="14525" width="0" style="243" hidden="1" customWidth="1"/>
    <col min="14526" max="14526" width="1" style="243" customWidth="1"/>
    <col min="14527" max="14527" width="56" style="243" customWidth="1"/>
    <col min="14528" max="14529" width="1" style="243" customWidth="1"/>
    <col min="14530" max="14530" width="14.42578125" style="243" customWidth="1"/>
    <col min="14531" max="14532" width="1" style="243" customWidth="1"/>
    <col min="14533" max="14587" width="0" style="243" hidden="1" customWidth="1"/>
    <col min="14588" max="14589" width="1" style="243" customWidth="1"/>
    <col min="14590" max="14590" width="17.85546875" style="243" customWidth="1"/>
    <col min="14591" max="14594" width="1" style="243" customWidth="1"/>
    <col min="14595" max="14595" width="14.42578125" style="243" customWidth="1"/>
    <col min="14596" max="14599" width="1" style="243" customWidth="1"/>
    <col min="14600" max="14600" width="14.42578125" style="243" customWidth="1"/>
    <col min="14601" max="14602" width="1" style="243" customWidth="1"/>
    <col min="14603" max="14657" width="0" style="243" hidden="1" customWidth="1"/>
    <col min="14658" max="14659" width="1" style="243" customWidth="1"/>
    <col min="14660" max="14660" width="17.85546875" style="243" customWidth="1"/>
    <col min="14661" max="14664" width="1" style="243" customWidth="1"/>
    <col min="14665" max="14665" width="14.42578125" style="243" customWidth="1"/>
    <col min="14666" max="14667" width="1" style="243" customWidth="1"/>
    <col min="14668" max="14668" width="2" style="243" customWidth="1"/>
    <col min="14669" max="14669" width="3.85546875" style="243" customWidth="1"/>
    <col min="14670" max="14670" width="15.7109375" style="243" customWidth="1"/>
    <col min="14671" max="14671" width="12.85546875" style="243" bestFit="1" customWidth="1"/>
    <col min="14672" max="14672" width="13.85546875" style="243" customWidth="1"/>
    <col min="14673" max="14673" width="12.85546875" style="243" bestFit="1" customWidth="1"/>
    <col min="14674" max="14779" width="10" style="243"/>
    <col min="14780" max="14781" width="0" style="243" hidden="1" customWidth="1"/>
    <col min="14782" max="14782" width="1" style="243" customWidth="1"/>
    <col min="14783" max="14783" width="56" style="243" customWidth="1"/>
    <col min="14784" max="14785" width="1" style="243" customWidth="1"/>
    <col min="14786" max="14786" width="14.42578125" style="243" customWidth="1"/>
    <col min="14787" max="14788" width="1" style="243" customWidth="1"/>
    <col min="14789" max="14843" width="0" style="243" hidden="1" customWidth="1"/>
    <col min="14844" max="14845" width="1" style="243" customWidth="1"/>
    <col min="14846" max="14846" width="17.85546875" style="243" customWidth="1"/>
    <col min="14847" max="14850" width="1" style="243" customWidth="1"/>
    <col min="14851" max="14851" width="14.42578125" style="243" customWidth="1"/>
    <col min="14852" max="14855" width="1" style="243" customWidth="1"/>
    <col min="14856" max="14856" width="14.42578125" style="243" customWidth="1"/>
    <col min="14857" max="14858" width="1" style="243" customWidth="1"/>
    <col min="14859" max="14913" width="0" style="243" hidden="1" customWidth="1"/>
    <col min="14914" max="14915" width="1" style="243" customWidth="1"/>
    <col min="14916" max="14916" width="17.85546875" style="243" customWidth="1"/>
    <col min="14917" max="14920" width="1" style="243" customWidth="1"/>
    <col min="14921" max="14921" width="14.42578125" style="243" customWidth="1"/>
    <col min="14922" max="14923" width="1" style="243" customWidth="1"/>
    <col min="14924" max="14924" width="2" style="243" customWidth="1"/>
    <col min="14925" max="14925" width="3.85546875" style="243" customWidth="1"/>
    <col min="14926" max="14926" width="15.7109375" style="243" customWidth="1"/>
    <col min="14927" max="14927" width="12.85546875" style="243" bestFit="1" customWidth="1"/>
    <col min="14928" max="14928" width="13.85546875" style="243" customWidth="1"/>
    <col min="14929" max="14929" width="12.85546875" style="243" bestFit="1" customWidth="1"/>
    <col min="14930" max="15035" width="10" style="243"/>
    <col min="15036" max="15037" width="0" style="243" hidden="1" customWidth="1"/>
    <col min="15038" max="15038" width="1" style="243" customWidth="1"/>
    <col min="15039" max="15039" width="56" style="243" customWidth="1"/>
    <col min="15040" max="15041" width="1" style="243" customWidth="1"/>
    <col min="15042" max="15042" width="14.42578125" style="243" customWidth="1"/>
    <col min="15043" max="15044" width="1" style="243" customWidth="1"/>
    <col min="15045" max="15099" width="0" style="243" hidden="1" customWidth="1"/>
    <col min="15100" max="15101" width="1" style="243" customWidth="1"/>
    <col min="15102" max="15102" width="17.85546875" style="243" customWidth="1"/>
    <col min="15103" max="15106" width="1" style="243" customWidth="1"/>
    <col min="15107" max="15107" width="14.42578125" style="243" customWidth="1"/>
    <col min="15108" max="15111" width="1" style="243" customWidth="1"/>
    <col min="15112" max="15112" width="14.42578125" style="243" customWidth="1"/>
    <col min="15113" max="15114" width="1" style="243" customWidth="1"/>
    <col min="15115" max="15169" width="0" style="243" hidden="1" customWidth="1"/>
    <col min="15170" max="15171" width="1" style="243" customWidth="1"/>
    <col min="15172" max="15172" width="17.85546875" style="243" customWidth="1"/>
    <col min="15173" max="15176" width="1" style="243" customWidth="1"/>
    <col min="15177" max="15177" width="14.42578125" style="243" customWidth="1"/>
    <col min="15178" max="15179" width="1" style="243" customWidth="1"/>
    <col min="15180" max="15180" width="2" style="243" customWidth="1"/>
    <col min="15181" max="15181" width="3.85546875" style="243" customWidth="1"/>
    <col min="15182" max="15182" width="15.7109375" style="243" customWidth="1"/>
    <col min="15183" max="15183" width="12.85546875" style="243" bestFit="1" customWidth="1"/>
    <col min="15184" max="15184" width="13.85546875" style="243" customWidth="1"/>
    <col min="15185" max="15185" width="12.85546875" style="243" bestFit="1" customWidth="1"/>
    <col min="15186" max="15291" width="10" style="243"/>
    <col min="15292" max="15293" width="0" style="243" hidden="1" customWidth="1"/>
    <col min="15294" max="15294" width="1" style="243" customWidth="1"/>
    <col min="15295" max="15295" width="56" style="243" customWidth="1"/>
    <col min="15296" max="15297" width="1" style="243" customWidth="1"/>
    <col min="15298" max="15298" width="14.42578125" style="243" customWidth="1"/>
    <col min="15299" max="15300" width="1" style="243" customWidth="1"/>
    <col min="15301" max="15355" width="0" style="243" hidden="1" customWidth="1"/>
    <col min="15356" max="15357" width="1" style="243" customWidth="1"/>
    <col min="15358" max="15358" width="17.85546875" style="243" customWidth="1"/>
    <col min="15359" max="15362" width="1" style="243" customWidth="1"/>
    <col min="15363" max="15363" width="14.42578125" style="243" customWidth="1"/>
    <col min="15364" max="15367" width="1" style="243" customWidth="1"/>
    <col min="15368" max="15368" width="14.42578125" style="243" customWidth="1"/>
    <col min="15369" max="15370" width="1" style="243" customWidth="1"/>
    <col min="15371" max="15425" width="0" style="243" hidden="1" customWidth="1"/>
    <col min="15426" max="15427" width="1" style="243" customWidth="1"/>
    <col min="15428" max="15428" width="17.85546875" style="243" customWidth="1"/>
    <col min="15429" max="15432" width="1" style="243" customWidth="1"/>
    <col min="15433" max="15433" width="14.42578125" style="243" customWidth="1"/>
    <col min="15434" max="15435" width="1" style="243" customWidth="1"/>
    <col min="15436" max="15436" width="2" style="243" customWidth="1"/>
    <col min="15437" max="15437" width="3.85546875" style="243" customWidth="1"/>
    <col min="15438" max="15438" width="15.7109375" style="243" customWidth="1"/>
    <col min="15439" max="15439" width="12.85546875" style="243" bestFit="1" customWidth="1"/>
    <col min="15440" max="15440" width="13.85546875" style="243" customWidth="1"/>
    <col min="15441" max="15441" width="12.85546875" style="243" bestFit="1" customWidth="1"/>
    <col min="15442" max="15547" width="10" style="243"/>
    <col min="15548" max="15549" width="0" style="243" hidden="1" customWidth="1"/>
    <col min="15550" max="15550" width="1" style="243" customWidth="1"/>
    <col min="15551" max="15551" width="56" style="243" customWidth="1"/>
    <col min="15552" max="15553" width="1" style="243" customWidth="1"/>
    <col min="15554" max="15554" width="14.42578125" style="243" customWidth="1"/>
    <col min="15555" max="15556" width="1" style="243" customWidth="1"/>
    <col min="15557" max="15611" width="0" style="243" hidden="1" customWidth="1"/>
    <col min="15612" max="15613" width="1" style="243" customWidth="1"/>
    <col min="15614" max="15614" width="17.85546875" style="243" customWidth="1"/>
    <col min="15615" max="15618" width="1" style="243" customWidth="1"/>
    <col min="15619" max="15619" width="14.42578125" style="243" customWidth="1"/>
    <col min="15620" max="15623" width="1" style="243" customWidth="1"/>
    <col min="15624" max="15624" width="14.42578125" style="243" customWidth="1"/>
    <col min="15625" max="15626" width="1" style="243" customWidth="1"/>
    <col min="15627" max="15681" width="0" style="243" hidden="1" customWidth="1"/>
    <col min="15682" max="15683" width="1" style="243" customWidth="1"/>
    <col min="15684" max="15684" width="17.85546875" style="243" customWidth="1"/>
    <col min="15685" max="15688" width="1" style="243" customWidth="1"/>
    <col min="15689" max="15689" width="14.42578125" style="243" customWidth="1"/>
    <col min="15690" max="15691" width="1" style="243" customWidth="1"/>
    <col min="15692" max="15692" width="2" style="243" customWidth="1"/>
    <col min="15693" max="15693" width="3.85546875" style="243" customWidth="1"/>
    <col min="15694" max="15694" width="15.7109375" style="243" customWidth="1"/>
    <col min="15695" max="15695" width="12.85546875" style="243" bestFit="1" customWidth="1"/>
    <col min="15696" max="15696" width="13.85546875" style="243" customWidth="1"/>
    <col min="15697" max="15697" width="12.85546875" style="243" bestFit="1" customWidth="1"/>
    <col min="15698" max="15803" width="10" style="243"/>
    <col min="15804" max="15805" width="0" style="243" hidden="1" customWidth="1"/>
    <col min="15806" max="15806" width="1" style="243" customWidth="1"/>
    <col min="15807" max="15807" width="56" style="243" customWidth="1"/>
    <col min="15808" max="15809" width="1" style="243" customWidth="1"/>
    <col min="15810" max="15810" width="14.42578125" style="243" customWidth="1"/>
    <col min="15811" max="15812" width="1" style="243" customWidth="1"/>
    <col min="15813" max="15867" width="0" style="243" hidden="1" customWidth="1"/>
    <col min="15868" max="15869" width="1" style="243" customWidth="1"/>
    <col min="15870" max="15870" width="17.85546875" style="243" customWidth="1"/>
    <col min="15871" max="15874" width="1" style="243" customWidth="1"/>
    <col min="15875" max="15875" width="14.42578125" style="243" customWidth="1"/>
    <col min="15876" max="15879" width="1" style="243" customWidth="1"/>
    <col min="15880" max="15880" width="14.42578125" style="243" customWidth="1"/>
    <col min="15881" max="15882" width="1" style="243" customWidth="1"/>
    <col min="15883" max="15937" width="0" style="243" hidden="1" customWidth="1"/>
    <col min="15938" max="15939" width="1" style="243" customWidth="1"/>
    <col min="15940" max="15940" width="17.85546875" style="243" customWidth="1"/>
    <col min="15941" max="15944" width="1" style="243" customWidth="1"/>
    <col min="15945" max="15945" width="14.42578125" style="243" customWidth="1"/>
    <col min="15946" max="15947" width="1" style="243" customWidth="1"/>
    <col min="15948" max="15948" width="2" style="243" customWidth="1"/>
    <col min="15949" max="15949" width="3.85546875" style="243" customWidth="1"/>
    <col min="15950" max="15950" width="15.7109375" style="243" customWidth="1"/>
    <col min="15951" max="15951" width="12.85546875" style="243" bestFit="1" customWidth="1"/>
    <col min="15952" max="15952" width="13.85546875" style="243" customWidth="1"/>
    <col min="15953" max="15953" width="12.85546875" style="243" bestFit="1" customWidth="1"/>
    <col min="15954" max="16059" width="10" style="243"/>
    <col min="16060" max="16061" width="0" style="243" hidden="1" customWidth="1"/>
    <col min="16062" max="16062" width="1" style="243" customWidth="1"/>
    <col min="16063" max="16063" width="56" style="243" customWidth="1"/>
    <col min="16064" max="16065" width="1" style="243" customWidth="1"/>
    <col min="16066" max="16066" width="14.42578125" style="243" customWidth="1"/>
    <col min="16067" max="16068" width="1" style="243" customWidth="1"/>
    <col min="16069" max="16123" width="0" style="243" hidden="1" customWidth="1"/>
    <col min="16124" max="16125" width="1" style="243" customWidth="1"/>
    <col min="16126" max="16126" width="17.85546875" style="243" customWidth="1"/>
    <col min="16127" max="16130" width="1" style="243" customWidth="1"/>
    <col min="16131" max="16131" width="14.42578125" style="243" customWidth="1"/>
    <col min="16132" max="16135" width="1" style="243" customWidth="1"/>
    <col min="16136" max="16136" width="14.42578125" style="243" customWidth="1"/>
    <col min="16137" max="16138" width="1" style="243" customWidth="1"/>
    <col min="16139" max="16193" width="0" style="243" hidden="1" customWidth="1"/>
    <col min="16194" max="16195" width="1" style="243" customWidth="1"/>
    <col min="16196" max="16196" width="17.85546875" style="243" customWidth="1"/>
    <col min="16197" max="16200" width="1" style="243" customWidth="1"/>
    <col min="16201" max="16201" width="14.42578125" style="243" customWidth="1"/>
    <col min="16202" max="16203" width="1" style="243" customWidth="1"/>
    <col min="16204" max="16204" width="2" style="243" customWidth="1"/>
    <col min="16205" max="16205" width="3.85546875" style="243" customWidth="1"/>
    <col min="16206" max="16206" width="15.7109375" style="243" customWidth="1"/>
    <col min="16207" max="16207" width="12.85546875" style="243" bestFit="1" customWidth="1"/>
    <col min="16208" max="16208" width="13.85546875" style="243" customWidth="1"/>
    <col min="16209" max="16209" width="12.85546875" style="243" bestFit="1" customWidth="1"/>
    <col min="16210" max="16384" width="10" style="243"/>
  </cols>
  <sheetData>
    <row r="1" spans="1:81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>
        <f>1770000000+11234076861+1105000000</f>
        <v>14109076861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</row>
    <row r="2" spans="1:81" ht="15.75" x14ac:dyDescent="0.25">
      <c r="A2" s="244"/>
      <c r="B2" s="244"/>
      <c r="D2" s="319" t="s">
        <v>299</v>
      </c>
      <c r="E2" s="319">
        <v>0</v>
      </c>
      <c r="F2" s="319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4"/>
    </row>
    <row r="3" spans="1:81" ht="15" customHeight="1" x14ac:dyDescent="0.25">
      <c r="A3" s="244"/>
      <c r="B3" s="244"/>
      <c r="D3" s="262"/>
      <c r="E3" s="320">
        <v>0</v>
      </c>
      <c r="F3" s="321"/>
      <c r="G3" s="664" t="str">
        <f>[65]summary!H8</f>
        <v>2019/20</v>
      </c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  <c r="BB3" s="664"/>
      <c r="BC3" s="664"/>
      <c r="BD3" s="664"/>
      <c r="BE3" s="664"/>
      <c r="BF3" s="664"/>
      <c r="BG3" s="664"/>
      <c r="BH3" s="664"/>
      <c r="BI3" s="664"/>
      <c r="BJ3" s="664"/>
      <c r="BK3" s="664"/>
      <c r="BL3" s="664"/>
      <c r="BM3" s="664"/>
      <c r="BN3" s="664"/>
      <c r="BO3" s="664"/>
      <c r="BP3" s="664"/>
      <c r="BQ3" s="664"/>
      <c r="BR3" s="664"/>
      <c r="BS3" s="664"/>
      <c r="BT3" s="664"/>
      <c r="BU3" s="322"/>
      <c r="BV3" s="322"/>
      <c r="BW3" s="323"/>
      <c r="BX3" s="254"/>
    </row>
    <row r="4" spans="1:81" ht="18" customHeight="1" x14ac:dyDescent="0.2">
      <c r="A4" s="244"/>
      <c r="B4" s="244"/>
      <c r="D4" s="254"/>
      <c r="E4" s="261">
        <v>0</v>
      </c>
      <c r="F4" s="244"/>
      <c r="G4" s="17" t="str">
        <f>[65]summary!H9</f>
        <v>Revised</v>
      </c>
      <c r="H4" s="17"/>
      <c r="I4" s="17"/>
      <c r="J4" s="14"/>
      <c r="K4" s="17"/>
      <c r="L4" s="17" t="s">
        <v>2</v>
      </c>
      <c r="M4" s="17"/>
      <c r="N4" s="17"/>
      <c r="O4" s="14"/>
      <c r="P4" s="17"/>
      <c r="Q4" s="17" t="s">
        <v>3</v>
      </c>
      <c r="R4" s="17"/>
      <c r="S4" s="17"/>
      <c r="T4" s="14"/>
      <c r="U4" s="17"/>
      <c r="V4" s="17" t="s">
        <v>167</v>
      </c>
      <c r="W4" s="17"/>
      <c r="X4" s="17"/>
      <c r="Y4" s="14"/>
      <c r="Z4" s="17"/>
      <c r="AA4" s="17" t="s">
        <v>5</v>
      </c>
      <c r="AB4" s="17"/>
      <c r="AC4" s="17"/>
      <c r="AD4" s="14"/>
      <c r="AE4" s="17"/>
      <c r="AF4" s="17" t="s">
        <v>6</v>
      </c>
      <c r="AG4" s="17"/>
      <c r="AH4" s="17"/>
      <c r="AI4" s="14"/>
      <c r="AJ4" s="17"/>
      <c r="AK4" s="17" t="s">
        <v>7</v>
      </c>
      <c r="AL4" s="17"/>
      <c r="AM4" s="17"/>
      <c r="AN4" s="14"/>
      <c r="AO4" s="17"/>
      <c r="AP4" s="17" t="s">
        <v>8</v>
      </c>
      <c r="AQ4" s="17"/>
      <c r="AR4" s="17"/>
      <c r="AS4" s="14"/>
      <c r="AT4" s="17"/>
      <c r="AU4" s="17" t="s">
        <v>9</v>
      </c>
      <c r="AV4" s="17"/>
      <c r="AW4" s="17"/>
      <c r="AX4" s="14"/>
      <c r="AY4" s="17"/>
      <c r="AZ4" s="17" t="s">
        <v>10</v>
      </c>
      <c r="BA4" s="17"/>
      <c r="BB4" s="17"/>
      <c r="BC4" s="14"/>
      <c r="BD4" s="17"/>
      <c r="BE4" s="17" t="s">
        <v>11</v>
      </c>
      <c r="BF4" s="17"/>
      <c r="BG4" s="17"/>
      <c r="BH4" s="14"/>
      <c r="BI4" s="17"/>
      <c r="BJ4" s="17" t="s">
        <v>12</v>
      </c>
      <c r="BK4" s="17"/>
      <c r="BL4" s="17"/>
      <c r="BM4" s="14"/>
      <c r="BN4" s="17"/>
      <c r="BO4" s="17" t="s">
        <v>13</v>
      </c>
      <c r="BP4" s="17"/>
      <c r="BQ4" s="17"/>
      <c r="BR4" s="14"/>
      <c r="BS4" s="17"/>
      <c r="BT4" s="17" t="s">
        <v>14</v>
      </c>
      <c r="BU4" s="17"/>
      <c r="BV4" s="17"/>
      <c r="BW4" s="17"/>
      <c r="BX4" s="254"/>
    </row>
    <row r="5" spans="1:81" x14ac:dyDescent="0.2">
      <c r="A5" s="244"/>
      <c r="B5" s="244"/>
      <c r="D5" s="256" t="s">
        <v>15</v>
      </c>
      <c r="E5" s="324">
        <v>0</v>
      </c>
      <c r="F5" s="325"/>
      <c r="G5" s="79" t="s">
        <v>16</v>
      </c>
      <c r="H5" s="79"/>
      <c r="I5" s="79"/>
      <c r="J5" s="78"/>
      <c r="K5" s="79"/>
      <c r="L5" s="257"/>
      <c r="M5" s="257"/>
      <c r="N5" s="257"/>
      <c r="O5" s="326"/>
      <c r="P5" s="257"/>
      <c r="Q5" s="257"/>
      <c r="R5" s="257"/>
      <c r="S5" s="257"/>
      <c r="T5" s="326"/>
      <c r="U5" s="257"/>
      <c r="V5" s="257"/>
      <c r="W5" s="257"/>
      <c r="X5" s="257"/>
      <c r="Y5" s="326"/>
      <c r="Z5" s="257"/>
      <c r="AA5" s="257"/>
      <c r="AB5" s="257"/>
      <c r="AC5" s="257"/>
      <c r="AD5" s="326"/>
      <c r="AE5" s="257"/>
      <c r="AF5" s="257"/>
      <c r="AG5" s="257"/>
      <c r="AH5" s="257"/>
      <c r="AI5" s="326"/>
      <c r="AJ5" s="257"/>
      <c r="AK5" s="257"/>
      <c r="AL5" s="257"/>
      <c r="AM5" s="257"/>
      <c r="AN5" s="326"/>
      <c r="AO5" s="257"/>
      <c r="AP5" s="257"/>
      <c r="AQ5" s="257"/>
      <c r="AR5" s="257"/>
      <c r="AS5" s="326"/>
      <c r="AT5" s="257"/>
      <c r="AU5" s="257"/>
      <c r="AV5" s="257"/>
      <c r="AW5" s="257"/>
      <c r="AX5" s="326"/>
      <c r="AY5" s="257"/>
      <c r="AZ5" s="257"/>
      <c r="BA5" s="257"/>
      <c r="BB5" s="257"/>
      <c r="BC5" s="326"/>
      <c r="BD5" s="257"/>
      <c r="BE5" s="257"/>
      <c r="BF5" s="257"/>
      <c r="BG5" s="257"/>
      <c r="BH5" s="326"/>
      <c r="BI5" s="257"/>
      <c r="BJ5" s="257"/>
      <c r="BK5" s="257"/>
      <c r="BL5" s="257"/>
      <c r="BM5" s="326"/>
      <c r="BN5" s="257"/>
      <c r="BO5" s="257"/>
      <c r="BP5" s="257"/>
      <c r="BQ5" s="257"/>
      <c r="BR5" s="326"/>
      <c r="BS5" s="257"/>
      <c r="BT5" s="257"/>
      <c r="BU5" s="17"/>
      <c r="BV5" s="17"/>
      <c r="BW5" s="17"/>
      <c r="BX5" s="254"/>
    </row>
    <row r="6" spans="1:81" x14ac:dyDescent="0.2">
      <c r="A6" s="244"/>
      <c r="B6" s="244"/>
      <c r="D6" s="327"/>
      <c r="E6" s="292"/>
      <c r="F6" s="328"/>
      <c r="G6" s="328"/>
      <c r="H6" s="328"/>
      <c r="I6" s="328"/>
      <c r="J6" s="292"/>
      <c r="K6" s="328"/>
      <c r="L6" s="328"/>
      <c r="M6" s="328"/>
      <c r="N6" s="328"/>
      <c r="O6" s="292"/>
      <c r="P6" s="328"/>
      <c r="Q6" s="328"/>
      <c r="R6" s="328"/>
      <c r="S6" s="328"/>
      <c r="T6" s="292"/>
      <c r="U6" s="328"/>
      <c r="V6" s="328"/>
      <c r="W6" s="328"/>
      <c r="X6" s="328"/>
      <c r="Y6" s="292"/>
      <c r="Z6" s="328"/>
      <c r="AA6" s="328"/>
      <c r="AB6" s="328"/>
      <c r="AC6" s="328"/>
      <c r="AD6" s="292"/>
      <c r="AE6" s="328"/>
      <c r="AF6" s="328"/>
      <c r="AG6" s="328"/>
      <c r="AH6" s="328"/>
      <c r="AI6" s="292"/>
      <c r="AJ6" s="328"/>
      <c r="AK6" s="328"/>
      <c r="AL6" s="328"/>
      <c r="AM6" s="328"/>
      <c r="AN6" s="292"/>
      <c r="AO6" s="328"/>
      <c r="AP6" s="328"/>
      <c r="AQ6" s="328"/>
      <c r="AR6" s="328"/>
      <c r="AS6" s="292"/>
      <c r="AT6" s="328"/>
      <c r="AU6" s="328"/>
      <c r="AV6" s="328"/>
      <c r="AW6" s="328"/>
      <c r="AX6" s="292"/>
      <c r="AY6" s="328"/>
      <c r="AZ6" s="328"/>
      <c r="BA6" s="328"/>
      <c r="BB6" s="328"/>
      <c r="BC6" s="292"/>
      <c r="BD6" s="328"/>
      <c r="BE6" s="328"/>
      <c r="BF6" s="328"/>
      <c r="BG6" s="328"/>
      <c r="BH6" s="292"/>
      <c r="BI6" s="328"/>
      <c r="BJ6" s="328"/>
      <c r="BK6" s="328"/>
      <c r="BL6" s="289"/>
      <c r="BM6" s="292"/>
      <c r="BN6" s="328"/>
      <c r="BO6" s="328"/>
      <c r="BP6" s="328"/>
      <c r="BQ6" s="328"/>
      <c r="BR6" s="292"/>
      <c r="BS6" s="289"/>
      <c r="BT6" s="270"/>
      <c r="BU6" s="270"/>
      <c r="BV6" s="270"/>
      <c r="BW6" s="329"/>
      <c r="BX6" s="254"/>
    </row>
    <row r="7" spans="1:81" s="268" customFormat="1" x14ac:dyDescent="0.2">
      <c r="A7" s="245"/>
      <c r="B7" s="245"/>
      <c r="D7" s="262" t="s">
        <v>300</v>
      </c>
      <c r="E7" s="264"/>
      <c r="F7" s="245"/>
      <c r="G7" s="330">
        <f>SUM(G8:G11)</f>
        <v>339448862</v>
      </c>
      <c r="H7" s="291"/>
      <c r="I7" s="291"/>
      <c r="J7" s="290"/>
      <c r="K7" s="291"/>
      <c r="L7" s="291">
        <f>SUM(L8:L11)</f>
        <v>23835565</v>
      </c>
      <c r="M7" s="291"/>
      <c r="N7" s="291"/>
      <c r="O7" s="290"/>
      <c r="P7" s="291"/>
      <c r="Q7" s="291">
        <f>SUM(Q8:Q11)</f>
        <v>40731907</v>
      </c>
      <c r="R7" s="291"/>
      <c r="S7" s="291"/>
      <c r="T7" s="290"/>
      <c r="U7" s="291"/>
      <c r="V7" s="291">
        <f>SUM(V8:V11)</f>
        <v>21124207</v>
      </c>
      <c r="W7" s="291"/>
      <c r="X7" s="291"/>
      <c r="Y7" s="290"/>
      <c r="Z7" s="291"/>
      <c r="AA7" s="291">
        <f>SUM(AA8:AA11)</f>
        <v>24760828</v>
      </c>
      <c r="AB7" s="291"/>
      <c r="AC7" s="291"/>
      <c r="AD7" s="290"/>
      <c r="AE7" s="291"/>
      <c r="AF7" s="291">
        <f>SUM(AF8:AF11)</f>
        <v>31193951</v>
      </c>
      <c r="AG7" s="291"/>
      <c r="AH7" s="291"/>
      <c r="AI7" s="290"/>
      <c r="AJ7" s="291"/>
      <c r="AK7" s="291">
        <f>SUM(AK8:AK11)</f>
        <v>32324457</v>
      </c>
      <c r="AL7" s="291"/>
      <c r="AM7" s="291"/>
      <c r="AN7" s="290"/>
      <c r="AO7" s="291"/>
      <c r="AP7" s="291">
        <f>SUM(AP8:AP11)</f>
        <v>33970885</v>
      </c>
      <c r="AQ7" s="291"/>
      <c r="AR7" s="291"/>
      <c r="AS7" s="290"/>
      <c r="AT7" s="291"/>
      <c r="AU7" s="291">
        <f>SUM(AU8:AU11)</f>
        <v>34652962</v>
      </c>
      <c r="AV7" s="291"/>
      <c r="AW7" s="291"/>
      <c r="AX7" s="290"/>
      <c r="AY7" s="291"/>
      <c r="AZ7" s="291">
        <f>SUM(AZ8:AZ11)</f>
        <v>26476333</v>
      </c>
      <c r="BA7" s="291"/>
      <c r="BB7" s="291"/>
      <c r="BC7" s="290"/>
      <c r="BD7" s="291"/>
      <c r="BE7" s="291">
        <f>SUM(BE8:BE11)</f>
        <v>21562772</v>
      </c>
      <c r="BF7" s="291"/>
      <c r="BG7" s="291"/>
      <c r="BH7" s="290"/>
      <c r="BI7" s="291"/>
      <c r="BJ7" s="291">
        <f>SUM(BJ8:BJ11)</f>
        <v>32267535</v>
      </c>
      <c r="BK7" s="291"/>
      <c r="BL7" s="291"/>
      <c r="BM7" s="290"/>
      <c r="BN7" s="291"/>
      <c r="BO7" s="291">
        <f>SUM(BO8:BO11)</f>
        <v>31130085</v>
      </c>
      <c r="BP7" s="291"/>
      <c r="BQ7" s="291"/>
      <c r="BR7" s="290"/>
      <c r="BS7" s="291"/>
      <c r="BT7" s="291">
        <f>SUM(BT8:BT11)</f>
        <v>354031487</v>
      </c>
      <c r="BU7" s="291"/>
      <c r="BV7" s="291"/>
      <c r="BW7" s="291"/>
      <c r="BX7" s="262"/>
    </row>
    <row r="8" spans="1:81" x14ac:dyDescent="0.2">
      <c r="A8" s="244"/>
      <c r="B8" s="244"/>
      <c r="D8" s="254" t="s">
        <v>301</v>
      </c>
      <c r="F8" s="269"/>
      <c r="G8" s="331">
        <f>+G13</f>
        <v>321662290</v>
      </c>
      <c r="H8" s="332"/>
      <c r="I8" s="289"/>
      <c r="J8" s="288"/>
      <c r="K8" s="292"/>
      <c r="L8" s="328">
        <f>+L13</f>
        <v>20725876</v>
      </c>
      <c r="M8" s="332"/>
      <c r="N8" s="289"/>
      <c r="O8" s="288"/>
      <c r="P8" s="292"/>
      <c r="Q8" s="328">
        <f>+Q13</f>
        <v>26579251</v>
      </c>
      <c r="R8" s="332"/>
      <c r="S8" s="289"/>
      <c r="T8" s="288"/>
      <c r="U8" s="292"/>
      <c r="V8" s="328">
        <f>+V13</f>
        <v>21124207</v>
      </c>
      <c r="W8" s="332"/>
      <c r="X8" s="289"/>
      <c r="Y8" s="288"/>
      <c r="Z8" s="292"/>
      <c r="AA8" s="328">
        <f>+AA13</f>
        <v>24760828</v>
      </c>
      <c r="AB8" s="332"/>
      <c r="AC8" s="289"/>
      <c r="AD8" s="288"/>
      <c r="AE8" s="292"/>
      <c r="AF8" s="328">
        <f>+AF13</f>
        <v>30904734</v>
      </c>
      <c r="AG8" s="332"/>
      <c r="AH8" s="289"/>
      <c r="AI8" s="288"/>
      <c r="AJ8" s="292"/>
      <c r="AK8" s="328">
        <f>+AK13</f>
        <v>32089447</v>
      </c>
      <c r="AL8" s="332"/>
      <c r="AM8" s="289"/>
      <c r="AN8" s="288"/>
      <c r="AO8" s="292"/>
      <c r="AP8" s="328">
        <f>+AP13</f>
        <v>33970885</v>
      </c>
      <c r="AQ8" s="332"/>
      <c r="AR8" s="289"/>
      <c r="AS8" s="288"/>
      <c r="AT8" s="292"/>
      <c r="AU8" s="328">
        <f>+AU13</f>
        <v>34588835</v>
      </c>
      <c r="AV8" s="332"/>
      <c r="AW8" s="289"/>
      <c r="AX8" s="288"/>
      <c r="AY8" s="292"/>
      <c r="AZ8" s="328">
        <f>+AZ13</f>
        <v>26476333</v>
      </c>
      <c r="BA8" s="332"/>
      <c r="BB8" s="289"/>
      <c r="BC8" s="288"/>
      <c r="BD8" s="292"/>
      <c r="BE8" s="328">
        <f>+BE13</f>
        <v>21562772</v>
      </c>
      <c r="BF8" s="332"/>
      <c r="BG8" s="289"/>
      <c r="BH8" s="288"/>
      <c r="BI8" s="292"/>
      <c r="BJ8" s="328">
        <f>+BJ13</f>
        <v>32267535</v>
      </c>
      <c r="BK8" s="332"/>
      <c r="BL8" s="289"/>
      <c r="BM8" s="288"/>
      <c r="BN8" s="292"/>
      <c r="BO8" s="328">
        <f>+BO13</f>
        <v>30466846</v>
      </c>
      <c r="BP8" s="332"/>
      <c r="BQ8" s="289"/>
      <c r="BR8" s="288"/>
      <c r="BS8" s="292"/>
      <c r="BT8" s="328">
        <f>+BT13</f>
        <v>335517549</v>
      </c>
      <c r="BU8" s="332"/>
      <c r="BV8" s="289"/>
      <c r="BW8" s="289"/>
      <c r="BX8" s="254"/>
      <c r="CA8" s="268"/>
      <c r="CB8" s="268"/>
    </row>
    <row r="9" spans="1:81" x14ac:dyDescent="0.2">
      <c r="A9" s="244"/>
      <c r="B9" s="244"/>
      <c r="D9" s="254" t="s">
        <v>302</v>
      </c>
      <c r="F9" s="261"/>
      <c r="G9" s="333">
        <f>G209</f>
        <v>14152656</v>
      </c>
      <c r="H9" s="334"/>
      <c r="I9" s="289"/>
      <c r="J9" s="288"/>
      <c r="K9" s="288"/>
      <c r="L9" s="289">
        <f>L209</f>
        <v>0</v>
      </c>
      <c r="M9" s="334"/>
      <c r="N9" s="289"/>
      <c r="O9" s="288"/>
      <c r="P9" s="288"/>
      <c r="Q9" s="289">
        <f>Q209</f>
        <v>14152656</v>
      </c>
      <c r="R9" s="334"/>
      <c r="S9" s="289"/>
      <c r="T9" s="288"/>
      <c r="U9" s="288"/>
      <c r="V9" s="289">
        <f>V209</f>
        <v>0</v>
      </c>
      <c r="W9" s="334"/>
      <c r="X9" s="289"/>
      <c r="Y9" s="288"/>
      <c r="Z9" s="288"/>
      <c r="AA9" s="289">
        <f>AA209</f>
        <v>0</v>
      </c>
      <c r="AB9" s="334"/>
      <c r="AC9" s="289"/>
      <c r="AD9" s="288"/>
      <c r="AE9" s="288"/>
      <c r="AF9" s="289">
        <f>AF209</f>
        <v>0</v>
      </c>
      <c r="AG9" s="334"/>
      <c r="AH9" s="289"/>
      <c r="AI9" s="288"/>
      <c r="AJ9" s="288"/>
      <c r="AK9" s="289">
        <f>AK209</f>
        <v>0</v>
      </c>
      <c r="AL9" s="334"/>
      <c r="AM9" s="289"/>
      <c r="AN9" s="288"/>
      <c r="AO9" s="288"/>
      <c r="AP9" s="289">
        <f>AP209</f>
        <v>0</v>
      </c>
      <c r="AQ9" s="334"/>
      <c r="AR9" s="289"/>
      <c r="AS9" s="288"/>
      <c r="AT9" s="288"/>
      <c r="AU9" s="289">
        <f>AU209</f>
        <v>0</v>
      </c>
      <c r="AV9" s="334"/>
      <c r="AW9" s="289"/>
      <c r="AX9" s="288"/>
      <c r="AY9" s="288"/>
      <c r="AZ9" s="289">
        <f>AZ209</f>
        <v>0</v>
      </c>
      <c r="BA9" s="334"/>
      <c r="BB9" s="289"/>
      <c r="BC9" s="288"/>
      <c r="BD9" s="288"/>
      <c r="BE9" s="289">
        <f>BE209</f>
        <v>0</v>
      </c>
      <c r="BF9" s="334"/>
      <c r="BH9" s="288"/>
      <c r="BI9" s="288"/>
      <c r="BJ9" s="289">
        <f>BJ209</f>
        <v>0</v>
      </c>
      <c r="BK9" s="334"/>
      <c r="BL9" s="289"/>
      <c r="BM9" s="288"/>
      <c r="BN9" s="288"/>
      <c r="BO9" s="289">
        <f>BO209</f>
        <v>0</v>
      </c>
      <c r="BP9" s="334"/>
      <c r="BQ9" s="289"/>
      <c r="BR9" s="288"/>
      <c r="BS9" s="288"/>
      <c r="BT9" s="289">
        <f>BT209</f>
        <v>14152656</v>
      </c>
      <c r="BU9" s="334"/>
      <c r="BV9" s="289"/>
      <c r="BW9" s="289"/>
      <c r="BX9" s="254"/>
      <c r="CA9" s="268"/>
      <c r="CB9" s="268"/>
    </row>
    <row r="10" spans="1:81" x14ac:dyDescent="0.2">
      <c r="A10" s="244"/>
      <c r="B10" s="244"/>
      <c r="D10" s="254" t="s">
        <v>303</v>
      </c>
      <c r="F10" s="284"/>
      <c r="G10" s="335">
        <f>G279</f>
        <v>3633916</v>
      </c>
      <c r="H10" s="336"/>
      <c r="I10" s="289"/>
      <c r="J10" s="288"/>
      <c r="K10" s="303"/>
      <c r="L10" s="337">
        <f>L279</f>
        <v>3109689</v>
      </c>
      <c r="M10" s="336"/>
      <c r="N10" s="289"/>
      <c r="O10" s="288"/>
      <c r="P10" s="303"/>
      <c r="Q10" s="337">
        <f>Q279</f>
        <v>0</v>
      </c>
      <c r="R10" s="336"/>
      <c r="S10" s="289"/>
      <c r="T10" s="288"/>
      <c r="U10" s="303"/>
      <c r="V10" s="337">
        <f>V279</f>
        <v>0</v>
      </c>
      <c r="W10" s="336"/>
      <c r="X10" s="289"/>
      <c r="Y10" s="288"/>
      <c r="Z10" s="303"/>
      <c r="AA10" s="337">
        <f>AA279</f>
        <v>0</v>
      </c>
      <c r="AB10" s="336"/>
      <c r="AC10" s="289"/>
      <c r="AD10" s="288"/>
      <c r="AE10" s="303"/>
      <c r="AF10" s="337">
        <f>AF279</f>
        <v>289217</v>
      </c>
      <c r="AG10" s="336"/>
      <c r="AH10" s="289"/>
      <c r="AI10" s="288"/>
      <c r="AJ10" s="303"/>
      <c r="AK10" s="337">
        <f>AK279</f>
        <v>235010</v>
      </c>
      <c r="AL10" s="336"/>
      <c r="AM10" s="289"/>
      <c r="AN10" s="288"/>
      <c r="AO10" s="303"/>
      <c r="AP10" s="337">
        <f>AP279</f>
        <v>0</v>
      </c>
      <c r="AQ10" s="336"/>
      <c r="AR10" s="289"/>
      <c r="AS10" s="288"/>
      <c r="AT10" s="303"/>
      <c r="AU10" s="337">
        <f>AU279</f>
        <v>64127</v>
      </c>
      <c r="AV10" s="336"/>
      <c r="AW10" s="289"/>
      <c r="AX10" s="288"/>
      <c r="AY10" s="303"/>
      <c r="AZ10" s="337">
        <f>AZ279</f>
        <v>0</v>
      </c>
      <c r="BA10" s="336"/>
      <c r="BB10" s="289"/>
      <c r="BC10" s="288"/>
      <c r="BD10" s="303"/>
      <c r="BE10" s="337">
        <f>BE279</f>
        <v>0</v>
      </c>
      <c r="BF10" s="336"/>
      <c r="BG10" s="289"/>
      <c r="BH10" s="288"/>
      <c r="BI10" s="303"/>
      <c r="BJ10" s="337">
        <f>BJ279</f>
        <v>0</v>
      </c>
      <c r="BK10" s="336"/>
      <c r="BL10" s="289"/>
      <c r="BM10" s="288"/>
      <c r="BN10" s="303"/>
      <c r="BO10" s="337">
        <f>BO279</f>
        <v>663239</v>
      </c>
      <c r="BP10" s="336"/>
      <c r="BQ10" s="289"/>
      <c r="BR10" s="288"/>
      <c r="BS10" s="303"/>
      <c r="BT10" s="337">
        <f>BT279</f>
        <v>4361282</v>
      </c>
      <c r="BU10" s="336"/>
      <c r="BV10" s="289"/>
      <c r="BW10" s="289"/>
      <c r="BX10" s="254"/>
      <c r="CA10" s="268"/>
      <c r="CB10" s="268"/>
    </row>
    <row r="11" spans="1:81" ht="12.75" hidden="1" customHeight="1" x14ac:dyDescent="0.2">
      <c r="A11" s="244"/>
      <c r="B11" s="244"/>
      <c r="D11" s="283" t="s">
        <v>304</v>
      </c>
      <c r="E11" s="338"/>
      <c r="F11" s="339"/>
      <c r="G11" s="335">
        <v>0</v>
      </c>
      <c r="H11" s="336"/>
      <c r="I11" s="289"/>
      <c r="J11" s="288"/>
      <c r="K11" s="303"/>
      <c r="L11" s="337">
        <f>L309</f>
        <v>0</v>
      </c>
      <c r="M11" s="336"/>
      <c r="N11" s="289"/>
      <c r="O11" s="288"/>
      <c r="P11" s="303"/>
      <c r="Q11" s="337">
        <f>Q309</f>
        <v>0</v>
      </c>
      <c r="R11" s="336"/>
      <c r="S11" s="289"/>
      <c r="T11" s="288"/>
      <c r="U11" s="303"/>
      <c r="V11" s="337">
        <f>V309</f>
        <v>0</v>
      </c>
      <c r="W11" s="336"/>
      <c r="X11" s="289"/>
      <c r="Y11" s="288"/>
      <c r="Z11" s="303"/>
      <c r="AA11" s="337">
        <f>AA309</f>
        <v>0</v>
      </c>
      <c r="AB11" s="336"/>
      <c r="AC11" s="289"/>
      <c r="AD11" s="288"/>
      <c r="AE11" s="303"/>
      <c r="AF11" s="337">
        <v>0</v>
      </c>
      <c r="AG11" s="336"/>
      <c r="AH11" s="289"/>
      <c r="AI11" s="288"/>
      <c r="AJ11" s="303"/>
      <c r="AK11" s="337">
        <v>0</v>
      </c>
      <c r="AL11" s="336"/>
      <c r="AM11" s="289"/>
      <c r="AN11" s="288"/>
      <c r="AO11" s="303"/>
      <c r="AP11" s="337">
        <f>AP309</f>
        <v>0</v>
      </c>
      <c r="AQ11" s="336"/>
      <c r="AR11" s="289"/>
      <c r="AS11" s="288"/>
      <c r="AT11" s="303"/>
      <c r="AU11" s="337">
        <f>AU309</f>
        <v>0</v>
      </c>
      <c r="AV11" s="336"/>
      <c r="AW11" s="289"/>
      <c r="AX11" s="288"/>
      <c r="AY11" s="303"/>
      <c r="AZ11" s="337">
        <f>AZ309</f>
        <v>0</v>
      </c>
      <c r="BA11" s="336"/>
      <c r="BB11" s="289"/>
      <c r="BC11" s="288"/>
      <c r="BD11" s="303"/>
      <c r="BE11" s="337">
        <f>BE309</f>
        <v>0</v>
      </c>
      <c r="BF11" s="336"/>
      <c r="BG11" s="289"/>
      <c r="BH11" s="288"/>
      <c r="BI11" s="303"/>
      <c r="BJ11" s="337">
        <f>BJ309</f>
        <v>0</v>
      </c>
      <c r="BK11" s="336"/>
      <c r="BL11" s="289"/>
      <c r="BM11" s="288"/>
      <c r="BN11" s="303"/>
      <c r="BO11" s="337">
        <f>BO309</f>
        <v>0</v>
      </c>
      <c r="BP11" s="336"/>
      <c r="BQ11" s="289"/>
      <c r="BR11" s="288"/>
      <c r="BS11" s="303"/>
      <c r="BT11" s="337">
        <v>0</v>
      </c>
      <c r="BU11" s="336"/>
      <c r="BV11" s="289"/>
      <c r="BW11" s="289"/>
      <c r="BX11" s="254"/>
      <c r="CA11" s="268"/>
      <c r="CB11" s="268"/>
    </row>
    <row r="12" spans="1:81" x14ac:dyDescent="0.2">
      <c r="A12" s="244"/>
      <c r="B12" s="244"/>
      <c r="D12" s="254"/>
      <c r="F12" s="244"/>
      <c r="G12" s="333"/>
      <c r="H12" s="289"/>
      <c r="I12" s="289"/>
      <c r="J12" s="288"/>
      <c r="K12" s="289"/>
      <c r="L12" s="289"/>
      <c r="M12" s="289"/>
      <c r="N12" s="289"/>
      <c r="O12" s="288"/>
      <c r="P12" s="289"/>
      <c r="Q12" s="289"/>
      <c r="R12" s="289"/>
      <c r="S12" s="289"/>
      <c r="T12" s="288"/>
      <c r="U12" s="289"/>
      <c r="V12" s="289"/>
      <c r="W12" s="289"/>
      <c r="X12" s="289"/>
      <c r="Y12" s="288"/>
      <c r="Z12" s="289"/>
      <c r="AA12" s="289"/>
      <c r="AB12" s="289"/>
      <c r="AC12" s="289"/>
      <c r="AD12" s="288"/>
      <c r="AE12" s="289"/>
      <c r="AF12" s="289"/>
      <c r="AG12" s="289"/>
      <c r="AH12" s="289"/>
      <c r="AI12" s="288"/>
      <c r="AJ12" s="289"/>
      <c r="AK12" s="289"/>
      <c r="AL12" s="289"/>
      <c r="AM12" s="289"/>
      <c r="AN12" s="288"/>
      <c r="AO12" s="289"/>
      <c r="AP12" s="289"/>
      <c r="AQ12" s="289"/>
      <c r="AR12" s="289"/>
      <c r="AS12" s="288"/>
      <c r="AT12" s="289"/>
      <c r="AU12" s="289"/>
      <c r="AV12" s="289"/>
      <c r="AW12" s="289"/>
      <c r="AX12" s="288"/>
      <c r="AY12" s="289"/>
      <c r="AZ12" s="289"/>
      <c r="BA12" s="289"/>
      <c r="BB12" s="289"/>
      <c r="BC12" s="288"/>
      <c r="BD12" s="289"/>
      <c r="BE12" s="289"/>
      <c r="BF12" s="289"/>
      <c r="BG12" s="289"/>
      <c r="BH12" s="288"/>
      <c r="BI12" s="289"/>
      <c r="BJ12" s="289"/>
      <c r="BK12" s="289"/>
      <c r="BL12" s="289"/>
      <c r="BM12" s="288"/>
      <c r="BN12" s="289"/>
      <c r="BO12" s="289"/>
      <c r="BP12" s="289"/>
      <c r="BQ12" s="289"/>
      <c r="BR12" s="288"/>
      <c r="BS12" s="289"/>
      <c r="BT12" s="289"/>
      <c r="BU12" s="289"/>
      <c r="BV12" s="289"/>
      <c r="BW12" s="289"/>
      <c r="BX12" s="254"/>
      <c r="CA12" s="268"/>
      <c r="CB12" s="268"/>
    </row>
    <row r="13" spans="1:81" s="268" customFormat="1" x14ac:dyDescent="0.2">
      <c r="A13" s="245"/>
      <c r="B13" s="245"/>
      <c r="D13" s="262" t="s">
        <v>305</v>
      </c>
      <c r="E13" s="264"/>
      <c r="F13" s="245"/>
      <c r="G13" s="340">
        <f>SUM(G14:G17)</f>
        <v>321662290</v>
      </c>
      <c r="H13" s="340"/>
      <c r="I13" s="340"/>
      <c r="J13" s="341"/>
      <c r="K13" s="340"/>
      <c r="L13" s="340">
        <f>SUM(L14:L17)</f>
        <v>20725876</v>
      </c>
      <c r="M13" s="340"/>
      <c r="N13" s="340"/>
      <c r="O13" s="341"/>
      <c r="P13" s="340"/>
      <c r="Q13" s="340">
        <f>SUM(Q14:Q17)</f>
        <v>26579251</v>
      </c>
      <c r="R13" s="340"/>
      <c r="S13" s="340"/>
      <c r="T13" s="341"/>
      <c r="U13" s="340"/>
      <c r="V13" s="340">
        <f>SUM(V14:V17)</f>
        <v>21124207</v>
      </c>
      <c r="W13" s="340"/>
      <c r="X13" s="340"/>
      <c r="Y13" s="341"/>
      <c r="Z13" s="340"/>
      <c r="AA13" s="340">
        <f>SUM(AA14:AA17)</f>
        <v>24760828</v>
      </c>
      <c r="AB13" s="340"/>
      <c r="AC13" s="340"/>
      <c r="AD13" s="341"/>
      <c r="AE13" s="340"/>
      <c r="AF13" s="340">
        <f>SUM(AF14:AF17)</f>
        <v>30904734</v>
      </c>
      <c r="AG13" s="340"/>
      <c r="AH13" s="340"/>
      <c r="AI13" s="341"/>
      <c r="AJ13" s="340"/>
      <c r="AK13" s="340">
        <f>SUM(AK14:AK17)</f>
        <v>32089447</v>
      </c>
      <c r="AL13" s="340"/>
      <c r="AM13" s="340"/>
      <c r="AN13" s="341"/>
      <c r="AO13" s="340"/>
      <c r="AP13" s="340">
        <f>SUM(AP14:AP17)</f>
        <v>33970885</v>
      </c>
      <c r="AQ13" s="340"/>
      <c r="AR13" s="340"/>
      <c r="AS13" s="341"/>
      <c r="AT13" s="340"/>
      <c r="AU13" s="340">
        <f>SUM(AU14:AU17)</f>
        <v>34588835</v>
      </c>
      <c r="AV13" s="340"/>
      <c r="AW13" s="340"/>
      <c r="AX13" s="341"/>
      <c r="AY13" s="340"/>
      <c r="AZ13" s="340">
        <f>SUM(AZ14:AZ17)</f>
        <v>26476333</v>
      </c>
      <c r="BA13" s="340"/>
      <c r="BB13" s="340"/>
      <c r="BC13" s="341"/>
      <c r="BD13" s="340"/>
      <c r="BE13" s="340">
        <f>SUM(BE14:BE17)</f>
        <v>21562772</v>
      </c>
      <c r="BF13" s="340"/>
      <c r="BG13" s="340"/>
      <c r="BH13" s="341"/>
      <c r="BI13" s="340"/>
      <c r="BJ13" s="340">
        <f>SUM(BJ14:BJ17)</f>
        <v>32267535</v>
      </c>
      <c r="BK13" s="340"/>
      <c r="BL13" s="340"/>
      <c r="BM13" s="341"/>
      <c r="BN13" s="340"/>
      <c r="BO13" s="340">
        <f>SUM(BO14:BO17)</f>
        <v>30466846</v>
      </c>
      <c r="BP13" s="340"/>
      <c r="BQ13" s="340"/>
      <c r="BR13" s="341"/>
      <c r="BS13" s="340"/>
      <c r="BT13" s="340">
        <f>SUM(BT14:BT17)</f>
        <v>335517549</v>
      </c>
      <c r="BU13" s="340"/>
      <c r="BV13" s="340"/>
      <c r="BW13" s="340"/>
      <c r="BX13" s="262"/>
      <c r="CC13" s="342"/>
    </row>
    <row r="14" spans="1:81" x14ac:dyDescent="0.2">
      <c r="A14" s="244"/>
      <c r="B14" s="244"/>
      <c r="D14" s="254" t="s">
        <v>306</v>
      </c>
      <c r="F14" s="269"/>
      <c r="G14" s="343">
        <f>299189000+290</f>
        <v>299189290</v>
      </c>
      <c r="H14" s="344"/>
      <c r="I14" s="233"/>
      <c r="J14" s="227"/>
      <c r="K14" s="345"/>
      <c r="L14" s="343">
        <f>+L20+L53+L58+L63+L69+L75+L80+L86+L91+L96+L101+L106+L111+L116+L121+L127+L133+L139+L144+L186+L200+L149+L174+L23+L29+L47+L35+L154+L159+L164+L169+L41</f>
        <v>18959941</v>
      </c>
      <c r="M14" s="344"/>
      <c r="N14" s="233"/>
      <c r="O14" s="227"/>
      <c r="P14" s="345"/>
      <c r="Q14" s="343">
        <f>+Q20+Q53+Q58+Q63+Q69+Q75+Q80+Q86+Q91+Q96+Q101+Q106+Q111+Q116+Q121+Q127+Q133+Q139+Q144+Q186+Q200+Q149+Q174+Q23+Q29+Q47+Q35+Q154+Q159+Q164+Q169+Q41</f>
        <v>23896823</v>
      </c>
      <c r="R14" s="344"/>
      <c r="S14" s="233"/>
      <c r="T14" s="227"/>
      <c r="U14" s="345"/>
      <c r="V14" s="343">
        <f>+V20+V53+V58+V63+V69+V75+V80+V86+V91+V96+V101+V106+V111+V116+V121+V127+V133+V139+V144+V186+V200+V149+V174+V23+V29+V47+V35+V154+V159+V164+V169+V41</f>
        <v>18463838</v>
      </c>
      <c r="W14" s="344"/>
      <c r="X14" s="233"/>
      <c r="Y14" s="227"/>
      <c r="Z14" s="345"/>
      <c r="AA14" s="343">
        <f>+AA20+AA53+AA58+AA63+AA69+AA75+AA80+AA86+AA91+AA96+AA101+AA106+AA111+AA116+AA121+AA127+AA133+AA139+AA144+AA186+AA200+AA149+AA174+AA23+AA29+AA47+AA35+AA154+AA159+AA164+AA169+AA41</f>
        <v>21885248</v>
      </c>
      <c r="AB14" s="344"/>
      <c r="AC14" s="233"/>
      <c r="AD14" s="227"/>
      <c r="AE14" s="345"/>
      <c r="AF14" s="343">
        <f>+AF20+AF53+AF58+AF63+AF69+AF75+AF80+AF86+AF91+AF96+AF101+AF106+AF111+AF116+AF121+AF127+AF133+AF139+AF144+AF186+AF200+AF149+AF174+AF23+AF29+AF47+AF35+AF154+AF159+AF164+AF169+AF41</f>
        <v>28048130</v>
      </c>
      <c r="AG14" s="344"/>
      <c r="AH14" s="233"/>
      <c r="AI14" s="227"/>
      <c r="AJ14" s="345"/>
      <c r="AK14" s="343">
        <f>+AK20+AK53+AK58+AK63+AK69+AK75+AK80+AK86+AK91+AK96+AK101+AK106+AK111+AK116+AK121+AK127+AK133+AK139+AK144+AK186+AK200+AK149+AK174+AK23+AK29+AK47+AK35+AK154+AK159+AK164+AK169+AK41</f>
        <v>28282304</v>
      </c>
      <c r="AL14" s="344"/>
      <c r="AM14" s="233"/>
      <c r="AN14" s="227"/>
      <c r="AO14" s="345"/>
      <c r="AP14" s="343">
        <f>+AP20+AP53+AP58+AP63+AP69+AP75+AP80+AP86+AP91+AP96+AP101+AP106+AP111+AP116+AP121+AP127+AP133+AP139+AP144+AP186+AP200+AP149+AP174+AP23+AP29+AP47+AP35+AP154+AP159+AP164+AP169+AP41</f>
        <v>29086988</v>
      </c>
      <c r="AQ14" s="344"/>
      <c r="AR14" s="233"/>
      <c r="AS14" s="227"/>
      <c r="AT14" s="345"/>
      <c r="AU14" s="343">
        <f>+AU20+AU53+AU58+AU63+AU69+AU75+AU80+AU86+AU91+AU96+AU101+AU106+AU111+AU116+AU121+AU127+AU133+AU139+AU144+AU186+AU200+AU149+AU174+AU23+AU29+AU47+AU35+AU154+AU159+AU164+AU169+AU41</f>
        <v>29883343</v>
      </c>
      <c r="AV14" s="344"/>
      <c r="AW14" s="233"/>
      <c r="AX14" s="227"/>
      <c r="AY14" s="345"/>
      <c r="AZ14" s="343">
        <f>+AZ20+AZ53+AZ58+AZ63+AZ69+AZ75+AZ80+AZ86+AZ91+AZ96+AZ101+AZ106+AZ111+AZ116+AZ121+AZ127+AZ133+AZ139+AZ144+AZ186+AZ200+AZ149+AZ174+AZ23+AZ29+AZ47+AZ35+AZ154+AZ159+AZ164+AZ169+AZ41</f>
        <v>23116933</v>
      </c>
      <c r="BA14" s="344"/>
      <c r="BB14" s="233"/>
      <c r="BC14" s="227"/>
      <c r="BD14" s="345"/>
      <c r="BE14" s="343">
        <f>+BE20+BE53+BE58+BE63+BE69+BE75+BE80+BE86+BE91+BE96+BE101+BE106+BE111+BE116+BE121+BE127+BE133+BE139+BE144+BE186+BE200+BE149+BE174+BE23+BE29+BE47+BE35+BE154+BE159+BE164+BE169+BE41</f>
        <v>18604025</v>
      </c>
      <c r="BF14" s="344"/>
      <c r="BG14" s="233"/>
      <c r="BH14" s="227"/>
      <c r="BI14" s="345"/>
      <c r="BJ14" s="343">
        <f>+BJ20+BJ53+BJ58+BJ63+BJ69+BJ75+BJ80+BJ86+BJ91+BJ96+BJ101+BJ106+BJ111+BJ116+BJ121+BJ127+BJ133+BJ139+BJ144+BJ186+BJ200+BJ149+BJ174+BJ23+BJ29+BJ47+BJ35+BJ154+BJ159+BJ164+BJ169+BJ41</f>
        <v>28287081</v>
      </c>
      <c r="BK14" s="344"/>
      <c r="BL14" s="233"/>
      <c r="BM14" s="227"/>
      <c r="BN14" s="345"/>
      <c r="BO14" s="343">
        <f>+BO20+BO53+BO58+BO63+BO69+BO75+BO80+BO86+BO91+BO96+BO101+BO106+BO111+BO116+BO121+BO127+BO133+BO139+BO144+BO186+BO200+BO149+BO174+BO23+BO29+BO47+BO35+BO154+BO159+BO164+BO169+BO41</f>
        <v>24735405</v>
      </c>
      <c r="BP14" s="344"/>
      <c r="BQ14" s="233"/>
      <c r="BR14" s="227"/>
      <c r="BS14" s="345"/>
      <c r="BT14" s="343">
        <f>+BT20+BT53+BT58+BT63+BT69+BT75+BT80+BT86+BT91+BT96+BT101+BT106+BT111+BT116+BT121+BT127+BT133+BT139+BT144+BT186+BT200+BT149+BT174+BT23+BT29+BT47+BT35+BT154+BT159+BT164+BT169+BT41</f>
        <v>293250059</v>
      </c>
      <c r="BU14" s="344"/>
      <c r="BV14" s="233"/>
      <c r="BW14" s="233"/>
      <c r="BX14" s="254"/>
      <c r="CA14" s="268"/>
      <c r="CB14" s="268"/>
      <c r="CC14" s="346"/>
    </row>
    <row r="15" spans="1:81" x14ac:dyDescent="0.2">
      <c r="A15" s="244"/>
      <c r="B15" s="244"/>
      <c r="D15" s="254" t="s">
        <v>269</v>
      </c>
      <c r="F15" s="261"/>
      <c r="G15" s="233">
        <f>15652000+6821000</f>
        <v>22473000</v>
      </c>
      <c r="H15" s="347"/>
      <c r="I15" s="233"/>
      <c r="J15" s="227"/>
      <c r="K15" s="227"/>
      <c r="L15" s="233">
        <f>+L54+L59+L64+L70+L76+L81+L87+L92+L97+L102+L107+L112+L117+L122+L128+L134+L140+L145+L150+L175+L24+L30+L48+L36+L155+L160+L165+L170+L42</f>
        <v>1256954</v>
      </c>
      <c r="M15" s="347"/>
      <c r="N15" s="233"/>
      <c r="O15" s="227"/>
      <c r="P15" s="227"/>
      <c r="Q15" s="233">
        <f>+Q54+Q59+Q64+Q70+Q76+Q81+Q87+Q92+Q97+Q102+Q107+Q112+Q117+Q122+Q128+Q134+Q140+Q145+Q150+Q175+Q24+Q30+Q48+Q36+Q155+Q160+Q165+Q170+Q42</f>
        <v>1652532</v>
      </c>
      <c r="R15" s="347"/>
      <c r="S15" s="233"/>
      <c r="T15" s="227"/>
      <c r="U15" s="227"/>
      <c r="V15" s="233">
        <f>+V54+V59+V64+V70+V76+V81+V87+V92+V97+V102+V107+V112+V117+V122+V128+V134+V140+V145+V150+V175+V24+V30+V48+V36+V155+V160+V165+V170+V42</f>
        <v>1668026</v>
      </c>
      <c r="W15" s="347"/>
      <c r="X15" s="233"/>
      <c r="Y15" s="227"/>
      <c r="Z15" s="227"/>
      <c r="AA15" s="233">
        <f>+AA54+AA59+AA64+AA70+AA76+AA81+AA87+AA92+AA97+AA102+AA107+AA112+AA117+AA122+AA128+AA134+AA140+AA145+AA150+AA175+AA24+AA30+AA48+AA36+AA155+AA160+AA165+AA170+AA42</f>
        <v>1721005</v>
      </c>
      <c r="AB15" s="347"/>
      <c r="AC15" s="233"/>
      <c r="AD15" s="227"/>
      <c r="AE15" s="227"/>
      <c r="AF15" s="233">
        <f>+AF54+AF59+AF64+AF70+AF76+AF81+AF87+AF92+AF97+AF102+AF107+AF112+AF117+AF122+AF128+AF134+AF140+AF145+AF150+AF175+AF24+AF30+AF48+AF36+AF155+AF160+AF165+AF170+AF42</f>
        <v>2422421</v>
      </c>
      <c r="AG15" s="347"/>
      <c r="AH15" s="233"/>
      <c r="AI15" s="227"/>
      <c r="AJ15" s="227"/>
      <c r="AK15" s="233">
        <f>+AK54+AK59+AK64+AK70+AK76+AK81+AK87+AK92+AK97+AK102+AK107+AK112+AK117+AK122+AK128+AK134+AK140+AK145+AK150+AK175+AK24+AK30+AK48+AK36+AK155+AK160+AK165+AK170+AK42</f>
        <v>2517677</v>
      </c>
      <c r="AL15" s="347"/>
      <c r="AM15" s="233"/>
      <c r="AN15" s="227"/>
      <c r="AO15" s="227"/>
      <c r="AP15" s="233">
        <f>+AP54+AP59+AP64+AP70+AP76+AP81+AP87+AP92+AP97+AP102+AP107+AP112+AP117+AP122+AP128+AP134+AP140+AP145+AP150+AP175+AP24+AP30+AP48+AP36+AP155+AP160+AP165+AP170+AP42</f>
        <v>2852893</v>
      </c>
      <c r="AQ15" s="347"/>
      <c r="AR15" s="233"/>
      <c r="AS15" s="227"/>
      <c r="AT15" s="227"/>
      <c r="AU15" s="233">
        <f>+AU54+AU59+AU64+AU70+AU76+AU81+AU87+AU92+AU97+AU102+AU107+AU112+AU117+AU122+AU128+AU134+AU140+AU145+AU150+AU175+AU24+AU30+AU48+AU36+AU155+AU160+AU165+AU170+AU42</f>
        <v>3497342</v>
      </c>
      <c r="AV15" s="347"/>
      <c r="AW15" s="233"/>
      <c r="AX15" s="227"/>
      <c r="AY15" s="227"/>
      <c r="AZ15" s="233">
        <f>+AZ54+AZ59+AZ64+AZ70+AZ76+AZ81+AZ87+AZ92+AZ97+AZ102+AZ107+AZ112+AZ117+AZ122+AZ128+AZ134+AZ140+AZ145+AZ150+AZ175+AZ24+AZ30+AZ48+AZ36+AZ155+AZ160+AZ165+AZ170+AZ42</f>
        <v>2287072</v>
      </c>
      <c r="BA15" s="347"/>
      <c r="BB15" s="233"/>
      <c r="BC15" s="227"/>
      <c r="BD15" s="227"/>
      <c r="BE15" s="233">
        <f>+BE54+BE59+BE64+BE70+BE76+BE81+BE87+BE92+BE97+BE102+BE107+BE112+BE117+BE122+BE128+BE134+BE140+BE145+BE150+BE175+BE24+BE30+BE48+BE36+BE155+BE160+BE165+BE170+BE42</f>
        <v>2282238</v>
      </c>
      <c r="BF15" s="347"/>
      <c r="BG15" s="233"/>
      <c r="BH15" s="227"/>
      <c r="BI15" s="227"/>
      <c r="BJ15" s="233">
        <f>+BJ54+BJ59+BJ64+BJ70+BJ76+BJ81+BJ87+BJ92+BJ97+BJ102+BJ107+BJ112+BJ117+BJ122+BJ128+BJ134+BJ140+BJ145+BJ150+BJ175+BJ24+BJ30+BJ48+BJ36+BJ155+BJ160+BJ165+BJ170+BJ42</f>
        <v>2868557</v>
      </c>
      <c r="BK15" s="347"/>
      <c r="BL15" s="233"/>
      <c r="BM15" s="227"/>
      <c r="BN15" s="227"/>
      <c r="BO15" s="233">
        <f>+BO54+BO59+BO64+BO70+BO76+BO81+BO87+BO92+BO97+BO102+BO107+BO112+BO117+BO122+BO128+BO134+BO140+BO145+BO150+BO175+BO24+BO30+BO48+BO36+BO155+BO160+BO165+BO170+BO42</f>
        <v>4752306</v>
      </c>
      <c r="BP15" s="347"/>
      <c r="BQ15" s="233"/>
      <c r="BR15" s="227"/>
      <c r="BS15" s="227"/>
      <c r="BT15" s="233">
        <f>+BT54+BT59+BT64+BT70+BT76+BT81+BT87+BT92+BT97+BT102+BT107+BT112+BT117+BT122+BT128+BT134+BT140+BT145+BT150+BT175+BT24+BT30+BT48+BT36+BT155+BT160+BT165+BT170+BT42</f>
        <v>29779023</v>
      </c>
      <c r="BU15" s="347"/>
      <c r="BV15" s="233"/>
      <c r="BW15" s="233"/>
      <c r="BX15" s="254"/>
      <c r="CA15" s="268"/>
      <c r="CB15" s="268"/>
      <c r="CC15" s="346"/>
    </row>
    <row r="16" spans="1:81" x14ac:dyDescent="0.2">
      <c r="A16" s="244"/>
      <c r="B16" s="244"/>
      <c r="D16" s="254" t="s">
        <v>307</v>
      </c>
      <c r="F16" s="261"/>
      <c r="G16" s="282">
        <v>0</v>
      </c>
      <c r="H16" s="276"/>
      <c r="I16" s="244"/>
      <c r="J16" s="261"/>
      <c r="K16" s="261"/>
      <c r="L16" s="233">
        <f>+L55+L60+L65+L71+L77+L82+L88+L93+L98+L103+L108+L113+L118+L123+L129+L135+L141+L146+L151+L176+L25+L31+L49+L37+L156+L161+L166+L171+L43</f>
        <v>-236014</v>
      </c>
      <c r="M16" s="347"/>
      <c r="N16" s="233"/>
      <c r="O16" s="227"/>
      <c r="P16" s="227"/>
      <c r="Q16" s="233">
        <f>+Q55+Q60+Q65+Q71+Q77+Q82+Q88+Q93+Q98+Q103+Q108+Q113+Q118+Q123+Q129+Q135+Q141+Q146+Q151+Q176+Q25+Q31+Q49+Q37+Q156+Q161+Q166+Q171+Q43</f>
        <v>-324359</v>
      </c>
      <c r="R16" s="347"/>
      <c r="S16" s="233"/>
      <c r="T16" s="227"/>
      <c r="U16" s="227"/>
      <c r="V16" s="233">
        <f>+V55+V60+V65+V71+V77+V82+V88+V93+V98+V103+V108+V113+V118+V123+V129+V135+V141+V146+V151+V176+V25+V31+V49+V37+V156+V161+V166+V171+V43</f>
        <v>-183896</v>
      </c>
      <c r="W16" s="347"/>
      <c r="X16" s="233"/>
      <c r="Y16" s="227"/>
      <c r="Z16" s="227"/>
      <c r="AA16" s="233">
        <f>+AA55+AA60+AA65+AA71+AA77+AA82+AA88+AA93+AA98+AA103+AA108+AA113+AA118+AA123+AA129+AA135+AA141+AA146+AA151+AA176+AA25+AA31+AA49+AA37+AA156+AA161+AA166+AA171+AA43</f>
        <v>-236661</v>
      </c>
      <c r="AB16" s="347"/>
      <c r="AC16" s="233"/>
      <c r="AD16" s="227"/>
      <c r="AE16" s="227"/>
      <c r="AF16" s="233">
        <f>+AF55+AF60+AF65+AF71+AF77+AF82+AF88+AF93+AF98+AF103+AF108+AF113+AF118+AF123+AF129+AF135+AF141+AF146+AF151+AF176+AF25+AF31+AF49+AF37+AF156+AF161+AF166+AF171+AF43</f>
        <v>-513408</v>
      </c>
      <c r="AG16" s="347"/>
      <c r="AH16" s="233"/>
      <c r="AI16" s="227"/>
      <c r="AJ16" s="227"/>
      <c r="AK16" s="233">
        <f>+AK55+AK60+AK65+AK71+AK77+AK82+AK88+AK93+AK98+AK103+AK108+AK113+AK118+AK123+AK129+AK135+AK141+AK146+AK151+AK176+AK25+AK31+AK49+AK37+AK156+AK161+AK166+AK171+AK43</f>
        <v>-241446</v>
      </c>
      <c r="AL16" s="347"/>
      <c r="AM16" s="233"/>
      <c r="AN16" s="227"/>
      <c r="AO16" s="227"/>
      <c r="AP16" s="233">
        <f>+AP55+AP60+AP65+AP71+AP77+AP82+AP88+AP93+AP98+AP103+AP108+AP113+AP118+AP123+AP129+AP135+AP141+AP146+AP151+AP176+AP25+AP31+AP49+AP37+AP156+AP161+AP166+AP171+AP43</f>
        <v>-54544</v>
      </c>
      <c r="AQ16" s="347"/>
      <c r="AR16" s="233"/>
      <c r="AS16" s="227"/>
      <c r="AT16" s="227"/>
      <c r="AU16" s="233">
        <f>+AU55+AU60+AU65+AU71+AU77+AU82+AU88+AU93+AU98+AU103+AU108+AU113+AU118+AU123+AU129+AU135+AU141+AU146+AU151+AU176+AU25+AU31+AU49+AU37+AU156+AU161+AU166+AU171+AU43</f>
        <v>-368953</v>
      </c>
      <c r="AV16" s="347"/>
      <c r="AW16" s="233"/>
      <c r="AX16" s="227"/>
      <c r="AY16" s="227"/>
      <c r="AZ16" s="233">
        <f>+AZ55+AZ60+AZ65+AZ71+AZ77+AZ82+AZ88+AZ93+AZ98+AZ103+AZ108+AZ113+AZ118+AZ123+AZ129+AZ135+AZ141+AZ146+AZ151+AZ176+AZ25+AZ31+AZ49+AZ37+AZ156+AZ161+AZ166+AZ171+AZ43</f>
        <v>-133270</v>
      </c>
      <c r="BA16" s="347"/>
      <c r="BB16" s="233"/>
      <c r="BC16" s="227"/>
      <c r="BD16" s="227"/>
      <c r="BE16" s="233">
        <f>+BE55+BE60+BE65+BE71+BE77+BE82+BE88+BE93+BE98+BE103+BE108+BE113+BE118+BE123+BE129+BE135+BE141+BE146+BE151+BE176+BE25+BE31+BE49+BE37+BE156+BE161+BE166+BE171+BE43</f>
        <v>-279324</v>
      </c>
      <c r="BF16" s="347"/>
      <c r="BG16" s="233"/>
      <c r="BH16" s="227"/>
      <c r="BI16" s="227"/>
      <c r="BJ16" s="233">
        <f>+BJ55+BJ60+BJ65+BJ71+BJ77+BJ82+BJ88+BJ93+BJ98+BJ103+BJ108+BJ113+BJ118+BJ123+BJ129+BJ135+BJ141+BJ146+BJ151+BJ176+BJ25+BJ31+BJ49+BJ37+BJ156+BJ161+BJ166+BJ171+BJ43</f>
        <v>-508862</v>
      </c>
      <c r="BK16" s="347"/>
      <c r="BL16" s="233"/>
      <c r="BM16" s="227"/>
      <c r="BN16" s="227"/>
      <c r="BO16" s="233">
        <f>+BO55+BO60+BO65+BO71+BO77+BO82+BO88+BO93+BO98+BO103+BO108+BO113+BO118+BO123+BO129+BO135+BO141+BO146+BO151+BO176+BO25+BO31+BO49+BO37+BO156+BO161+BO166+BO171+BO43</f>
        <v>-381917</v>
      </c>
      <c r="BP16" s="347"/>
      <c r="BQ16" s="233"/>
      <c r="BR16" s="227"/>
      <c r="BS16" s="227"/>
      <c r="BT16" s="233">
        <f>+BT55+BT60+BT65+BT71+BT77+BT82+BT88+BT93+BT98+BT103+BT108+BT113+BT118+BT123+BT129+BT135+BT141+BT146+BT151+BT176+BT25+BT31+BT49+BT37+BT156+BT161+BT166+BT171+BT43</f>
        <v>-3462654</v>
      </c>
      <c r="BU16" s="347"/>
      <c r="BV16" s="233"/>
      <c r="BW16" s="233"/>
      <c r="BX16" s="254"/>
      <c r="CA16" s="268"/>
      <c r="CB16" s="268"/>
      <c r="CC16" s="346"/>
    </row>
    <row r="17" spans="1:80" x14ac:dyDescent="0.2">
      <c r="A17" s="244"/>
      <c r="B17" s="244"/>
      <c r="D17" s="254" t="s">
        <v>308</v>
      </c>
      <c r="F17" s="284"/>
      <c r="G17" s="285">
        <v>0</v>
      </c>
      <c r="H17" s="286"/>
      <c r="I17" s="244"/>
      <c r="J17" s="261"/>
      <c r="K17" s="284"/>
      <c r="L17" s="287">
        <f>+L66+L72+L83+L124+L130+L136+L26+L32+L50+L38+L44</f>
        <v>744995</v>
      </c>
      <c r="M17" s="286"/>
      <c r="N17" s="244"/>
      <c r="O17" s="261"/>
      <c r="P17" s="284"/>
      <c r="Q17" s="287">
        <f>+Q66+Q72+Q83+Q124+Q130+Q136+Q26+Q32+Q50+Q38+Q44</f>
        <v>1354255</v>
      </c>
      <c r="R17" s="286"/>
      <c r="S17" s="244"/>
      <c r="T17" s="261"/>
      <c r="U17" s="284"/>
      <c r="V17" s="287">
        <f>+V66+V72+V83+V124+V130+V136+V26+V32+V50+V38+V44</f>
        <v>1176239</v>
      </c>
      <c r="W17" s="286"/>
      <c r="X17" s="244"/>
      <c r="Y17" s="261"/>
      <c r="Z17" s="284"/>
      <c r="AA17" s="287">
        <f>+AA66+AA72+AA83+AA124+AA130+AA136+AA26+AA32+AA50+AA38+AA44</f>
        <v>1391236</v>
      </c>
      <c r="AB17" s="286"/>
      <c r="AC17" s="244"/>
      <c r="AD17" s="261"/>
      <c r="AE17" s="284"/>
      <c r="AF17" s="287">
        <f>+AF66+AF72+AF83+AF124+AF130+AF136+AF26+AF32+AF50+AF38+AF44</f>
        <v>947591</v>
      </c>
      <c r="AG17" s="286"/>
      <c r="AH17" s="244"/>
      <c r="AI17" s="261"/>
      <c r="AJ17" s="284"/>
      <c r="AK17" s="287">
        <f>+AK66+AK72+AK83+AK124+AK130+AK136+AK26+AK32+AK50+AK38+AK44</f>
        <v>1530912</v>
      </c>
      <c r="AL17" s="286"/>
      <c r="AM17" s="244"/>
      <c r="AN17" s="261"/>
      <c r="AO17" s="284"/>
      <c r="AP17" s="287">
        <f>+AP66+AP72+AP83+AP124+AP130+AP136+AP26+AP32+AP50+AP38+AP44</f>
        <v>2085548</v>
      </c>
      <c r="AQ17" s="286"/>
      <c r="AR17" s="244"/>
      <c r="AS17" s="261"/>
      <c r="AT17" s="284"/>
      <c r="AU17" s="287">
        <f>+AU66+AU72+AU83+AU124+AU130+AU136+AU26+AU32+AU50+AU38+AU44</f>
        <v>1577103</v>
      </c>
      <c r="AV17" s="286"/>
      <c r="AW17" s="244"/>
      <c r="AX17" s="261"/>
      <c r="AY17" s="284"/>
      <c r="AZ17" s="287">
        <f>+AZ66+AZ72+AZ83+AZ124+AZ130+AZ136+AZ26+AZ32+AZ50+AZ38+AZ44</f>
        <v>1205598</v>
      </c>
      <c r="BA17" s="286"/>
      <c r="BB17" s="244"/>
      <c r="BC17" s="261"/>
      <c r="BD17" s="284"/>
      <c r="BE17" s="287">
        <f>+BE66+BE72+BE83+BE124+BE130+BE136+BE26+BE32+BE50+BE38+BE44</f>
        <v>955833</v>
      </c>
      <c r="BF17" s="286"/>
      <c r="BG17" s="244"/>
      <c r="BH17" s="261"/>
      <c r="BI17" s="284"/>
      <c r="BJ17" s="287">
        <f>+BJ66+BJ72+BJ83+BJ124+BJ130+BJ136+BJ26+BJ32+BJ50+BJ38+BJ44</f>
        <v>1620759</v>
      </c>
      <c r="BK17" s="286"/>
      <c r="BL17" s="244"/>
      <c r="BM17" s="261"/>
      <c r="BN17" s="284"/>
      <c r="BO17" s="287">
        <f>+BO66+BO72+BO83+BO124+BO130+BO136+BO26+BO32+BO50+BO38+BO44</f>
        <v>1361052</v>
      </c>
      <c r="BP17" s="286"/>
      <c r="BQ17" s="244"/>
      <c r="BR17" s="261"/>
      <c r="BS17" s="284"/>
      <c r="BT17" s="287">
        <f>+BT66+BT72+BT83+BT124+BT130+BT136+BT26+BT32+BT50+BT38+BT44</f>
        <v>15951121</v>
      </c>
      <c r="BU17" s="286"/>
      <c r="BV17" s="244"/>
      <c r="BW17" s="244"/>
      <c r="BX17" s="254"/>
      <c r="CA17" s="268"/>
      <c r="CB17" s="268"/>
    </row>
    <row r="18" spans="1:80" x14ac:dyDescent="0.2">
      <c r="A18" s="244"/>
      <c r="B18" s="244"/>
      <c r="D18" s="254"/>
      <c r="F18" s="244"/>
      <c r="G18" s="233"/>
      <c r="H18" s="233"/>
      <c r="I18" s="233"/>
      <c r="J18" s="227"/>
      <c r="K18" s="233"/>
      <c r="L18" s="233"/>
      <c r="M18" s="233"/>
      <c r="N18" s="233"/>
      <c r="O18" s="227"/>
      <c r="P18" s="233"/>
      <c r="Q18" s="233"/>
      <c r="R18" s="233"/>
      <c r="S18" s="233"/>
      <c r="T18" s="227"/>
      <c r="U18" s="233"/>
      <c r="V18" s="233"/>
      <c r="W18" s="233"/>
      <c r="X18" s="233"/>
      <c r="Y18" s="227"/>
      <c r="Z18" s="233"/>
      <c r="AA18" s="233"/>
      <c r="AB18" s="233"/>
      <c r="AC18" s="233"/>
      <c r="AD18" s="227"/>
      <c r="AE18" s="233"/>
      <c r="AF18" s="233"/>
      <c r="AG18" s="233"/>
      <c r="AH18" s="233"/>
      <c r="AI18" s="227"/>
      <c r="AJ18" s="233"/>
      <c r="AK18" s="233"/>
      <c r="AL18" s="233"/>
      <c r="AM18" s="233"/>
      <c r="AN18" s="227"/>
      <c r="AO18" s="233"/>
      <c r="AP18" s="233"/>
      <c r="AQ18" s="233"/>
      <c r="AR18" s="233"/>
      <c r="AS18" s="227"/>
      <c r="AT18" s="233"/>
      <c r="AU18" s="233"/>
      <c r="AV18" s="233"/>
      <c r="AW18" s="233"/>
      <c r="AX18" s="227"/>
      <c r="AY18" s="233"/>
      <c r="AZ18" s="233"/>
      <c r="BA18" s="233"/>
      <c r="BB18" s="233"/>
      <c r="BC18" s="227"/>
      <c r="BD18" s="233"/>
      <c r="BE18" s="233"/>
      <c r="BF18" s="233"/>
      <c r="BG18" s="233"/>
      <c r="BH18" s="227"/>
      <c r="BI18" s="233"/>
      <c r="BJ18" s="233"/>
      <c r="BK18" s="233"/>
      <c r="BL18" s="233"/>
      <c r="BM18" s="227"/>
      <c r="BN18" s="233"/>
      <c r="BO18" s="233"/>
      <c r="BP18" s="233"/>
      <c r="BQ18" s="233"/>
      <c r="BR18" s="227"/>
      <c r="BS18" s="233"/>
      <c r="BT18" s="233"/>
      <c r="BU18" s="233"/>
      <c r="BV18" s="233"/>
      <c r="BW18" s="233"/>
      <c r="BX18" s="254"/>
      <c r="CA18" s="268"/>
      <c r="CB18" s="268"/>
    </row>
    <row r="19" spans="1:80" ht="12.75" customHeight="1" x14ac:dyDescent="0.2">
      <c r="A19" s="244"/>
      <c r="B19" s="244"/>
      <c r="D19" s="254" t="s">
        <v>309</v>
      </c>
      <c r="F19" s="244"/>
      <c r="G19" s="233">
        <f>SUM(G20:G20)</f>
        <v>0</v>
      </c>
      <c r="H19" s="233"/>
      <c r="I19" s="233"/>
      <c r="J19" s="227"/>
      <c r="K19" s="233"/>
      <c r="L19" s="233">
        <f>SUM(L20:L20)</f>
        <v>278881</v>
      </c>
      <c r="M19" s="233"/>
      <c r="N19" s="233"/>
      <c r="O19" s="227"/>
      <c r="P19" s="233"/>
      <c r="Q19" s="233">
        <f>SUM(Q20:Q20)</f>
        <v>240457</v>
      </c>
      <c r="R19" s="233"/>
      <c r="S19" s="233"/>
      <c r="T19" s="227"/>
      <c r="U19" s="233"/>
      <c r="V19" s="233">
        <f>SUM(V20:V20)</f>
        <v>260968</v>
      </c>
      <c r="W19" s="233"/>
      <c r="X19" s="233"/>
      <c r="Y19" s="227"/>
      <c r="Z19" s="233"/>
      <c r="AA19" s="233">
        <f>SUM(AA20:AA20)</f>
        <v>254592</v>
      </c>
      <c r="AB19" s="233"/>
      <c r="AC19" s="233"/>
      <c r="AD19" s="227"/>
      <c r="AE19" s="233"/>
      <c r="AF19" s="233">
        <f>SUM(AF20:AF20)</f>
        <v>286143</v>
      </c>
      <c r="AG19" s="233"/>
      <c r="AH19" s="233"/>
      <c r="AI19" s="227"/>
      <c r="AJ19" s="233"/>
      <c r="AK19" s="233">
        <f>SUM(AK20:AK20)</f>
        <v>475908</v>
      </c>
      <c r="AL19" s="233"/>
      <c r="AM19" s="233"/>
      <c r="AN19" s="227"/>
      <c r="AO19" s="233"/>
      <c r="AP19" s="233">
        <f>SUM(AP20:AP20)</f>
        <v>320337</v>
      </c>
      <c r="AQ19" s="233"/>
      <c r="AR19" s="233"/>
      <c r="AS19" s="227"/>
      <c r="AT19" s="233"/>
      <c r="AU19" s="233">
        <f>SUM(AU20:AU20)</f>
        <v>279732</v>
      </c>
      <c r="AV19" s="233"/>
      <c r="AW19" s="233"/>
      <c r="AX19" s="227"/>
      <c r="AY19" s="233"/>
      <c r="AZ19" s="233">
        <f>SUM(AZ20:AZ20)</f>
        <v>238735</v>
      </c>
      <c r="BA19" s="233"/>
      <c r="BB19" s="233"/>
      <c r="BC19" s="227"/>
      <c r="BD19" s="233"/>
      <c r="BE19" s="233">
        <f>SUM(BE20:BE20)</f>
        <v>304939</v>
      </c>
      <c r="BF19" s="233"/>
      <c r="BG19" s="233"/>
      <c r="BH19" s="227"/>
      <c r="BI19" s="233"/>
      <c r="BJ19" s="233">
        <f>SUM(BJ20:BJ20)</f>
        <v>254776</v>
      </c>
      <c r="BK19" s="233"/>
      <c r="BL19" s="233"/>
      <c r="BM19" s="227"/>
      <c r="BN19" s="233"/>
      <c r="BO19" s="233">
        <f>SUM(BO20:BO20)</f>
        <v>371794</v>
      </c>
      <c r="BP19" s="233"/>
      <c r="BQ19" s="233"/>
      <c r="BR19" s="227"/>
      <c r="BS19" s="233"/>
      <c r="BT19" s="233">
        <f>SUM(BT20:BT20)</f>
        <v>3567262</v>
      </c>
      <c r="BU19" s="233"/>
      <c r="BV19" s="233"/>
      <c r="BW19" s="233"/>
      <c r="BX19" s="254"/>
      <c r="CA19" s="268"/>
      <c r="CB19" s="268"/>
    </row>
    <row r="20" spans="1:80" x14ac:dyDescent="0.2">
      <c r="A20" s="244"/>
      <c r="B20" s="244"/>
      <c r="D20" s="283" t="s">
        <v>310</v>
      </c>
      <c r="E20" s="227"/>
      <c r="F20" s="348"/>
      <c r="G20" s="349">
        <v>0</v>
      </c>
      <c r="H20" s="350"/>
      <c r="I20" s="233"/>
      <c r="J20" s="227"/>
      <c r="K20" s="351"/>
      <c r="L20" s="349">
        <v>278881</v>
      </c>
      <c r="M20" s="350"/>
      <c r="N20" s="233"/>
      <c r="O20" s="227"/>
      <c r="P20" s="351"/>
      <c r="Q20" s="352">
        <v>240457</v>
      </c>
      <c r="R20" s="350"/>
      <c r="S20" s="233"/>
      <c r="T20" s="227"/>
      <c r="U20" s="351"/>
      <c r="V20" s="352">
        <v>260968</v>
      </c>
      <c r="W20" s="350"/>
      <c r="X20" s="233"/>
      <c r="Y20" s="227"/>
      <c r="Z20" s="351"/>
      <c r="AA20" s="352">
        <v>254592</v>
      </c>
      <c r="AB20" s="350"/>
      <c r="AC20" s="233"/>
      <c r="AD20" s="227"/>
      <c r="AE20" s="351"/>
      <c r="AF20" s="352">
        <v>286143</v>
      </c>
      <c r="AG20" s="350"/>
      <c r="AH20" s="233"/>
      <c r="AI20" s="227"/>
      <c r="AJ20" s="351"/>
      <c r="AK20" s="352">
        <v>475908</v>
      </c>
      <c r="AL20" s="350"/>
      <c r="AM20" s="233"/>
      <c r="AN20" s="227"/>
      <c r="AO20" s="351"/>
      <c r="AP20" s="352">
        <v>320337</v>
      </c>
      <c r="AQ20" s="350"/>
      <c r="AR20" s="233"/>
      <c r="AS20" s="227"/>
      <c r="AT20" s="351"/>
      <c r="AU20" s="352">
        <v>279732</v>
      </c>
      <c r="AV20" s="350"/>
      <c r="AW20" s="233"/>
      <c r="AX20" s="227"/>
      <c r="AY20" s="351"/>
      <c r="AZ20" s="352">
        <v>238735</v>
      </c>
      <c r="BA20" s="350"/>
      <c r="BB20" s="233"/>
      <c r="BC20" s="227"/>
      <c r="BD20" s="351"/>
      <c r="BE20" s="352">
        <v>304939</v>
      </c>
      <c r="BF20" s="350"/>
      <c r="BG20" s="233"/>
      <c r="BH20" s="227"/>
      <c r="BI20" s="351"/>
      <c r="BJ20" s="352">
        <v>254776</v>
      </c>
      <c r="BK20" s="350"/>
      <c r="BL20" s="233"/>
      <c r="BM20" s="227"/>
      <c r="BN20" s="351"/>
      <c r="BO20" s="352">
        <v>371794</v>
      </c>
      <c r="BP20" s="350"/>
      <c r="BQ20" s="233"/>
      <c r="BR20" s="227"/>
      <c r="BS20" s="351"/>
      <c r="BT20" s="349">
        <f>SUM(L20:BO20)</f>
        <v>3567262</v>
      </c>
      <c r="BU20" s="350"/>
      <c r="BV20" s="233"/>
      <c r="BW20" s="233"/>
      <c r="BX20" s="254"/>
      <c r="CA20" s="268"/>
      <c r="CB20" s="268"/>
    </row>
    <row r="21" spans="1:80" x14ac:dyDescent="0.2">
      <c r="A21" s="244"/>
      <c r="B21" s="244"/>
      <c r="D21" s="353"/>
      <c r="E21" s="227"/>
      <c r="F21" s="244"/>
      <c r="G21" s="233"/>
      <c r="H21" s="233"/>
      <c r="I21" s="233"/>
      <c r="J21" s="227"/>
      <c r="K21" s="233"/>
      <c r="L21" s="233"/>
      <c r="M21" s="233"/>
      <c r="N21" s="233"/>
      <c r="O21" s="227"/>
      <c r="P21" s="233"/>
      <c r="Q21" s="233"/>
      <c r="R21" s="233"/>
      <c r="S21" s="233"/>
      <c r="T21" s="227"/>
      <c r="U21" s="233"/>
      <c r="V21" s="233"/>
      <c r="W21" s="233"/>
      <c r="X21" s="233"/>
      <c r="Y21" s="227"/>
      <c r="Z21" s="233"/>
      <c r="AA21" s="233"/>
      <c r="AB21" s="233"/>
      <c r="AC21" s="233"/>
      <c r="AD21" s="227"/>
      <c r="AE21" s="233"/>
      <c r="AF21" s="233"/>
      <c r="AG21" s="233"/>
      <c r="AH21" s="233"/>
      <c r="AI21" s="227"/>
      <c r="AJ21" s="233"/>
      <c r="AK21" s="233"/>
      <c r="AL21" s="233"/>
      <c r="AM21" s="233"/>
      <c r="AN21" s="227"/>
      <c r="AO21" s="233"/>
      <c r="AP21" s="233"/>
      <c r="AQ21" s="233"/>
      <c r="AR21" s="233"/>
      <c r="AS21" s="227"/>
      <c r="AT21" s="233"/>
      <c r="AU21" s="233"/>
      <c r="AV21" s="233"/>
      <c r="AW21" s="233"/>
      <c r="AX21" s="227"/>
      <c r="AY21" s="233"/>
      <c r="AZ21" s="233"/>
      <c r="BA21" s="233"/>
      <c r="BB21" s="233"/>
      <c r="BC21" s="227"/>
      <c r="BD21" s="233"/>
      <c r="BE21" s="233"/>
      <c r="BF21" s="233"/>
      <c r="BG21" s="233"/>
      <c r="BH21" s="227"/>
      <c r="BI21" s="233"/>
      <c r="BJ21" s="233"/>
      <c r="BK21" s="233"/>
      <c r="BL21" s="233"/>
      <c r="BM21" s="227"/>
      <c r="BN21" s="233"/>
      <c r="BO21" s="233"/>
      <c r="BP21" s="233"/>
      <c r="BQ21" s="233"/>
      <c r="BR21" s="227"/>
      <c r="BS21" s="233"/>
      <c r="BT21" s="233"/>
      <c r="BU21" s="233"/>
      <c r="BV21" s="233"/>
      <c r="BW21" s="233"/>
      <c r="BX21" s="254"/>
      <c r="CA21" s="268"/>
      <c r="CB21" s="268"/>
    </row>
    <row r="22" spans="1:80" ht="12.75" customHeight="1" x14ac:dyDescent="0.2">
      <c r="A22" s="244"/>
      <c r="B22" s="244"/>
      <c r="D22" s="254" t="s">
        <v>311</v>
      </c>
      <c r="E22" s="227"/>
      <c r="F22" s="244"/>
      <c r="G22" s="233">
        <f>SUM(G23:G26)</f>
        <v>0</v>
      </c>
      <c r="H22" s="233"/>
      <c r="I22" s="233"/>
      <c r="J22" s="227"/>
      <c r="K22" s="233"/>
      <c r="L22" s="233">
        <f>SUM(L23:L26)</f>
        <v>852104</v>
      </c>
      <c r="M22" s="233"/>
      <c r="N22" s="233"/>
      <c r="O22" s="227"/>
      <c r="P22" s="233"/>
      <c r="Q22" s="233">
        <f>SUM(Q23:Q26)</f>
        <v>747025</v>
      </c>
      <c r="R22" s="233"/>
      <c r="S22" s="233"/>
      <c r="T22" s="227"/>
      <c r="U22" s="233"/>
      <c r="V22" s="233">
        <f>SUM(V23:V26)</f>
        <v>841254</v>
      </c>
      <c r="W22" s="233"/>
      <c r="X22" s="233"/>
      <c r="Y22" s="227"/>
      <c r="Z22" s="233"/>
      <c r="AA22" s="233">
        <f>SUM(AA23:AA26)</f>
        <v>717377</v>
      </c>
      <c r="AB22" s="233"/>
      <c r="AC22" s="233"/>
      <c r="AD22" s="227"/>
      <c r="AE22" s="233"/>
      <c r="AF22" s="233">
        <f>SUM(AF23:AF26)</f>
        <v>1066256</v>
      </c>
      <c r="AG22" s="233"/>
      <c r="AH22" s="233"/>
      <c r="AI22" s="227"/>
      <c r="AJ22" s="233"/>
      <c r="AK22" s="233">
        <f>SUM(AK23:AK26)</f>
        <v>1082818</v>
      </c>
      <c r="AL22" s="233"/>
      <c r="AM22" s="233"/>
      <c r="AN22" s="227"/>
      <c r="AO22" s="233"/>
      <c r="AP22" s="233">
        <f>SUM(AP23:AP26)</f>
        <v>1806847</v>
      </c>
      <c r="AQ22" s="233"/>
      <c r="AR22" s="233"/>
      <c r="AS22" s="227"/>
      <c r="AT22" s="233"/>
      <c r="AU22" s="233">
        <f>SUM(AU23:AU26)</f>
        <v>472966</v>
      </c>
      <c r="AV22" s="233"/>
      <c r="AW22" s="233"/>
      <c r="AX22" s="227"/>
      <c r="AY22" s="233"/>
      <c r="AZ22" s="233">
        <f>SUM(AZ23:AZ26)</f>
        <v>1305236</v>
      </c>
      <c r="BA22" s="233"/>
      <c r="BB22" s="233"/>
      <c r="BC22" s="227"/>
      <c r="BD22" s="233"/>
      <c r="BE22" s="233">
        <f>SUM(BE23:BE26)</f>
        <v>452852</v>
      </c>
      <c r="BF22" s="233"/>
      <c r="BG22" s="233"/>
      <c r="BH22" s="227"/>
      <c r="BI22" s="233"/>
      <c r="BJ22" s="233">
        <f>SUM(BJ23:BJ26)</f>
        <v>2075040</v>
      </c>
      <c r="BK22" s="233"/>
      <c r="BL22" s="233"/>
      <c r="BM22" s="227"/>
      <c r="BN22" s="233"/>
      <c r="BO22" s="233">
        <f>SUM(BO23:BO26)</f>
        <v>541735</v>
      </c>
      <c r="BP22" s="233"/>
      <c r="BQ22" s="233"/>
      <c r="BR22" s="227"/>
      <c r="BS22" s="233"/>
      <c r="BT22" s="233">
        <f>SUM(BT23:BT26)</f>
        <v>11961510</v>
      </c>
      <c r="BU22" s="233"/>
      <c r="BV22" s="233"/>
      <c r="BW22" s="233"/>
      <c r="BX22" s="254"/>
      <c r="CA22" s="268"/>
      <c r="CB22" s="268"/>
    </row>
    <row r="23" spans="1:80" ht="12.75" customHeight="1" x14ac:dyDescent="0.2">
      <c r="A23" s="244"/>
      <c r="B23" s="244"/>
      <c r="D23" s="254" t="s">
        <v>310</v>
      </c>
      <c r="E23" s="354"/>
      <c r="F23" s="269"/>
      <c r="G23" s="343">
        <v>0</v>
      </c>
      <c r="H23" s="344"/>
      <c r="I23" s="233"/>
      <c r="J23" s="227"/>
      <c r="K23" s="345"/>
      <c r="L23" s="343">
        <f>605000-50815</f>
        <v>554185</v>
      </c>
      <c r="M23" s="344"/>
      <c r="N23" s="233"/>
      <c r="O23" s="227"/>
      <c r="P23" s="345"/>
      <c r="Q23" s="343">
        <f>530000-34099</f>
        <v>495901</v>
      </c>
      <c r="R23" s="344"/>
      <c r="S23" s="233"/>
      <c r="T23" s="227"/>
      <c r="U23" s="345"/>
      <c r="V23" s="343">
        <f>590000-45983</f>
        <v>544017</v>
      </c>
      <c r="W23" s="344"/>
      <c r="X23" s="233"/>
      <c r="Y23" s="227"/>
      <c r="Z23" s="345"/>
      <c r="AA23" s="343">
        <f>500000-36643</f>
        <v>463357</v>
      </c>
      <c r="AB23" s="344"/>
      <c r="AC23" s="233"/>
      <c r="AD23" s="227"/>
      <c r="AE23" s="345"/>
      <c r="AF23" s="343">
        <f>740000-63052</f>
        <v>676948</v>
      </c>
      <c r="AG23" s="344"/>
      <c r="AH23" s="233"/>
      <c r="AI23" s="227"/>
      <c r="AJ23" s="345"/>
      <c r="AK23" s="343">
        <f>750000-66943</f>
        <v>683057</v>
      </c>
      <c r="AL23" s="344"/>
      <c r="AM23" s="233"/>
      <c r="AN23" s="227"/>
      <c r="AO23" s="345"/>
      <c r="AP23" s="343">
        <f>1245000-108105</f>
        <v>1136895</v>
      </c>
      <c r="AQ23" s="344"/>
      <c r="AR23" s="233"/>
      <c r="AS23" s="227"/>
      <c r="AT23" s="345"/>
      <c r="AU23" s="343">
        <f>325000-32227</f>
        <v>292773</v>
      </c>
      <c r="AV23" s="344"/>
      <c r="AW23" s="233"/>
      <c r="AX23" s="227"/>
      <c r="AY23" s="345"/>
      <c r="AZ23" s="343">
        <f>895000-94943</f>
        <v>800057</v>
      </c>
      <c r="BA23" s="344"/>
      <c r="BB23" s="233"/>
      <c r="BC23" s="227"/>
      <c r="BD23" s="345"/>
      <c r="BE23" s="343">
        <f>310000-33028</f>
        <v>276972</v>
      </c>
      <c r="BF23" s="344"/>
      <c r="BG23" s="233"/>
      <c r="BH23" s="227"/>
      <c r="BI23" s="345"/>
      <c r="BJ23" s="343">
        <f>1420000-146176</f>
        <v>1273824</v>
      </c>
      <c r="BK23" s="344"/>
      <c r="BL23" s="233"/>
      <c r="BM23" s="227"/>
      <c r="BN23" s="345"/>
      <c r="BO23" s="343">
        <f>370000-48139</f>
        <v>321861</v>
      </c>
      <c r="BP23" s="344"/>
      <c r="BQ23" s="233"/>
      <c r="BR23" s="227"/>
      <c r="BS23" s="345"/>
      <c r="BT23" s="343">
        <f>SUM(L23:BO23)</f>
        <v>7519847</v>
      </c>
      <c r="BU23" s="344"/>
      <c r="BV23" s="233"/>
      <c r="BW23" s="233"/>
      <c r="BX23" s="254"/>
      <c r="CA23" s="268"/>
      <c r="CB23" s="268"/>
    </row>
    <row r="24" spans="1:80" ht="12.75" customHeight="1" x14ac:dyDescent="0.2">
      <c r="A24" s="244"/>
      <c r="B24" s="244"/>
      <c r="D24" s="254" t="s">
        <v>312</v>
      </c>
      <c r="E24" s="227"/>
      <c r="F24" s="261"/>
      <c r="G24" s="233">
        <v>0</v>
      </c>
      <c r="H24" s="347"/>
      <c r="I24" s="233"/>
      <c r="J24" s="227"/>
      <c r="K24" s="227"/>
      <c r="L24" s="233">
        <v>50815</v>
      </c>
      <c r="M24" s="347"/>
      <c r="N24" s="233"/>
      <c r="O24" s="227"/>
      <c r="P24" s="227"/>
      <c r="Q24" s="233">
        <v>34099</v>
      </c>
      <c r="R24" s="347"/>
      <c r="S24" s="233"/>
      <c r="T24" s="227"/>
      <c r="U24" s="227"/>
      <c r="V24" s="233">
        <v>45983</v>
      </c>
      <c r="W24" s="347"/>
      <c r="X24" s="233"/>
      <c r="Y24" s="227"/>
      <c r="Z24" s="227"/>
      <c r="AA24" s="233">
        <v>36643</v>
      </c>
      <c r="AB24" s="347"/>
      <c r="AC24" s="233"/>
      <c r="AD24" s="227"/>
      <c r="AE24" s="227"/>
      <c r="AF24" s="233">
        <v>63052</v>
      </c>
      <c r="AG24" s="347"/>
      <c r="AH24" s="233"/>
      <c r="AI24" s="227"/>
      <c r="AJ24" s="227"/>
      <c r="AK24" s="233">
        <v>66943</v>
      </c>
      <c r="AL24" s="347"/>
      <c r="AM24" s="233"/>
      <c r="AN24" s="227"/>
      <c r="AO24" s="227"/>
      <c r="AP24" s="233">
        <v>108105</v>
      </c>
      <c r="AQ24" s="347"/>
      <c r="AR24" s="233"/>
      <c r="AS24" s="227"/>
      <c r="AT24" s="227"/>
      <c r="AU24" s="233">
        <v>32227</v>
      </c>
      <c r="AV24" s="347"/>
      <c r="AW24" s="233"/>
      <c r="AX24" s="227"/>
      <c r="AY24" s="227"/>
      <c r="AZ24" s="233">
        <v>94943</v>
      </c>
      <c r="BA24" s="347"/>
      <c r="BB24" s="233"/>
      <c r="BC24" s="227"/>
      <c r="BD24" s="227"/>
      <c r="BE24" s="233">
        <v>33028</v>
      </c>
      <c r="BF24" s="347"/>
      <c r="BG24" s="233"/>
      <c r="BH24" s="227"/>
      <c r="BI24" s="227"/>
      <c r="BJ24" s="233">
        <v>146176</v>
      </c>
      <c r="BK24" s="347"/>
      <c r="BL24" s="233"/>
      <c r="BM24" s="227"/>
      <c r="BN24" s="227"/>
      <c r="BO24" s="233">
        <v>48139</v>
      </c>
      <c r="BP24" s="347"/>
      <c r="BQ24" s="233"/>
      <c r="BR24" s="227"/>
      <c r="BS24" s="227"/>
      <c r="BT24" s="233">
        <f>SUM(L24:BO24)</f>
        <v>760153</v>
      </c>
      <c r="BU24" s="347"/>
      <c r="BV24" s="233"/>
      <c r="BW24" s="233"/>
      <c r="BX24" s="254"/>
      <c r="CA24" s="268"/>
      <c r="CB24" s="268"/>
    </row>
    <row r="25" spans="1:80" ht="12.75" customHeight="1" x14ac:dyDescent="0.2">
      <c r="A25" s="244"/>
      <c r="B25" s="244"/>
      <c r="D25" s="254" t="s">
        <v>313</v>
      </c>
      <c r="E25" s="227"/>
      <c r="F25" s="261"/>
      <c r="G25" s="233">
        <v>0</v>
      </c>
      <c r="H25" s="347"/>
      <c r="I25" s="233"/>
      <c r="J25" s="227"/>
      <c r="K25" s="227"/>
      <c r="L25" s="233">
        <v>0</v>
      </c>
      <c r="M25" s="347"/>
      <c r="N25" s="233"/>
      <c r="O25" s="227"/>
      <c r="P25" s="227"/>
      <c r="Q25" s="233">
        <v>0</v>
      </c>
      <c r="R25" s="347"/>
      <c r="S25" s="233"/>
      <c r="T25" s="227"/>
      <c r="U25" s="227"/>
      <c r="V25" s="233">
        <v>0</v>
      </c>
      <c r="W25" s="347"/>
      <c r="X25" s="233"/>
      <c r="Y25" s="227"/>
      <c r="Z25" s="227"/>
      <c r="AA25" s="233">
        <v>0</v>
      </c>
      <c r="AB25" s="347"/>
      <c r="AC25" s="233"/>
      <c r="AD25" s="227"/>
      <c r="AE25" s="227"/>
      <c r="AF25" s="233">
        <v>0</v>
      </c>
      <c r="AG25" s="347"/>
      <c r="AH25" s="233"/>
      <c r="AI25" s="227"/>
      <c r="AJ25" s="227"/>
      <c r="AK25" s="233">
        <v>0</v>
      </c>
      <c r="AL25" s="347"/>
      <c r="AM25" s="233"/>
      <c r="AN25" s="227"/>
      <c r="AO25" s="227"/>
      <c r="AP25" s="233">
        <v>0</v>
      </c>
      <c r="AQ25" s="347"/>
      <c r="AR25" s="233"/>
      <c r="AS25" s="227"/>
      <c r="AT25" s="227"/>
      <c r="AU25" s="233">
        <v>0</v>
      </c>
      <c r="AV25" s="347"/>
      <c r="AW25" s="233"/>
      <c r="AX25" s="227"/>
      <c r="AY25" s="227"/>
      <c r="AZ25" s="233">
        <v>0</v>
      </c>
      <c r="BA25" s="347"/>
      <c r="BB25" s="233"/>
      <c r="BC25" s="227"/>
      <c r="BD25" s="227"/>
      <c r="BE25" s="233">
        <v>0</v>
      </c>
      <c r="BF25" s="347"/>
      <c r="BG25" s="233"/>
      <c r="BH25" s="227"/>
      <c r="BI25" s="227"/>
      <c r="BJ25" s="233">
        <v>0</v>
      </c>
      <c r="BK25" s="347"/>
      <c r="BL25" s="233"/>
      <c r="BM25" s="227"/>
      <c r="BN25" s="227"/>
      <c r="BO25" s="233">
        <v>0</v>
      </c>
      <c r="BP25" s="347"/>
      <c r="BQ25" s="233"/>
      <c r="BR25" s="227"/>
      <c r="BS25" s="227"/>
      <c r="BT25" s="233">
        <f>SUM(L25:BO25)</f>
        <v>0</v>
      </c>
      <c r="BU25" s="347"/>
      <c r="BV25" s="233"/>
      <c r="BW25" s="233"/>
      <c r="BX25" s="254"/>
      <c r="CA25" s="268"/>
      <c r="CB25" s="268"/>
    </row>
    <row r="26" spans="1:80" ht="12.75" customHeight="1" x14ac:dyDescent="0.2">
      <c r="A26" s="244"/>
      <c r="B26" s="244"/>
      <c r="D26" s="254" t="s">
        <v>314</v>
      </c>
      <c r="E26" s="227"/>
      <c r="F26" s="284"/>
      <c r="G26" s="355">
        <v>0</v>
      </c>
      <c r="H26" s="356"/>
      <c r="I26" s="233"/>
      <c r="J26" s="227"/>
      <c r="K26" s="357"/>
      <c r="L26" s="355">
        <v>247104</v>
      </c>
      <c r="M26" s="356"/>
      <c r="N26" s="233"/>
      <c r="O26" s="227"/>
      <c r="P26" s="357"/>
      <c r="Q26" s="355">
        <v>217025</v>
      </c>
      <c r="R26" s="356"/>
      <c r="S26" s="233"/>
      <c r="T26" s="227"/>
      <c r="U26" s="357"/>
      <c r="V26" s="355">
        <v>251254</v>
      </c>
      <c r="W26" s="356"/>
      <c r="X26" s="233"/>
      <c r="Y26" s="227"/>
      <c r="Z26" s="357"/>
      <c r="AA26" s="355">
        <v>217377</v>
      </c>
      <c r="AB26" s="356"/>
      <c r="AC26" s="233"/>
      <c r="AD26" s="227"/>
      <c r="AE26" s="357"/>
      <c r="AF26" s="355">
        <v>326256</v>
      </c>
      <c r="AG26" s="356"/>
      <c r="AH26" s="233"/>
      <c r="AI26" s="227"/>
      <c r="AJ26" s="357"/>
      <c r="AK26" s="355">
        <v>332818</v>
      </c>
      <c r="AL26" s="356"/>
      <c r="AM26" s="233"/>
      <c r="AN26" s="227"/>
      <c r="AO26" s="357"/>
      <c r="AP26" s="355">
        <v>561847</v>
      </c>
      <c r="AQ26" s="356"/>
      <c r="AR26" s="233"/>
      <c r="AS26" s="227"/>
      <c r="AT26" s="357"/>
      <c r="AU26" s="355">
        <v>147966</v>
      </c>
      <c r="AV26" s="356"/>
      <c r="AW26" s="233"/>
      <c r="AX26" s="227"/>
      <c r="AY26" s="357"/>
      <c r="AZ26" s="355">
        <v>410236</v>
      </c>
      <c r="BA26" s="356"/>
      <c r="BB26" s="233"/>
      <c r="BC26" s="227"/>
      <c r="BD26" s="357"/>
      <c r="BE26" s="355">
        <v>142852</v>
      </c>
      <c r="BF26" s="356"/>
      <c r="BG26" s="233"/>
      <c r="BH26" s="227"/>
      <c r="BI26" s="357"/>
      <c r="BJ26" s="355">
        <v>655040</v>
      </c>
      <c r="BK26" s="356"/>
      <c r="BL26" s="233"/>
      <c r="BM26" s="227"/>
      <c r="BN26" s="357"/>
      <c r="BO26" s="355">
        <v>171735</v>
      </c>
      <c r="BP26" s="356"/>
      <c r="BQ26" s="233"/>
      <c r="BR26" s="227"/>
      <c r="BS26" s="357"/>
      <c r="BT26" s="355">
        <f>SUM(L26:BO26)</f>
        <v>3681510</v>
      </c>
      <c r="BU26" s="356"/>
      <c r="BV26" s="233"/>
      <c r="BW26" s="233"/>
      <c r="BX26" s="254"/>
      <c r="CA26" s="268"/>
      <c r="CB26" s="268"/>
    </row>
    <row r="27" spans="1:80" x14ac:dyDescent="0.2">
      <c r="A27" s="244"/>
      <c r="B27" s="244"/>
      <c r="D27" s="254"/>
      <c r="E27" s="227"/>
      <c r="F27" s="244"/>
      <c r="G27" s="233"/>
      <c r="H27" s="233"/>
      <c r="I27" s="233"/>
      <c r="J27" s="227"/>
      <c r="K27" s="233"/>
      <c r="L27" s="233"/>
      <c r="M27" s="233"/>
      <c r="N27" s="233"/>
      <c r="O27" s="227"/>
      <c r="P27" s="233"/>
      <c r="Q27" s="233"/>
      <c r="R27" s="233"/>
      <c r="S27" s="233"/>
      <c r="T27" s="227"/>
      <c r="U27" s="233"/>
      <c r="V27" s="233"/>
      <c r="W27" s="233"/>
      <c r="X27" s="233"/>
      <c r="Y27" s="227"/>
      <c r="Z27" s="233"/>
      <c r="AA27" s="233"/>
      <c r="AB27" s="233"/>
      <c r="AC27" s="233"/>
      <c r="AD27" s="227"/>
      <c r="AE27" s="233"/>
      <c r="AF27" s="233"/>
      <c r="AG27" s="233"/>
      <c r="AH27" s="233"/>
      <c r="AI27" s="227"/>
      <c r="AJ27" s="233"/>
      <c r="AK27" s="233"/>
      <c r="AL27" s="233"/>
      <c r="AM27" s="233"/>
      <c r="AN27" s="227"/>
      <c r="AO27" s="233"/>
      <c r="AP27" s="233"/>
      <c r="AQ27" s="233"/>
      <c r="AR27" s="233"/>
      <c r="AS27" s="227"/>
      <c r="AT27" s="233"/>
      <c r="AU27" s="233"/>
      <c r="AV27" s="233"/>
      <c r="AW27" s="233"/>
      <c r="AX27" s="227"/>
      <c r="AY27" s="233"/>
      <c r="AZ27" s="233"/>
      <c r="BA27" s="233"/>
      <c r="BB27" s="233"/>
      <c r="BC27" s="227"/>
      <c r="BD27" s="233"/>
      <c r="BE27" s="233"/>
      <c r="BF27" s="233"/>
      <c r="BG27" s="233"/>
      <c r="BH27" s="227"/>
      <c r="BI27" s="233"/>
      <c r="BJ27" s="233"/>
      <c r="BK27" s="233"/>
      <c r="BL27" s="233"/>
      <c r="BM27" s="227"/>
      <c r="BN27" s="233"/>
      <c r="BO27" s="233"/>
      <c r="BP27" s="233"/>
      <c r="BQ27" s="233"/>
      <c r="BR27" s="227"/>
      <c r="BS27" s="233"/>
      <c r="BT27" s="233"/>
      <c r="BU27" s="233"/>
      <c r="BV27" s="233"/>
      <c r="BW27" s="233"/>
      <c r="BX27" s="254"/>
      <c r="CA27" s="268"/>
      <c r="CB27" s="268"/>
    </row>
    <row r="28" spans="1:80" ht="12.75" customHeight="1" x14ac:dyDescent="0.2">
      <c r="A28" s="244"/>
      <c r="B28" s="244"/>
      <c r="D28" s="254" t="s">
        <v>315</v>
      </c>
      <c r="E28" s="227"/>
      <c r="F28" s="244"/>
      <c r="G28" s="233">
        <f>SUM(G29:G32)</f>
        <v>0</v>
      </c>
      <c r="H28" s="233"/>
      <c r="I28" s="233"/>
      <c r="J28" s="227"/>
      <c r="K28" s="233"/>
      <c r="L28" s="233">
        <f>SUM(L29:L32)</f>
        <v>542418</v>
      </c>
      <c r="M28" s="233"/>
      <c r="N28" s="233"/>
      <c r="O28" s="227"/>
      <c r="P28" s="233"/>
      <c r="Q28" s="233">
        <f>SUM(Q29:Q32)</f>
        <v>691639</v>
      </c>
      <c r="R28" s="233"/>
      <c r="S28" s="233"/>
      <c r="T28" s="227"/>
      <c r="U28" s="233"/>
      <c r="V28" s="233">
        <f>SUM(V29:V32)</f>
        <v>1153612</v>
      </c>
      <c r="W28" s="233"/>
      <c r="X28" s="233"/>
      <c r="Y28" s="227"/>
      <c r="Z28" s="233"/>
      <c r="AA28" s="233">
        <f>SUM(AA29:AA32)</f>
        <v>983226</v>
      </c>
      <c r="AB28" s="233"/>
      <c r="AC28" s="233"/>
      <c r="AD28" s="227"/>
      <c r="AE28" s="233"/>
      <c r="AF28" s="233">
        <f>SUM(AF29:AF32)</f>
        <v>532805</v>
      </c>
      <c r="AG28" s="233"/>
      <c r="AH28" s="233"/>
      <c r="AI28" s="227"/>
      <c r="AJ28" s="233"/>
      <c r="AK28" s="233">
        <f>SUM(AK29:AK32)</f>
        <v>1445658</v>
      </c>
      <c r="AL28" s="233"/>
      <c r="AM28" s="233"/>
      <c r="AN28" s="227"/>
      <c r="AO28" s="233"/>
      <c r="AP28" s="233">
        <f>SUM(AP29:AP32)</f>
        <v>1848510</v>
      </c>
      <c r="AQ28" s="233"/>
      <c r="AR28" s="233"/>
      <c r="AS28" s="227"/>
      <c r="AT28" s="233"/>
      <c r="AU28" s="233">
        <f>SUM(AU29:AU32)</f>
        <v>1375404</v>
      </c>
      <c r="AV28" s="233"/>
      <c r="AW28" s="233"/>
      <c r="AX28" s="227"/>
      <c r="AY28" s="233"/>
      <c r="AZ28" s="233">
        <f>SUM(AZ29:AZ32)</f>
        <v>481533</v>
      </c>
      <c r="BA28" s="233"/>
      <c r="BB28" s="233"/>
      <c r="BC28" s="227"/>
      <c r="BD28" s="233"/>
      <c r="BE28" s="233">
        <f>SUM(BE29:BE32)</f>
        <v>0</v>
      </c>
      <c r="BF28" s="233"/>
      <c r="BG28" s="233"/>
      <c r="BH28" s="227"/>
      <c r="BI28" s="233"/>
      <c r="BJ28" s="233">
        <f>SUM(BJ29:BJ32)</f>
        <v>774542</v>
      </c>
      <c r="BK28" s="233"/>
      <c r="BL28" s="233"/>
      <c r="BM28" s="227"/>
      <c r="BN28" s="233"/>
      <c r="BO28" s="233">
        <f>SUM(BO29:BO32)</f>
        <v>563419</v>
      </c>
      <c r="BP28" s="233"/>
      <c r="BQ28" s="233"/>
      <c r="BR28" s="227"/>
      <c r="BS28" s="233"/>
      <c r="BT28" s="233">
        <f>SUM(BT29:BT32)</f>
        <v>10392766</v>
      </c>
      <c r="BU28" s="233"/>
      <c r="BV28" s="233"/>
      <c r="BW28" s="233"/>
      <c r="BX28" s="254"/>
      <c r="CA28" s="268"/>
      <c r="CB28" s="268"/>
    </row>
    <row r="29" spans="1:80" ht="12.75" customHeight="1" x14ac:dyDescent="0.2">
      <c r="A29" s="244"/>
      <c r="B29" s="244"/>
      <c r="D29" s="254" t="s">
        <v>310</v>
      </c>
      <c r="E29" s="227"/>
      <c r="F29" s="269"/>
      <c r="G29" s="343">
        <v>0</v>
      </c>
      <c r="H29" s="344"/>
      <c r="I29" s="233"/>
      <c r="J29" s="227"/>
      <c r="K29" s="345"/>
      <c r="L29" s="343">
        <f>385000-82755</f>
        <v>302245</v>
      </c>
      <c r="M29" s="344"/>
      <c r="N29" s="233"/>
      <c r="O29" s="227"/>
      <c r="P29" s="345"/>
      <c r="Q29" s="343">
        <f>490000-96874</f>
        <v>393126</v>
      </c>
      <c r="R29" s="344"/>
      <c r="S29" s="233"/>
      <c r="T29" s="227"/>
      <c r="U29" s="345"/>
      <c r="V29" s="343">
        <f>810000-177882</f>
        <v>632118</v>
      </c>
      <c r="W29" s="344"/>
      <c r="X29" s="233"/>
      <c r="Y29" s="227"/>
      <c r="Z29" s="345"/>
      <c r="AA29" s="343">
        <f>685000-150743</f>
        <v>534257</v>
      </c>
      <c r="AB29" s="344"/>
      <c r="AC29" s="233"/>
      <c r="AD29" s="227"/>
      <c r="AE29" s="345"/>
      <c r="AF29" s="343">
        <f>370000-89582</f>
        <v>280418</v>
      </c>
      <c r="AG29" s="344"/>
      <c r="AH29" s="233"/>
      <c r="AI29" s="227"/>
      <c r="AJ29" s="345"/>
      <c r="AK29" s="343">
        <f>1000000-256392</f>
        <v>743608</v>
      </c>
      <c r="AL29" s="344"/>
      <c r="AM29" s="233"/>
      <c r="AN29" s="227"/>
      <c r="AO29" s="345"/>
      <c r="AP29" s="343">
        <f>1275000-329766</f>
        <v>945234</v>
      </c>
      <c r="AQ29" s="344"/>
      <c r="AR29" s="233"/>
      <c r="AS29" s="227"/>
      <c r="AT29" s="345"/>
      <c r="AU29" s="343">
        <f>945000-279439</f>
        <v>665561</v>
      </c>
      <c r="AV29" s="344"/>
      <c r="AW29" s="233"/>
      <c r="AX29" s="227"/>
      <c r="AY29" s="345"/>
      <c r="AZ29" s="343">
        <f>330000-98786</f>
        <v>231214</v>
      </c>
      <c r="BA29" s="344"/>
      <c r="BB29" s="233"/>
      <c r="BC29" s="227"/>
      <c r="BD29" s="345"/>
      <c r="BE29" s="343">
        <v>0</v>
      </c>
      <c r="BF29" s="344"/>
      <c r="BG29" s="233"/>
      <c r="BH29" s="227"/>
      <c r="BI29" s="345"/>
      <c r="BJ29" s="343">
        <f>530000-164514</f>
        <v>365486</v>
      </c>
      <c r="BK29" s="344"/>
      <c r="BL29" s="233"/>
      <c r="BM29" s="227"/>
      <c r="BN29" s="345"/>
      <c r="BO29" s="343">
        <f>385000-149129</f>
        <v>235871</v>
      </c>
      <c r="BP29" s="344"/>
      <c r="BQ29" s="233"/>
      <c r="BR29" s="227"/>
      <c r="BS29" s="345"/>
      <c r="BT29" s="343">
        <f>SUM(L29:BO29)</f>
        <v>5329138</v>
      </c>
      <c r="BU29" s="344"/>
      <c r="BV29" s="233"/>
      <c r="BW29" s="233"/>
      <c r="BX29" s="254"/>
      <c r="CA29" s="268"/>
      <c r="CB29" s="268"/>
    </row>
    <row r="30" spans="1:80" ht="12.75" customHeight="1" x14ac:dyDescent="0.2">
      <c r="A30" s="244"/>
      <c r="B30" s="244"/>
      <c r="D30" s="254" t="s">
        <v>312</v>
      </c>
      <c r="E30" s="227"/>
      <c r="F30" s="261"/>
      <c r="G30" s="233">
        <v>0</v>
      </c>
      <c r="H30" s="347"/>
      <c r="I30" s="233"/>
      <c r="J30" s="227"/>
      <c r="K30" s="227"/>
      <c r="L30" s="233">
        <v>82755</v>
      </c>
      <c r="M30" s="347"/>
      <c r="N30" s="233"/>
      <c r="O30" s="227"/>
      <c r="P30" s="227"/>
      <c r="Q30" s="233">
        <v>96874</v>
      </c>
      <c r="R30" s="347"/>
      <c r="S30" s="233"/>
      <c r="T30" s="227"/>
      <c r="U30" s="227"/>
      <c r="V30" s="233">
        <v>177882</v>
      </c>
      <c r="W30" s="347"/>
      <c r="X30" s="233"/>
      <c r="Y30" s="227"/>
      <c r="Z30" s="227"/>
      <c r="AA30" s="233">
        <v>150743</v>
      </c>
      <c r="AB30" s="347"/>
      <c r="AC30" s="233"/>
      <c r="AD30" s="227"/>
      <c r="AE30" s="227"/>
      <c r="AF30" s="233">
        <v>89582</v>
      </c>
      <c r="AG30" s="347"/>
      <c r="AH30" s="233"/>
      <c r="AI30" s="227"/>
      <c r="AJ30" s="227"/>
      <c r="AK30" s="233">
        <v>256392</v>
      </c>
      <c r="AL30" s="347"/>
      <c r="AM30" s="233"/>
      <c r="AN30" s="227"/>
      <c r="AO30" s="227"/>
      <c r="AP30" s="233">
        <v>329766</v>
      </c>
      <c r="AQ30" s="347"/>
      <c r="AR30" s="233"/>
      <c r="AS30" s="227"/>
      <c r="AT30" s="227"/>
      <c r="AU30" s="233">
        <v>279439</v>
      </c>
      <c r="AV30" s="347"/>
      <c r="AW30" s="233"/>
      <c r="AX30" s="227"/>
      <c r="AY30" s="227"/>
      <c r="AZ30" s="233">
        <v>98786</v>
      </c>
      <c r="BA30" s="347"/>
      <c r="BB30" s="233"/>
      <c r="BC30" s="227"/>
      <c r="BD30" s="227"/>
      <c r="BE30" s="233">
        <v>0</v>
      </c>
      <c r="BF30" s="347"/>
      <c r="BG30" s="233"/>
      <c r="BH30" s="227"/>
      <c r="BI30" s="227"/>
      <c r="BJ30" s="233">
        <v>164514</v>
      </c>
      <c r="BK30" s="347"/>
      <c r="BL30" s="233"/>
      <c r="BM30" s="227"/>
      <c r="BN30" s="227"/>
      <c r="BO30" s="233">
        <v>149129</v>
      </c>
      <c r="BP30" s="347"/>
      <c r="BQ30" s="233"/>
      <c r="BR30" s="227"/>
      <c r="BS30" s="227"/>
      <c r="BT30" s="233">
        <f>SUM(L30:BO30)</f>
        <v>1875862</v>
      </c>
      <c r="BU30" s="347"/>
      <c r="BV30" s="233"/>
      <c r="BW30" s="233"/>
      <c r="BX30" s="254"/>
      <c r="CA30" s="268"/>
      <c r="CB30" s="268"/>
    </row>
    <row r="31" spans="1:80" ht="12.75" customHeight="1" x14ac:dyDescent="0.2">
      <c r="A31" s="244"/>
      <c r="B31" s="244"/>
      <c r="D31" s="254" t="s">
        <v>313</v>
      </c>
      <c r="E31" s="227"/>
      <c r="F31" s="261"/>
      <c r="G31" s="233">
        <v>0</v>
      </c>
      <c r="H31" s="347"/>
      <c r="I31" s="233"/>
      <c r="J31" s="227"/>
      <c r="K31" s="227"/>
      <c r="L31" s="233">
        <v>0</v>
      </c>
      <c r="M31" s="347"/>
      <c r="N31" s="233"/>
      <c r="O31" s="227"/>
      <c r="P31" s="227"/>
      <c r="Q31" s="233">
        <v>0</v>
      </c>
      <c r="R31" s="347"/>
      <c r="S31" s="233"/>
      <c r="T31" s="227"/>
      <c r="U31" s="227"/>
      <c r="V31" s="233">
        <v>0</v>
      </c>
      <c r="W31" s="347"/>
      <c r="X31" s="233"/>
      <c r="Y31" s="227"/>
      <c r="Z31" s="227"/>
      <c r="AA31" s="233">
        <v>0</v>
      </c>
      <c r="AB31" s="347"/>
      <c r="AC31" s="233"/>
      <c r="AD31" s="227"/>
      <c r="AE31" s="227"/>
      <c r="AF31" s="233">
        <v>0</v>
      </c>
      <c r="AG31" s="347"/>
      <c r="AH31" s="233"/>
      <c r="AI31" s="227"/>
      <c r="AJ31" s="227"/>
      <c r="AK31" s="233">
        <v>0</v>
      </c>
      <c r="AL31" s="347"/>
      <c r="AM31" s="233"/>
      <c r="AN31" s="227"/>
      <c r="AO31" s="227"/>
      <c r="AP31" s="233">
        <v>0</v>
      </c>
      <c r="AQ31" s="347"/>
      <c r="AR31" s="233"/>
      <c r="AS31" s="227"/>
      <c r="AT31" s="227"/>
      <c r="AU31" s="233">
        <v>0</v>
      </c>
      <c r="AV31" s="347"/>
      <c r="AW31" s="233"/>
      <c r="AX31" s="227"/>
      <c r="AY31" s="227"/>
      <c r="AZ31" s="233">
        <v>0</v>
      </c>
      <c r="BA31" s="347"/>
      <c r="BB31" s="233"/>
      <c r="BC31" s="227"/>
      <c r="BD31" s="227"/>
      <c r="BE31" s="233">
        <v>0</v>
      </c>
      <c r="BF31" s="347"/>
      <c r="BG31" s="233"/>
      <c r="BH31" s="227"/>
      <c r="BI31" s="227"/>
      <c r="BJ31" s="233">
        <v>0</v>
      </c>
      <c r="BK31" s="347"/>
      <c r="BL31" s="233"/>
      <c r="BM31" s="227"/>
      <c r="BN31" s="227"/>
      <c r="BO31" s="233">
        <v>0</v>
      </c>
      <c r="BP31" s="347"/>
      <c r="BQ31" s="233"/>
      <c r="BR31" s="227"/>
      <c r="BS31" s="227"/>
      <c r="BT31" s="233">
        <f>SUM(L31:BO31)</f>
        <v>0</v>
      </c>
      <c r="BU31" s="347"/>
      <c r="BV31" s="233"/>
      <c r="BW31" s="233"/>
      <c r="BX31" s="254"/>
      <c r="CA31" s="268"/>
      <c r="CB31" s="268"/>
    </row>
    <row r="32" spans="1:80" ht="12.75" customHeight="1" x14ac:dyDescent="0.2">
      <c r="A32" s="244"/>
      <c r="B32" s="244"/>
      <c r="D32" s="254" t="s">
        <v>314</v>
      </c>
      <c r="E32" s="227"/>
      <c r="F32" s="284"/>
      <c r="G32" s="355">
        <v>0</v>
      </c>
      <c r="H32" s="356"/>
      <c r="I32" s="233"/>
      <c r="J32" s="227"/>
      <c r="K32" s="357"/>
      <c r="L32" s="355">
        <v>157418</v>
      </c>
      <c r="M32" s="356"/>
      <c r="N32" s="233"/>
      <c r="O32" s="227"/>
      <c r="P32" s="357"/>
      <c r="Q32" s="355">
        <v>201639</v>
      </c>
      <c r="R32" s="356"/>
      <c r="S32" s="233"/>
      <c r="T32" s="227"/>
      <c r="U32" s="357"/>
      <c r="V32" s="355">
        <v>343612</v>
      </c>
      <c r="W32" s="356"/>
      <c r="X32" s="233"/>
      <c r="Y32" s="227"/>
      <c r="Z32" s="357"/>
      <c r="AA32" s="355">
        <v>298226</v>
      </c>
      <c r="AB32" s="356"/>
      <c r="AC32" s="233"/>
      <c r="AD32" s="227"/>
      <c r="AE32" s="357"/>
      <c r="AF32" s="355">
        <v>162805</v>
      </c>
      <c r="AG32" s="356"/>
      <c r="AH32" s="233"/>
      <c r="AI32" s="227"/>
      <c r="AJ32" s="357"/>
      <c r="AK32" s="355">
        <v>445658</v>
      </c>
      <c r="AL32" s="356"/>
      <c r="AM32" s="233"/>
      <c r="AN32" s="227"/>
      <c r="AO32" s="357"/>
      <c r="AP32" s="355">
        <v>573510</v>
      </c>
      <c r="AQ32" s="356"/>
      <c r="AR32" s="233"/>
      <c r="AS32" s="227"/>
      <c r="AT32" s="357"/>
      <c r="AU32" s="355">
        <v>430404</v>
      </c>
      <c r="AV32" s="356"/>
      <c r="AW32" s="233"/>
      <c r="AX32" s="227"/>
      <c r="AY32" s="357"/>
      <c r="AZ32" s="355">
        <v>151533</v>
      </c>
      <c r="BA32" s="356"/>
      <c r="BB32" s="233"/>
      <c r="BC32" s="227"/>
      <c r="BD32" s="357"/>
      <c r="BE32" s="355">
        <v>0</v>
      </c>
      <c r="BF32" s="356"/>
      <c r="BG32" s="233"/>
      <c r="BH32" s="227"/>
      <c r="BI32" s="357"/>
      <c r="BJ32" s="355">
        <v>244542</v>
      </c>
      <c r="BK32" s="356"/>
      <c r="BL32" s="233"/>
      <c r="BM32" s="227"/>
      <c r="BN32" s="357"/>
      <c r="BO32" s="355">
        <v>178419</v>
      </c>
      <c r="BP32" s="356"/>
      <c r="BQ32" s="233"/>
      <c r="BR32" s="227"/>
      <c r="BS32" s="357"/>
      <c r="BT32" s="355">
        <f>SUM(L32:BO32)</f>
        <v>3187766</v>
      </c>
      <c r="BU32" s="356"/>
      <c r="BV32" s="233"/>
      <c r="BW32" s="233"/>
      <c r="BX32" s="254"/>
      <c r="CA32" s="268"/>
      <c r="CB32" s="268"/>
    </row>
    <row r="33" spans="1:80" ht="12.75" customHeight="1" x14ac:dyDescent="0.2">
      <c r="A33" s="244"/>
      <c r="B33" s="244"/>
      <c r="D33" s="254"/>
      <c r="E33" s="227"/>
      <c r="F33" s="244"/>
      <c r="G33" s="233"/>
      <c r="H33" s="233"/>
      <c r="I33" s="233"/>
      <c r="J33" s="227"/>
      <c r="K33" s="233"/>
      <c r="L33" s="233"/>
      <c r="M33" s="233"/>
      <c r="N33" s="233"/>
      <c r="O33" s="227"/>
      <c r="P33" s="233"/>
      <c r="Q33" s="233"/>
      <c r="R33" s="233"/>
      <c r="S33" s="233"/>
      <c r="T33" s="227"/>
      <c r="U33" s="233"/>
      <c r="V33" s="233"/>
      <c r="W33" s="233"/>
      <c r="X33" s="233"/>
      <c r="Y33" s="227"/>
      <c r="Z33" s="233"/>
      <c r="AA33" s="233"/>
      <c r="AB33" s="233"/>
      <c r="AC33" s="233"/>
      <c r="AD33" s="227"/>
      <c r="AE33" s="233"/>
      <c r="AF33" s="233"/>
      <c r="AG33" s="233"/>
      <c r="AH33" s="233"/>
      <c r="AI33" s="227"/>
      <c r="AJ33" s="233"/>
      <c r="AK33" s="233"/>
      <c r="AL33" s="233"/>
      <c r="AM33" s="233"/>
      <c r="AN33" s="227"/>
      <c r="AO33" s="233"/>
      <c r="AP33" s="233"/>
      <c r="AQ33" s="233"/>
      <c r="AR33" s="233"/>
      <c r="AS33" s="227"/>
      <c r="AT33" s="233"/>
      <c r="AU33" s="233"/>
      <c r="AV33" s="233"/>
      <c r="AW33" s="233"/>
      <c r="AX33" s="227"/>
      <c r="AY33" s="233"/>
      <c r="AZ33" s="233"/>
      <c r="BA33" s="233"/>
      <c r="BB33" s="233"/>
      <c r="BC33" s="227"/>
      <c r="BD33" s="233"/>
      <c r="BE33" s="233"/>
      <c r="BF33" s="233"/>
      <c r="BG33" s="233"/>
      <c r="BH33" s="227"/>
      <c r="BI33" s="233"/>
      <c r="BJ33" s="233"/>
      <c r="BK33" s="233"/>
      <c r="BL33" s="233"/>
      <c r="BM33" s="227"/>
      <c r="BN33" s="233"/>
      <c r="BO33" s="233"/>
      <c r="BP33" s="233"/>
      <c r="BQ33" s="233"/>
      <c r="BR33" s="227"/>
      <c r="BS33" s="233"/>
      <c r="BT33" s="233"/>
      <c r="BU33" s="233"/>
      <c r="BV33" s="233"/>
      <c r="BW33" s="233"/>
      <c r="BX33" s="254"/>
      <c r="CA33" s="268"/>
      <c r="CB33" s="268"/>
    </row>
    <row r="34" spans="1:80" ht="12.75" customHeight="1" x14ac:dyDescent="0.2">
      <c r="A34" s="244"/>
      <c r="B34" s="244"/>
      <c r="D34" s="254" t="s">
        <v>316</v>
      </c>
      <c r="E34" s="227"/>
      <c r="F34" s="244"/>
      <c r="G34" s="233">
        <f>SUM(G35:G38)</f>
        <v>0</v>
      </c>
      <c r="H34" s="233"/>
      <c r="I34" s="233"/>
      <c r="J34" s="227"/>
      <c r="K34" s="233"/>
      <c r="L34" s="233">
        <f>SUM(L35:L38)</f>
        <v>411537</v>
      </c>
      <c r="M34" s="233"/>
      <c r="N34" s="233"/>
      <c r="O34" s="227"/>
      <c r="P34" s="233"/>
      <c r="Q34" s="233">
        <f>SUM(Q35:Q38)</f>
        <v>691086</v>
      </c>
      <c r="R34" s="233"/>
      <c r="S34" s="233"/>
      <c r="T34" s="227"/>
      <c r="U34" s="233"/>
      <c r="V34" s="233">
        <f>SUM(V35:V38)</f>
        <v>1052878</v>
      </c>
      <c r="W34" s="233"/>
      <c r="X34" s="233"/>
      <c r="Y34" s="227"/>
      <c r="Z34" s="233"/>
      <c r="AA34" s="233">
        <f>SUM(AA35:AA38)</f>
        <v>621958</v>
      </c>
      <c r="AB34" s="233"/>
      <c r="AC34" s="233"/>
      <c r="AD34" s="227"/>
      <c r="AE34" s="233"/>
      <c r="AF34" s="233">
        <f>SUM(AF35:AF38)</f>
        <v>305672</v>
      </c>
      <c r="AG34" s="233"/>
      <c r="AH34" s="233"/>
      <c r="AI34" s="227"/>
      <c r="AJ34" s="233"/>
      <c r="AK34" s="233">
        <f>SUM(AK35:AK38)</f>
        <v>1737471</v>
      </c>
      <c r="AL34" s="233"/>
      <c r="AM34" s="233"/>
      <c r="AN34" s="227"/>
      <c r="AO34" s="233"/>
      <c r="AP34" s="233">
        <f>SUM(AP35:AP38)</f>
        <v>868577</v>
      </c>
      <c r="AQ34" s="233"/>
      <c r="AR34" s="233"/>
      <c r="AS34" s="227"/>
      <c r="AT34" s="233"/>
      <c r="AU34" s="233">
        <f>SUM(AU35:AU38)</f>
        <v>1084077</v>
      </c>
      <c r="AV34" s="233"/>
      <c r="AW34" s="233"/>
      <c r="AX34" s="227"/>
      <c r="AY34" s="233"/>
      <c r="AZ34" s="233">
        <f>SUM(AZ35:AZ38)</f>
        <v>549747</v>
      </c>
      <c r="BA34" s="233"/>
      <c r="BB34" s="233"/>
      <c r="BC34" s="227"/>
      <c r="BD34" s="233"/>
      <c r="BE34" s="233">
        <f>SUM(BE35:BE38)</f>
        <v>1087699</v>
      </c>
      <c r="BF34" s="233"/>
      <c r="BG34" s="233"/>
      <c r="BH34" s="227"/>
      <c r="BI34" s="233"/>
      <c r="BJ34" s="233">
        <f>SUM(BJ35:BJ38)</f>
        <v>1425586</v>
      </c>
      <c r="BK34" s="233"/>
      <c r="BL34" s="233"/>
      <c r="BM34" s="227"/>
      <c r="BN34" s="233"/>
      <c r="BO34" s="233">
        <f>SUM(BO35:BO38)</f>
        <v>1668926</v>
      </c>
      <c r="BP34" s="233"/>
      <c r="BQ34" s="233"/>
      <c r="BR34" s="227"/>
      <c r="BS34" s="233"/>
      <c r="BT34" s="233">
        <f>SUM(BT35:BT38)</f>
        <v>11505214</v>
      </c>
      <c r="BU34" s="233"/>
      <c r="BV34" s="233"/>
      <c r="BW34" s="233"/>
      <c r="BX34" s="254"/>
      <c r="CA34" s="268"/>
      <c r="CB34" s="268"/>
    </row>
    <row r="35" spans="1:80" ht="12.75" customHeight="1" x14ac:dyDescent="0.2">
      <c r="A35" s="244"/>
      <c r="B35" s="244"/>
      <c r="D35" s="254" t="s">
        <v>310</v>
      </c>
      <c r="E35" s="227"/>
      <c r="F35" s="269"/>
      <c r="G35" s="343">
        <v>0</v>
      </c>
      <c r="H35" s="344"/>
      <c r="I35" s="233"/>
      <c r="J35" s="227"/>
      <c r="K35" s="345"/>
      <c r="L35" s="343">
        <f>310000-65709</f>
        <v>244291</v>
      </c>
      <c r="M35" s="344"/>
      <c r="N35" s="233"/>
      <c r="O35" s="227"/>
      <c r="P35" s="345"/>
      <c r="Q35" s="343">
        <f>520000-92478</f>
        <v>427522</v>
      </c>
      <c r="R35" s="344"/>
      <c r="S35" s="233"/>
      <c r="T35" s="227"/>
      <c r="U35" s="345"/>
      <c r="V35" s="343">
        <f>785000-168092</f>
        <v>616908</v>
      </c>
      <c r="W35" s="344"/>
      <c r="X35" s="233"/>
      <c r="Y35" s="227"/>
      <c r="Z35" s="345"/>
      <c r="AA35" s="343">
        <f>460000-101629</f>
        <v>358371</v>
      </c>
      <c r="AB35" s="344"/>
      <c r="AC35" s="233"/>
      <c r="AD35" s="227"/>
      <c r="AE35" s="345"/>
      <c r="AF35" s="343">
        <f>225000-54516</f>
        <v>170484</v>
      </c>
      <c r="AG35" s="344"/>
      <c r="AH35" s="233"/>
      <c r="AI35" s="227"/>
      <c r="AJ35" s="345"/>
      <c r="AK35" s="343">
        <f>1275000-330226</f>
        <v>944774</v>
      </c>
      <c r="AL35" s="344"/>
      <c r="AM35" s="233"/>
      <c r="AN35" s="227"/>
      <c r="AO35" s="345"/>
      <c r="AP35" s="343">
        <f>635000-167704</f>
        <v>467296</v>
      </c>
      <c r="AQ35" s="344"/>
      <c r="AR35" s="233"/>
      <c r="AS35" s="227"/>
      <c r="AT35" s="345"/>
      <c r="AU35" s="343">
        <f>790000-250392</f>
        <v>539608</v>
      </c>
      <c r="AV35" s="344"/>
      <c r="AW35" s="233"/>
      <c r="AX35" s="227"/>
      <c r="AY35" s="345"/>
      <c r="AZ35" s="343">
        <f>400000-129701</f>
        <v>270299</v>
      </c>
      <c r="BA35" s="344"/>
      <c r="BB35" s="233"/>
      <c r="BC35" s="227"/>
      <c r="BD35" s="345"/>
      <c r="BE35" s="343">
        <f>790000-248565</f>
        <v>541435</v>
      </c>
      <c r="BF35" s="344"/>
      <c r="BG35" s="233"/>
      <c r="BH35" s="227"/>
      <c r="BI35" s="345"/>
      <c r="BJ35" s="343">
        <f>1035000-326159</f>
        <v>708841</v>
      </c>
      <c r="BK35" s="344"/>
      <c r="BL35" s="233"/>
      <c r="BM35" s="227"/>
      <c r="BN35" s="345"/>
      <c r="BO35" s="343">
        <f>1210000-489767</f>
        <v>720233</v>
      </c>
      <c r="BP35" s="344"/>
      <c r="BQ35" s="233"/>
      <c r="BR35" s="227"/>
      <c r="BS35" s="345"/>
      <c r="BT35" s="343">
        <f>SUM(L35:BO35)</f>
        <v>6010062</v>
      </c>
      <c r="BU35" s="344"/>
      <c r="BV35" s="233"/>
      <c r="BW35" s="233"/>
      <c r="BX35" s="254"/>
      <c r="CA35" s="268"/>
      <c r="CB35" s="268"/>
    </row>
    <row r="36" spans="1:80" ht="12.75" customHeight="1" x14ac:dyDescent="0.2">
      <c r="A36" s="244"/>
      <c r="B36" s="244"/>
      <c r="D36" s="254" t="s">
        <v>312</v>
      </c>
      <c r="E36" s="227"/>
      <c r="F36" s="261"/>
      <c r="G36" s="233">
        <v>0</v>
      </c>
      <c r="H36" s="347"/>
      <c r="I36" s="233"/>
      <c r="J36" s="227"/>
      <c r="K36" s="227"/>
      <c r="L36" s="233">
        <v>65709</v>
      </c>
      <c r="M36" s="347"/>
      <c r="N36" s="233"/>
      <c r="O36" s="227"/>
      <c r="P36" s="227"/>
      <c r="Q36" s="233">
        <v>92477</v>
      </c>
      <c r="R36" s="347"/>
      <c r="S36" s="233"/>
      <c r="T36" s="227"/>
      <c r="U36" s="227"/>
      <c r="V36" s="233">
        <v>168092</v>
      </c>
      <c r="W36" s="347"/>
      <c r="X36" s="233"/>
      <c r="Y36" s="227"/>
      <c r="Z36" s="227"/>
      <c r="AA36" s="233">
        <v>101629</v>
      </c>
      <c r="AB36" s="347"/>
      <c r="AC36" s="233"/>
      <c r="AD36" s="227"/>
      <c r="AE36" s="227"/>
      <c r="AF36" s="233">
        <v>54516</v>
      </c>
      <c r="AG36" s="347"/>
      <c r="AH36" s="233"/>
      <c r="AI36" s="227"/>
      <c r="AJ36" s="227"/>
      <c r="AK36" s="233">
        <v>330226</v>
      </c>
      <c r="AL36" s="347"/>
      <c r="AM36" s="233"/>
      <c r="AN36" s="227"/>
      <c r="AO36" s="227"/>
      <c r="AP36" s="233">
        <v>167704</v>
      </c>
      <c r="AQ36" s="347"/>
      <c r="AR36" s="233"/>
      <c r="AS36" s="227"/>
      <c r="AT36" s="227"/>
      <c r="AU36" s="233">
        <v>250392</v>
      </c>
      <c r="AV36" s="347"/>
      <c r="AW36" s="233"/>
      <c r="AX36" s="227"/>
      <c r="AY36" s="227"/>
      <c r="AZ36" s="233">
        <v>129701</v>
      </c>
      <c r="BA36" s="347"/>
      <c r="BB36" s="233"/>
      <c r="BC36" s="227"/>
      <c r="BD36" s="227"/>
      <c r="BE36" s="233">
        <v>248565</v>
      </c>
      <c r="BF36" s="347"/>
      <c r="BG36" s="233"/>
      <c r="BH36" s="227"/>
      <c r="BI36" s="227"/>
      <c r="BJ36" s="233">
        <v>326159</v>
      </c>
      <c r="BK36" s="347"/>
      <c r="BL36" s="233"/>
      <c r="BM36" s="227"/>
      <c r="BN36" s="227"/>
      <c r="BO36" s="233">
        <v>489767</v>
      </c>
      <c r="BP36" s="347"/>
      <c r="BQ36" s="233"/>
      <c r="BR36" s="227"/>
      <c r="BS36" s="227"/>
      <c r="BT36" s="233">
        <f>SUM(L36:BO36)</f>
        <v>2424937</v>
      </c>
      <c r="BU36" s="347"/>
      <c r="BV36" s="233"/>
      <c r="BW36" s="233"/>
      <c r="BX36" s="254"/>
      <c r="CA36" s="268"/>
      <c r="CB36" s="268"/>
    </row>
    <row r="37" spans="1:80" ht="12.75" customHeight="1" x14ac:dyDescent="0.2">
      <c r="A37" s="244"/>
      <c r="B37" s="244"/>
      <c r="D37" s="254" t="s">
        <v>313</v>
      </c>
      <c r="E37" s="227"/>
      <c r="F37" s="261"/>
      <c r="G37" s="233">
        <v>0</v>
      </c>
      <c r="H37" s="347"/>
      <c r="I37" s="233"/>
      <c r="J37" s="227"/>
      <c r="K37" s="227"/>
      <c r="L37" s="233">
        <v>0</v>
      </c>
      <c r="M37" s="347"/>
      <c r="N37" s="233"/>
      <c r="O37" s="227"/>
      <c r="P37" s="227"/>
      <c r="Q37" s="233">
        <v>0</v>
      </c>
      <c r="R37" s="347"/>
      <c r="S37" s="233"/>
      <c r="T37" s="227"/>
      <c r="U37" s="227"/>
      <c r="V37" s="233">
        <v>0</v>
      </c>
      <c r="W37" s="347"/>
      <c r="X37" s="233"/>
      <c r="Y37" s="227"/>
      <c r="Z37" s="227"/>
      <c r="AA37" s="233">
        <v>0</v>
      </c>
      <c r="AB37" s="347"/>
      <c r="AC37" s="233"/>
      <c r="AD37" s="227"/>
      <c r="AE37" s="227"/>
      <c r="AF37" s="233">
        <v>0</v>
      </c>
      <c r="AG37" s="347"/>
      <c r="AH37" s="233"/>
      <c r="AI37" s="227"/>
      <c r="AJ37" s="227"/>
      <c r="AK37" s="233">
        <v>0</v>
      </c>
      <c r="AL37" s="347"/>
      <c r="AM37" s="233"/>
      <c r="AN37" s="227"/>
      <c r="AO37" s="227"/>
      <c r="AP37" s="233">
        <v>0</v>
      </c>
      <c r="AQ37" s="347"/>
      <c r="AR37" s="233"/>
      <c r="AS37" s="227"/>
      <c r="AT37" s="227"/>
      <c r="AU37" s="233">
        <v>0</v>
      </c>
      <c r="AV37" s="347"/>
      <c r="AW37" s="233"/>
      <c r="AX37" s="227"/>
      <c r="AY37" s="227"/>
      <c r="AZ37" s="233">
        <v>0</v>
      </c>
      <c r="BA37" s="347"/>
      <c r="BB37" s="233"/>
      <c r="BC37" s="227"/>
      <c r="BD37" s="227"/>
      <c r="BE37" s="233">
        <v>0</v>
      </c>
      <c r="BF37" s="347"/>
      <c r="BG37" s="233"/>
      <c r="BH37" s="227"/>
      <c r="BI37" s="227"/>
      <c r="BJ37" s="233">
        <v>0</v>
      </c>
      <c r="BK37" s="347"/>
      <c r="BL37" s="233"/>
      <c r="BM37" s="227"/>
      <c r="BN37" s="227"/>
      <c r="BO37" s="233">
        <v>0</v>
      </c>
      <c r="BP37" s="347"/>
      <c r="BQ37" s="233"/>
      <c r="BR37" s="227"/>
      <c r="BS37" s="227"/>
      <c r="BT37" s="233">
        <f>SUM(L37:BO37)</f>
        <v>0</v>
      </c>
      <c r="BU37" s="347"/>
      <c r="BV37" s="233"/>
      <c r="BW37" s="233"/>
      <c r="BX37" s="254"/>
      <c r="CA37" s="268"/>
      <c r="CB37" s="268"/>
    </row>
    <row r="38" spans="1:80" ht="12.75" customHeight="1" x14ac:dyDescent="0.2">
      <c r="A38" s="244"/>
      <c r="B38" s="244"/>
      <c r="D38" s="254" t="s">
        <v>314</v>
      </c>
      <c r="E38" s="227"/>
      <c r="F38" s="284"/>
      <c r="G38" s="355">
        <v>0</v>
      </c>
      <c r="H38" s="356"/>
      <c r="I38" s="233"/>
      <c r="J38" s="227"/>
      <c r="K38" s="357"/>
      <c r="L38" s="355">
        <v>101537</v>
      </c>
      <c r="M38" s="356"/>
      <c r="N38" s="233"/>
      <c r="O38" s="227"/>
      <c r="P38" s="357"/>
      <c r="Q38" s="355">
        <v>171087</v>
      </c>
      <c r="R38" s="356"/>
      <c r="S38" s="233"/>
      <c r="T38" s="227"/>
      <c r="U38" s="357"/>
      <c r="V38" s="355">
        <v>267878</v>
      </c>
      <c r="W38" s="356"/>
      <c r="X38" s="233"/>
      <c r="Y38" s="227"/>
      <c r="Z38" s="357"/>
      <c r="AA38" s="355">
        <v>161958</v>
      </c>
      <c r="AB38" s="356"/>
      <c r="AC38" s="233"/>
      <c r="AD38" s="227"/>
      <c r="AE38" s="357"/>
      <c r="AF38" s="355">
        <v>80672</v>
      </c>
      <c r="AG38" s="356"/>
      <c r="AH38" s="233"/>
      <c r="AI38" s="227"/>
      <c r="AJ38" s="357"/>
      <c r="AK38" s="355">
        <v>462471</v>
      </c>
      <c r="AL38" s="356"/>
      <c r="AM38" s="233"/>
      <c r="AN38" s="227"/>
      <c r="AO38" s="357"/>
      <c r="AP38" s="355">
        <v>233577</v>
      </c>
      <c r="AQ38" s="356"/>
      <c r="AR38" s="233"/>
      <c r="AS38" s="227"/>
      <c r="AT38" s="357"/>
      <c r="AU38" s="355">
        <v>294077</v>
      </c>
      <c r="AV38" s="356"/>
      <c r="AW38" s="233"/>
      <c r="AX38" s="227"/>
      <c r="AY38" s="357"/>
      <c r="AZ38" s="355">
        <v>149747</v>
      </c>
      <c r="BA38" s="356"/>
      <c r="BB38" s="233"/>
      <c r="BC38" s="227"/>
      <c r="BD38" s="357"/>
      <c r="BE38" s="355">
        <v>297699</v>
      </c>
      <c r="BF38" s="356"/>
      <c r="BG38" s="233"/>
      <c r="BH38" s="227"/>
      <c r="BI38" s="357"/>
      <c r="BJ38" s="355">
        <v>390586</v>
      </c>
      <c r="BK38" s="356"/>
      <c r="BL38" s="233"/>
      <c r="BM38" s="227"/>
      <c r="BN38" s="357"/>
      <c r="BO38" s="355">
        <v>458926</v>
      </c>
      <c r="BP38" s="356"/>
      <c r="BQ38" s="233"/>
      <c r="BR38" s="227"/>
      <c r="BS38" s="357"/>
      <c r="BT38" s="355">
        <f>SUM(L38:BO38)</f>
        <v>3070215</v>
      </c>
      <c r="BU38" s="356"/>
      <c r="BV38" s="233"/>
      <c r="BW38" s="233"/>
      <c r="BX38" s="254"/>
      <c r="CA38" s="268"/>
      <c r="CB38" s="268"/>
    </row>
    <row r="39" spans="1:80" x14ac:dyDescent="0.2">
      <c r="A39" s="244"/>
      <c r="B39" s="244"/>
      <c r="D39" s="254"/>
      <c r="E39" s="227"/>
      <c r="F39" s="244"/>
      <c r="G39" s="233"/>
      <c r="H39" s="233"/>
      <c r="I39" s="233"/>
      <c r="J39" s="227"/>
      <c r="K39" s="233"/>
      <c r="L39" s="233"/>
      <c r="M39" s="233"/>
      <c r="N39" s="233"/>
      <c r="O39" s="227"/>
      <c r="P39" s="233"/>
      <c r="Q39" s="233"/>
      <c r="R39" s="233"/>
      <c r="S39" s="233"/>
      <c r="T39" s="227"/>
      <c r="U39" s="233"/>
      <c r="V39" s="233"/>
      <c r="W39" s="233"/>
      <c r="X39" s="233"/>
      <c r="Y39" s="227"/>
      <c r="Z39" s="233"/>
      <c r="AA39" s="233"/>
      <c r="AB39" s="233"/>
      <c r="AC39" s="233"/>
      <c r="AD39" s="227"/>
      <c r="AE39" s="233"/>
      <c r="AF39" s="233"/>
      <c r="AG39" s="233"/>
      <c r="AH39" s="233"/>
      <c r="AI39" s="227"/>
      <c r="AJ39" s="233"/>
      <c r="AK39" s="233"/>
      <c r="AL39" s="233"/>
      <c r="AM39" s="233"/>
      <c r="AN39" s="227"/>
      <c r="AO39" s="233"/>
      <c r="AP39" s="233"/>
      <c r="AQ39" s="233"/>
      <c r="AR39" s="233"/>
      <c r="AS39" s="227"/>
      <c r="AT39" s="233"/>
      <c r="AU39" s="233"/>
      <c r="AV39" s="233"/>
      <c r="AW39" s="233"/>
      <c r="AX39" s="227"/>
      <c r="AY39" s="233"/>
      <c r="AZ39" s="233"/>
      <c r="BA39" s="233"/>
      <c r="BB39" s="233"/>
      <c r="BC39" s="227"/>
      <c r="BD39" s="233"/>
      <c r="BE39" s="233"/>
      <c r="BF39" s="233"/>
      <c r="BG39" s="233"/>
      <c r="BH39" s="227"/>
      <c r="BI39" s="233"/>
      <c r="BJ39" s="233"/>
      <c r="BK39" s="233"/>
      <c r="BL39" s="233"/>
      <c r="BM39" s="227"/>
      <c r="BN39" s="233"/>
      <c r="BO39" s="233"/>
      <c r="BP39" s="233"/>
      <c r="BQ39" s="233"/>
      <c r="BR39" s="227"/>
      <c r="BS39" s="233"/>
      <c r="BT39" s="233"/>
      <c r="BU39" s="233"/>
      <c r="BV39" s="233"/>
      <c r="BW39" s="233"/>
      <c r="BX39" s="254"/>
      <c r="CA39" s="268"/>
      <c r="CB39" s="268"/>
    </row>
    <row r="40" spans="1:80" ht="12.75" customHeight="1" x14ac:dyDescent="0.2">
      <c r="A40" s="244"/>
      <c r="B40" s="244"/>
      <c r="D40" s="254" t="s">
        <v>317</v>
      </c>
      <c r="E40" s="227"/>
      <c r="F40" s="244"/>
      <c r="G40" s="233">
        <f>SUM(G41:G44)</f>
        <v>0</v>
      </c>
      <c r="H40" s="233"/>
      <c r="I40" s="233"/>
      <c r="J40" s="227"/>
      <c r="K40" s="233"/>
      <c r="L40" s="233">
        <f>SUM(L41:L44)</f>
        <v>180035</v>
      </c>
      <c r="M40" s="233"/>
      <c r="N40" s="233"/>
      <c r="O40" s="227"/>
      <c r="P40" s="233"/>
      <c r="Q40" s="233">
        <f>SUM(Q41:Q44)</f>
        <v>451598</v>
      </c>
      <c r="R40" s="233"/>
      <c r="S40" s="233"/>
      <c r="T40" s="227"/>
      <c r="U40" s="233"/>
      <c r="V40" s="233">
        <f>SUM(V41:V44)</f>
        <v>242544</v>
      </c>
      <c r="W40" s="233"/>
      <c r="X40" s="233"/>
      <c r="Y40" s="227"/>
      <c r="Z40" s="233"/>
      <c r="AA40" s="233">
        <f>SUM(AA41:AA44)</f>
        <v>934738</v>
      </c>
      <c r="AB40" s="233"/>
      <c r="AC40" s="233"/>
      <c r="AD40" s="227"/>
      <c r="AE40" s="233"/>
      <c r="AF40" s="233">
        <f>SUM(AF41:AF44)</f>
        <v>1364565</v>
      </c>
      <c r="AG40" s="233"/>
      <c r="AH40" s="233"/>
      <c r="AI40" s="227"/>
      <c r="AJ40" s="233"/>
      <c r="AK40" s="233">
        <f>SUM(AK41:AK44)</f>
        <v>369427</v>
      </c>
      <c r="AL40" s="233"/>
      <c r="AM40" s="233"/>
      <c r="AN40" s="227"/>
      <c r="AO40" s="233"/>
      <c r="AP40" s="233">
        <f>SUM(AP41:AP44)</f>
        <v>1168651</v>
      </c>
      <c r="AQ40" s="233"/>
      <c r="AR40" s="233"/>
      <c r="AS40" s="227"/>
      <c r="AT40" s="233"/>
      <c r="AU40" s="233">
        <f>SUM(AU41:AU44)</f>
        <v>248013</v>
      </c>
      <c r="AV40" s="233"/>
      <c r="AW40" s="233"/>
      <c r="AX40" s="227"/>
      <c r="AY40" s="233"/>
      <c r="AZ40" s="233">
        <f>SUM(AZ41:AZ44)</f>
        <v>608756</v>
      </c>
      <c r="BA40" s="233"/>
      <c r="BB40" s="233"/>
      <c r="BC40" s="227"/>
      <c r="BD40" s="233"/>
      <c r="BE40" s="233">
        <f>SUM(BE41:BE44)</f>
        <v>927774</v>
      </c>
      <c r="BF40" s="233"/>
      <c r="BG40" s="233"/>
      <c r="BH40" s="227"/>
      <c r="BI40" s="233"/>
      <c r="BJ40" s="233">
        <f>SUM(BJ41:BJ44)</f>
        <v>1003132</v>
      </c>
      <c r="BK40" s="233"/>
      <c r="BL40" s="233"/>
      <c r="BM40" s="227"/>
      <c r="BN40" s="233"/>
      <c r="BO40" s="233">
        <f>SUM(BO41:BO44)</f>
        <v>517770</v>
      </c>
      <c r="BP40" s="233"/>
      <c r="BQ40" s="233"/>
      <c r="BR40" s="227"/>
      <c r="BS40" s="233"/>
      <c r="BT40" s="233">
        <f>SUM(BT41:BT44)</f>
        <v>8017003</v>
      </c>
      <c r="BU40" s="233"/>
      <c r="BV40" s="233"/>
      <c r="BW40" s="233"/>
      <c r="BX40" s="254"/>
      <c r="CA40" s="268"/>
      <c r="CB40" s="268"/>
    </row>
    <row r="41" spans="1:80" ht="12.75" customHeight="1" x14ac:dyDescent="0.2">
      <c r="A41" s="244"/>
      <c r="B41" s="244"/>
      <c r="D41" s="254" t="s">
        <v>310</v>
      </c>
      <c r="E41" s="227"/>
      <c r="F41" s="269"/>
      <c r="G41" s="343">
        <v>0</v>
      </c>
      <c r="H41" s="344"/>
      <c r="I41" s="233"/>
      <c r="J41" s="227"/>
      <c r="K41" s="345"/>
      <c r="L41" s="343">
        <f>150000-28734</f>
        <v>121266</v>
      </c>
      <c r="M41" s="344"/>
      <c r="N41" s="233"/>
      <c r="O41" s="227"/>
      <c r="P41" s="345"/>
      <c r="Q41" s="343">
        <f>375000-59360</f>
        <v>315640</v>
      </c>
      <c r="R41" s="344"/>
      <c r="S41" s="233"/>
      <c r="T41" s="227"/>
      <c r="U41" s="345"/>
      <c r="V41" s="343">
        <f>200000-37417</f>
        <v>162583</v>
      </c>
      <c r="W41" s="344"/>
      <c r="X41" s="233"/>
      <c r="Y41" s="227"/>
      <c r="Z41" s="345"/>
      <c r="AA41" s="343">
        <f>765000-148926</f>
        <v>616074</v>
      </c>
      <c r="AB41" s="344"/>
      <c r="AC41" s="233"/>
      <c r="AD41" s="227"/>
      <c r="AE41" s="345"/>
      <c r="AF41" s="343">
        <f>1110000-237389</f>
        <v>872611</v>
      </c>
      <c r="AG41" s="344"/>
      <c r="AH41" s="233"/>
      <c r="AI41" s="227"/>
      <c r="AJ41" s="345"/>
      <c r="AK41" s="343">
        <f>300000-65094</f>
        <v>234906</v>
      </c>
      <c r="AL41" s="344"/>
      <c r="AM41" s="233"/>
      <c r="AN41" s="227"/>
      <c r="AO41" s="345"/>
      <c r="AP41" s="343">
        <f>945000-208838</f>
        <v>736162</v>
      </c>
      <c r="AQ41" s="344"/>
      <c r="AR41" s="233"/>
      <c r="AS41" s="227"/>
      <c r="AT41" s="345"/>
      <c r="AU41" s="343">
        <f>200000-46504</f>
        <v>153496</v>
      </c>
      <c r="AV41" s="344"/>
      <c r="AW41" s="233"/>
      <c r="AX41" s="227"/>
      <c r="AY41" s="345"/>
      <c r="AZ41" s="343">
        <f>490000-123771</f>
        <v>366229</v>
      </c>
      <c r="BA41" s="344"/>
      <c r="BB41" s="233"/>
      <c r="BC41" s="227"/>
      <c r="BD41" s="345"/>
      <c r="BE41" s="343">
        <f>745000-186023</f>
        <v>558977</v>
      </c>
      <c r="BF41" s="344"/>
      <c r="BG41" s="233"/>
      <c r="BH41" s="227"/>
      <c r="BI41" s="345"/>
      <c r="BJ41" s="343">
        <f>805000-200319</f>
        <v>604681</v>
      </c>
      <c r="BK41" s="344"/>
      <c r="BL41" s="233"/>
      <c r="BM41" s="227"/>
      <c r="BN41" s="345"/>
      <c r="BO41" s="343">
        <f>415000-110514</f>
        <v>304486</v>
      </c>
      <c r="BP41" s="344"/>
      <c r="BQ41" s="233"/>
      <c r="BR41" s="227"/>
      <c r="BS41" s="345"/>
      <c r="BT41" s="343">
        <f>SUM(L41:BO41)</f>
        <v>5047111</v>
      </c>
      <c r="BU41" s="344"/>
      <c r="BV41" s="233"/>
      <c r="BW41" s="233"/>
      <c r="BX41" s="254"/>
      <c r="CA41" s="268"/>
      <c r="CB41" s="268"/>
    </row>
    <row r="42" spans="1:80" ht="12.75" customHeight="1" x14ac:dyDescent="0.2">
      <c r="A42" s="244"/>
      <c r="B42" s="244"/>
      <c r="D42" s="254" t="s">
        <v>312</v>
      </c>
      <c r="E42" s="227"/>
      <c r="F42" s="261"/>
      <c r="G42" s="233">
        <v>0</v>
      </c>
      <c r="H42" s="347"/>
      <c r="I42" s="233"/>
      <c r="J42" s="227"/>
      <c r="K42" s="227"/>
      <c r="L42" s="233">
        <v>28734</v>
      </c>
      <c r="M42" s="347"/>
      <c r="N42" s="233"/>
      <c r="O42" s="227"/>
      <c r="P42" s="227"/>
      <c r="Q42" s="233">
        <v>59360</v>
      </c>
      <c r="R42" s="347"/>
      <c r="S42" s="233"/>
      <c r="T42" s="227"/>
      <c r="U42" s="227"/>
      <c r="V42" s="233">
        <v>37417</v>
      </c>
      <c r="W42" s="347"/>
      <c r="X42" s="233"/>
      <c r="Y42" s="227"/>
      <c r="Z42" s="227"/>
      <c r="AA42" s="233">
        <v>148926</v>
      </c>
      <c r="AB42" s="347"/>
      <c r="AC42" s="233"/>
      <c r="AD42" s="227"/>
      <c r="AE42" s="227"/>
      <c r="AF42" s="233">
        <v>237389</v>
      </c>
      <c r="AG42" s="347"/>
      <c r="AH42" s="233"/>
      <c r="AI42" s="227"/>
      <c r="AJ42" s="227"/>
      <c r="AK42" s="233">
        <v>65094</v>
      </c>
      <c r="AL42" s="347"/>
      <c r="AM42" s="233"/>
      <c r="AN42" s="227"/>
      <c r="AO42" s="227"/>
      <c r="AP42" s="233">
        <v>208838</v>
      </c>
      <c r="AQ42" s="347"/>
      <c r="AR42" s="233"/>
      <c r="AS42" s="227"/>
      <c r="AT42" s="227"/>
      <c r="AU42" s="233">
        <v>46504</v>
      </c>
      <c r="AV42" s="347"/>
      <c r="AW42" s="233"/>
      <c r="AX42" s="227"/>
      <c r="AY42" s="227"/>
      <c r="AZ42" s="233">
        <v>123771</v>
      </c>
      <c r="BA42" s="347"/>
      <c r="BB42" s="233"/>
      <c r="BC42" s="227"/>
      <c r="BD42" s="227"/>
      <c r="BE42" s="233">
        <v>186023</v>
      </c>
      <c r="BF42" s="347"/>
      <c r="BG42" s="233"/>
      <c r="BH42" s="227"/>
      <c r="BI42" s="227"/>
      <c r="BJ42" s="233">
        <v>200319</v>
      </c>
      <c r="BK42" s="347"/>
      <c r="BL42" s="233"/>
      <c r="BM42" s="227"/>
      <c r="BN42" s="227"/>
      <c r="BO42" s="233">
        <v>110514</v>
      </c>
      <c r="BP42" s="347"/>
      <c r="BQ42" s="233"/>
      <c r="BR42" s="227"/>
      <c r="BS42" s="227"/>
      <c r="BT42" s="233">
        <f>SUM(L42:BO42)</f>
        <v>1452889</v>
      </c>
      <c r="BU42" s="347"/>
      <c r="BV42" s="233"/>
      <c r="BW42" s="233"/>
      <c r="BX42" s="254"/>
      <c r="CA42" s="268"/>
      <c r="CB42" s="268"/>
    </row>
    <row r="43" spans="1:80" ht="12.75" customHeight="1" x14ac:dyDescent="0.2">
      <c r="A43" s="244"/>
      <c r="B43" s="244"/>
      <c r="D43" s="254" t="s">
        <v>313</v>
      </c>
      <c r="E43" s="227"/>
      <c r="F43" s="261"/>
      <c r="G43" s="233">
        <v>0</v>
      </c>
      <c r="H43" s="347"/>
      <c r="I43" s="233"/>
      <c r="J43" s="227"/>
      <c r="K43" s="227"/>
      <c r="L43" s="233">
        <v>0</v>
      </c>
      <c r="M43" s="347"/>
      <c r="N43" s="233"/>
      <c r="O43" s="227"/>
      <c r="P43" s="227"/>
      <c r="Q43" s="233">
        <v>0</v>
      </c>
      <c r="R43" s="347"/>
      <c r="S43" s="233"/>
      <c r="T43" s="227"/>
      <c r="U43" s="227"/>
      <c r="V43" s="233">
        <v>0</v>
      </c>
      <c r="W43" s="347"/>
      <c r="X43" s="233"/>
      <c r="Y43" s="227"/>
      <c r="Z43" s="227"/>
      <c r="AA43" s="233">
        <v>0</v>
      </c>
      <c r="AB43" s="347"/>
      <c r="AC43" s="233"/>
      <c r="AD43" s="227"/>
      <c r="AE43" s="227"/>
      <c r="AF43" s="233">
        <v>0</v>
      </c>
      <c r="AG43" s="347"/>
      <c r="AH43" s="233"/>
      <c r="AI43" s="227"/>
      <c r="AJ43" s="227"/>
      <c r="AK43" s="233">
        <v>0</v>
      </c>
      <c r="AL43" s="347"/>
      <c r="AM43" s="233"/>
      <c r="AN43" s="227"/>
      <c r="AO43" s="227"/>
      <c r="AP43" s="233">
        <v>0</v>
      </c>
      <c r="AQ43" s="347"/>
      <c r="AR43" s="233"/>
      <c r="AS43" s="227"/>
      <c r="AT43" s="227"/>
      <c r="AU43" s="233">
        <v>0</v>
      </c>
      <c r="AV43" s="347"/>
      <c r="AW43" s="233"/>
      <c r="AX43" s="227"/>
      <c r="AY43" s="227"/>
      <c r="AZ43" s="233">
        <v>0</v>
      </c>
      <c r="BA43" s="347"/>
      <c r="BB43" s="233"/>
      <c r="BC43" s="227"/>
      <c r="BD43" s="227"/>
      <c r="BE43" s="233">
        <v>0</v>
      </c>
      <c r="BF43" s="347"/>
      <c r="BG43" s="233"/>
      <c r="BH43" s="227"/>
      <c r="BI43" s="227"/>
      <c r="BJ43" s="233">
        <v>0</v>
      </c>
      <c r="BK43" s="347"/>
      <c r="BL43" s="233"/>
      <c r="BM43" s="227"/>
      <c r="BN43" s="227"/>
      <c r="BO43" s="233">
        <v>0</v>
      </c>
      <c r="BP43" s="347"/>
      <c r="BQ43" s="233"/>
      <c r="BR43" s="227"/>
      <c r="BS43" s="227"/>
      <c r="BT43" s="233">
        <f>SUM(L43:BO43)</f>
        <v>0</v>
      </c>
      <c r="BU43" s="347"/>
      <c r="BV43" s="233"/>
      <c r="BW43" s="233"/>
      <c r="BX43" s="254"/>
      <c r="CA43" s="268"/>
      <c r="CB43" s="268"/>
    </row>
    <row r="44" spans="1:80" ht="12.75" customHeight="1" x14ac:dyDescent="0.2">
      <c r="A44" s="244"/>
      <c r="B44" s="244"/>
      <c r="D44" s="254" t="s">
        <v>314</v>
      </c>
      <c r="E44" s="227"/>
      <c r="F44" s="284"/>
      <c r="G44" s="355">
        <v>0</v>
      </c>
      <c r="H44" s="356"/>
      <c r="I44" s="233"/>
      <c r="J44" s="227"/>
      <c r="K44" s="357"/>
      <c r="L44" s="355">
        <v>30035</v>
      </c>
      <c r="M44" s="356"/>
      <c r="N44" s="233"/>
      <c r="O44" s="227"/>
      <c r="P44" s="357"/>
      <c r="Q44" s="355">
        <v>76598</v>
      </c>
      <c r="R44" s="356"/>
      <c r="S44" s="233"/>
      <c r="T44" s="227"/>
      <c r="U44" s="357"/>
      <c r="V44" s="355">
        <v>42544</v>
      </c>
      <c r="W44" s="356"/>
      <c r="X44" s="233"/>
      <c r="Y44" s="227"/>
      <c r="Z44" s="357"/>
      <c r="AA44" s="355">
        <v>169738</v>
      </c>
      <c r="AB44" s="356"/>
      <c r="AC44" s="233"/>
      <c r="AD44" s="227"/>
      <c r="AE44" s="357"/>
      <c r="AF44" s="355">
        <v>254565</v>
      </c>
      <c r="AG44" s="356"/>
      <c r="AH44" s="233"/>
      <c r="AI44" s="227"/>
      <c r="AJ44" s="357"/>
      <c r="AK44" s="355">
        <v>69427</v>
      </c>
      <c r="AL44" s="356"/>
      <c r="AM44" s="233"/>
      <c r="AN44" s="227"/>
      <c r="AO44" s="357"/>
      <c r="AP44" s="355">
        <v>223651</v>
      </c>
      <c r="AQ44" s="356"/>
      <c r="AR44" s="233"/>
      <c r="AS44" s="227"/>
      <c r="AT44" s="357"/>
      <c r="AU44" s="355">
        <v>48013</v>
      </c>
      <c r="AV44" s="356"/>
      <c r="AW44" s="233"/>
      <c r="AX44" s="227"/>
      <c r="AY44" s="357"/>
      <c r="AZ44" s="355">
        <v>118756</v>
      </c>
      <c r="BA44" s="356"/>
      <c r="BB44" s="233"/>
      <c r="BC44" s="227"/>
      <c r="BD44" s="357"/>
      <c r="BE44" s="355">
        <v>182774</v>
      </c>
      <c r="BF44" s="356"/>
      <c r="BG44" s="233"/>
      <c r="BH44" s="227"/>
      <c r="BI44" s="357"/>
      <c r="BJ44" s="355">
        <v>198132</v>
      </c>
      <c r="BK44" s="356"/>
      <c r="BL44" s="233"/>
      <c r="BM44" s="227"/>
      <c r="BN44" s="357"/>
      <c r="BO44" s="355">
        <v>102770</v>
      </c>
      <c r="BP44" s="356"/>
      <c r="BQ44" s="233"/>
      <c r="BR44" s="227"/>
      <c r="BS44" s="357"/>
      <c r="BT44" s="355">
        <f>SUM(L44:BO44)</f>
        <v>1517003</v>
      </c>
      <c r="BU44" s="356"/>
      <c r="BV44" s="233"/>
      <c r="BW44" s="233"/>
      <c r="BX44" s="254"/>
      <c r="CA44" s="268"/>
      <c r="CB44" s="268"/>
    </row>
    <row r="45" spans="1:80" ht="12.75" customHeight="1" x14ac:dyDescent="0.2">
      <c r="A45" s="244"/>
      <c r="B45" s="244"/>
      <c r="D45" s="254"/>
      <c r="E45" s="227"/>
      <c r="F45" s="244"/>
      <c r="G45" s="233"/>
      <c r="H45" s="233"/>
      <c r="I45" s="233"/>
      <c r="J45" s="227"/>
      <c r="K45" s="233"/>
      <c r="L45" s="233"/>
      <c r="M45" s="233"/>
      <c r="N45" s="233"/>
      <c r="O45" s="227"/>
      <c r="P45" s="233"/>
      <c r="Q45" s="233"/>
      <c r="R45" s="233"/>
      <c r="S45" s="233"/>
      <c r="T45" s="227"/>
      <c r="U45" s="233"/>
      <c r="V45" s="233"/>
      <c r="W45" s="233"/>
      <c r="X45" s="233"/>
      <c r="Y45" s="227"/>
      <c r="Z45" s="233"/>
      <c r="AA45" s="233"/>
      <c r="AB45" s="233"/>
      <c r="AC45" s="233"/>
      <c r="AD45" s="227"/>
      <c r="AE45" s="233"/>
      <c r="AF45" s="233"/>
      <c r="AG45" s="233"/>
      <c r="AH45" s="233"/>
      <c r="AI45" s="227"/>
      <c r="AJ45" s="233"/>
      <c r="AK45" s="233"/>
      <c r="AL45" s="233"/>
      <c r="AM45" s="233"/>
      <c r="AN45" s="227"/>
      <c r="AO45" s="233"/>
      <c r="AP45" s="233"/>
      <c r="AQ45" s="233"/>
      <c r="AR45" s="233"/>
      <c r="AS45" s="227"/>
      <c r="AT45" s="233"/>
      <c r="AU45" s="233"/>
      <c r="AV45" s="233"/>
      <c r="AW45" s="233"/>
      <c r="AX45" s="227"/>
      <c r="AY45" s="233"/>
      <c r="AZ45" s="233"/>
      <c r="BA45" s="233"/>
      <c r="BB45" s="233"/>
      <c r="BC45" s="227"/>
      <c r="BD45" s="233"/>
      <c r="BE45" s="233"/>
      <c r="BF45" s="233"/>
      <c r="BG45" s="233"/>
      <c r="BH45" s="227"/>
      <c r="BI45" s="233"/>
      <c r="BJ45" s="233"/>
      <c r="BK45" s="233"/>
      <c r="BL45" s="233"/>
      <c r="BM45" s="227"/>
      <c r="BN45" s="233"/>
      <c r="BO45" s="233"/>
      <c r="BP45" s="233"/>
      <c r="BQ45" s="233"/>
      <c r="BR45" s="227"/>
      <c r="BS45" s="233"/>
      <c r="BT45" s="233"/>
      <c r="BU45" s="233"/>
      <c r="BV45" s="233"/>
      <c r="BW45" s="233"/>
      <c r="BX45" s="254"/>
      <c r="CA45" s="268"/>
      <c r="CB45" s="268"/>
    </row>
    <row r="46" spans="1:80" ht="12.75" customHeight="1" x14ac:dyDescent="0.2">
      <c r="A46" s="244"/>
      <c r="B46" s="244"/>
      <c r="D46" s="254" t="s">
        <v>318</v>
      </c>
      <c r="E46" s="227"/>
      <c r="F46" s="244"/>
      <c r="G46" s="233">
        <f>SUM(G47:G50)</f>
        <v>0</v>
      </c>
      <c r="H46" s="233"/>
      <c r="I46" s="233"/>
      <c r="J46" s="227"/>
      <c r="K46" s="233"/>
      <c r="L46" s="233">
        <f>SUM(L47:L50)</f>
        <v>590959</v>
      </c>
      <c r="M46" s="233"/>
      <c r="N46" s="233"/>
      <c r="O46" s="227"/>
      <c r="P46" s="233"/>
      <c r="Q46" s="233">
        <f>SUM(Q47:Q50)</f>
        <v>2259424</v>
      </c>
      <c r="R46" s="233"/>
      <c r="S46" s="233"/>
      <c r="T46" s="227"/>
      <c r="U46" s="233"/>
      <c r="V46" s="233">
        <f>SUM(V47:V50)</f>
        <v>903148</v>
      </c>
      <c r="W46" s="233"/>
      <c r="X46" s="233"/>
      <c r="Y46" s="227"/>
      <c r="Z46" s="233"/>
      <c r="AA46" s="233">
        <f>SUM(AA47:AA50)</f>
        <v>1699018</v>
      </c>
      <c r="AB46" s="233"/>
      <c r="AC46" s="233"/>
      <c r="AD46" s="227"/>
      <c r="AE46" s="233"/>
      <c r="AF46" s="233">
        <f>SUM(AF47:AF50)</f>
        <v>316434</v>
      </c>
      <c r="AG46" s="233"/>
      <c r="AH46" s="233"/>
      <c r="AI46" s="227"/>
      <c r="AJ46" s="233"/>
      <c r="AK46" s="233">
        <f>SUM(AK47:AK50)</f>
        <v>454219</v>
      </c>
      <c r="AL46" s="233"/>
      <c r="AM46" s="233"/>
      <c r="AN46" s="227"/>
      <c r="AO46" s="233"/>
      <c r="AP46" s="233">
        <f>SUM(AP47:AP50)</f>
        <v>1592963</v>
      </c>
      <c r="AQ46" s="233"/>
      <c r="AR46" s="233"/>
      <c r="AS46" s="227"/>
      <c r="AT46" s="233"/>
      <c r="AU46" s="233">
        <f>SUM(AU47:AU50)</f>
        <v>1736282</v>
      </c>
      <c r="AV46" s="233"/>
      <c r="AW46" s="233"/>
      <c r="AX46" s="227"/>
      <c r="AY46" s="233"/>
      <c r="AZ46" s="233">
        <f>SUM(AZ47:AZ50)</f>
        <v>1027139</v>
      </c>
      <c r="BA46" s="233"/>
      <c r="BB46" s="233"/>
      <c r="BC46" s="227"/>
      <c r="BD46" s="233"/>
      <c r="BE46" s="233">
        <f>SUM(BE47:BE50)</f>
        <v>591085</v>
      </c>
      <c r="BF46" s="233"/>
      <c r="BG46" s="233"/>
      <c r="BH46" s="227"/>
      <c r="BI46" s="233"/>
      <c r="BJ46" s="233">
        <f>SUM(BJ47:BJ50)</f>
        <v>350464</v>
      </c>
      <c r="BK46" s="233"/>
      <c r="BL46" s="233"/>
      <c r="BM46" s="227"/>
      <c r="BN46" s="233"/>
      <c r="BO46" s="233">
        <f>SUM(BO47:BO50)</f>
        <v>1206678</v>
      </c>
      <c r="BP46" s="233"/>
      <c r="BQ46" s="233"/>
      <c r="BR46" s="227"/>
      <c r="BS46" s="233"/>
      <c r="BT46" s="233">
        <f>SUM(BT47:BT50)</f>
        <v>12727813</v>
      </c>
      <c r="BU46" s="233"/>
      <c r="BV46" s="233"/>
      <c r="BW46" s="233"/>
      <c r="BX46" s="254"/>
      <c r="CA46" s="268"/>
      <c r="CB46" s="268"/>
    </row>
    <row r="47" spans="1:80" ht="12.75" customHeight="1" x14ac:dyDescent="0.2">
      <c r="A47" s="244"/>
      <c r="B47" s="244"/>
      <c r="D47" s="254" t="s">
        <v>310</v>
      </c>
      <c r="E47" s="227"/>
      <c r="F47" s="269"/>
      <c r="G47" s="343">
        <v>0</v>
      </c>
      <c r="H47" s="344"/>
      <c r="I47" s="233"/>
      <c r="J47" s="227"/>
      <c r="K47" s="345"/>
      <c r="L47" s="343">
        <f>420000-105371</f>
        <v>314629</v>
      </c>
      <c r="M47" s="344"/>
      <c r="N47" s="233"/>
      <c r="O47" s="227"/>
      <c r="P47" s="345"/>
      <c r="Q47" s="343">
        <f>1600000-346544</f>
        <v>1253456</v>
      </c>
      <c r="R47" s="344"/>
      <c r="S47" s="233"/>
      <c r="T47" s="227"/>
      <c r="U47" s="345"/>
      <c r="V47" s="343">
        <f>635000-161746</f>
        <v>473254</v>
      </c>
      <c r="W47" s="344"/>
      <c r="X47" s="233"/>
      <c r="Y47" s="227"/>
      <c r="Z47" s="345"/>
      <c r="AA47" s="343">
        <f>1185000-302090</f>
        <v>882910</v>
      </c>
      <c r="AB47" s="344"/>
      <c r="AC47" s="233"/>
      <c r="AD47" s="227"/>
      <c r="AE47" s="345"/>
      <c r="AF47" s="343">
        <f>220000-60528</f>
        <v>159472</v>
      </c>
      <c r="AG47" s="344"/>
      <c r="AH47" s="233"/>
      <c r="AI47" s="227"/>
      <c r="AJ47" s="345"/>
      <c r="AK47" s="343">
        <f>315000-92691</f>
        <v>222309</v>
      </c>
      <c r="AL47" s="344"/>
      <c r="AM47" s="233"/>
      <c r="AN47" s="227"/>
      <c r="AO47" s="345"/>
      <c r="AP47" s="343">
        <f>1100000-334504</f>
        <v>765496</v>
      </c>
      <c r="AQ47" s="344"/>
      <c r="AR47" s="233"/>
      <c r="AS47" s="227"/>
      <c r="AT47" s="345"/>
      <c r="AU47" s="343">
        <f>1195000-407902</f>
        <v>787098</v>
      </c>
      <c r="AV47" s="344"/>
      <c r="AW47" s="233"/>
      <c r="AX47" s="227"/>
      <c r="AY47" s="345"/>
      <c r="AZ47" s="343">
        <f>705000-264352</f>
        <v>440648</v>
      </c>
      <c r="BA47" s="344"/>
      <c r="BB47" s="233"/>
      <c r="BC47" s="227"/>
      <c r="BD47" s="345"/>
      <c r="BE47" s="343">
        <f>405000-150522</f>
        <v>254478</v>
      </c>
      <c r="BF47" s="344"/>
      <c r="BG47" s="233"/>
      <c r="BH47" s="227"/>
      <c r="BI47" s="345"/>
      <c r="BJ47" s="343">
        <f>240000-88649</f>
        <v>151351</v>
      </c>
      <c r="BK47" s="344"/>
      <c r="BL47" s="233"/>
      <c r="BM47" s="227"/>
      <c r="BN47" s="345"/>
      <c r="BO47" s="343">
        <f>825000-383045</f>
        <v>441955</v>
      </c>
      <c r="BP47" s="344"/>
      <c r="BQ47" s="233"/>
      <c r="BR47" s="227"/>
      <c r="BS47" s="345"/>
      <c r="BT47" s="343">
        <f>SUM(L47:BO47)</f>
        <v>6147056</v>
      </c>
      <c r="BU47" s="344"/>
      <c r="BV47" s="233"/>
      <c r="BW47" s="233"/>
      <c r="BX47" s="254"/>
      <c r="CA47" s="268"/>
      <c r="CB47" s="268"/>
    </row>
    <row r="48" spans="1:80" ht="12.75" customHeight="1" x14ac:dyDescent="0.2">
      <c r="A48" s="244"/>
      <c r="B48" s="244"/>
      <c r="D48" s="254" t="s">
        <v>312</v>
      </c>
      <c r="E48" s="227"/>
      <c r="F48" s="261"/>
      <c r="G48" s="233">
        <v>0</v>
      </c>
      <c r="H48" s="347"/>
      <c r="I48" s="233"/>
      <c r="J48" s="227"/>
      <c r="K48" s="227"/>
      <c r="L48" s="233">
        <v>105371</v>
      </c>
      <c r="M48" s="347"/>
      <c r="N48" s="233"/>
      <c r="O48" s="227"/>
      <c r="P48" s="227"/>
      <c r="Q48" s="233">
        <v>346544</v>
      </c>
      <c r="R48" s="347"/>
      <c r="S48" s="233"/>
      <c r="T48" s="227"/>
      <c r="U48" s="227"/>
      <c r="V48" s="233">
        <v>161746</v>
      </c>
      <c r="W48" s="347"/>
      <c r="X48" s="233"/>
      <c r="Y48" s="227"/>
      <c r="Z48" s="227"/>
      <c r="AA48" s="233">
        <v>302090</v>
      </c>
      <c r="AB48" s="347"/>
      <c r="AC48" s="233"/>
      <c r="AD48" s="227"/>
      <c r="AE48" s="227"/>
      <c r="AF48" s="233">
        <v>60528</v>
      </c>
      <c r="AG48" s="347"/>
      <c r="AH48" s="233"/>
      <c r="AI48" s="227"/>
      <c r="AJ48" s="227"/>
      <c r="AK48" s="233">
        <v>92691</v>
      </c>
      <c r="AL48" s="347"/>
      <c r="AM48" s="233"/>
      <c r="AN48" s="227"/>
      <c r="AO48" s="227"/>
      <c r="AP48" s="233">
        <v>334504</v>
      </c>
      <c r="AQ48" s="347"/>
      <c r="AR48" s="233"/>
      <c r="AS48" s="227"/>
      <c r="AT48" s="227"/>
      <c r="AU48" s="233">
        <v>407902</v>
      </c>
      <c r="AV48" s="347"/>
      <c r="AW48" s="233"/>
      <c r="AX48" s="227"/>
      <c r="AY48" s="227"/>
      <c r="AZ48" s="233">
        <v>264352</v>
      </c>
      <c r="BA48" s="347"/>
      <c r="BB48" s="233"/>
      <c r="BC48" s="227"/>
      <c r="BD48" s="227"/>
      <c r="BE48" s="233">
        <v>150522</v>
      </c>
      <c r="BF48" s="347"/>
      <c r="BG48" s="233"/>
      <c r="BH48" s="227"/>
      <c r="BI48" s="227"/>
      <c r="BJ48" s="233">
        <v>88649</v>
      </c>
      <c r="BK48" s="347"/>
      <c r="BL48" s="233"/>
      <c r="BM48" s="227"/>
      <c r="BN48" s="227"/>
      <c r="BO48" s="233">
        <v>383045</v>
      </c>
      <c r="BP48" s="347"/>
      <c r="BQ48" s="233"/>
      <c r="BR48" s="227"/>
      <c r="BS48" s="227"/>
      <c r="BT48" s="233">
        <f>SUM(L48:BO48)</f>
        <v>2697944</v>
      </c>
      <c r="BU48" s="347"/>
      <c r="BV48" s="233"/>
      <c r="BW48" s="233"/>
      <c r="BX48" s="254"/>
      <c r="CA48" s="268"/>
      <c r="CB48" s="268"/>
    </row>
    <row r="49" spans="1:80" ht="12.75" customHeight="1" x14ac:dyDescent="0.2">
      <c r="A49" s="244"/>
      <c r="B49" s="244"/>
      <c r="D49" s="254" t="s">
        <v>313</v>
      </c>
      <c r="E49" s="227"/>
      <c r="F49" s="261"/>
      <c r="G49" s="233">
        <v>0</v>
      </c>
      <c r="H49" s="347"/>
      <c r="I49" s="233"/>
      <c r="J49" s="227"/>
      <c r="K49" s="227"/>
      <c r="L49" s="233">
        <v>0</v>
      </c>
      <c r="M49" s="347"/>
      <c r="N49" s="233"/>
      <c r="O49" s="227"/>
      <c r="P49" s="227"/>
      <c r="Q49" s="233">
        <v>0</v>
      </c>
      <c r="R49" s="347"/>
      <c r="S49" s="233"/>
      <c r="T49" s="227"/>
      <c r="U49" s="227"/>
      <c r="V49" s="233">
        <v>0</v>
      </c>
      <c r="W49" s="347"/>
      <c r="X49" s="233"/>
      <c r="Y49" s="227"/>
      <c r="Z49" s="227"/>
      <c r="AA49" s="233">
        <v>0</v>
      </c>
      <c r="AB49" s="347"/>
      <c r="AC49" s="233"/>
      <c r="AD49" s="227"/>
      <c r="AE49" s="227"/>
      <c r="AF49" s="233">
        <v>0</v>
      </c>
      <c r="AG49" s="347"/>
      <c r="AH49" s="233"/>
      <c r="AI49" s="227"/>
      <c r="AJ49" s="227"/>
      <c r="AK49" s="233">
        <v>0</v>
      </c>
      <c r="AL49" s="347"/>
      <c r="AM49" s="233"/>
      <c r="AN49" s="227"/>
      <c r="AO49" s="227"/>
      <c r="AP49" s="233">
        <v>0</v>
      </c>
      <c r="AQ49" s="347"/>
      <c r="AR49" s="233"/>
      <c r="AS49" s="227"/>
      <c r="AT49" s="227"/>
      <c r="AU49" s="233">
        <v>0</v>
      </c>
      <c r="AV49" s="347"/>
      <c r="AW49" s="233"/>
      <c r="AX49" s="227"/>
      <c r="AY49" s="227"/>
      <c r="AZ49" s="233">
        <v>0</v>
      </c>
      <c r="BA49" s="347"/>
      <c r="BB49" s="233"/>
      <c r="BC49" s="227"/>
      <c r="BD49" s="227"/>
      <c r="BE49" s="233">
        <v>0</v>
      </c>
      <c r="BF49" s="347"/>
      <c r="BG49" s="233"/>
      <c r="BH49" s="227"/>
      <c r="BI49" s="227"/>
      <c r="BJ49" s="233">
        <v>0</v>
      </c>
      <c r="BK49" s="347"/>
      <c r="BL49" s="233"/>
      <c r="BM49" s="227"/>
      <c r="BN49" s="227"/>
      <c r="BO49" s="233">
        <v>0</v>
      </c>
      <c r="BP49" s="347"/>
      <c r="BQ49" s="233"/>
      <c r="BR49" s="227"/>
      <c r="BS49" s="227"/>
      <c r="BT49" s="233">
        <f>SUM(L49:BO49)</f>
        <v>0</v>
      </c>
      <c r="BU49" s="347"/>
      <c r="BV49" s="233"/>
      <c r="BW49" s="233"/>
      <c r="BX49" s="254"/>
      <c r="CA49" s="268"/>
      <c r="CB49" s="268"/>
    </row>
    <row r="50" spans="1:80" ht="12.75" customHeight="1" x14ac:dyDescent="0.2">
      <c r="A50" s="244"/>
      <c r="B50" s="244"/>
      <c r="D50" s="254" t="s">
        <v>314</v>
      </c>
      <c r="E50" s="227"/>
      <c r="F50" s="284"/>
      <c r="G50" s="355">
        <v>0</v>
      </c>
      <c r="H50" s="356"/>
      <c r="I50" s="233"/>
      <c r="J50" s="227"/>
      <c r="K50" s="357"/>
      <c r="L50" s="355">
        <v>170959</v>
      </c>
      <c r="M50" s="356"/>
      <c r="N50" s="233"/>
      <c r="O50" s="227"/>
      <c r="P50" s="357"/>
      <c r="Q50" s="355">
        <v>659424</v>
      </c>
      <c r="R50" s="356"/>
      <c r="S50" s="233"/>
      <c r="T50" s="227"/>
      <c r="U50" s="357"/>
      <c r="V50" s="355">
        <v>268148</v>
      </c>
      <c r="W50" s="356"/>
      <c r="X50" s="233"/>
      <c r="Y50" s="227"/>
      <c r="Z50" s="357"/>
      <c r="AA50" s="355">
        <v>514018</v>
      </c>
      <c r="AB50" s="356"/>
      <c r="AC50" s="233"/>
      <c r="AD50" s="227"/>
      <c r="AE50" s="357"/>
      <c r="AF50" s="355">
        <v>96434</v>
      </c>
      <c r="AG50" s="356"/>
      <c r="AH50" s="233"/>
      <c r="AI50" s="227"/>
      <c r="AJ50" s="357"/>
      <c r="AK50" s="355">
        <v>139219</v>
      </c>
      <c r="AL50" s="356"/>
      <c r="AM50" s="233"/>
      <c r="AN50" s="227"/>
      <c r="AO50" s="357"/>
      <c r="AP50" s="355">
        <v>492963</v>
      </c>
      <c r="AQ50" s="356"/>
      <c r="AR50" s="233"/>
      <c r="AS50" s="227"/>
      <c r="AT50" s="357"/>
      <c r="AU50" s="355">
        <v>541282</v>
      </c>
      <c r="AV50" s="356"/>
      <c r="AW50" s="233"/>
      <c r="AX50" s="227"/>
      <c r="AY50" s="357"/>
      <c r="AZ50" s="355">
        <v>322139</v>
      </c>
      <c r="BA50" s="356"/>
      <c r="BB50" s="233"/>
      <c r="BC50" s="227"/>
      <c r="BD50" s="357"/>
      <c r="BE50" s="355">
        <v>186085</v>
      </c>
      <c r="BF50" s="356"/>
      <c r="BG50" s="233"/>
      <c r="BH50" s="227"/>
      <c r="BI50" s="357"/>
      <c r="BJ50" s="355">
        <v>110464</v>
      </c>
      <c r="BK50" s="356"/>
      <c r="BL50" s="233"/>
      <c r="BM50" s="227"/>
      <c r="BN50" s="357"/>
      <c r="BO50" s="355">
        <v>381678</v>
      </c>
      <c r="BP50" s="356"/>
      <c r="BQ50" s="233"/>
      <c r="BR50" s="227"/>
      <c r="BS50" s="357"/>
      <c r="BT50" s="355">
        <f>SUM(L50:BO50)</f>
        <v>3882813</v>
      </c>
      <c r="BU50" s="356"/>
      <c r="BV50" s="233"/>
      <c r="BW50" s="233"/>
      <c r="BX50" s="254"/>
      <c r="CA50" s="268"/>
      <c r="CB50" s="268"/>
    </row>
    <row r="51" spans="1:80" x14ac:dyDescent="0.2">
      <c r="A51" s="244"/>
      <c r="B51" s="244"/>
      <c r="D51" s="254"/>
      <c r="E51" s="227"/>
      <c r="F51" s="244"/>
      <c r="G51" s="233"/>
      <c r="H51" s="233"/>
      <c r="I51" s="233"/>
      <c r="J51" s="227"/>
      <c r="K51" s="233"/>
      <c r="L51" s="233"/>
      <c r="M51" s="233"/>
      <c r="N51" s="233"/>
      <c r="O51" s="227"/>
      <c r="P51" s="233"/>
      <c r="Q51" s="233"/>
      <c r="R51" s="233"/>
      <c r="S51" s="233"/>
      <c r="T51" s="227"/>
      <c r="U51" s="233"/>
      <c r="V51" s="233"/>
      <c r="W51" s="233"/>
      <c r="X51" s="233"/>
      <c r="Y51" s="227"/>
      <c r="Z51" s="233"/>
      <c r="AA51" s="233"/>
      <c r="AB51" s="233"/>
      <c r="AC51" s="233"/>
      <c r="AD51" s="227"/>
      <c r="AE51" s="233"/>
      <c r="AF51" s="233"/>
      <c r="AG51" s="233"/>
      <c r="AH51" s="233"/>
      <c r="AI51" s="227"/>
      <c r="AJ51" s="233"/>
      <c r="AK51" s="233"/>
      <c r="AL51" s="233"/>
      <c r="AM51" s="233"/>
      <c r="AN51" s="227"/>
      <c r="AO51" s="233"/>
      <c r="AP51" s="233"/>
      <c r="AQ51" s="233"/>
      <c r="AR51" s="233"/>
      <c r="AS51" s="227"/>
      <c r="AT51" s="233"/>
      <c r="AU51" s="233"/>
      <c r="AV51" s="233"/>
      <c r="AW51" s="233"/>
      <c r="AX51" s="227"/>
      <c r="AY51" s="233"/>
      <c r="AZ51" s="233"/>
      <c r="BA51" s="233"/>
      <c r="BB51" s="233"/>
      <c r="BC51" s="227"/>
      <c r="BD51" s="233"/>
      <c r="BE51" s="233"/>
      <c r="BF51" s="233"/>
      <c r="BG51" s="233"/>
      <c r="BH51" s="227"/>
      <c r="BI51" s="233"/>
      <c r="BJ51" s="233"/>
      <c r="BK51" s="233"/>
      <c r="BL51" s="233"/>
      <c r="BM51" s="227"/>
      <c r="BN51" s="233"/>
      <c r="BO51" s="233"/>
      <c r="BP51" s="233"/>
      <c r="BQ51" s="233"/>
      <c r="BR51" s="227"/>
      <c r="BS51" s="233"/>
      <c r="BT51" s="233"/>
      <c r="BU51" s="233"/>
      <c r="BV51" s="233"/>
      <c r="BW51" s="233"/>
      <c r="BX51" s="254"/>
      <c r="CA51" s="268"/>
      <c r="CB51" s="268"/>
    </row>
    <row r="52" spans="1:80" ht="12.75" customHeight="1" x14ac:dyDescent="0.2">
      <c r="A52" s="244"/>
      <c r="B52" s="244"/>
      <c r="D52" s="254" t="s">
        <v>319</v>
      </c>
      <c r="E52" s="227"/>
      <c r="F52" s="244"/>
      <c r="G52" s="233">
        <f>SUM(G53:G55)</f>
        <v>0</v>
      </c>
      <c r="H52" s="233"/>
      <c r="I52" s="233"/>
      <c r="J52" s="227"/>
      <c r="K52" s="233"/>
      <c r="L52" s="233">
        <f>SUM(L53:L55)</f>
        <v>3301000</v>
      </c>
      <c r="M52" s="233"/>
      <c r="N52" s="233"/>
      <c r="O52" s="227"/>
      <c r="P52" s="233"/>
      <c r="Q52" s="233">
        <f>SUM(Q53:Q55)</f>
        <v>2750055</v>
      </c>
      <c r="R52" s="233"/>
      <c r="S52" s="233"/>
      <c r="T52" s="227"/>
      <c r="U52" s="233"/>
      <c r="V52" s="233">
        <f>SUM(V53:V55)</f>
        <v>4397000</v>
      </c>
      <c r="W52" s="233"/>
      <c r="X52" s="233"/>
      <c r="Y52" s="227"/>
      <c r="Z52" s="233"/>
      <c r="AA52" s="233">
        <f>SUM(AA53:AA55)</f>
        <v>3302000</v>
      </c>
      <c r="AB52" s="233"/>
      <c r="AC52" s="233"/>
      <c r="AD52" s="227"/>
      <c r="AE52" s="233"/>
      <c r="AF52" s="233">
        <f>SUM(AF53:AF55)</f>
        <v>4787000</v>
      </c>
      <c r="AG52" s="233"/>
      <c r="AH52" s="233"/>
      <c r="AI52" s="227"/>
      <c r="AJ52" s="233"/>
      <c r="AK52" s="233">
        <f>SUM(AK53:AK55)</f>
        <v>5287000</v>
      </c>
      <c r="AL52" s="233"/>
      <c r="AM52" s="233"/>
      <c r="AN52" s="227"/>
      <c r="AO52" s="233"/>
      <c r="AP52" s="233">
        <f>SUM(AP53:AP55)</f>
        <v>6794000</v>
      </c>
      <c r="AQ52" s="233"/>
      <c r="AR52" s="233"/>
      <c r="AS52" s="227"/>
      <c r="AT52" s="233"/>
      <c r="AU52" s="233">
        <f>SUM(AU53:AU55)</f>
        <v>2265000</v>
      </c>
      <c r="AV52" s="233"/>
      <c r="AW52" s="233"/>
      <c r="AX52" s="227"/>
      <c r="AY52" s="233"/>
      <c r="AZ52" s="233">
        <f>SUM(AZ53:AZ55)</f>
        <v>4529000</v>
      </c>
      <c r="BA52" s="233"/>
      <c r="BB52" s="233"/>
      <c r="BC52" s="227"/>
      <c r="BD52" s="233"/>
      <c r="BE52" s="233">
        <f>SUM(BE53:BE55)</f>
        <v>1534000</v>
      </c>
      <c r="BF52" s="233"/>
      <c r="BG52" s="233"/>
      <c r="BH52" s="227"/>
      <c r="BI52" s="233"/>
      <c r="BJ52" s="233">
        <f>SUM(BJ53:BJ55)</f>
        <v>4399000</v>
      </c>
      <c r="BK52" s="233"/>
      <c r="BL52" s="233"/>
      <c r="BM52" s="227"/>
      <c r="BN52" s="233"/>
      <c r="BO52" s="233">
        <f>SUM(BO53:BO55)</f>
        <v>0</v>
      </c>
      <c r="BP52" s="233"/>
      <c r="BQ52" s="233"/>
      <c r="BR52" s="227"/>
      <c r="BS52" s="233"/>
      <c r="BT52" s="233">
        <f>SUM(BT53:BT55)</f>
        <v>43345055</v>
      </c>
      <c r="BU52" s="233"/>
      <c r="BV52" s="233"/>
      <c r="BW52" s="233"/>
      <c r="BX52" s="254"/>
      <c r="CA52" s="268"/>
      <c r="CB52" s="268"/>
    </row>
    <row r="53" spans="1:80" ht="12.75" customHeight="1" x14ac:dyDescent="0.2">
      <c r="A53" s="244"/>
      <c r="B53" s="244"/>
      <c r="D53" s="254" t="s">
        <v>310</v>
      </c>
      <c r="E53" s="227"/>
      <c r="F53" s="269"/>
      <c r="G53" s="343">
        <v>0</v>
      </c>
      <c r="H53" s="344"/>
      <c r="I53" s="233"/>
      <c r="J53" s="227"/>
      <c r="K53" s="345"/>
      <c r="L53" s="343">
        <f>3301000-163830</f>
        <v>3137170</v>
      </c>
      <c r="M53" s="344"/>
      <c r="N53" s="233"/>
      <c r="O53" s="227"/>
      <c r="P53" s="345"/>
      <c r="Q53" s="343">
        <f>2750055-165548</f>
        <v>2584507</v>
      </c>
      <c r="R53" s="344"/>
      <c r="S53" s="233"/>
      <c r="T53" s="227"/>
      <c r="U53" s="345"/>
      <c r="V53" s="343">
        <f>4397000-272440</f>
        <v>4124560</v>
      </c>
      <c r="W53" s="344"/>
      <c r="X53" s="233"/>
      <c r="Y53" s="227"/>
      <c r="Z53" s="345"/>
      <c r="AA53" s="343">
        <f>3302000-133787</f>
        <v>3168213</v>
      </c>
      <c r="AB53" s="344"/>
      <c r="AC53" s="233"/>
      <c r="AD53" s="227"/>
      <c r="AE53" s="345"/>
      <c r="AF53" s="343">
        <f>4787000-293432</f>
        <v>4493568</v>
      </c>
      <c r="AG53" s="344"/>
      <c r="AH53" s="233"/>
      <c r="AI53" s="227"/>
      <c r="AJ53" s="345"/>
      <c r="AK53" s="343">
        <f>5287000-271864</f>
        <v>5015136</v>
      </c>
      <c r="AL53" s="344"/>
      <c r="AM53" s="233"/>
      <c r="AN53" s="227"/>
      <c r="AO53" s="345"/>
      <c r="AP53" s="343">
        <f>6794000-375118</f>
        <v>6418882</v>
      </c>
      <c r="AQ53" s="344"/>
      <c r="AR53" s="233"/>
      <c r="AS53" s="227"/>
      <c r="AT53" s="345"/>
      <c r="AU53" s="343">
        <f>2265000-159336</f>
        <v>2105664</v>
      </c>
      <c r="AV53" s="344"/>
      <c r="AW53" s="233"/>
      <c r="AX53" s="227"/>
      <c r="AY53" s="345"/>
      <c r="AZ53" s="343">
        <f>4529000-353943</f>
        <v>4175057</v>
      </c>
      <c r="BA53" s="344"/>
      <c r="BB53" s="233"/>
      <c r="BC53" s="227"/>
      <c r="BD53" s="345"/>
      <c r="BE53" s="343">
        <f>1534000-99046</f>
        <v>1434954</v>
      </c>
      <c r="BF53" s="344"/>
      <c r="BG53" s="233"/>
      <c r="BH53" s="227"/>
      <c r="BI53" s="345"/>
      <c r="BJ53" s="343">
        <f>4399000-281342</f>
        <v>4117658</v>
      </c>
      <c r="BK53" s="344"/>
      <c r="BL53" s="233"/>
      <c r="BM53" s="227"/>
      <c r="BN53" s="345"/>
      <c r="BO53" s="343">
        <v>0</v>
      </c>
      <c r="BP53" s="344"/>
      <c r="BQ53" s="233"/>
      <c r="BR53" s="227"/>
      <c r="BS53" s="345"/>
      <c r="BT53" s="343">
        <f>SUM(L53:BO53)</f>
        <v>40775369</v>
      </c>
      <c r="BU53" s="344"/>
      <c r="BV53" s="233"/>
      <c r="BW53" s="233"/>
      <c r="BX53" s="254"/>
      <c r="CA53" s="268"/>
      <c r="CB53" s="268"/>
    </row>
    <row r="54" spans="1:80" ht="12.75" customHeight="1" x14ac:dyDescent="0.2">
      <c r="A54" s="244"/>
      <c r="B54" s="244"/>
      <c r="D54" s="254" t="s">
        <v>312</v>
      </c>
      <c r="E54" s="227"/>
      <c r="F54" s="261"/>
      <c r="G54" s="233">
        <v>0</v>
      </c>
      <c r="H54" s="347"/>
      <c r="I54" s="233"/>
      <c r="J54" s="227"/>
      <c r="K54" s="227"/>
      <c r="L54" s="233">
        <v>163830</v>
      </c>
      <c r="M54" s="347"/>
      <c r="N54" s="233"/>
      <c r="O54" s="227"/>
      <c r="P54" s="227"/>
      <c r="Q54" s="233">
        <v>165548</v>
      </c>
      <c r="R54" s="347"/>
      <c r="S54" s="233"/>
      <c r="T54" s="227"/>
      <c r="U54" s="227"/>
      <c r="V54" s="233">
        <v>272440</v>
      </c>
      <c r="W54" s="347"/>
      <c r="X54" s="233"/>
      <c r="Y54" s="227"/>
      <c r="Z54" s="227"/>
      <c r="AA54" s="233">
        <v>133787</v>
      </c>
      <c r="AB54" s="347"/>
      <c r="AC54" s="233"/>
      <c r="AD54" s="227"/>
      <c r="AE54" s="227"/>
      <c r="AF54" s="233">
        <v>293432</v>
      </c>
      <c r="AG54" s="347"/>
      <c r="AH54" s="233"/>
      <c r="AI54" s="227"/>
      <c r="AJ54" s="227"/>
      <c r="AK54" s="233">
        <v>271864</v>
      </c>
      <c r="AL54" s="347"/>
      <c r="AM54" s="233"/>
      <c r="AN54" s="227"/>
      <c r="AO54" s="227"/>
      <c r="AP54" s="233">
        <v>375118</v>
      </c>
      <c r="AQ54" s="347"/>
      <c r="AR54" s="233"/>
      <c r="AS54" s="227"/>
      <c r="AT54" s="227"/>
      <c r="AU54" s="233">
        <v>159336</v>
      </c>
      <c r="AV54" s="347"/>
      <c r="AW54" s="233"/>
      <c r="AX54" s="227"/>
      <c r="AY54" s="227"/>
      <c r="AZ54" s="233">
        <v>353943</v>
      </c>
      <c r="BA54" s="347"/>
      <c r="BB54" s="233"/>
      <c r="BC54" s="227"/>
      <c r="BD54" s="227"/>
      <c r="BE54" s="233">
        <v>99046</v>
      </c>
      <c r="BF54" s="347"/>
      <c r="BG54" s="233"/>
      <c r="BH54" s="227"/>
      <c r="BI54" s="227"/>
      <c r="BJ54" s="233">
        <v>281342</v>
      </c>
      <c r="BK54" s="347"/>
      <c r="BL54" s="233"/>
      <c r="BM54" s="227"/>
      <c r="BN54" s="227"/>
      <c r="BO54" s="233">
        <v>0</v>
      </c>
      <c r="BP54" s="347"/>
      <c r="BQ54" s="233"/>
      <c r="BR54" s="227"/>
      <c r="BS54" s="227"/>
      <c r="BT54" s="233">
        <f>SUM(L54:BO54)</f>
        <v>2569686</v>
      </c>
      <c r="BU54" s="347"/>
      <c r="BV54" s="233"/>
      <c r="BW54" s="233"/>
      <c r="BX54" s="254"/>
      <c r="CA54" s="268"/>
      <c r="CB54" s="268"/>
    </row>
    <row r="55" spans="1:80" ht="12.75" customHeight="1" x14ac:dyDescent="0.2">
      <c r="A55" s="244"/>
      <c r="B55" s="244"/>
      <c r="D55" s="254" t="s">
        <v>320</v>
      </c>
      <c r="E55" s="227"/>
      <c r="F55" s="284"/>
      <c r="G55" s="355">
        <v>0</v>
      </c>
      <c r="H55" s="356"/>
      <c r="I55" s="233"/>
      <c r="J55" s="227"/>
      <c r="K55" s="357"/>
      <c r="L55" s="355">
        <v>0</v>
      </c>
      <c r="M55" s="356"/>
      <c r="N55" s="233"/>
      <c r="O55" s="227"/>
      <c r="P55" s="357"/>
      <c r="Q55" s="355">
        <v>0</v>
      </c>
      <c r="R55" s="356"/>
      <c r="S55" s="233"/>
      <c r="T55" s="227"/>
      <c r="U55" s="357"/>
      <c r="V55" s="355">
        <v>0</v>
      </c>
      <c r="W55" s="356"/>
      <c r="X55" s="233"/>
      <c r="Y55" s="227"/>
      <c r="Z55" s="357"/>
      <c r="AA55" s="355">
        <v>0</v>
      </c>
      <c r="AB55" s="356"/>
      <c r="AC55" s="233"/>
      <c r="AD55" s="227"/>
      <c r="AE55" s="357"/>
      <c r="AF55" s="355">
        <v>0</v>
      </c>
      <c r="AG55" s="356"/>
      <c r="AH55" s="233"/>
      <c r="AI55" s="227"/>
      <c r="AJ55" s="357"/>
      <c r="AK55" s="355">
        <v>0</v>
      </c>
      <c r="AL55" s="356"/>
      <c r="AM55" s="233"/>
      <c r="AN55" s="227"/>
      <c r="AO55" s="357"/>
      <c r="AP55" s="355">
        <v>0</v>
      </c>
      <c r="AQ55" s="356"/>
      <c r="AR55" s="233"/>
      <c r="AS55" s="227"/>
      <c r="AT55" s="357"/>
      <c r="AU55" s="355">
        <v>0</v>
      </c>
      <c r="AV55" s="356"/>
      <c r="AW55" s="233"/>
      <c r="AX55" s="227"/>
      <c r="AY55" s="357"/>
      <c r="AZ55" s="355">
        <v>0</v>
      </c>
      <c r="BA55" s="356"/>
      <c r="BB55" s="233"/>
      <c r="BC55" s="227"/>
      <c r="BD55" s="357"/>
      <c r="BE55" s="355">
        <v>0</v>
      </c>
      <c r="BF55" s="356"/>
      <c r="BG55" s="233"/>
      <c r="BH55" s="227"/>
      <c r="BI55" s="357"/>
      <c r="BJ55" s="355">
        <v>0</v>
      </c>
      <c r="BK55" s="356"/>
      <c r="BL55" s="233"/>
      <c r="BM55" s="227"/>
      <c r="BN55" s="357"/>
      <c r="BO55" s="355">
        <v>0</v>
      </c>
      <c r="BP55" s="356"/>
      <c r="BQ55" s="233"/>
      <c r="BR55" s="227"/>
      <c r="BS55" s="357"/>
      <c r="BT55" s="355">
        <f>SUM(L55:BO55)</f>
        <v>0</v>
      </c>
      <c r="BU55" s="356"/>
      <c r="BV55" s="233"/>
      <c r="BW55" s="233"/>
      <c r="BX55" s="254"/>
      <c r="CA55" s="268"/>
      <c r="CB55" s="268"/>
    </row>
    <row r="56" spans="1:80" ht="12.75" customHeight="1" x14ac:dyDescent="0.2">
      <c r="A56" s="244"/>
      <c r="B56" s="244"/>
      <c r="D56" s="254"/>
      <c r="E56" s="227"/>
      <c r="F56" s="244"/>
      <c r="G56" s="233"/>
      <c r="H56" s="233"/>
      <c r="I56" s="233"/>
      <c r="J56" s="227"/>
      <c r="K56" s="233"/>
      <c r="L56" s="233"/>
      <c r="M56" s="233"/>
      <c r="N56" s="233"/>
      <c r="O56" s="227"/>
      <c r="P56" s="233"/>
      <c r="Q56" s="233"/>
      <c r="R56" s="233"/>
      <c r="S56" s="233"/>
      <c r="T56" s="227"/>
      <c r="U56" s="233"/>
      <c r="V56" s="233"/>
      <c r="W56" s="233"/>
      <c r="X56" s="233"/>
      <c r="Y56" s="227"/>
      <c r="Z56" s="233"/>
      <c r="AA56" s="233"/>
      <c r="AB56" s="233"/>
      <c r="AC56" s="233"/>
      <c r="AD56" s="227"/>
      <c r="AE56" s="233"/>
      <c r="AF56" s="233"/>
      <c r="AG56" s="233"/>
      <c r="AH56" s="233"/>
      <c r="AI56" s="227"/>
      <c r="AJ56" s="233"/>
      <c r="AK56" s="233"/>
      <c r="AL56" s="233"/>
      <c r="AM56" s="233"/>
      <c r="AN56" s="227"/>
      <c r="AO56" s="233"/>
      <c r="AP56" s="233"/>
      <c r="AQ56" s="233"/>
      <c r="AR56" s="233"/>
      <c r="AS56" s="227"/>
      <c r="AT56" s="233"/>
      <c r="AU56" s="233"/>
      <c r="AV56" s="233"/>
      <c r="AW56" s="233"/>
      <c r="AX56" s="227"/>
      <c r="AY56" s="233"/>
      <c r="AZ56" s="233"/>
      <c r="BA56" s="233"/>
      <c r="BB56" s="233"/>
      <c r="BC56" s="227"/>
      <c r="BD56" s="233"/>
      <c r="BE56" s="233"/>
      <c r="BF56" s="233"/>
      <c r="BG56" s="233"/>
      <c r="BH56" s="227"/>
      <c r="BI56" s="233"/>
      <c r="BJ56" s="233"/>
      <c r="BK56" s="233"/>
      <c r="BL56" s="233"/>
      <c r="BM56" s="227"/>
      <c r="BN56" s="233"/>
      <c r="BO56" s="233"/>
      <c r="BP56" s="233"/>
      <c r="BQ56" s="233"/>
      <c r="BR56" s="227"/>
      <c r="BS56" s="233"/>
      <c r="BT56" s="233"/>
      <c r="BU56" s="233"/>
      <c r="BV56" s="233"/>
      <c r="BW56" s="233"/>
      <c r="BX56" s="254"/>
      <c r="CA56" s="268"/>
      <c r="CB56" s="268"/>
    </row>
    <row r="57" spans="1:80" x14ac:dyDescent="0.2">
      <c r="A57" s="244"/>
      <c r="B57" s="244"/>
      <c r="D57" s="254" t="s">
        <v>321</v>
      </c>
      <c r="E57" s="227"/>
      <c r="F57" s="244"/>
      <c r="G57" s="233">
        <f>SUM(G58:G60)</f>
        <v>0</v>
      </c>
      <c r="H57" s="233"/>
      <c r="I57" s="233"/>
      <c r="J57" s="227"/>
      <c r="K57" s="233"/>
      <c r="L57" s="233">
        <f>SUM(L58:L60)</f>
        <v>2109000</v>
      </c>
      <c r="M57" s="233"/>
      <c r="N57" s="233"/>
      <c r="O57" s="227"/>
      <c r="P57" s="233"/>
      <c r="Q57" s="233">
        <f>SUM(Q58:Q60)</f>
        <v>2666172</v>
      </c>
      <c r="R57" s="233"/>
      <c r="S57" s="233"/>
      <c r="T57" s="227"/>
      <c r="U57" s="233"/>
      <c r="V57" s="233">
        <f>SUM(V58:V60)</f>
        <v>1555000</v>
      </c>
      <c r="W57" s="233"/>
      <c r="X57" s="233"/>
      <c r="Y57" s="227"/>
      <c r="Z57" s="233"/>
      <c r="AA57" s="233">
        <f>SUM(AA58:AA60)</f>
        <v>1649000</v>
      </c>
      <c r="AB57" s="233"/>
      <c r="AC57" s="233"/>
      <c r="AD57" s="227"/>
      <c r="AE57" s="233"/>
      <c r="AF57" s="233">
        <f>SUM(AF58:AF60)</f>
        <v>4535000</v>
      </c>
      <c r="AG57" s="233"/>
      <c r="AH57" s="233"/>
      <c r="AI57" s="227"/>
      <c r="AJ57" s="233"/>
      <c r="AK57" s="233">
        <f>SUM(AK58:AK60)</f>
        <v>1532000</v>
      </c>
      <c r="AL57" s="233"/>
      <c r="AM57" s="233"/>
      <c r="AN57" s="227"/>
      <c r="AO57" s="233"/>
      <c r="AP57" s="233">
        <f>SUM(AP58:AP60)</f>
        <v>0</v>
      </c>
      <c r="AQ57" s="233"/>
      <c r="AR57" s="233"/>
      <c r="AS57" s="227"/>
      <c r="AT57" s="233"/>
      <c r="AU57" s="233">
        <f>SUM(AU58:AU60)</f>
        <v>3020000</v>
      </c>
      <c r="AV57" s="233"/>
      <c r="AW57" s="233"/>
      <c r="AX57" s="227"/>
      <c r="AY57" s="233"/>
      <c r="AZ57" s="233">
        <f>SUM(AZ58:AZ60)</f>
        <v>758000</v>
      </c>
      <c r="BA57" s="233"/>
      <c r="BB57" s="233"/>
      <c r="BC57" s="227"/>
      <c r="BD57" s="233"/>
      <c r="BE57" s="233">
        <f>SUM(BE58:BE60)</f>
        <v>2268000</v>
      </c>
      <c r="BF57" s="233"/>
      <c r="BG57" s="233"/>
      <c r="BH57" s="227"/>
      <c r="BI57" s="233"/>
      <c r="BJ57" s="233">
        <f>SUM(BJ58:BJ60)</f>
        <v>3777000</v>
      </c>
      <c r="BK57" s="233"/>
      <c r="BL57" s="233"/>
      <c r="BM57" s="227"/>
      <c r="BN57" s="233"/>
      <c r="BO57" s="233">
        <f>SUM(BO58:BO60)</f>
        <v>6120000</v>
      </c>
      <c r="BP57" s="233"/>
      <c r="BQ57" s="233"/>
      <c r="BR57" s="227"/>
      <c r="BS57" s="233"/>
      <c r="BT57" s="233">
        <f>SUM(BT58:BT60)</f>
        <v>29989172</v>
      </c>
      <c r="BU57" s="233"/>
      <c r="BV57" s="233"/>
      <c r="BW57" s="233"/>
      <c r="BX57" s="254"/>
      <c r="CA57" s="268"/>
      <c r="CB57" s="268"/>
    </row>
    <row r="58" spans="1:80" x14ac:dyDescent="0.2">
      <c r="A58" s="244"/>
      <c r="B58" s="244"/>
      <c r="D58" s="254" t="s">
        <v>310</v>
      </c>
      <c r="E58" s="227"/>
      <c r="F58" s="269"/>
      <c r="G58" s="343">
        <v>0</v>
      </c>
      <c r="H58" s="344"/>
      <c r="I58" s="233"/>
      <c r="J58" s="227"/>
      <c r="K58" s="345"/>
      <c r="L58" s="343">
        <f>2109000+225458</f>
        <v>2334458</v>
      </c>
      <c r="M58" s="344"/>
      <c r="N58" s="233"/>
      <c r="O58" s="227"/>
      <c r="P58" s="345"/>
      <c r="Q58" s="343">
        <f>2666172+300186</f>
        <v>2966358</v>
      </c>
      <c r="R58" s="344"/>
      <c r="S58" s="233"/>
      <c r="T58" s="227"/>
      <c r="U58" s="345"/>
      <c r="V58" s="343">
        <f>1555000+180568</f>
        <v>1735568</v>
      </c>
      <c r="W58" s="344"/>
      <c r="X58" s="233"/>
      <c r="Y58" s="227"/>
      <c r="Z58" s="345"/>
      <c r="AA58" s="343">
        <f>1649000+213274</f>
        <v>1862274</v>
      </c>
      <c r="AB58" s="344"/>
      <c r="AC58" s="233"/>
      <c r="AD58" s="227"/>
      <c r="AE58" s="345"/>
      <c r="AF58" s="343">
        <f>4535000+513408</f>
        <v>5048408</v>
      </c>
      <c r="AG58" s="344"/>
      <c r="AH58" s="233"/>
      <c r="AI58" s="227"/>
      <c r="AJ58" s="345"/>
      <c r="AK58" s="343">
        <f>1532000+197239</f>
        <v>1729239</v>
      </c>
      <c r="AL58" s="344"/>
      <c r="AM58" s="233"/>
      <c r="AN58" s="227"/>
      <c r="AO58" s="345"/>
      <c r="AP58" s="343">
        <v>0</v>
      </c>
      <c r="AQ58" s="344"/>
      <c r="AR58" s="233"/>
      <c r="AS58" s="227"/>
      <c r="AT58" s="345"/>
      <c r="AU58" s="343">
        <f>3020000+347931</f>
        <v>3367931</v>
      </c>
      <c r="AV58" s="344"/>
      <c r="AW58" s="233"/>
      <c r="AX58" s="227"/>
      <c r="AY58" s="345"/>
      <c r="AZ58" s="343">
        <f>758000+79844</f>
        <v>837844</v>
      </c>
      <c r="BA58" s="344"/>
      <c r="BB58" s="233"/>
      <c r="BC58" s="227"/>
      <c r="BD58" s="345"/>
      <c r="BE58" s="343">
        <f>2268000+279324</f>
        <v>2547324</v>
      </c>
      <c r="BF58" s="344"/>
      <c r="BG58" s="233"/>
      <c r="BH58" s="227"/>
      <c r="BI58" s="345"/>
      <c r="BJ58" s="343">
        <f>3777000+508862</f>
        <v>4285862</v>
      </c>
      <c r="BK58" s="344"/>
      <c r="BL58" s="233"/>
      <c r="BM58" s="227"/>
      <c r="BN58" s="345"/>
      <c r="BO58" s="343">
        <f>6120000-155160+381917</f>
        <v>6346757</v>
      </c>
      <c r="BP58" s="344"/>
      <c r="BQ58" s="233"/>
      <c r="BR58" s="227"/>
      <c r="BS58" s="345"/>
      <c r="BT58" s="343">
        <f>SUM(L58:BO58)</f>
        <v>33062023</v>
      </c>
      <c r="BU58" s="344"/>
      <c r="BV58" s="233"/>
      <c r="BW58" s="233"/>
      <c r="BX58" s="254"/>
      <c r="CA58" s="268"/>
      <c r="CB58" s="268"/>
    </row>
    <row r="59" spans="1:80" x14ac:dyDescent="0.2">
      <c r="A59" s="244"/>
      <c r="B59" s="244"/>
      <c r="D59" s="254" t="s">
        <v>312</v>
      </c>
      <c r="E59" s="227"/>
      <c r="F59" s="261"/>
      <c r="G59" s="233">
        <v>0</v>
      </c>
      <c r="H59" s="347"/>
      <c r="I59" s="233"/>
      <c r="J59" s="227"/>
      <c r="K59" s="227"/>
      <c r="L59" s="233">
        <v>0</v>
      </c>
      <c r="M59" s="347"/>
      <c r="N59" s="233"/>
      <c r="O59" s="227"/>
      <c r="P59" s="227"/>
      <c r="Q59" s="233">
        <v>0</v>
      </c>
      <c r="R59" s="347"/>
      <c r="S59" s="233"/>
      <c r="T59" s="227"/>
      <c r="U59" s="227"/>
      <c r="V59" s="233">
        <v>0</v>
      </c>
      <c r="W59" s="347"/>
      <c r="X59" s="233"/>
      <c r="Y59" s="227"/>
      <c r="Z59" s="227"/>
      <c r="AA59" s="233">
        <v>0</v>
      </c>
      <c r="AB59" s="347"/>
      <c r="AC59" s="233"/>
      <c r="AD59" s="227"/>
      <c r="AE59" s="227"/>
      <c r="AF59" s="233">
        <v>0</v>
      </c>
      <c r="AG59" s="347"/>
      <c r="AH59" s="233"/>
      <c r="AI59" s="227"/>
      <c r="AJ59" s="227"/>
      <c r="AK59" s="233">
        <v>0</v>
      </c>
      <c r="AL59" s="347"/>
      <c r="AM59" s="233"/>
      <c r="AN59" s="227"/>
      <c r="AO59" s="227"/>
      <c r="AP59" s="233">
        <v>0</v>
      </c>
      <c r="AQ59" s="347"/>
      <c r="AR59" s="233"/>
      <c r="AS59" s="227"/>
      <c r="AT59" s="227"/>
      <c r="AU59" s="233">
        <v>0</v>
      </c>
      <c r="AV59" s="347"/>
      <c r="AW59" s="233"/>
      <c r="AX59" s="227"/>
      <c r="AY59" s="227"/>
      <c r="AZ59" s="233">
        <v>0</v>
      </c>
      <c r="BA59" s="347"/>
      <c r="BB59" s="233"/>
      <c r="BC59" s="227"/>
      <c r="BD59" s="227"/>
      <c r="BE59" s="233">
        <v>0</v>
      </c>
      <c r="BF59" s="347"/>
      <c r="BG59" s="233"/>
      <c r="BH59" s="227"/>
      <c r="BI59" s="227"/>
      <c r="BJ59" s="233">
        <v>0</v>
      </c>
      <c r="BK59" s="347"/>
      <c r="BL59" s="233"/>
      <c r="BM59" s="227"/>
      <c r="BN59" s="227"/>
      <c r="BO59" s="233">
        <v>155160</v>
      </c>
      <c r="BP59" s="347"/>
      <c r="BQ59" s="233"/>
      <c r="BR59" s="227"/>
      <c r="BS59" s="227"/>
      <c r="BT59" s="233">
        <f>SUM(L59:BO59)</f>
        <v>155160</v>
      </c>
      <c r="BU59" s="347"/>
      <c r="BV59" s="233"/>
      <c r="BW59" s="233"/>
      <c r="BX59" s="254"/>
      <c r="CA59" s="268"/>
      <c r="CB59" s="268"/>
    </row>
    <row r="60" spans="1:80" x14ac:dyDescent="0.2">
      <c r="A60" s="244"/>
      <c r="B60" s="244"/>
      <c r="D60" s="254" t="s">
        <v>320</v>
      </c>
      <c r="E60" s="227"/>
      <c r="F60" s="284"/>
      <c r="G60" s="355">
        <v>0</v>
      </c>
      <c r="H60" s="356"/>
      <c r="I60" s="233"/>
      <c r="J60" s="227"/>
      <c r="K60" s="357"/>
      <c r="L60" s="355">
        <v>-225458</v>
      </c>
      <c r="M60" s="356"/>
      <c r="N60" s="233"/>
      <c r="O60" s="227"/>
      <c r="P60" s="357"/>
      <c r="Q60" s="355">
        <v>-300186</v>
      </c>
      <c r="R60" s="356"/>
      <c r="S60" s="233"/>
      <c r="T60" s="227"/>
      <c r="U60" s="357"/>
      <c r="V60" s="355">
        <v>-180568</v>
      </c>
      <c r="W60" s="356"/>
      <c r="X60" s="233"/>
      <c r="Y60" s="227"/>
      <c r="Z60" s="357"/>
      <c r="AA60" s="355">
        <v>-213274</v>
      </c>
      <c r="AB60" s="356"/>
      <c r="AC60" s="233"/>
      <c r="AD60" s="227"/>
      <c r="AE60" s="357"/>
      <c r="AF60" s="355">
        <v>-513408</v>
      </c>
      <c r="AG60" s="356"/>
      <c r="AH60" s="233"/>
      <c r="AI60" s="227"/>
      <c r="AJ60" s="357"/>
      <c r="AK60" s="355">
        <v>-197239</v>
      </c>
      <c r="AL60" s="356"/>
      <c r="AM60" s="233"/>
      <c r="AN60" s="227"/>
      <c r="AO60" s="357"/>
      <c r="AP60" s="355">
        <v>0</v>
      </c>
      <c r="AQ60" s="356"/>
      <c r="AR60" s="233"/>
      <c r="AS60" s="227"/>
      <c r="AT60" s="357"/>
      <c r="AU60" s="355">
        <v>-347931</v>
      </c>
      <c r="AV60" s="356"/>
      <c r="AW60" s="233"/>
      <c r="AX60" s="227"/>
      <c r="AY60" s="357"/>
      <c r="AZ60" s="355">
        <v>-79844</v>
      </c>
      <c r="BA60" s="356"/>
      <c r="BB60" s="233"/>
      <c r="BC60" s="227"/>
      <c r="BD60" s="357"/>
      <c r="BE60" s="355">
        <v>-279324</v>
      </c>
      <c r="BF60" s="356"/>
      <c r="BG60" s="233"/>
      <c r="BH60" s="227"/>
      <c r="BI60" s="357"/>
      <c r="BJ60" s="355">
        <v>-508862</v>
      </c>
      <c r="BK60" s="356"/>
      <c r="BL60" s="233"/>
      <c r="BM60" s="227"/>
      <c r="BN60" s="357"/>
      <c r="BO60" s="355">
        <v>-381917</v>
      </c>
      <c r="BP60" s="356"/>
      <c r="BQ60" s="233"/>
      <c r="BR60" s="227"/>
      <c r="BS60" s="357"/>
      <c r="BT60" s="355">
        <f>SUM(L60:BO60)</f>
        <v>-3228011</v>
      </c>
      <c r="BU60" s="356"/>
      <c r="BV60" s="233"/>
      <c r="BW60" s="233"/>
      <c r="BX60" s="254"/>
      <c r="CA60" s="268"/>
      <c r="CB60" s="268"/>
    </row>
    <row r="61" spans="1:80" x14ac:dyDescent="0.2">
      <c r="A61" s="244"/>
      <c r="B61" s="244"/>
      <c r="D61" s="254"/>
      <c r="E61" s="227"/>
      <c r="F61" s="244"/>
      <c r="G61" s="233"/>
      <c r="H61" s="233"/>
      <c r="I61" s="233"/>
      <c r="J61" s="227"/>
      <c r="K61" s="233"/>
      <c r="L61" s="233"/>
      <c r="M61" s="233"/>
      <c r="N61" s="233"/>
      <c r="O61" s="227"/>
      <c r="P61" s="233"/>
      <c r="Q61" s="233"/>
      <c r="R61" s="233"/>
      <c r="S61" s="233"/>
      <c r="T61" s="227"/>
      <c r="U61" s="233"/>
      <c r="V61" s="233"/>
      <c r="W61" s="233"/>
      <c r="X61" s="233"/>
      <c r="Y61" s="227"/>
      <c r="Z61" s="233"/>
      <c r="AA61" s="233"/>
      <c r="AB61" s="233"/>
      <c r="AC61" s="233"/>
      <c r="AD61" s="227"/>
      <c r="AE61" s="233"/>
      <c r="AF61" s="233"/>
      <c r="AG61" s="233"/>
      <c r="AH61" s="233"/>
      <c r="AI61" s="227"/>
      <c r="AJ61" s="233"/>
      <c r="AK61" s="233"/>
      <c r="AL61" s="233"/>
      <c r="AM61" s="233"/>
      <c r="AN61" s="227"/>
      <c r="AO61" s="233"/>
      <c r="AP61" s="233"/>
      <c r="AQ61" s="233"/>
      <c r="AR61" s="233"/>
      <c r="AS61" s="227"/>
      <c r="AT61" s="233"/>
      <c r="AU61" s="233"/>
      <c r="AV61" s="233"/>
      <c r="AW61" s="233"/>
      <c r="AX61" s="227"/>
      <c r="AY61" s="233"/>
      <c r="AZ61" s="233"/>
      <c r="BA61" s="233"/>
      <c r="BB61" s="233"/>
      <c r="BC61" s="227"/>
      <c r="BD61" s="233"/>
      <c r="BE61" s="233"/>
      <c r="BF61" s="233"/>
      <c r="BG61" s="233"/>
      <c r="BH61" s="227"/>
      <c r="BI61" s="233"/>
      <c r="BJ61" s="233"/>
      <c r="BK61" s="233"/>
      <c r="BL61" s="233"/>
      <c r="BM61" s="227"/>
      <c r="BN61" s="233"/>
      <c r="BO61" s="233"/>
      <c r="BP61" s="233"/>
      <c r="BQ61" s="233"/>
      <c r="BR61" s="227"/>
      <c r="BS61" s="233"/>
      <c r="BT61" s="233"/>
      <c r="BU61" s="233"/>
      <c r="BV61" s="233"/>
      <c r="BW61" s="233"/>
      <c r="BX61" s="254"/>
      <c r="CA61" s="268"/>
      <c r="CB61" s="268"/>
    </row>
    <row r="62" spans="1:80" ht="12.75" hidden="1" customHeight="1" x14ac:dyDescent="0.2">
      <c r="A62" s="244"/>
      <c r="B62" s="244"/>
      <c r="D62" s="254" t="s">
        <v>322</v>
      </c>
      <c r="E62" s="227"/>
      <c r="F62" s="244"/>
      <c r="G62" s="233">
        <f>SUM(G63:G66)</f>
        <v>0</v>
      </c>
      <c r="H62" s="233"/>
      <c r="I62" s="233"/>
      <c r="J62" s="227"/>
      <c r="K62" s="233"/>
      <c r="L62" s="233">
        <f>SUM(L63:L66)</f>
        <v>0</v>
      </c>
      <c r="M62" s="233"/>
      <c r="N62" s="233"/>
      <c r="O62" s="227"/>
      <c r="P62" s="233"/>
      <c r="Q62" s="233">
        <f>SUM(Q63:Q66)</f>
        <v>0</v>
      </c>
      <c r="R62" s="233"/>
      <c r="S62" s="233"/>
      <c r="T62" s="227"/>
      <c r="U62" s="233"/>
      <c r="V62" s="233">
        <f>SUM(V63:V66)</f>
        <v>0</v>
      </c>
      <c r="W62" s="233"/>
      <c r="X62" s="233"/>
      <c r="Y62" s="227"/>
      <c r="Z62" s="233"/>
      <c r="AA62" s="233">
        <f>SUM(AA63:AA66)</f>
        <v>0</v>
      </c>
      <c r="AB62" s="233"/>
      <c r="AC62" s="233"/>
      <c r="AD62" s="227"/>
      <c r="AE62" s="233"/>
      <c r="AF62" s="233">
        <f>SUM(AF63:AF66)</f>
        <v>0</v>
      </c>
      <c r="AG62" s="233"/>
      <c r="AH62" s="233"/>
      <c r="AI62" s="227"/>
      <c r="AJ62" s="233"/>
      <c r="AK62" s="233">
        <f>SUM(AK63:AK66)</f>
        <v>0</v>
      </c>
      <c r="AL62" s="233"/>
      <c r="AM62" s="233"/>
      <c r="AN62" s="227"/>
      <c r="AO62" s="233"/>
      <c r="AP62" s="233">
        <f>SUM(AP63:AP66)</f>
        <v>0</v>
      </c>
      <c r="AQ62" s="233"/>
      <c r="AR62" s="233"/>
      <c r="AS62" s="227"/>
      <c r="AT62" s="233"/>
      <c r="AU62" s="233">
        <f>SUM(AU63:AU66)</f>
        <v>0</v>
      </c>
      <c r="AV62" s="233"/>
      <c r="AW62" s="233"/>
      <c r="AX62" s="227"/>
      <c r="AY62" s="233"/>
      <c r="AZ62" s="233">
        <f>SUM(AZ63:AZ66)</f>
        <v>0</v>
      </c>
      <c r="BA62" s="233"/>
      <c r="BB62" s="233"/>
      <c r="BC62" s="227"/>
      <c r="BD62" s="233"/>
      <c r="BE62" s="233">
        <f>SUM(BE63:BE66)</f>
        <v>0</v>
      </c>
      <c r="BF62" s="233"/>
      <c r="BG62" s="233"/>
      <c r="BH62" s="227"/>
      <c r="BI62" s="233"/>
      <c r="BJ62" s="233">
        <f>SUM(BJ63:BJ66)</f>
        <v>0</v>
      </c>
      <c r="BK62" s="233"/>
      <c r="BL62" s="233"/>
      <c r="BM62" s="227"/>
      <c r="BN62" s="233"/>
      <c r="BO62" s="233">
        <f>SUM(BO63:BO66)</f>
        <v>0</v>
      </c>
      <c r="BP62" s="233"/>
      <c r="BQ62" s="233"/>
      <c r="BR62" s="227"/>
      <c r="BS62" s="233"/>
      <c r="BT62" s="233">
        <f>SUM(BT63:BT66)</f>
        <v>0</v>
      </c>
      <c r="BU62" s="233"/>
      <c r="BV62" s="233"/>
      <c r="BW62" s="233"/>
      <c r="BX62" s="254"/>
      <c r="CA62" s="268"/>
      <c r="CB62" s="268"/>
    </row>
    <row r="63" spans="1:80" ht="12.75" hidden="1" customHeight="1" x14ac:dyDescent="0.2">
      <c r="A63" s="244"/>
      <c r="B63" s="244"/>
      <c r="D63" s="254" t="s">
        <v>310</v>
      </c>
      <c r="E63" s="227"/>
      <c r="F63" s="269"/>
      <c r="G63" s="343">
        <v>0</v>
      </c>
      <c r="H63" s="344"/>
      <c r="I63" s="233"/>
      <c r="J63" s="227"/>
      <c r="K63" s="345"/>
      <c r="L63" s="343">
        <v>0</v>
      </c>
      <c r="M63" s="344"/>
      <c r="N63" s="233"/>
      <c r="O63" s="227"/>
      <c r="P63" s="345"/>
      <c r="Q63" s="343">
        <v>0</v>
      </c>
      <c r="R63" s="344"/>
      <c r="S63" s="233"/>
      <c r="T63" s="227"/>
      <c r="U63" s="345"/>
      <c r="V63" s="343">
        <v>0</v>
      </c>
      <c r="W63" s="344"/>
      <c r="X63" s="233"/>
      <c r="Y63" s="227"/>
      <c r="Z63" s="345"/>
      <c r="AA63" s="343">
        <v>0</v>
      </c>
      <c r="AB63" s="344"/>
      <c r="AC63" s="233"/>
      <c r="AD63" s="227"/>
      <c r="AE63" s="345"/>
      <c r="AF63" s="343">
        <v>0</v>
      </c>
      <c r="AG63" s="344"/>
      <c r="AH63" s="233"/>
      <c r="AI63" s="227"/>
      <c r="AJ63" s="345"/>
      <c r="AK63" s="343">
        <v>0</v>
      </c>
      <c r="AL63" s="344"/>
      <c r="AM63" s="233"/>
      <c r="AN63" s="227"/>
      <c r="AO63" s="345"/>
      <c r="AP63" s="343">
        <v>0</v>
      </c>
      <c r="AQ63" s="344"/>
      <c r="AR63" s="233"/>
      <c r="AS63" s="227"/>
      <c r="AT63" s="345"/>
      <c r="AU63" s="343">
        <v>0</v>
      </c>
      <c r="AV63" s="344"/>
      <c r="AW63" s="233"/>
      <c r="AX63" s="227"/>
      <c r="AY63" s="345"/>
      <c r="AZ63" s="343">
        <v>0</v>
      </c>
      <c r="BA63" s="344"/>
      <c r="BB63" s="233"/>
      <c r="BC63" s="227"/>
      <c r="BD63" s="345"/>
      <c r="BE63" s="343">
        <v>0</v>
      </c>
      <c r="BF63" s="344"/>
      <c r="BG63" s="233"/>
      <c r="BH63" s="227"/>
      <c r="BI63" s="345"/>
      <c r="BJ63" s="343">
        <v>0</v>
      </c>
      <c r="BK63" s="344"/>
      <c r="BL63" s="233"/>
      <c r="BM63" s="227"/>
      <c r="BN63" s="345"/>
      <c r="BO63" s="343">
        <v>0</v>
      </c>
      <c r="BP63" s="344"/>
      <c r="BQ63" s="233"/>
      <c r="BR63" s="227"/>
      <c r="BS63" s="345"/>
      <c r="BT63" s="343">
        <f>SUM(L63:BO63)</f>
        <v>0</v>
      </c>
      <c r="BU63" s="344"/>
      <c r="BV63" s="233"/>
      <c r="BW63" s="233"/>
      <c r="BX63" s="254"/>
      <c r="CA63" s="268"/>
      <c r="CB63" s="268"/>
    </row>
    <row r="64" spans="1:80" ht="12.75" hidden="1" customHeight="1" x14ac:dyDescent="0.2">
      <c r="A64" s="244"/>
      <c r="B64" s="244"/>
      <c r="D64" s="254" t="s">
        <v>312</v>
      </c>
      <c r="E64" s="227"/>
      <c r="F64" s="261"/>
      <c r="G64" s="233">
        <v>0</v>
      </c>
      <c r="H64" s="347"/>
      <c r="I64" s="233"/>
      <c r="J64" s="227"/>
      <c r="K64" s="227"/>
      <c r="L64" s="233">
        <v>0</v>
      </c>
      <c r="M64" s="347"/>
      <c r="N64" s="233"/>
      <c r="O64" s="227"/>
      <c r="P64" s="227"/>
      <c r="Q64" s="233">
        <v>0</v>
      </c>
      <c r="R64" s="347"/>
      <c r="S64" s="233"/>
      <c r="T64" s="227"/>
      <c r="U64" s="227"/>
      <c r="V64" s="233">
        <v>0</v>
      </c>
      <c r="W64" s="347"/>
      <c r="X64" s="233"/>
      <c r="Y64" s="227"/>
      <c r="Z64" s="227"/>
      <c r="AA64" s="233">
        <v>0</v>
      </c>
      <c r="AB64" s="347"/>
      <c r="AC64" s="233"/>
      <c r="AD64" s="227"/>
      <c r="AE64" s="227"/>
      <c r="AF64" s="233">
        <v>0</v>
      </c>
      <c r="AG64" s="347"/>
      <c r="AH64" s="233"/>
      <c r="AI64" s="227"/>
      <c r="AJ64" s="227"/>
      <c r="AK64" s="233">
        <v>0</v>
      </c>
      <c r="AL64" s="347"/>
      <c r="AM64" s="233"/>
      <c r="AN64" s="227"/>
      <c r="AO64" s="227"/>
      <c r="AP64" s="233">
        <v>0</v>
      </c>
      <c r="AQ64" s="347"/>
      <c r="AR64" s="233"/>
      <c r="AS64" s="227"/>
      <c r="AT64" s="227"/>
      <c r="AU64" s="233">
        <v>0</v>
      </c>
      <c r="AV64" s="347"/>
      <c r="AW64" s="233"/>
      <c r="AX64" s="227"/>
      <c r="AY64" s="227"/>
      <c r="AZ64" s="233">
        <v>0</v>
      </c>
      <c r="BA64" s="347"/>
      <c r="BB64" s="233"/>
      <c r="BC64" s="227"/>
      <c r="BD64" s="227"/>
      <c r="BE64" s="233">
        <v>0</v>
      </c>
      <c r="BF64" s="347"/>
      <c r="BG64" s="233"/>
      <c r="BH64" s="227"/>
      <c r="BI64" s="227"/>
      <c r="BJ64" s="233">
        <v>0</v>
      </c>
      <c r="BK64" s="347"/>
      <c r="BL64" s="233"/>
      <c r="BM64" s="227"/>
      <c r="BN64" s="227"/>
      <c r="BO64" s="233">
        <v>0</v>
      </c>
      <c r="BP64" s="347"/>
      <c r="BQ64" s="233"/>
      <c r="BR64" s="227"/>
      <c r="BS64" s="227"/>
      <c r="BT64" s="233">
        <f>SUM(L64:BO64)</f>
        <v>0</v>
      </c>
      <c r="BU64" s="347"/>
      <c r="BV64" s="233"/>
      <c r="BW64" s="233"/>
      <c r="BX64" s="254"/>
      <c r="CA64" s="268"/>
      <c r="CB64" s="268"/>
    </row>
    <row r="65" spans="1:80" ht="12.75" hidden="1" customHeight="1" x14ac:dyDescent="0.2">
      <c r="A65" s="244"/>
      <c r="B65" s="244"/>
      <c r="D65" s="254" t="s">
        <v>313</v>
      </c>
      <c r="E65" s="227"/>
      <c r="F65" s="261"/>
      <c r="G65" s="233">
        <v>0</v>
      </c>
      <c r="H65" s="347"/>
      <c r="I65" s="233"/>
      <c r="J65" s="227"/>
      <c r="K65" s="227"/>
      <c r="L65" s="233">
        <v>0</v>
      </c>
      <c r="M65" s="347"/>
      <c r="N65" s="233"/>
      <c r="O65" s="227"/>
      <c r="P65" s="227"/>
      <c r="Q65" s="233">
        <v>0</v>
      </c>
      <c r="R65" s="347"/>
      <c r="S65" s="233"/>
      <c r="T65" s="227"/>
      <c r="U65" s="227"/>
      <c r="V65" s="233">
        <v>0</v>
      </c>
      <c r="W65" s="347"/>
      <c r="X65" s="233"/>
      <c r="Y65" s="227"/>
      <c r="Z65" s="227"/>
      <c r="AA65" s="233">
        <v>0</v>
      </c>
      <c r="AB65" s="347"/>
      <c r="AC65" s="233"/>
      <c r="AD65" s="227"/>
      <c r="AE65" s="227"/>
      <c r="AF65" s="233">
        <v>0</v>
      </c>
      <c r="AG65" s="347"/>
      <c r="AH65" s="233"/>
      <c r="AI65" s="227"/>
      <c r="AJ65" s="227"/>
      <c r="AK65" s="233">
        <v>0</v>
      </c>
      <c r="AL65" s="347"/>
      <c r="AM65" s="233"/>
      <c r="AN65" s="227"/>
      <c r="AO65" s="227"/>
      <c r="AP65" s="233">
        <v>0</v>
      </c>
      <c r="AQ65" s="347"/>
      <c r="AR65" s="233"/>
      <c r="AS65" s="227"/>
      <c r="AT65" s="227"/>
      <c r="AU65" s="233">
        <v>0</v>
      </c>
      <c r="AV65" s="347"/>
      <c r="AW65" s="233"/>
      <c r="AX65" s="227"/>
      <c r="AY65" s="227"/>
      <c r="AZ65" s="233">
        <v>0</v>
      </c>
      <c r="BA65" s="347"/>
      <c r="BB65" s="233"/>
      <c r="BC65" s="227"/>
      <c r="BD65" s="227"/>
      <c r="BE65" s="233">
        <v>0</v>
      </c>
      <c r="BF65" s="347"/>
      <c r="BG65" s="233"/>
      <c r="BH65" s="227"/>
      <c r="BI65" s="227"/>
      <c r="BJ65" s="233">
        <v>0</v>
      </c>
      <c r="BK65" s="347"/>
      <c r="BL65" s="233"/>
      <c r="BM65" s="227"/>
      <c r="BN65" s="227"/>
      <c r="BO65" s="233">
        <v>0</v>
      </c>
      <c r="BP65" s="347"/>
      <c r="BQ65" s="233"/>
      <c r="BR65" s="227"/>
      <c r="BS65" s="227"/>
      <c r="BT65" s="233">
        <f>SUM(L65:BO65)</f>
        <v>0</v>
      </c>
      <c r="BU65" s="347"/>
      <c r="BV65" s="233"/>
      <c r="BW65" s="233"/>
      <c r="BX65" s="254"/>
      <c r="CA65" s="268"/>
      <c r="CB65" s="268"/>
    </row>
    <row r="66" spans="1:80" ht="12.75" hidden="1" customHeight="1" x14ac:dyDescent="0.2">
      <c r="A66" s="244"/>
      <c r="B66" s="244"/>
      <c r="D66" s="254" t="s">
        <v>314</v>
      </c>
      <c r="E66" s="227"/>
      <c r="F66" s="284"/>
      <c r="G66" s="355">
        <v>0</v>
      </c>
      <c r="H66" s="356"/>
      <c r="I66" s="233"/>
      <c r="J66" s="227"/>
      <c r="K66" s="357"/>
      <c r="L66" s="355">
        <v>0</v>
      </c>
      <c r="M66" s="356"/>
      <c r="N66" s="233"/>
      <c r="O66" s="227"/>
      <c r="P66" s="357"/>
      <c r="Q66" s="355">
        <v>0</v>
      </c>
      <c r="R66" s="356"/>
      <c r="S66" s="233"/>
      <c r="T66" s="227"/>
      <c r="U66" s="357"/>
      <c r="V66" s="355">
        <v>0</v>
      </c>
      <c r="W66" s="356"/>
      <c r="X66" s="233"/>
      <c r="Y66" s="227"/>
      <c r="Z66" s="357"/>
      <c r="AA66" s="355">
        <v>0</v>
      </c>
      <c r="AB66" s="356"/>
      <c r="AC66" s="233"/>
      <c r="AD66" s="227"/>
      <c r="AE66" s="357"/>
      <c r="AF66" s="355">
        <v>0</v>
      </c>
      <c r="AG66" s="356"/>
      <c r="AH66" s="233"/>
      <c r="AI66" s="227"/>
      <c r="AJ66" s="357"/>
      <c r="AK66" s="355">
        <v>0</v>
      </c>
      <c r="AL66" s="356"/>
      <c r="AM66" s="233"/>
      <c r="AN66" s="227"/>
      <c r="AO66" s="357"/>
      <c r="AP66" s="355">
        <v>0</v>
      </c>
      <c r="AQ66" s="356"/>
      <c r="AR66" s="233"/>
      <c r="AS66" s="227"/>
      <c r="AT66" s="357"/>
      <c r="AU66" s="355">
        <v>0</v>
      </c>
      <c r="AV66" s="356"/>
      <c r="AW66" s="233"/>
      <c r="AX66" s="227"/>
      <c r="AY66" s="357"/>
      <c r="AZ66" s="355">
        <v>0</v>
      </c>
      <c r="BA66" s="356"/>
      <c r="BB66" s="233"/>
      <c r="BC66" s="227"/>
      <c r="BD66" s="357"/>
      <c r="BE66" s="355">
        <v>0</v>
      </c>
      <c r="BF66" s="356"/>
      <c r="BG66" s="233"/>
      <c r="BH66" s="227"/>
      <c r="BI66" s="357"/>
      <c r="BJ66" s="355">
        <v>0</v>
      </c>
      <c r="BK66" s="356"/>
      <c r="BL66" s="233"/>
      <c r="BM66" s="227"/>
      <c r="BN66" s="357"/>
      <c r="BO66" s="355">
        <v>0</v>
      </c>
      <c r="BP66" s="356"/>
      <c r="BQ66" s="233"/>
      <c r="BR66" s="227"/>
      <c r="BS66" s="357"/>
      <c r="BT66" s="355">
        <f>SUM(L66:BO66)</f>
        <v>0</v>
      </c>
      <c r="BU66" s="356"/>
      <c r="BV66" s="233"/>
      <c r="BW66" s="233"/>
      <c r="BX66" s="254"/>
      <c r="CA66" s="268"/>
      <c r="CB66" s="268"/>
    </row>
    <row r="67" spans="1:80" ht="12.75" hidden="1" customHeight="1" x14ac:dyDescent="0.2">
      <c r="A67" s="244"/>
      <c r="B67" s="244"/>
      <c r="D67" s="254"/>
      <c r="E67" s="227"/>
      <c r="F67" s="244"/>
      <c r="G67" s="233"/>
      <c r="H67" s="233"/>
      <c r="I67" s="233"/>
      <c r="J67" s="227"/>
      <c r="K67" s="233"/>
      <c r="L67" s="233"/>
      <c r="M67" s="233"/>
      <c r="N67" s="233"/>
      <c r="O67" s="227"/>
      <c r="P67" s="233"/>
      <c r="Q67" s="233"/>
      <c r="R67" s="233"/>
      <c r="S67" s="233"/>
      <c r="T67" s="227"/>
      <c r="U67" s="233"/>
      <c r="V67" s="233"/>
      <c r="W67" s="233"/>
      <c r="X67" s="233"/>
      <c r="Y67" s="227"/>
      <c r="Z67" s="233"/>
      <c r="AA67" s="233"/>
      <c r="AB67" s="233"/>
      <c r="AC67" s="233"/>
      <c r="AD67" s="227"/>
      <c r="AE67" s="233"/>
      <c r="AF67" s="233"/>
      <c r="AG67" s="233"/>
      <c r="AH67" s="233"/>
      <c r="AI67" s="227"/>
      <c r="AJ67" s="233"/>
      <c r="AK67" s="233"/>
      <c r="AL67" s="233"/>
      <c r="AM67" s="233"/>
      <c r="AN67" s="227"/>
      <c r="AO67" s="233"/>
      <c r="AP67" s="233"/>
      <c r="AQ67" s="233"/>
      <c r="AR67" s="233"/>
      <c r="AS67" s="227"/>
      <c r="AT67" s="233"/>
      <c r="AU67" s="233"/>
      <c r="AV67" s="233"/>
      <c r="AW67" s="233"/>
      <c r="AX67" s="227"/>
      <c r="AY67" s="233"/>
      <c r="AZ67" s="233"/>
      <c r="BA67" s="233"/>
      <c r="BB67" s="233"/>
      <c r="BC67" s="227"/>
      <c r="BD67" s="233"/>
      <c r="BE67" s="233"/>
      <c r="BF67" s="233"/>
      <c r="BG67" s="233"/>
      <c r="BH67" s="227"/>
      <c r="BI67" s="233"/>
      <c r="BJ67" s="233"/>
      <c r="BK67" s="233"/>
      <c r="BL67" s="233"/>
      <c r="BM67" s="227"/>
      <c r="BN67" s="233"/>
      <c r="BO67" s="233"/>
      <c r="BP67" s="233"/>
      <c r="BQ67" s="233"/>
      <c r="BR67" s="227"/>
      <c r="BS67" s="233"/>
      <c r="BT67" s="233"/>
      <c r="BU67" s="233"/>
      <c r="BV67" s="233"/>
      <c r="BW67" s="233"/>
      <c r="BX67" s="254"/>
      <c r="CA67" s="268"/>
      <c r="CB67" s="268"/>
    </row>
    <row r="68" spans="1:80" ht="12.75" customHeight="1" x14ac:dyDescent="0.2">
      <c r="A68" s="244"/>
      <c r="B68" s="244"/>
      <c r="D68" s="254" t="s">
        <v>323</v>
      </c>
      <c r="E68" s="227"/>
      <c r="F68" s="244"/>
      <c r="G68" s="233">
        <f>SUM(G69:G72)</f>
        <v>0</v>
      </c>
      <c r="H68" s="233"/>
      <c r="I68" s="233"/>
      <c r="J68" s="227"/>
      <c r="K68" s="233"/>
      <c r="L68" s="233">
        <f>SUM(L69:L72)</f>
        <v>337942</v>
      </c>
      <c r="M68" s="233"/>
      <c r="N68" s="233"/>
      <c r="O68" s="227"/>
      <c r="P68" s="233"/>
      <c r="Q68" s="233">
        <f>SUM(Q69:Q72)</f>
        <v>248482</v>
      </c>
      <c r="R68" s="233"/>
      <c r="S68" s="233"/>
      <c r="T68" s="227"/>
      <c r="U68" s="233"/>
      <c r="V68" s="233">
        <f>SUM(V69:V72)</f>
        <v>22803</v>
      </c>
      <c r="W68" s="233"/>
      <c r="X68" s="233"/>
      <c r="Y68" s="227"/>
      <c r="Z68" s="233"/>
      <c r="AA68" s="233">
        <f>SUM(AA69:AA72)</f>
        <v>234919</v>
      </c>
      <c r="AB68" s="233"/>
      <c r="AC68" s="233"/>
      <c r="AD68" s="227"/>
      <c r="AE68" s="233"/>
      <c r="AF68" s="233">
        <f>SUM(AF69:AF72)</f>
        <v>201859</v>
      </c>
      <c r="AG68" s="233"/>
      <c r="AH68" s="233"/>
      <c r="AI68" s="227"/>
      <c r="AJ68" s="233"/>
      <c r="AK68" s="233">
        <f>SUM(AK69:AK72)</f>
        <v>601319</v>
      </c>
      <c r="AL68" s="233"/>
      <c r="AM68" s="233"/>
      <c r="AN68" s="227"/>
      <c r="AO68" s="233"/>
      <c r="AP68" s="233">
        <f>SUM(AP69:AP72)</f>
        <v>0</v>
      </c>
      <c r="AQ68" s="233"/>
      <c r="AR68" s="233"/>
      <c r="AS68" s="227"/>
      <c r="AT68" s="233"/>
      <c r="AU68" s="233">
        <f>SUM(AU69:AU72)</f>
        <v>820361</v>
      </c>
      <c r="AV68" s="233"/>
      <c r="AW68" s="233"/>
      <c r="AX68" s="227"/>
      <c r="AY68" s="233"/>
      <c r="AZ68" s="233">
        <f>SUM(AZ69:AZ72)</f>
        <v>373187</v>
      </c>
      <c r="BA68" s="233"/>
      <c r="BB68" s="233"/>
      <c r="BC68" s="227"/>
      <c r="BD68" s="233"/>
      <c r="BE68" s="233">
        <f>SUM(BE69:BE72)</f>
        <v>1016423</v>
      </c>
      <c r="BF68" s="233"/>
      <c r="BG68" s="233"/>
      <c r="BH68" s="227"/>
      <c r="BI68" s="233"/>
      <c r="BJ68" s="233">
        <f>SUM(BJ69:BJ72)</f>
        <v>151995</v>
      </c>
      <c r="BK68" s="233"/>
      <c r="BL68" s="233"/>
      <c r="BM68" s="227"/>
      <c r="BN68" s="233"/>
      <c r="BO68" s="233">
        <f>SUM(BO69:BO72)</f>
        <v>462524</v>
      </c>
      <c r="BP68" s="233"/>
      <c r="BQ68" s="233"/>
      <c r="BR68" s="227"/>
      <c r="BS68" s="233"/>
      <c r="BT68" s="233">
        <f>SUM(BT69:BT72)</f>
        <v>4471814</v>
      </c>
      <c r="BU68" s="233"/>
      <c r="BV68" s="233"/>
      <c r="BW68" s="233"/>
      <c r="BX68" s="254"/>
      <c r="CA68" s="268"/>
      <c r="CB68" s="268"/>
    </row>
    <row r="69" spans="1:80" ht="12.75" customHeight="1" x14ac:dyDescent="0.2">
      <c r="A69" s="244"/>
      <c r="B69" s="244"/>
      <c r="D69" s="254" t="s">
        <v>310</v>
      </c>
      <c r="E69" s="227"/>
      <c r="F69" s="269"/>
      <c r="G69" s="343">
        <v>0</v>
      </c>
      <c r="H69" s="344"/>
      <c r="I69" s="233"/>
      <c r="J69" s="227"/>
      <c r="K69" s="345"/>
      <c r="L69" s="343">
        <f>300000-40111</f>
        <v>259889</v>
      </c>
      <c r="M69" s="344"/>
      <c r="N69" s="233"/>
      <c r="O69" s="227"/>
      <c r="P69" s="345"/>
      <c r="Q69" s="343">
        <f>220000-22496</f>
        <v>197504</v>
      </c>
      <c r="R69" s="344"/>
      <c r="S69" s="233"/>
      <c r="T69" s="227"/>
      <c r="U69" s="345"/>
      <c r="V69" s="343">
        <f>20000-2609</f>
        <v>17391</v>
      </c>
      <c r="W69" s="344"/>
      <c r="X69" s="233"/>
      <c r="Y69" s="227"/>
      <c r="Z69" s="345"/>
      <c r="AA69" s="343">
        <f>205000-25715</f>
        <v>179285</v>
      </c>
      <c r="AB69" s="344"/>
      <c r="AC69" s="233"/>
      <c r="AD69" s="227"/>
      <c r="AE69" s="345"/>
      <c r="AF69" s="343">
        <f>175000-25019</f>
        <v>149981</v>
      </c>
      <c r="AG69" s="344"/>
      <c r="AH69" s="233"/>
      <c r="AI69" s="227"/>
      <c r="AJ69" s="345"/>
      <c r="AK69" s="343">
        <f>520000-76548</f>
        <v>443452</v>
      </c>
      <c r="AL69" s="344"/>
      <c r="AM69" s="233"/>
      <c r="AN69" s="227"/>
      <c r="AO69" s="345"/>
      <c r="AP69" s="343">
        <v>0</v>
      </c>
      <c r="AQ69" s="344"/>
      <c r="AR69" s="233"/>
      <c r="AS69" s="227"/>
      <c r="AT69" s="345"/>
      <c r="AU69" s="343">
        <f>705000-113837</f>
        <v>591163</v>
      </c>
      <c r="AV69" s="344"/>
      <c r="AW69" s="233"/>
      <c r="AX69" s="227"/>
      <c r="AY69" s="345"/>
      <c r="AZ69" s="343">
        <f>320000-52806</f>
        <v>267194</v>
      </c>
      <c r="BA69" s="344"/>
      <c r="BB69" s="233"/>
      <c r="BC69" s="227"/>
      <c r="BD69" s="345"/>
      <c r="BE69" s="343">
        <f>870000-146244</f>
        <v>723756</v>
      </c>
      <c r="BF69" s="344"/>
      <c r="BG69" s="233"/>
      <c r="BH69" s="227"/>
      <c r="BI69" s="345"/>
      <c r="BJ69" s="343">
        <f>130000-20883</f>
        <v>109117</v>
      </c>
      <c r="BK69" s="344"/>
      <c r="BL69" s="233"/>
      <c r="BM69" s="227"/>
      <c r="BN69" s="345"/>
      <c r="BO69" s="343">
        <f>395000-87064</f>
        <v>307936</v>
      </c>
      <c r="BP69" s="344"/>
      <c r="BQ69" s="233"/>
      <c r="BR69" s="227"/>
      <c r="BS69" s="345"/>
      <c r="BT69" s="343">
        <f>SUM(L69:BO69)</f>
        <v>3246668</v>
      </c>
      <c r="BU69" s="344"/>
      <c r="BV69" s="233"/>
      <c r="BW69" s="233"/>
      <c r="BX69" s="254"/>
      <c r="CA69" s="268"/>
      <c r="CB69" s="268"/>
    </row>
    <row r="70" spans="1:80" ht="12.75" customHeight="1" x14ac:dyDescent="0.2">
      <c r="A70" s="244"/>
      <c r="B70" s="244"/>
      <c r="D70" s="254" t="s">
        <v>312</v>
      </c>
      <c r="E70" s="227"/>
      <c r="F70" s="261"/>
      <c r="G70" s="233">
        <v>0</v>
      </c>
      <c r="H70" s="347"/>
      <c r="I70" s="233"/>
      <c r="J70" s="227"/>
      <c r="K70" s="227"/>
      <c r="L70" s="233">
        <v>40111</v>
      </c>
      <c r="M70" s="347"/>
      <c r="N70" s="233"/>
      <c r="O70" s="227"/>
      <c r="P70" s="227"/>
      <c r="Q70" s="233">
        <v>22496</v>
      </c>
      <c r="R70" s="347"/>
      <c r="S70" s="233"/>
      <c r="T70" s="227"/>
      <c r="U70" s="227"/>
      <c r="V70" s="233">
        <v>2609</v>
      </c>
      <c r="W70" s="347"/>
      <c r="X70" s="233"/>
      <c r="Y70" s="227"/>
      <c r="Z70" s="227"/>
      <c r="AA70" s="233">
        <v>25715</v>
      </c>
      <c r="AB70" s="347"/>
      <c r="AC70" s="233"/>
      <c r="AD70" s="227"/>
      <c r="AE70" s="227"/>
      <c r="AF70" s="233">
        <v>25019</v>
      </c>
      <c r="AG70" s="347"/>
      <c r="AH70" s="233"/>
      <c r="AI70" s="227"/>
      <c r="AJ70" s="227"/>
      <c r="AK70" s="233">
        <v>76548</v>
      </c>
      <c r="AL70" s="347"/>
      <c r="AM70" s="233"/>
      <c r="AN70" s="227"/>
      <c r="AO70" s="227"/>
      <c r="AP70" s="233">
        <v>0</v>
      </c>
      <c r="AQ70" s="347"/>
      <c r="AR70" s="233"/>
      <c r="AS70" s="227"/>
      <c r="AT70" s="227"/>
      <c r="AU70" s="233">
        <v>113837</v>
      </c>
      <c r="AV70" s="347"/>
      <c r="AW70" s="233"/>
      <c r="AX70" s="227"/>
      <c r="AY70" s="227"/>
      <c r="AZ70" s="233">
        <v>52806</v>
      </c>
      <c r="BA70" s="347"/>
      <c r="BB70" s="233"/>
      <c r="BC70" s="227"/>
      <c r="BD70" s="227"/>
      <c r="BE70" s="233">
        <f>146244</f>
        <v>146244</v>
      </c>
      <c r="BF70" s="347"/>
      <c r="BG70" s="233"/>
      <c r="BH70" s="227"/>
      <c r="BI70" s="227"/>
      <c r="BJ70" s="233">
        <v>20883</v>
      </c>
      <c r="BK70" s="347"/>
      <c r="BL70" s="233"/>
      <c r="BM70" s="227"/>
      <c r="BN70" s="227"/>
      <c r="BO70" s="233">
        <v>87064</v>
      </c>
      <c r="BP70" s="347"/>
      <c r="BQ70" s="233"/>
      <c r="BR70" s="227"/>
      <c r="BS70" s="227"/>
      <c r="BT70" s="233">
        <f>SUM(L70:BO70)</f>
        <v>613332</v>
      </c>
      <c r="BU70" s="347"/>
      <c r="BV70" s="233"/>
      <c r="BW70" s="233"/>
      <c r="BX70" s="254"/>
      <c r="CA70" s="268"/>
      <c r="CB70" s="268"/>
    </row>
    <row r="71" spans="1:80" ht="12.75" customHeight="1" x14ac:dyDescent="0.2">
      <c r="A71" s="244"/>
      <c r="B71" s="244"/>
      <c r="D71" s="254" t="s">
        <v>313</v>
      </c>
      <c r="E71" s="227"/>
      <c r="F71" s="261"/>
      <c r="G71" s="233">
        <v>0</v>
      </c>
      <c r="H71" s="347"/>
      <c r="I71" s="233"/>
      <c r="J71" s="227"/>
      <c r="K71" s="227"/>
      <c r="L71" s="233">
        <v>0</v>
      </c>
      <c r="M71" s="347"/>
      <c r="N71" s="233"/>
      <c r="O71" s="227"/>
      <c r="P71" s="227"/>
      <c r="Q71" s="233">
        <v>0</v>
      </c>
      <c r="R71" s="347"/>
      <c r="S71" s="233"/>
      <c r="T71" s="227"/>
      <c r="U71" s="227"/>
      <c r="V71" s="233">
        <v>0</v>
      </c>
      <c r="W71" s="347"/>
      <c r="X71" s="233"/>
      <c r="Y71" s="227"/>
      <c r="Z71" s="227"/>
      <c r="AA71" s="233">
        <v>0</v>
      </c>
      <c r="AB71" s="347"/>
      <c r="AC71" s="233"/>
      <c r="AD71" s="227"/>
      <c r="AE71" s="227"/>
      <c r="AF71" s="233">
        <v>0</v>
      </c>
      <c r="AG71" s="347"/>
      <c r="AH71" s="233"/>
      <c r="AI71" s="227"/>
      <c r="AJ71" s="227"/>
      <c r="AK71" s="233">
        <v>0</v>
      </c>
      <c r="AL71" s="347"/>
      <c r="AM71" s="233"/>
      <c r="AN71" s="227"/>
      <c r="AO71" s="227"/>
      <c r="AP71" s="233">
        <v>0</v>
      </c>
      <c r="AQ71" s="347"/>
      <c r="AR71" s="233"/>
      <c r="AS71" s="227"/>
      <c r="AT71" s="227"/>
      <c r="AU71" s="233">
        <v>0</v>
      </c>
      <c r="AV71" s="347"/>
      <c r="AW71" s="233"/>
      <c r="AX71" s="227"/>
      <c r="AY71" s="227"/>
      <c r="AZ71" s="233">
        <v>0</v>
      </c>
      <c r="BA71" s="347"/>
      <c r="BB71" s="233"/>
      <c r="BC71" s="227"/>
      <c r="BD71" s="227"/>
      <c r="BE71" s="233">
        <v>0</v>
      </c>
      <c r="BF71" s="347"/>
      <c r="BG71" s="233"/>
      <c r="BH71" s="227"/>
      <c r="BI71" s="227"/>
      <c r="BJ71" s="233">
        <v>0</v>
      </c>
      <c r="BK71" s="347"/>
      <c r="BL71" s="233"/>
      <c r="BM71" s="227"/>
      <c r="BN71" s="227"/>
      <c r="BO71" s="233">
        <v>0</v>
      </c>
      <c r="BP71" s="347"/>
      <c r="BQ71" s="233"/>
      <c r="BR71" s="227"/>
      <c r="BS71" s="227"/>
      <c r="BT71" s="233">
        <f>SUM(L71:BO71)</f>
        <v>0</v>
      </c>
      <c r="BU71" s="347"/>
      <c r="BV71" s="233"/>
      <c r="BW71" s="233"/>
      <c r="BX71" s="254"/>
      <c r="CA71" s="268"/>
      <c r="CB71" s="268"/>
    </row>
    <row r="72" spans="1:80" ht="12.75" customHeight="1" x14ac:dyDescent="0.2">
      <c r="A72" s="244"/>
      <c r="B72" s="244"/>
      <c r="D72" s="254" t="s">
        <v>314</v>
      </c>
      <c r="E72" s="227"/>
      <c r="F72" s="284"/>
      <c r="G72" s="355">
        <v>0</v>
      </c>
      <c r="H72" s="356"/>
      <c r="I72" s="233"/>
      <c r="J72" s="227"/>
      <c r="K72" s="357"/>
      <c r="L72" s="355">
        <v>37942</v>
      </c>
      <c r="M72" s="356"/>
      <c r="N72" s="233"/>
      <c r="O72" s="227"/>
      <c r="P72" s="357"/>
      <c r="Q72" s="355">
        <v>28482</v>
      </c>
      <c r="R72" s="356"/>
      <c r="S72" s="233"/>
      <c r="T72" s="227"/>
      <c r="U72" s="357"/>
      <c r="V72" s="355">
        <v>2803</v>
      </c>
      <c r="W72" s="356"/>
      <c r="X72" s="233"/>
      <c r="Y72" s="227"/>
      <c r="Z72" s="357"/>
      <c r="AA72" s="355">
        <v>29919</v>
      </c>
      <c r="AB72" s="356"/>
      <c r="AC72" s="233"/>
      <c r="AD72" s="227"/>
      <c r="AE72" s="357"/>
      <c r="AF72" s="355">
        <v>26859</v>
      </c>
      <c r="AG72" s="356"/>
      <c r="AH72" s="233"/>
      <c r="AI72" s="227"/>
      <c r="AJ72" s="357"/>
      <c r="AK72" s="355">
        <v>81319</v>
      </c>
      <c r="AL72" s="356"/>
      <c r="AM72" s="233"/>
      <c r="AN72" s="227"/>
      <c r="AO72" s="357"/>
      <c r="AP72" s="355">
        <v>0</v>
      </c>
      <c r="AQ72" s="356"/>
      <c r="AR72" s="233"/>
      <c r="AS72" s="227"/>
      <c r="AT72" s="357"/>
      <c r="AU72" s="355">
        <v>115361</v>
      </c>
      <c r="AV72" s="356"/>
      <c r="AW72" s="233"/>
      <c r="AX72" s="227"/>
      <c r="AY72" s="357"/>
      <c r="AZ72" s="355">
        <v>53187</v>
      </c>
      <c r="BA72" s="356"/>
      <c r="BB72" s="233"/>
      <c r="BC72" s="227"/>
      <c r="BD72" s="357"/>
      <c r="BE72" s="355">
        <v>146423</v>
      </c>
      <c r="BF72" s="356"/>
      <c r="BG72" s="233"/>
      <c r="BH72" s="227"/>
      <c r="BI72" s="357"/>
      <c r="BJ72" s="355">
        <v>21995</v>
      </c>
      <c r="BK72" s="356"/>
      <c r="BL72" s="233"/>
      <c r="BM72" s="227"/>
      <c r="BN72" s="357"/>
      <c r="BO72" s="355">
        <v>67524</v>
      </c>
      <c r="BP72" s="356"/>
      <c r="BQ72" s="233"/>
      <c r="BR72" s="227"/>
      <c r="BS72" s="357"/>
      <c r="BT72" s="355">
        <f>SUM(L72:BO72)</f>
        <v>611814</v>
      </c>
      <c r="BU72" s="356"/>
      <c r="BV72" s="233"/>
      <c r="BW72" s="233"/>
      <c r="BX72" s="254"/>
      <c r="CA72" s="268"/>
      <c r="CB72" s="268"/>
    </row>
    <row r="73" spans="1:80" ht="12.75" customHeight="1" x14ac:dyDescent="0.2">
      <c r="A73" s="244"/>
      <c r="B73" s="244"/>
      <c r="D73" s="254"/>
      <c r="E73" s="227"/>
      <c r="F73" s="244"/>
      <c r="G73" s="233"/>
      <c r="H73" s="233"/>
      <c r="I73" s="233"/>
      <c r="J73" s="227"/>
      <c r="K73" s="233"/>
      <c r="L73" s="233"/>
      <c r="M73" s="233"/>
      <c r="N73" s="233"/>
      <c r="O73" s="227"/>
      <c r="P73" s="233"/>
      <c r="Q73" s="233"/>
      <c r="R73" s="233"/>
      <c r="S73" s="233"/>
      <c r="T73" s="227"/>
      <c r="U73" s="233"/>
      <c r="V73" s="233"/>
      <c r="W73" s="233"/>
      <c r="X73" s="233"/>
      <c r="Y73" s="227"/>
      <c r="Z73" s="233"/>
      <c r="AA73" s="233"/>
      <c r="AB73" s="233"/>
      <c r="AC73" s="233"/>
      <c r="AD73" s="227"/>
      <c r="AE73" s="233"/>
      <c r="AF73" s="233"/>
      <c r="AG73" s="233"/>
      <c r="AH73" s="233"/>
      <c r="AI73" s="227"/>
      <c r="AJ73" s="233"/>
      <c r="AK73" s="233"/>
      <c r="AL73" s="233"/>
      <c r="AM73" s="233"/>
      <c r="AN73" s="227"/>
      <c r="AO73" s="233"/>
      <c r="AP73" s="233"/>
      <c r="AQ73" s="233"/>
      <c r="AR73" s="233"/>
      <c r="AS73" s="227"/>
      <c r="AT73" s="233"/>
      <c r="AU73" s="233"/>
      <c r="AV73" s="233"/>
      <c r="AW73" s="233"/>
      <c r="AX73" s="227"/>
      <c r="AY73" s="233"/>
      <c r="AZ73" s="233"/>
      <c r="BA73" s="233"/>
      <c r="BB73" s="233"/>
      <c r="BC73" s="227"/>
      <c r="BD73" s="233"/>
      <c r="BE73" s="233"/>
      <c r="BF73" s="233"/>
      <c r="BG73" s="233"/>
      <c r="BH73" s="227"/>
      <c r="BI73" s="233"/>
      <c r="BJ73" s="233"/>
      <c r="BK73" s="233"/>
      <c r="BL73" s="233"/>
      <c r="BM73" s="227"/>
      <c r="BN73" s="233"/>
      <c r="BO73" s="233"/>
      <c r="BP73" s="233"/>
      <c r="BQ73" s="233"/>
      <c r="BR73" s="227"/>
      <c r="BS73" s="233"/>
      <c r="BT73" s="233"/>
      <c r="BU73" s="233"/>
      <c r="BV73" s="233"/>
      <c r="BW73" s="233"/>
      <c r="BX73" s="254"/>
      <c r="CA73" s="268"/>
      <c r="CB73" s="268"/>
    </row>
    <row r="74" spans="1:80" ht="12.75" customHeight="1" x14ac:dyDescent="0.2">
      <c r="A74" s="244"/>
      <c r="B74" s="244"/>
      <c r="D74" s="254" t="s">
        <v>324</v>
      </c>
      <c r="E74" s="227"/>
      <c r="F74" s="244"/>
      <c r="G74" s="233">
        <f>SUM(G75:G77)</f>
        <v>0</v>
      </c>
      <c r="H74" s="233"/>
      <c r="I74" s="233"/>
      <c r="J74" s="227"/>
      <c r="K74" s="233"/>
      <c r="L74" s="233">
        <f>SUM(L75:L77)</f>
        <v>0</v>
      </c>
      <c r="M74" s="233"/>
      <c r="N74" s="233"/>
      <c r="O74" s="227"/>
      <c r="P74" s="233"/>
      <c r="Q74" s="233">
        <f>SUM(Q75:Q77)</f>
        <v>1781</v>
      </c>
      <c r="R74" s="233"/>
      <c r="S74" s="233"/>
      <c r="T74" s="227"/>
      <c r="U74" s="233"/>
      <c r="V74" s="233">
        <f>SUM(V75:V77)</f>
        <v>0</v>
      </c>
      <c r="W74" s="233"/>
      <c r="X74" s="233"/>
      <c r="Y74" s="227"/>
      <c r="Z74" s="233"/>
      <c r="AA74" s="233">
        <f>SUM(AA75:AA77)</f>
        <v>0</v>
      </c>
      <c r="AB74" s="233"/>
      <c r="AC74" s="233"/>
      <c r="AD74" s="227"/>
      <c r="AE74" s="233"/>
      <c r="AF74" s="233">
        <f>SUM(AF75:AF77)</f>
        <v>0</v>
      </c>
      <c r="AG74" s="233"/>
      <c r="AH74" s="233"/>
      <c r="AI74" s="227"/>
      <c r="AJ74" s="233"/>
      <c r="AK74" s="233">
        <f>SUM(AK75:AK77)</f>
        <v>0</v>
      </c>
      <c r="AL74" s="233"/>
      <c r="AM74" s="233"/>
      <c r="AN74" s="227"/>
      <c r="AO74" s="233"/>
      <c r="AP74" s="233">
        <f>SUM(AP75:AP77)</f>
        <v>0</v>
      </c>
      <c r="AQ74" s="233"/>
      <c r="AR74" s="233"/>
      <c r="AS74" s="227"/>
      <c r="AT74" s="233"/>
      <c r="AU74" s="233">
        <f>SUM(AU75:AU77)</f>
        <v>0</v>
      </c>
      <c r="AV74" s="233"/>
      <c r="AW74" s="233"/>
      <c r="AX74" s="227"/>
      <c r="AY74" s="233"/>
      <c r="AZ74" s="233">
        <f>SUM(AZ75:AZ77)</f>
        <v>0</v>
      </c>
      <c r="BA74" s="233"/>
      <c r="BB74" s="233"/>
      <c r="BC74" s="227"/>
      <c r="BD74" s="233"/>
      <c r="BE74" s="233">
        <f>SUM(BE75:BE77)</f>
        <v>0</v>
      </c>
      <c r="BF74" s="233"/>
      <c r="BG74" s="233"/>
      <c r="BH74" s="227"/>
      <c r="BI74" s="233"/>
      <c r="BJ74" s="233">
        <f>SUM(BJ75:BJ77)</f>
        <v>0</v>
      </c>
      <c r="BK74" s="233"/>
      <c r="BL74" s="233"/>
      <c r="BM74" s="227"/>
      <c r="BN74" s="233"/>
      <c r="BO74" s="233">
        <f>SUM(BO75:BO77)</f>
        <v>0</v>
      </c>
      <c r="BP74" s="233"/>
      <c r="BQ74" s="233"/>
      <c r="BR74" s="227"/>
      <c r="BS74" s="233"/>
      <c r="BT74" s="233">
        <f>SUM(BT75:BT77)</f>
        <v>1781</v>
      </c>
      <c r="BU74" s="233"/>
      <c r="BV74" s="233"/>
      <c r="BW74" s="233"/>
      <c r="BX74" s="254"/>
      <c r="CA74" s="268"/>
      <c r="CB74" s="268"/>
    </row>
    <row r="75" spans="1:80" ht="12.75" customHeight="1" x14ac:dyDescent="0.2">
      <c r="A75" s="244"/>
      <c r="B75" s="244"/>
      <c r="D75" s="254" t="s">
        <v>310</v>
      </c>
      <c r="E75" s="227"/>
      <c r="F75" s="269"/>
      <c r="G75" s="343">
        <v>0</v>
      </c>
      <c r="H75" s="344"/>
      <c r="I75" s="233"/>
      <c r="J75" s="227"/>
      <c r="K75" s="345"/>
      <c r="L75" s="343">
        <v>0</v>
      </c>
      <c r="M75" s="344"/>
      <c r="N75" s="233"/>
      <c r="O75" s="227"/>
      <c r="P75" s="345"/>
      <c r="Q75" s="343">
        <f>1781-492</f>
        <v>1289</v>
      </c>
      <c r="R75" s="344"/>
      <c r="S75" s="233"/>
      <c r="T75" s="227"/>
      <c r="U75" s="345"/>
      <c r="V75" s="343">
        <v>0</v>
      </c>
      <c r="W75" s="344"/>
      <c r="X75" s="233"/>
      <c r="Y75" s="227"/>
      <c r="Z75" s="345"/>
      <c r="AA75" s="343">
        <v>0</v>
      </c>
      <c r="AB75" s="344"/>
      <c r="AC75" s="233"/>
      <c r="AD75" s="227"/>
      <c r="AE75" s="345"/>
      <c r="AF75" s="343">
        <v>0</v>
      </c>
      <c r="AG75" s="344"/>
      <c r="AH75" s="233"/>
      <c r="AI75" s="227"/>
      <c r="AJ75" s="345"/>
      <c r="AK75" s="343">
        <v>0</v>
      </c>
      <c r="AL75" s="344"/>
      <c r="AM75" s="233"/>
      <c r="AN75" s="227"/>
      <c r="AO75" s="345"/>
      <c r="AP75" s="343">
        <v>0</v>
      </c>
      <c r="AQ75" s="344"/>
      <c r="AR75" s="233"/>
      <c r="AS75" s="227"/>
      <c r="AT75" s="345"/>
      <c r="AU75" s="343">
        <v>0</v>
      </c>
      <c r="AV75" s="344"/>
      <c r="AW75" s="233"/>
      <c r="AX75" s="227"/>
      <c r="AY75" s="345"/>
      <c r="AZ75" s="343">
        <v>0</v>
      </c>
      <c r="BA75" s="344"/>
      <c r="BB75" s="233"/>
      <c r="BC75" s="227"/>
      <c r="BD75" s="345"/>
      <c r="BE75" s="343">
        <v>0</v>
      </c>
      <c r="BF75" s="344"/>
      <c r="BG75" s="233"/>
      <c r="BH75" s="227"/>
      <c r="BI75" s="345"/>
      <c r="BJ75" s="343">
        <v>0</v>
      </c>
      <c r="BK75" s="344"/>
      <c r="BL75" s="233"/>
      <c r="BM75" s="227"/>
      <c r="BN75" s="345"/>
      <c r="BO75" s="343">
        <v>0</v>
      </c>
      <c r="BP75" s="344"/>
      <c r="BQ75" s="233"/>
      <c r="BR75" s="227"/>
      <c r="BS75" s="345"/>
      <c r="BT75" s="343">
        <f>SUM(L75:BO75)</f>
        <v>1289</v>
      </c>
      <c r="BU75" s="344"/>
      <c r="BV75" s="233"/>
      <c r="BW75" s="233"/>
      <c r="BX75" s="254"/>
      <c r="CA75" s="268"/>
      <c r="CB75" s="268"/>
    </row>
    <row r="76" spans="1:80" ht="12.75" customHeight="1" x14ac:dyDescent="0.2">
      <c r="A76" s="244"/>
      <c r="B76" s="244"/>
      <c r="D76" s="254" t="s">
        <v>312</v>
      </c>
      <c r="E76" s="227"/>
      <c r="F76" s="261"/>
      <c r="G76" s="233">
        <v>0</v>
      </c>
      <c r="H76" s="347"/>
      <c r="I76" s="233"/>
      <c r="J76" s="227"/>
      <c r="K76" s="227"/>
      <c r="L76" s="233">
        <v>0</v>
      </c>
      <c r="M76" s="347"/>
      <c r="N76" s="233"/>
      <c r="O76" s="227"/>
      <c r="P76" s="227"/>
      <c r="Q76" s="233">
        <v>492</v>
      </c>
      <c r="R76" s="347"/>
      <c r="S76" s="233"/>
      <c r="T76" s="227"/>
      <c r="U76" s="227"/>
      <c r="V76" s="233">
        <v>0</v>
      </c>
      <c r="W76" s="347"/>
      <c r="X76" s="233"/>
      <c r="Y76" s="227"/>
      <c r="Z76" s="227"/>
      <c r="AA76" s="233">
        <v>0</v>
      </c>
      <c r="AB76" s="347"/>
      <c r="AC76" s="233"/>
      <c r="AD76" s="227"/>
      <c r="AE76" s="227"/>
      <c r="AF76" s="233">
        <v>0</v>
      </c>
      <c r="AG76" s="347"/>
      <c r="AH76" s="233"/>
      <c r="AI76" s="227"/>
      <c r="AJ76" s="227"/>
      <c r="AK76" s="233">
        <v>0</v>
      </c>
      <c r="AL76" s="347"/>
      <c r="AM76" s="233"/>
      <c r="AN76" s="227"/>
      <c r="AO76" s="227"/>
      <c r="AP76" s="233">
        <v>0</v>
      </c>
      <c r="AQ76" s="347"/>
      <c r="AR76" s="233"/>
      <c r="AS76" s="227"/>
      <c r="AT76" s="227"/>
      <c r="AU76" s="233">
        <v>0</v>
      </c>
      <c r="AV76" s="347"/>
      <c r="AW76" s="233"/>
      <c r="AX76" s="227"/>
      <c r="AY76" s="227"/>
      <c r="AZ76" s="233">
        <v>0</v>
      </c>
      <c r="BA76" s="347"/>
      <c r="BB76" s="233"/>
      <c r="BC76" s="227"/>
      <c r="BD76" s="227"/>
      <c r="BE76" s="233">
        <v>0</v>
      </c>
      <c r="BF76" s="347"/>
      <c r="BG76" s="233"/>
      <c r="BH76" s="227"/>
      <c r="BI76" s="227"/>
      <c r="BJ76" s="233">
        <v>0</v>
      </c>
      <c r="BK76" s="347"/>
      <c r="BL76" s="233"/>
      <c r="BM76" s="227"/>
      <c r="BN76" s="227"/>
      <c r="BO76" s="233">
        <v>0</v>
      </c>
      <c r="BP76" s="347"/>
      <c r="BQ76" s="233"/>
      <c r="BR76" s="227"/>
      <c r="BS76" s="227"/>
      <c r="BT76" s="233">
        <f>SUM(L76:BO76)</f>
        <v>492</v>
      </c>
      <c r="BU76" s="347"/>
      <c r="BV76" s="233"/>
      <c r="BW76" s="233"/>
      <c r="BX76" s="254"/>
      <c r="CA76" s="268"/>
      <c r="CB76" s="268"/>
    </row>
    <row r="77" spans="1:80" ht="12.75" customHeight="1" x14ac:dyDescent="0.2">
      <c r="A77" s="244"/>
      <c r="B77" s="244"/>
      <c r="D77" s="254" t="s">
        <v>320</v>
      </c>
      <c r="E77" s="227"/>
      <c r="F77" s="284"/>
      <c r="G77" s="355">
        <v>0</v>
      </c>
      <c r="H77" s="356"/>
      <c r="I77" s="233"/>
      <c r="J77" s="227"/>
      <c r="K77" s="357"/>
      <c r="L77" s="355">
        <v>0</v>
      </c>
      <c r="M77" s="356"/>
      <c r="N77" s="233"/>
      <c r="O77" s="227"/>
      <c r="P77" s="357"/>
      <c r="Q77" s="355">
        <v>0</v>
      </c>
      <c r="R77" s="356"/>
      <c r="S77" s="233"/>
      <c r="T77" s="227"/>
      <c r="U77" s="357"/>
      <c r="V77" s="355">
        <v>0</v>
      </c>
      <c r="W77" s="356"/>
      <c r="X77" s="233"/>
      <c r="Y77" s="227"/>
      <c r="Z77" s="357"/>
      <c r="AA77" s="355">
        <v>0</v>
      </c>
      <c r="AB77" s="356"/>
      <c r="AC77" s="233"/>
      <c r="AD77" s="227"/>
      <c r="AE77" s="357"/>
      <c r="AF77" s="355">
        <v>0</v>
      </c>
      <c r="AG77" s="356"/>
      <c r="AH77" s="233"/>
      <c r="AI77" s="227"/>
      <c r="AJ77" s="357"/>
      <c r="AK77" s="355">
        <v>0</v>
      </c>
      <c r="AL77" s="356"/>
      <c r="AM77" s="233"/>
      <c r="AN77" s="227"/>
      <c r="AO77" s="357"/>
      <c r="AP77" s="355">
        <v>0</v>
      </c>
      <c r="AQ77" s="356"/>
      <c r="AR77" s="233"/>
      <c r="AS77" s="227"/>
      <c r="AT77" s="357"/>
      <c r="AU77" s="355">
        <v>0</v>
      </c>
      <c r="AV77" s="356"/>
      <c r="AW77" s="233"/>
      <c r="AX77" s="227"/>
      <c r="AY77" s="357"/>
      <c r="AZ77" s="355">
        <v>0</v>
      </c>
      <c r="BA77" s="356"/>
      <c r="BB77" s="233"/>
      <c r="BC77" s="227"/>
      <c r="BD77" s="357"/>
      <c r="BE77" s="355">
        <v>0</v>
      </c>
      <c r="BF77" s="356"/>
      <c r="BG77" s="233"/>
      <c r="BH77" s="227"/>
      <c r="BI77" s="357"/>
      <c r="BJ77" s="355">
        <v>0</v>
      </c>
      <c r="BK77" s="356"/>
      <c r="BL77" s="233"/>
      <c r="BM77" s="227"/>
      <c r="BN77" s="357"/>
      <c r="BO77" s="355">
        <v>0</v>
      </c>
      <c r="BP77" s="356"/>
      <c r="BQ77" s="233"/>
      <c r="BR77" s="227"/>
      <c r="BS77" s="357"/>
      <c r="BT77" s="355">
        <f>SUM(L77:BO77)</f>
        <v>0</v>
      </c>
      <c r="BU77" s="356"/>
      <c r="BV77" s="233"/>
      <c r="BW77" s="233"/>
      <c r="BX77" s="254"/>
      <c r="CA77" s="268"/>
      <c r="CB77" s="268"/>
    </row>
    <row r="78" spans="1:80" s="244" customFormat="1" ht="12.75" customHeight="1" x14ac:dyDescent="0.2">
      <c r="D78" s="358"/>
      <c r="E78" s="290"/>
      <c r="F78" s="291"/>
      <c r="G78" s="289"/>
      <c r="H78" s="289"/>
      <c r="I78" s="289"/>
      <c r="J78" s="288"/>
      <c r="K78" s="289"/>
      <c r="L78" s="289"/>
      <c r="M78" s="289"/>
      <c r="N78" s="289"/>
      <c r="O78" s="288"/>
      <c r="P78" s="289"/>
      <c r="Q78" s="289"/>
      <c r="R78" s="289"/>
      <c r="S78" s="289"/>
      <c r="T78" s="288"/>
      <c r="U78" s="289"/>
      <c r="V78" s="289"/>
      <c r="W78" s="289"/>
      <c r="X78" s="289"/>
      <c r="Y78" s="288"/>
      <c r="Z78" s="289"/>
      <c r="AA78" s="289"/>
      <c r="AB78" s="289"/>
      <c r="AC78" s="289"/>
      <c r="AD78" s="288"/>
      <c r="AE78" s="289"/>
      <c r="AF78" s="289"/>
      <c r="AG78" s="289"/>
      <c r="AH78" s="289"/>
      <c r="AI78" s="288"/>
      <c r="AJ78" s="289"/>
      <c r="AK78" s="289"/>
      <c r="AL78" s="289"/>
      <c r="AM78" s="289"/>
      <c r="AN78" s="288"/>
      <c r="AO78" s="289"/>
      <c r="AP78" s="289"/>
      <c r="AQ78" s="289"/>
      <c r="AR78" s="289"/>
      <c r="AS78" s="288"/>
      <c r="AT78" s="289"/>
      <c r="AU78" s="289"/>
      <c r="AV78" s="289"/>
      <c r="AW78" s="289"/>
      <c r="AX78" s="288"/>
      <c r="AY78" s="289"/>
      <c r="AZ78" s="289"/>
      <c r="BA78" s="289"/>
      <c r="BB78" s="289"/>
      <c r="BC78" s="288"/>
      <c r="BD78" s="289"/>
      <c r="BE78" s="289"/>
      <c r="BF78" s="289"/>
      <c r="BG78" s="289"/>
      <c r="BH78" s="288"/>
      <c r="BI78" s="289"/>
      <c r="BJ78" s="289"/>
      <c r="BK78" s="289"/>
      <c r="BL78" s="289"/>
      <c r="BM78" s="288"/>
      <c r="BN78" s="289"/>
      <c r="BO78" s="289"/>
      <c r="BP78" s="289"/>
      <c r="BQ78" s="289"/>
      <c r="BR78" s="288"/>
      <c r="BS78" s="289"/>
      <c r="BT78" s="289"/>
      <c r="BU78" s="289"/>
      <c r="BV78" s="289"/>
      <c r="BW78" s="291"/>
      <c r="BX78" s="254"/>
      <c r="CA78" s="268"/>
      <c r="CB78" s="268"/>
    </row>
    <row r="79" spans="1:80" ht="12.75" hidden="1" customHeight="1" x14ac:dyDescent="0.2">
      <c r="A79" s="244"/>
      <c r="B79" s="244"/>
      <c r="D79" s="254" t="s">
        <v>325</v>
      </c>
      <c r="E79" s="227"/>
      <c r="F79" s="244"/>
      <c r="G79" s="233">
        <f>SUM(G80:G83)</f>
        <v>0</v>
      </c>
      <c r="H79" s="233"/>
      <c r="I79" s="233"/>
      <c r="J79" s="227"/>
      <c r="K79" s="233"/>
      <c r="L79" s="233">
        <f>SUM(L80:L83)</f>
        <v>0</v>
      </c>
      <c r="M79" s="233"/>
      <c r="N79" s="233"/>
      <c r="O79" s="227"/>
      <c r="P79" s="233"/>
      <c r="Q79" s="233">
        <f>SUM(Q80:Q83)</f>
        <v>0</v>
      </c>
      <c r="R79" s="233"/>
      <c r="S79" s="233"/>
      <c r="T79" s="227"/>
      <c r="U79" s="233"/>
      <c r="V79" s="233">
        <f>SUM(V80:V83)</f>
        <v>0</v>
      </c>
      <c r="W79" s="233"/>
      <c r="X79" s="233"/>
      <c r="Y79" s="227"/>
      <c r="Z79" s="233"/>
      <c r="AA79" s="233">
        <f>SUM(AA80:AA83)</f>
        <v>0</v>
      </c>
      <c r="AB79" s="233"/>
      <c r="AC79" s="233"/>
      <c r="AD79" s="227"/>
      <c r="AE79" s="233"/>
      <c r="AF79" s="233">
        <f>SUM(AF80:AF83)</f>
        <v>0</v>
      </c>
      <c r="AG79" s="233"/>
      <c r="AH79" s="233"/>
      <c r="AI79" s="227"/>
      <c r="AJ79" s="233"/>
      <c r="AK79" s="233">
        <f>SUM(AK80:AK83)</f>
        <v>0</v>
      </c>
      <c r="AL79" s="233"/>
      <c r="AM79" s="233"/>
      <c r="AN79" s="227"/>
      <c r="AO79" s="233"/>
      <c r="AP79" s="233">
        <f>SUM(AP80:AP83)</f>
        <v>0</v>
      </c>
      <c r="AQ79" s="233"/>
      <c r="AR79" s="233"/>
      <c r="AS79" s="227"/>
      <c r="AT79" s="233"/>
      <c r="AU79" s="233">
        <f>SUM(AU80:AU83)</f>
        <v>0</v>
      </c>
      <c r="AV79" s="233"/>
      <c r="AW79" s="233"/>
      <c r="AX79" s="227"/>
      <c r="AY79" s="233"/>
      <c r="AZ79" s="233">
        <f>SUM(AZ80:AZ83)</f>
        <v>0</v>
      </c>
      <c r="BA79" s="233"/>
      <c r="BB79" s="233"/>
      <c r="BC79" s="227"/>
      <c r="BD79" s="233"/>
      <c r="BE79" s="233">
        <f>SUM(BE80:BE83)</f>
        <v>0</v>
      </c>
      <c r="BF79" s="233"/>
      <c r="BG79" s="233"/>
      <c r="BH79" s="227"/>
      <c r="BI79" s="233"/>
      <c r="BJ79" s="233">
        <f>SUM(BJ80:BJ83)</f>
        <v>0</v>
      </c>
      <c r="BK79" s="233"/>
      <c r="BL79" s="233"/>
      <c r="BM79" s="227"/>
      <c r="BN79" s="233"/>
      <c r="BO79" s="233">
        <f>SUM(BO80:BO83)</f>
        <v>0</v>
      </c>
      <c r="BP79" s="233"/>
      <c r="BQ79" s="233"/>
      <c r="BR79" s="227"/>
      <c r="BS79" s="233"/>
      <c r="BT79" s="233">
        <f>SUM(BT80:BT83)</f>
        <v>0</v>
      </c>
      <c r="BU79" s="233"/>
      <c r="BV79" s="233"/>
      <c r="BW79" s="233"/>
      <c r="BX79" s="254"/>
      <c r="CA79" s="268"/>
      <c r="CB79" s="268"/>
    </row>
    <row r="80" spans="1:80" ht="12.75" hidden="1" customHeight="1" x14ac:dyDescent="0.2">
      <c r="A80" s="244"/>
      <c r="B80" s="244"/>
      <c r="D80" s="353" t="s">
        <v>310</v>
      </c>
      <c r="E80" s="227"/>
      <c r="F80" s="269"/>
      <c r="G80" s="343">
        <v>0</v>
      </c>
      <c r="H80" s="344"/>
      <c r="I80" s="233"/>
      <c r="J80" s="227"/>
      <c r="K80" s="345"/>
      <c r="L80" s="343">
        <v>0</v>
      </c>
      <c r="M80" s="344"/>
      <c r="N80" s="233"/>
      <c r="O80" s="227"/>
      <c r="P80" s="345"/>
      <c r="Q80" s="343">
        <v>0</v>
      </c>
      <c r="R80" s="344"/>
      <c r="S80" s="233"/>
      <c r="T80" s="227"/>
      <c r="U80" s="345"/>
      <c r="V80" s="343">
        <v>0</v>
      </c>
      <c r="W80" s="344"/>
      <c r="X80" s="233"/>
      <c r="Y80" s="227"/>
      <c r="Z80" s="345"/>
      <c r="AA80" s="343">
        <v>0</v>
      </c>
      <c r="AB80" s="344"/>
      <c r="AC80" s="233"/>
      <c r="AD80" s="227"/>
      <c r="AE80" s="345"/>
      <c r="AF80" s="343">
        <v>0</v>
      </c>
      <c r="AG80" s="344"/>
      <c r="AH80" s="233"/>
      <c r="AI80" s="227"/>
      <c r="AJ80" s="345"/>
      <c r="AK80" s="343">
        <v>0</v>
      </c>
      <c r="AL80" s="344"/>
      <c r="AM80" s="233"/>
      <c r="AN80" s="227"/>
      <c r="AO80" s="345"/>
      <c r="AP80" s="343">
        <v>0</v>
      </c>
      <c r="AQ80" s="344"/>
      <c r="AR80" s="233"/>
      <c r="AS80" s="227"/>
      <c r="AT80" s="345"/>
      <c r="AU80" s="343">
        <v>0</v>
      </c>
      <c r="AV80" s="344"/>
      <c r="AW80" s="233"/>
      <c r="AX80" s="227"/>
      <c r="AY80" s="345"/>
      <c r="AZ80" s="343">
        <v>0</v>
      </c>
      <c r="BA80" s="344"/>
      <c r="BB80" s="233"/>
      <c r="BC80" s="227"/>
      <c r="BD80" s="345"/>
      <c r="BE80" s="343">
        <v>0</v>
      </c>
      <c r="BF80" s="344"/>
      <c r="BG80" s="233"/>
      <c r="BH80" s="227"/>
      <c r="BI80" s="345"/>
      <c r="BJ80" s="343">
        <v>0</v>
      </c>
      <c r="BK80" s="344"/>
      <c r="BL80" s="233"/>
      <c r="BM80" s="227"/>
      <c r="BN80" s="345"/>
      <c r="BO80" s="343">
        <v>0</v>
      </c>
      <c r="BP80" s="344"/>
      <c r="BQ80" s="233"/>
      <c r="BR80" s="227"/>
      <c r="BS80" s="345"/>
      <c r="BT80" s="343">
        <f>SUM(L80:BO80)</f>
        <v>0</v>
      </c>
      <c r="BU80" s="344"/>
      <c r="BV80" s="233"/>
      <c r="BW80" s="233"/>
      <c r="BX80" s="254"/>
      <c r="CA80" s="268"/>
      <c r="CB80" s="268"/>
    </row>
    <row r="81" spans="1:80" ht="12.75" hidden="1" customHeight="1" x14ac:dyDescent="0.2">
      <c r="A81" s="244"/>
      <c r="B81" s="244"/>
      <c r="D81" s="353" t="s">
        <v>312</v>
      </c>
      <c r="E81" s="227"/>
      <c r="F81" s="261"/>
      <c r="G81" s="233">
        <v>0</v>
      </c>
      <c r="H81" s="347"/>
      <c r="I81" s="233"/>
      <c r="J81" s="227"/>
      <c r="K81" s="227"/>
      <c r="L81" s="233">
        <v>0</v>
      </c>
      <c r="M81" s="347"/>
      <c r="N81" s="233"/>
      <c r="O81" s="227"/>
      <c r="P81" s="227"/>
      <c r="Q81" s="233">
        <v>0</v>
      </c>
      <c r="R81" s="347"/>
      <c r="S81" s="233"/>
      <c r="T81" s="227"/>
      <c r="U81" s="227"/>
      <c r="V81" s="233">
        <v>0</v>
      </c>
      <c r="W81" s="347"/>
      <c r="X81" s="233"/>
      <c r="Y81" s="227"/>
      <c r="Z81" s="227"/>
      <c r="AA81" s="233">
        <v>0</v>
      </c>
      <c r="AB81" s="347"/>
      <c r="AC81" s="233"/>
      <c r="AD81" s="227"/>
      <c r="AE81" s="227"/>
      <c r="AF81" s="233">
        <v>0</v>
      </c>
      <c r="AG81" s="347"/>
      <c r="AH81" s="233"/>
      <c r="AI81" s="227"/>
      <c r="AJ81" s="227"/>
      <c r="AK81" s="233">
        <v>0</v>
      </c>
      <c r="AL81" s="347"/>
      <c r="AM81" s="233"/>
      <c r="AN81" s="227"/>
      <c r="AO81" s="227"/>
      <c r="AP81" s="233">
        <v>0</v>
      </c>
      <c r="AQ81" s="347"/>
      <c r="AR81" s="233"/>
      <c r="AS81" s="227"/>
      <c r="AT81" s="227"/>
      <c r="AU81" s="233">
        <v>0</v>
      </c>
      <c r="AV81" s="347"/>
      <c r="AW81" s="233"/>
      <c r="AX81" s="227"/>
      <c r="AY81" s="227"/>
      <c r="AZ81" s="233">
        <v>0</v>
      </c>
      <c r="BA81" s="347"/>
      <c r="BB81" s="233"/>
      <c r="BC81" s="227"/>
      <c r="BD81" s="227"/>
      <c r="BE81" s="233">
        <v>0</v>
      </c>
      <c r="BF81" s="347"/>
      <c r="BG81" s="233"/>
      <c r="BH81" s="227"/>
      <c r="BI81" s="227"/>
      <c r="BJ81" s="233">
        <v>0</v>
      </c>
      <c r="BK81" s="347"/>
      <c r="BL81" s="233"/>
      <c r="BM81" s="227"/>
      <c r="BN81" s="227"/>
      <c r="BO81" s="233">
        <v>0</v>
      </c>
      <c r="BP81" s="347"/>
      <c r="BQ81" s="233"/>
      <c r="BR81" s="227"/>
      <c r="BS81" s="227"/>
      <c r="BT81" s="233">
        <f>SUM(L81:BO81)</f>
        <v>0</v>
      </c>
      <c r="BU81" s="347"/>
      <c r="BV81" s="233"/>
      <c r="BW81" s="233"/>
      <c r="BX81" s="254"/>
      <c r="CA81" s="268"/>
      <c r="CB81" s="268"/>
    </row>
    <row r="82" spans="1:80" ht="12.75" hidden="1" customHeight="1" x14ac:dyDescent="0.2">
      <c r="A82" s="244"/>
      <c r="B82" s="244"/>
      <c r="D82" s="254" t="s">
        <v>313</v>
      </c>
      <c r="E82" s="227"/>
      <c r="F82" s="261"/>
      <c r="G82" s="233">
        <v>0</v>
      </c>
      <c r="H82" s="347"/>
      <c r="I82" s="233"/>
      <c r="J82" s="227"/>
      <c r="K82" s="227"/>
      <c r="L82" s="233">
        <v>0</v>
      </c>
      <c r="M82" s="347"/>
      <c r="N82" s="233"/>
      <c r="O82" s="227"/>
      <c r="P82" s="227"/>
      <c r="Q82" s="233">
        <v>0</v>
      </c>
      <c r="R82" s="347"/>
      <c r="S82" s="233"/>
      <c r="T82" s="227"/>
      <c r="U82" s="227"/>
      <c r="V82" s="233">
        <v>0</v>
      </c>
      <c r="W82" s="347"/>
      <c r="X82" s="233"/>
      <c r="Y82" s="227"/>
      <c r="Z82" s="227"/>
      <c r="AA82" s="233">
        <v>0</v>
      </c>
      <c r="AB82" s="347"/>
      <c r="AC82" s="233"/>
      <c r="AD82" s="227"/>
      <c r="AE82" s="227"/>
      <c r="AF82" s="233">
        <v>0</v>
      </c>
      <c r="AG82" s="347"/>
      <c r="AH82" s="233"/>
      <c r="AI82" s="227"/>
      <c r="AJ82" s="227"/>
      <c r="AK82" s="233">
        <v>0</v>
      </c>
      <c r="AL82" s="347"/>
      <c r="AM82" s="233"/>
      <c r="AN82" s="227"/>
      <c r="AO82" s="227"/>
      <c r="AP82" s="233">
        <v>0</v>
      </c>
      <c r="AQ82" s="347"/>
      <c r="AR82" s="233"/>
      <c r="AS82" s="227"/>
      <c r="AT82" s="227"/>
      <c r="AU82" s="233">
        <v>0</v>
      </c>
      <c r="AV82" s="347"/>
      <c r="AW82" s="233"/>
      <c r="AX82" s="227"/>
      <c r="AY82" s="227"/>
      <c r="AZ82" s="233">
        <v>0</v>
      </c>
      <c r="BA82" s="347"/>
      <c r="BB82" s="233"/>
      <c r="BC82" s="227"/>
      <c r="BD82" s="227"/>
      <c r="BE82" s="233">
        <v>0</v>
      </c>
      <c r="BF82" s="347"/>
      <c r="BG82" s="233"/>
      <c r="BH82" s="227"/>
      <c r="BI82" s="227"/>
      <c r="BJ82" s="233">
        <v>0</v>
      </c>
      <c r="BK82" s="347"/>
      <c r="BL82" s="233"/>
      <c r="BM82" s="227"/>
      <c r="BN82" s="227"/>
      <c r="BO82" s="233">
        <v>0</v>
      </c>
      <c r="BP82" s="347"/>
      <c r="BQ82" s="233"/>
      <c r="BR82" s="227"/>
      <c r="BS82" s="227"/>
      <c r="BT82" s="233">
        <f>SUM(L82:BO82)</f>
        <v>0</v>
      </c>
      <c r="BU82" s="347"/>
      <c r="BV82" s="233"/>
      <c r="BW82" s="233"/>
      <c r="BX82" s="254"/>
      <c r="CA82" s="268"/>
      <c r="CB82" s="268"/>
    </row>
    <row r="83" spans="1:80" ht="12.75" hidden="1" customHeight="1" x14ac:dyDescent="0.2">
      <c r="A83" s="244"/>
      <c r="B83" s="244"/>
      <c r="D83" s="254" t="s">
        <v>314</v>
      </c>
      <c r="E83" s="227"/>
      <c r="F83" s="284"/>
      <c r="G83" s="355">
        <v>0</v>
      </c>
      <c r="H83" s="356"/>
      <c r="I83" s="233"/>
      <c r="J83" s="227"/>
      <c r="K83" s="357"/>
      <c r="L83" s="355">
        <v>0</v>
      </c>
      <c r="M83" s="356"/>
      <c r="N83" s="233"/>
      <c r="O83" s="227"/>
      <c r="P83" s="357"/>
      <c r="Q83" s="355">
        <v>0</v>
      </c>
      <c r="R83" s="356"/>
      <c r="S83" s="233"/>
      <c r="T83" s="227"/>
      <c r="U83" s="357"/>
      <c r="V83" s="355">
        <v>0</v>
      </c>
      <c r="W83" s="356"/>
      <c r="X83" s="233"/>
      <c r="Y83" s="227"/>
      <c r="Z83" s="357"/>
      <c r="AA83" s="355">
        <v>0</v>
      </c>
      <c r="AB83" s="356"/>
      <c r="AC83" s="233"/>
      <c r="AD83" s="227"/>
      <c r="AE83" s="357"/>
      <c r="AF83" s="355">
        <v>0</v>
      </c>
      <c r="AG83" s="356"/>
      <c r="AH83" s="233"/>
      <c r="AI83" s="227"/>
      <c r="AJ83" s="357"/>
      <c r="AK83" s="355">
        <v>0</v>
      </c>
      <c r="AL83" s="356"/>
      <c r="AM83" s="233"/>
      <c r="AN83" s="227"/>
      <c r="AO83" s="357"/>
      <c r="AP83" s="355">
        <v>0</v>
      </c>
      <c r="AQ83" s="356"/>
      <c r="AR83" s="233"/>
      <c r="AS83" s="227"/>
      <c r="AT83" s="357"/>
      <c r="AU83" s="355">
        <v>0</v>
      </c>
      <c r="AV83" s="356"/>
      <c r="AW83" s="233"/>
      <c r="AX83" s="227"/>
      <c r="AY83" s="357"/>
      <c r="AZ83" s="355">
        <v>0</v>
      </c>
      <c r="BA83" s="356"/>
      <c r="BB83" s="233"/>
      <c r="BC83" s="227"/>
      <c r="BD83" s="357"/>
      <c r="BE83" s="355">
        <v>0</v>
      </c>
      <c r="BF83" s="356"/>
      <c r="BG83" s="233"/>
      <c r="BH83" s="227"/>
      <c r="BI83" s="357"/>
      <c r="BJ83" s="355">
        <v>0</v>
      </c>
      <c r="BK83" s="356"/>
      <c r="BL83" s="233"/>
      <c r="BM83" s="227"/>
      <c r="BN83" s="357"/>
      <c r="BO83" s="355">
        <v>0</v>
      </c>
      <c r="BP83" s="356"/>
      <c r="BQ83" s="233"/>
      <c r="BR83" s="227"/>
      <c r="BS83" s="357"/>
      <c r="BT83" s="355">
        <f>SUM(L83:BO83)</f>
        <v>0</v>
      </c>
      <c r="BU83" s="356"/>
      <c r="BV83" s="233"/>
      <c r="BW83" s="233"/>
      <c r="BX83" s="254"/>
      <c r="CA83" s="268"/>
      <c r="CB83" s="268"/>
    </row>
    <row r="84" spans="1:80" ht="12.75" hidden="1" customHeight="1" x14ac:dyDescent="0.2">
      <c r="A84" s="244"/>
      <c r="B84" s="244"/>
      <c r="D84" s="254"/>
      <c r="E84" s="227"/>
      <c r="F84" s="244"/>
      <c r="G84" s="233"/>
      <c r="H84" s="233"/>
      <c r="I84" s="233"/>
      <c r="J84" s="227"/>
      <c r="K84" s="233"/>
      <c r="L84" s="233"/>
      <c r="M84" s="233"/>
      <c r="N84" s="233"/>
      <c r="O84" s="227"/>
      <c r="P84" s="233"/>
      <c r="Q84" s="233"/>
      <c r="R84" s="233"/>
      <c r="S84" s="233"/>
      <c r="T84" s="227"/>
      <c r="U84" s="233"/>
      <c r="V84" s="233"/>
      <c r="W84" s="233"/>
      <c r="X84" s="233"/>
      <c r="Y84" s="227"/>
      <c r="Z84" s="233"/>
      <c r="AA84" s="233"/>
      <c r="AB84" s="233"/>
      <c r="AC84" s="233"/>
      <c r="AD84" s="227"/>
      <c r="AE84" s="233"/>
      <c r="AF84" s="233"/>
      <c r="AG84" s="233"/>
      <c r="AH84" s="233"/>
      <c r="AI84" s="227"/>
      <c r="AJ84" s="233"/>
      <c r="AK84" s="233"/>
      <c r="AL84" s="233"/>
      <c r="AM84" s="233"/>
      <c r="AN84" s="227"/>
      <c r="AO84" s="233"/>
      <c r="AP84" s="233"/>
      <c r="AQ84" s="233"/>
      <c r="AR84" s="233"/>
      <c r="AS84" s="227"/>
      <c r="AT84" s="233"/>
      <c r="AU84" s="233"/>
      <c r="AV84" s="233"/>
      <c r="AW84" s="233"/>
      <c r="AX84" s="227"/>
      <c r="AY84" s="233"/>
      <c r="AZ84" s="233"/>
      <c r="BA84" s="233"/>
      <c r="BB84" s="233"/>
      <c r="BC84" s="227"/>
      <c r="BD84" s="233"/>
      <c r="BE84" s="233"/>
      <c r="BF84" s="233"/>
      <c r="BG84" s="233"/>
      <c r="BH84" s="227"/>
      <c r="BI84" s="233"/>
      <c r="BJ84" s="233"/>
      <c r="BK84" s="233"/>
      <c r="BL84" s="233"/>
      <c r="BM84" s="227"/>
      <c r="BN84" s="233"/>
      <c r="BO84" s="233"/>
      <c r="BP84" s="233"/>
      <c r="BQ84" s="233"/>
      <c r="BR84" s="227"/>
      <c r="BS84" s="233"/>
      <c r="BT84" s="233"/>
      <c r="BU84" s="233"/>
      <c r="BV84" s="233"/>
      <c r="BW84" s="233"/>
      <c r="BX84" s="254"/>
      <c r="CA84" s="268"/>
      <c r="CB84" s="268"/>
    </row>
    <row r="85" spans="1:80" ht="12.75" hidden="1" customHeight="1" x14ac:dyDescent="0.2">
      <c r="A85" s="244"/>
      <c r="B85" s="244"/>
      <c r="D85" s="254" t="s">
        <v>326</v>
      </c>
      <c r="E85" s="227"/>
      <c r="F85" s="244"/>
      <c r="G85" s="233">
        <f>SUM(G86:G88)</f>
        <v>0</v>
      </c>
      <c r="H85" s="233"/>
      <c r="I85" s="233"/>
      <c r="J85" s="227"/>
      <c r="K85" s="233"/>
      <c r="L85" s="233">
        <f>SUM(L86:L88)</f>
        <v>0</v>
      </c>
      <c r="M85" s="233"/>
      <c r="N85" s="233"/>
      <c r="O85" s="227"/>
      <c r="P85" s="233"/>
      <c r="Q85" s="233">
        <f>SUM(Q86:Q88)</f>
        <v>0</v>
      </c>
      <c r="R85" s="233"/>
      <c r="S85" s="233"/>
      <c r="T85" s="227"/>
      <c r="U85" s="233"/>
      <c r="V85" s="233">
        <f>SUM(V86:V88)</f>
        <v>0</v>
      </c>
      <c r="W85" s="233"/>
      <c r="X85" s="233"/>
      <c r="Y85" s="227"/>
      <c r="Z85" s="233"/>
      <c r="AA85" s="233">
        <f>SUM(AA86:AA88)</f>
        <v>0</v>
      </c>
      <c r="AB85" s="233"/>
      <c r="AC85" s="233"/>
      <c r="AD85" s="227"/>
      <c r="AE85" s="233"/>
      <c r="AF85" s="233">
        <f>SUM(AF86:AF88)</f>
        <v>0</v>
      </c>
      <c r="AG85" s="233"/>
      <c r="AH85" s="233"/>
      <c r="AI85" s="227"/>
      <c r="AJ85" s="233"/>
      <c r="AK85" s="233">
        <f>SUM(AK86:AK88)</f>
        <v>0</v>
      </c>
      <c r="AL85" s="233"/>
      <c r="AM85" s="233"/>
      <c r="AN85" s="227"/>
      <c r="AO85" s="233"/>
      <c r="AP85" s="233">
        <f>SUM(AP86:AP88)</f>
        <v>0</v>
      </c>
      <c r="AQ85" s="233"/>
      <c r="AR85" s="233"/>
      <c r="AS85" s="227"/>
      <c r="AT85" s="233"/>
      <c r="AU85" s="233">
        <f>SUM(AU86:AU88)</f>
        <v>0</v>
      </c>
      <c r="AV85" s="233"/>
      <c r="AW85" s="233"/>
      <c r="AX85" s="227"/>
      <c r="AY85" s="233"/>
      <c r="AZ85" s="233">
        <f>SUM(AZ86:AZ88)</f>
        <v>0</v>
      </c>
      <c r="BA85" s="233"/>
      <c r="BB85" s="233"/>
      <c r="BC85" s="227"/>
      <c r="BD85" s="233"/>
      <c r="BE85" s="233">
        <f>SUM(BE86:BE88)</f>
        <v>0</v>
      </c>
      <c r="BF85" s="233"/>
      <c r="BG85" s="233"/>
      <c r="BH85" s="227"/>
      <c r="BI85" s="233"/>
      <c r="BJ85" s="233">
        <f>SUM(BJ86:BJ88)</f>
        <v>0</v>
      </c>
      <c r="BK85" s="233"/>
      <c r="BL85" s="233"/>
      <c r="BM85" s="227"/>
      <c r="BN85" s="233"/>
      <c r="BO85" s="233">
        <f>SUM(BO86:BO88)</f>
        <v>0</v>
      </c>
      <c r="BP85" s="233"/>
      <c r="BQ85" s="233"/>
      <c r="BR85" s="227"/>
      <c r="BS85" s="233"/>
      <c r="BT85" s="233">
        <f>SUM(BT86:BT88)</f>
        <v>0</v>
      </c>
      <c r="BU85" s="233"/>
      <c r="BV85" s="233"/>
      <c r="BW85" s="233"/>
      <c r="BX85" s="254"/>
      <c r="CA85" s="268"/>
      <c r="CB85" s="268"/>
    </row>
    <row r="86" spans="1:80" ht="12.75" hidden="1" customHeight="1" x14ac:dyDescent="0.2">
      <c r="A86" s="244"/>
      <c r="B86" s="244"/>
      <c r="D86" s="254" t="s">
        <v>310</v>
      </c>
      <c r="E86" s="227"/>
      <c r="F86" s="269"/>
      <c r="G86" s="343">
        <v>0</v>
      </c>
      <c r="H86" s="344"/>
      <c r="I86" s="233"/>
      <c r="J86" s="227"/>
      <c r="K86" s="345"/>
      <c r="L86" s="343">
        <v>0</v>
      </c>
      <c r="M86" s="344"/>
      <c r="N86" s="233"/>
      <c r="O86" s="227"/>
      <c r="P86" s="345"/>
      <c r="Q86" s="343">
        <v>0</v>
      </c>
      <c r="R86" s="344"/>
      <c r="S86" s="233"/>
      <c r="T86" s="227"/>
      <c r="U86" s="269"/>
      <c r="V86" s="343">
        <v>0</v>
      </c>
      <c r="W86" s="344"/>
      <c r="X86" s="233"/>
      <c r="Y86" s="227"/>
      <c r="Z86" s="345"/>
      <c r="AA86" s="343">
        <v>0</v>
      </c>
      <c r="AB86" s="344"/>
      <c r="AC86" s="233"/>
      <c r="AD86" s="227"/>
      <c r="AE86" s="345"/>
      <c r="AF86" s="343">
        <v>0</v>
      </c>
      <c r="AG86" s="344"/>
      <c r="AH86" s="233"/>
      <c r="AI86" s="227"/>
      <c r="AJ86" s="345"/>
      <c r="AK86" s="343">
        <v>0</v>
      </c>
      <c r="AL86" s="344"/>
      <c r="AM86" s="233"/>
      <c r="AN86" s="227"/>
      <c r="AO86" s="345"/>
      <c r="AP86" s="343">
        <v>0</v>
      </c>
      <c r="AQ86" s="344"/>
      <c r="AR86" s="233"/>
      <c r="AS86" s="227"/>
      <c r="AT86" s="345"/>
      <c r="AU86" s="343">
        <v>0</v>
      </c>
      <c r="AV86" s="344"/>
      <c r="AW86" s="233"/>
      <c r="AX86" s="227"/>
      <c r="AY86" s="345"/>
      <c r="AZ86" s="343">
        <v>0</v>
      </c>
      <c r="BA86" s="344"/>
      <c r="BB86" s="233"/>
      <c r="BC86" s="227"/>
      <c r="BD86" s="345"/>
      <c r="BE86" s="343">
        <v>0</v>
      </c>
      <c r="BF86" s="344"/>
      <c r="BG86" s="233"/>
      <c r="BH86" s="227"/>
      <c r="BI86" s="345"/>
      <c r="BJ86" s="343">
        <v>0</v>
      </c>
      <c r="BK86" s="344"/>
      <c r="BL86" s="233"/>
      <c r="BM86" s="227"/>
      <c r="BN86" s="345"/>
      <c r="BO86" s="343">
        <v>0</v>
      </c>
      <c r="BP86" s="344"/>
      <c r="BQ86" s="233"/>
      <c r="BR86" s="227"/>
      <c r="BS86" s="345"/>
      <c r="BT86" s="343">
        <f>SUM(L86:BO86)</f>
        <v>0</v>
      </c>
      <c r="BU86" s="344"/>
      <c r="BV86" s="233"/>
      <c r="BW86" s="233"/>
      <c r="BX86" s="254"/>
      <c r="CA86" s="268"/>
      <c r="CB86" s="268"/>
    </row>
    <row r="87" spans="1:80" ht="12.75" hidden="1" customHeight="1" x14ac:dyDescent="0.2">
      <c r="A87" s="244"/>
      <c r="B87" s="244"/>
      <c r="D87" s="254" t="s">
        <v>312</v>
      </c>
      <c r="E87" s="227"/>
      <c r="F87" s="261"/>
      <c r="G87" s="233">
        <v>0</v>
      </c>
      <c r="H87" s="347"/>
      <c r="I87" s="233"/>
      <c r="J87" s="227"/>
      <c r="K87" s="227"/>
      <c r="L87" s="233">
        <v>0</v>
      </c>
      <c r="M87" s="347"/>
      <c r="N87" s="233"/>
      <c r="O87" s="227"/>
      <c r="P87" s="227"/>
      <c r="Q87" s="233">
        <v>0</v>
      </c>
      <c r="R87" s="347"/>
      <c r="S87" s="233"/>
      <c r="T87" s="227"/>
      <c r="U87" s="261"/>
      <c r="V87" s="233">
        <v>0</v>
      </c>
      <c r="W87" s="347"/>
      <c r="X87" s="233"/>
      <c r="Y87" s="227"/>
      <c r="Z87" s="227"/>
      <c r="AA87" s="233">
        <v>0</v>
      </c>
      <c r="AB87" s="347"/>
      <c r="AC87" s="233"/>
      <c r="AD87" s="227"/>
      <c r="AE87" s="227"/>
      <c r="AF87" s="233">
        <v>0</v>
      </c>
      <c r="AG87" s="347"/>
      <c r="AH87" s="233"/>
      <c r="AI87" s="227"/>
      <c r="AJ87" s="227"/>
      <c r="AK87" s="233">
        <v>0</v>
      </c>
      <c r="AL87" s="347"/>
      <c r="AM87" s="233"/>
      <c r="AN87" s="227"/>
      <c r="AO87" s="227"/>
      <c r="AP87" s="233">
        <v>0</v>
      </c>
      <c r="AQ87" s="347"/>
      <c r="AR87" s="233"/>
      <c r="AS87" s="227"/>
      <c r="AT87" s="227"/>
      <c r="AU87" s="233">
        <v>0</v>
      </c>
      <c r="AV87" s="347"/>
      <c r="AW87" s="233"/>
      <c r="AX87" s="227"/>
      <c r="AY87" s="227"/>
      <c r="AZ87" s="233">
        <v>0</v>
      </c>
      <c r="BA87" s="347"/>
      <c r="BB87" s="233"/>
      <c r="BC87" s="227"/>
      <c r="BD87" s="227"/>
      <c r="BE87" s="233">
        <v>0</v>
      </c>
      <c r="BF87" s="347"/>
      <c r="BG87" s="233"/>
      <c r="BH87" s="227"/>
      <c r="BI87" s="227"/>
      <c r="BJ87" s="233">
        <v>0</v>
      </c>
      <c r="BK87" s="347"/>
      <c r="BL87" s="233"/>
      <c r="BM87" s="227"/>
      <c r="BN87" s="227"/>
      <c r="BO87" s="233">
        <v>0</v>
      </c>
      <c r="BP87" s="347"/>
      <c r="BQ87" s="233"/>
      <c r="BR87" s="227"/>
      <c r="BS87" s="227"/>
      <c r="BT87" s="233">
        <f>SUM(L87:BO87)</f>
        <v>0</v>
      </c>
      <c r="BU87" s="347"/>
      <c r="BV87" s="233"/>
      <c r="BW87" s="233"/>
      <c r="BX87" s="254"/>
      <c r="CA87" s="268"/>
      <c r="CB87" s="268"/>
    </row>
    <row r="88" spans="1:80" ht="12.75" hidden="1" customHeight="1" x14ac:dyDescent="0.2">
      <c r="A88" s="244"/>
      <c r="B88" s="244"/>
      <c r="D88" s="254" t="s">
        <v>320</v>
      </c>
      <c r="E88" s="227"/>
      <c r="F88" s="284"/>
      <c r="G88" s="355">
        <v>0</v>
      </c>
      <c r="H88" s="356"/>
      <c r="I88" s="233"/>
      <c r="J88" s="227"/>
      <c r="K88" s="357"/>
      <c r="L88" s="355">
        <v>0</v>
      </c>
      <c r="M88" s="356"/>
      <c r="N88" s="233"/>
      <c r="O88" s="227"/>
      <c r="P88" s="357"/>
      <c r="Q88" s="355">
        <v>0</v>
      </c>
      <c r="R88" s="356"/>
      <c r="S88" s="233"/>
      <c r="T88" s="227"/>
      <c r="U88" s="284"/>
      <c r="V88" s="355">
        <v>0</v>
      </c>
      <c r="W88" s="356"/>
      <c r="X88" s="233"/>
      <c r="Y88" s="227"/>
      <c r="Z88" s="357"/>
      <c r="AA88" s="355">
        <v>0</v>
      </c>
      <c r="AB88" s="356"/>
      <c r="AC88" s="233"/>
      <c r="AD88" s="227"/>
      <c r="AE88" s="357"/>
      <c r="AF88" s="355">
        <v>0</v>
      </c>
      <c r="AG88" s="356"/>
      <c r="AH88" s="233"/>
      <c r="AI88" s="227"/>
      <c r="AJ88" s="357"/>
      <c r="AK88" s="355">
        <v>0</v>
      </c>
      <c r="AL88" s="356"/>
      <c r="AM88" s="233"/>
      <c r="AN88" s="227"/>
      <c r="AO88" s="357"/>
      <c r="AP88" s="355">
        <v>0</v>
      </c>
      <c r="AQ88" s="356"/>
      <c r="AR88" s="233"/>
      <c r="AS88" s="227"/>
      <c r="AT88" s="357"/>
      <c r="AU88" s="355">
        <v>0</v>
      </c>
      <c r="AV88" s="356"/>
      <c r="AW88" s="233"/>
      <c r="AX88" s="227"/>
      <c r="AY88" s="357"/>
      <c r="AZ88" s="355">
        <v>0</v>
      </c>
      <c r="BA88" s="356"/>
      <c r="BB88" s="233"/>
      <c r="BC88" s="227"/>
      <c r="BD88" s="357"/>
      <c r="BE88" s="355">
        <v>0</v>
      </c>
      <c r="BF88" s="356"/>
      <c r="BG88" s="233"/>
      <c r="BH88" s="227"/>
      <c r="BI88" s="357"/>
      <c r="BJ88" s="355">
        <v>0</v>
      </c>
      <c r="BK88" s="356"/>
      <c r="BL88" s="233"/>
      <c r="BM88" s="227"/>
      <c r="BN88" s="357"/>
      <c r="BO88" s="355">
        <v>0</v>
      </c>
      <c r="BP88" s="356"/>
      <c r="BQ88" s="233"/>
      <c r="BR88" s="227"/>
      <c r="BS88" s="357"/>
      <c r="BT88" s="355">
        <f>SUM(L88:BO88)</f>
        <v>0</v>
      </c>
      <c r="BU88" s="356"/>
      <c r="BV88" s="233"/>
      <c r="BW88" s="233"/>
      <c r="BX88" s="254"/>
      <c r="CA88" s="268"/>
      <c r="CB88" s="268"/>
    </row>
    <row r="89" spans="1:80" ht="12.75" hidden="1" customHeight="1" x14ac:dyDescent="0.2">
      <c r="A89" s="244"/>
      <c r="B89" s="244"/>
      <c r="D89" s="254"/>
      <c r="E89" s="227"/>
      <c r="F89" s="244"/>
      <c r="G89" s="233"/>
      <c r="H89" s="233"/>
      <c r="I89" s="233"/>
      <c r="J89" s="227"/>
      <c r="K89" s="233"/>
      <c r="L89" s="233"/>
      <c r="M89" s="233"/>
      <c r="N89" s="233"/>
      <c r="O89" s="227"/>
      <c r="P89" s="233"/>
      <c r="Q89" s="233"/>
      <c r="R89" s="233"/>
      <c r="S89" s="233"/>
      <c r="T89" s="227"/>
      <c r="U89" s="233"/>
      <c r="V89" s="233"/>
      <c r="W89" s="233"/>
      <c r="X89" s="233"/>
      <c r="Y89" s="227"/>
      <c r="Z89" s="233"/>
      <c r="AA89" s="233"/>
      <c r="AB89" s="233"/>
      <c r="AC89" s="233"/>
      <c r="AD89" s="227"/>
      <c r="AE89" s="233"/>
      <c r="AF89" s="233"/>
      <c r="AG89" s="233"/>
      <c r="AH89" s="233"/>
      <c r="AI89" s="227"/>
      <c r="AJ89" s="233"/>
      <c r="AK89" s="233"/>
      <c r="AL89" s="233"/>
      <c r="AM89" s="233"/>
      <c r="AN89" s="227"/>
      <c r="AO89" s="233"/>
      <c r="AP89" s="233"/>
      <c r="AQ89" s="233"/>
      <c r="AR89" s="233"/>
      <c r="AS89" s="227"/>
      <c r="AT89" s="233"/>
      <c r="AU89" s="233"/>
      <c r="AV89" s="233"/>
      <c r="AW89" s="233"/>
      <c r="AX89" s="227"/>
      <c r="AY89" s="233"/>
      <c r="AZ89" s="233"/>
      <c r="BA89" s="233"/>
      <c r="BB89" s="233"/>
      <c r="BC89" s="227"/>
      <c r="BD89" s="233"/>
      <c r="BE89" s="233"/>
      <c r="BF89" s="233"/>
      <c r="BG89" s="233"/>
      <c r="BH89" s="227"/>
      <c r="BI89" s="233"/>
      <c r="BJ89" s="233"/>
      <c r="BK89" s="233"/>
      <c r="BL89" s="233"/>
      <c r="BM89" s="227"/>
      <c r="BN89" s="233"/>
      <c r="BO89" s="233"/>
      <c r="BP89" s="233"/>
      <c r="BQ89" s="233"/>
      <c r="BR89" s="227"/>
      <c r="BS89" s="233"/>
      <c r="BT89" s="233"/>
      <c r="BU89" s="233"/>
      <c r="BV89" s="233"/>
      <c r="BW89" s="233"/>
      <c r="BX89" s="254"/>
      <c r="CA89" s="268"/>
      <c r="CB89" s="268"/>
    </row>
    <row r="90" spans="1:80" ht="12.75" hidden="1" customHeight="1" x14ac:dyDescent="0.2">
      <c r="A90" s="244"/>
      <c r="B90" s="244"/>
      <c r="C90" s="359"/>
      <c r="D90" s="276" t="s">
        <v>327</v>
      </c>
      <c r="E90" s="227"/>
      <c r="F90" s="244"/>
      <c r="G90" s="233">
        <f>SUM(G91:G93)</f>
        <v>0</v>
      </c>
      <c r="H90" s="233"/>
      <c r="I90" s="233"/>
      <c r="J90" s="227"/>
      <c r="K90" s="233"/>
      <c r="L90" s="233">
        <f>SUM(L91:L93)</f>
        <v>0</v>
      </c>
      <c r="M90" s="233"/>
      <c r="N90" s="233"/>
      <c r="O90" s="227"/>
      <c r="P90" s="233"/>
      <c r="Q90" s="233">
        <f>SUM(Q91:Q93)</f>
        <v>0</v>
      </c>
      <c r="R90" s="233"/>
      <c r="S90" s="233"/>
      <c r="T90" s="227"/>
      <c r="U90" s="233"/>
      <c r="V90" s="233">
        <f>SUM(V91:V93)</f>
        <v>0</v>
      </c>
      <c r="W90" s="233"/>
      <c r="X90" s="233"/>
      <c r="Y90" s="227"/>
      <c r="Z90" s="233"/>
      <c r="AA90" s="233">
        <f>SUM(AA91:AA93)</f>
        <v>0</v>
      </c>
      <c r="AB90" s="233"/>
      <c r="AC90" s="233"/>
      <c r="AD90" s="227"/>
      <c r="AE90" s="233"/>
      <c r="AF90" s="233">
        <f>SUM(AF91:AF93)</f>
        <v>0</v>
      </c>
      <c r="AG90" s="233"/>
      <c r="AH90" s="233"/>
      <c r="AI90" s="227"/>
      <c r="AJ90" s="233"/>
      <c r="AK90" s="233">
        <f>SUM(AK91:AK93)</f>
        <v>0</v>
      </c>
      <c r="AL90" s="233"/>
      <c r="AM90" s="233"/>
      <c r="AN90" s="227"/>
      <c r="AO90" s="233"/>
      <c r="AP90" s="233">
        <f>SUM(AP91:AP93)</f>
        <v>0</v>
      </c>
      <c r="AQ90" s="233"/>
      <c r="AR90" s="233"/>
      <c r="AS90" s="227"/>
      <c r="AT90" s="233"/>
      <c r="AU90" s="233">
        <f>SUM(AU91:AU93)</f>
        <v>0</v>
      </c>
      <c r="AV90" s="233"/>
      <c r="AW90" s="233"/>
      <c r="AX90" s="227"/>
      <c r="AY90" s="233"/>
      <c r="AZ90" s="233">
        <f>SUM(AZ91:AZ93)</f>
        <v>0</v>
      </c>
      <c r="BA90" s="233"/>
      <c r="BB90" s="233"/>
      <c r="BC90" s="227"/>
      <c r="BD90" s="233"/>
      <c r="BE90" s="233">
        <f>SUM(BE91:BE93)</f>
        <v>0</v>
      </c>
      <c r="BF90" s="233"/>
      <c r="BG90" s="233"/>
      <c r="BH90" s="227"/>
      <c r="BI90" s="233"/>
      <c r="BJ90" s="233">
        <f>SUM(BJ91:BJ93)</f>
        <v>0</v>
      </c>
      <c r="BK90" s="233"/>
      <c r="BL90" s="233"/>
      <c r="BM90" s="227"/>
      <c r="BN90" s="233"/>
      <c r="BO90" s="233">
        <f>SUM(BO91:BO93)</f>
        <v>0</v>
      </c>
      <c r="BP90" s="233"/>
      <c r="BQ90" s="233"/>
      <c r="BR90" s="227"/>
      <c r="BS90" s="233"/>
      <c r="BT90" s="233">
        <f>SUM(BT91:BT93)</f>
        <v>0</v>
      </c>
      <c r="BU90" s="233"/>
      <c r="BV90" s="233"/>
      <c r="BW90" s="233"/>
      <c r="BX90" s="254"/>
      <c r="CA90" s="268"/>
      <c r="CB90" s="268"/>
    </row>
    <row r="91" spans="1:80" ht="12.75" hidden="1" customHeight="1" x14ac:dyDescent="0.2">
      <c r="A91" s="244"/>
      <c r="B91" s="244"/>
      <c r="D91" s="254" t="s">
        <v>310</v>
      </c>
      <c r="E91" s="227"/>
      <c r="F91" s="269"/>
      <c r="G91" s="343">
        <v>0</v>
      </c>
      <c r="H91" s="344"/>
      <c r="I91" s="233"/>
      <c r="J91" s="227"/>
      <c r="K91" s="345"/>
      <c r="L91" s="343">
        <v>0</v>
      </c>
      <c r="M91" s="344"/>
      <c r="N91" s="233"/>
      <c r="O91" s="227"/>
      <c r="P91" s="345"/>
      <c r="Q91" s="343">
        <v>0</v>
      </c>
      <c r="R91" s="344"/>
      <c r="S91" s="233"/>
      <c r="T91" s="227"/>
      <c r="U91" s="345"/>
      <c r="V91" s="343">
        <v>0</v>
      </c>
      <c r="W91" s="344"/>
      <c r="X91" s="233"/>
      <c r="Y91" s="227"/>
      <c r="Z91" s="345"/>
      <c r="AA91" s="343">
        <v>0</v>
      </c>
      <c r="AB91" s="344"/>
      <c r="AC91" s="233"/>
      <c r="AD91" s="227"/>
      <c r="AE91" s="345"/>
      <c r="AF91" s="343">
        <v>0</v>
      </c>
      <c r="AG91" s="344"/>
      <c r="AH91" s="233"/>
      <c r="AI91" s="227"/>
      <c r="AJ91" s="345"/>
      <c r="AK91" s="343">
        <v>0</v>
      </c>
      <c r="AL91" s="344"/>
      <c r="AM91" s="233"/>
      <c r="AN91" s="227"/>
      <c r="AO91" s="345"/>
      <c r="AP91" s="343">
        <v>0</v>
      </c>
      <c r="AQ91" s="344"/>
      <c r="AR91" s="233"/>
      <c r="AS91" s="227"/>
      <c r="AT91" s="345"/>
      <c r="AU91" s="343">
        <v>0</v>
      </c>
      <c r="AV91" s="344"/>
      <c r="AW91" s="233"/>
      <c r="AX91" s="227"/>
      <c r="AY91" s="345"/>
      <c r="AZ91" s="343">
        <v>0</v>
      </c>
      <c r="BA91" s="344"/>
      <c r="BB91" s="233"/>
      <c r="BC91" s="227"/>
      <c r="BD91" s="345"/>
      <c r="BE91" s="343">
        <v>0</v>
      </c>
      <c r="BF91" s="344"/>
      <c r="BG91" s="233"/>
      <c r="BH91" s="227"/>
      <c r="BI91" s="345"/>
      <c r="BJ91" s="343">
        <v>0</v>
      </c>
      <c r="BK91" s="344"/>
      <c r="BL91" s="233"/>
      <c r="BM91" s="227"/>
      <c r="BN91" s="345"/>
      <c r="BO91" s="343">
        <v>0</v>
      </c>
      <c r="BP91" s="344"/>
      <c r="BQ91" s="233"/>
      <c r="BR91" s="227"/>
      <c r="BS91" s="345"/>
      <c r="BT91" s="343">
        <f>SUM(L91:BO91)</f>
        <v>0</v>
      </c>
      <c r="BU91" s="344"/>
      <c r="BV91" s="233"/>
      <c r="BW91" s="233"/>
      <c r="BX91" s="254"/>
      <c r="CA91" s="268"/>
      <c r="CB91" s="268"/>
    </row>
    <row r="92" spans="1:80" ht="12.75" hidden="1" customHeight="1" x14ac:dyDescent="0.2">
      <c r="A92" s="244"/>
      <c r="B92" s="244"/>
      <c r="D92" s="254" t="s">
        <v>312</v>
      </c>
      <c r="E92" s="227"/>
      <c r="F92" s="261"/>
      <c r="G92" s="233">
        <v>0</v>
      </c>
      <c r="H92" s="347"/>
      <c r="I92" s="233"/>
      <c r="J92" s="227"/>
      <c r="K92" s="227"/>
      <c r="L92" s="233">
        <v>0</v>
      </c>
      <c r="M92" s="347"/>
      <c r="N92" s="233"/>
      <c r="O92" s="227"/>
      <c r="P92" s="227"/>
      <c r="Q92" s="233">
        <v>0</v>
      </c>
      <c r="R92" s="347"/>
      <c r="S92" s="233"/>
      <c r="T92" s="227"/>
      <c r="U92" s="227"/>
      <c r="V92" s="233">
        <v>0</v>
      </c>
      <c r="W92" s="347"/>
      <c r="X92" s="233"/>
      <c r="Y92" s="227"/>
      <c r="Z92" s="227"/>
      <c r="AA92" s="233">
        <v>0</v>
      </c>
      <c r="AB92" s="347"/>
      <c r="AC92" s="233"/>
      <c r="AD92" s="227"/>
      <c r="AE92" s="227"/>
      <c r="AF92" s="233">
        <v>0</v>
      </c>
      <c r="AG92" s="347"/>
      <c r="AH92" s="233"/>
      <c r="AI92" s="227"/>
      <c r="AJ92" s="227"/>
      <c r="AK92" s="233">
        <v>0</v>
      </c>
      <c r="AL92" s="347"/>
      <c r="AM92" s="233"/>
      <c r="AN92" s="227"/>
      <c r="AO92" s="227"/>
      <c r="AP92" s="233">
        <v>0</v>
      </c>
      <c r="AQ92" s="347"/>
      <c r="AR92" s="233"/>
      <c r="AS92" s="227"/>
      <c r="AT92" s="227"/>
      <c r="AU92" s="233">
        <v>0</v>
      </c>
      <c r="AV92" s="347"/>
      <c r="AW92" s="233"/>
      <c r="AX92" s="227"/>
      <c r="AY92" s="227"/>
      <c r="AZ92" s="233">
        <v>0</v>
      </c>
      <c r="BA92" s="347"/>
      <c r="BB92" s="233"/>
      <c r="BC92" s="227"/>
      <c r="BD92" s="227"/>
      <c r="BE92" s="233">
        <v>0</v>
      </c>
      <c r="BF92" s="347"/>
      <c r="BG92" s="233"/>
      <c r="BH92" s="227"/>
      <c r="BI92" s="227"/>
      <c r="BJ92" s="233">
        <v>0</v>
      </c>
      <c r="BK92" s="347"/>
      <c r="BL92" s="233"/>
      <c r="BM92" s="227"/>
      <c r="BN92" s="227"/>
      <c r="BO92" s="233">
        <v>0</v>
      </c>
      <c r="BP92" s="347"/>
      <c r="BQ92" s="233"/>
      <c r="BR92" s="227"/>
      <c r="BS92" s="227"/>
      <c r="BT92" s="233">
        <f>SUM(L92:BO92)</f>
        <v>0</v>
      </c>
      <c r="BU92" s="347"/>
      <c r="BV92" s="233"/>
      <c r="BW92" s="233"/>
      <c r="BX92" s="254"/>
      <c r="CA92" s="268"/>
      <c r="CB92" s="268"/>
    </row>
    <row r="93" spans="1:80" ht="12.75" hidden="1" customHeight="1" x14ac:dyDescent="0.2">
      <c r="A93" s="244"/>
      <c r="B93" s="244"/>
      <c r="D93" s="254" t="s">
        <v>320</v>
      </c>
      <c r="E93" s="227"/>
      <c r="F93" s="284"/>
      <c r="G93" s="355">
        <v>0</v>
      </c>
      <c r="H93" s="356"/>
      <c r="I93" s="233"/>
      <c r="J93" s="227"/>
      <c r="K93" s="357"/>
      <c r="L93" s="355">
        <v>0</v>
      </c>
      <c r="M93" s="356"/>
      <c r="N93" s="233"/>
      <c r="O93" s="227"/>
      <c r="P93" s="357"/>
      <c r="Q93" s="355">
        <v>0</v>
      </c>
      <c r="R93" s="356"/>
      <c r="S93" s="233"/>
      <c r="T93" s="227"/>
      <c r="U93" s="357"/>
      <c r="V93" s="355">
        <v>0</v>
      </c>
      <c r="W93" s="356"/>
      <c r="X93" s="233"/>
      <c r="Y93" s="227"/>
      <c r="Z93" s="357"/>
      <c r="AA93" s="355">
        <v>0</v>
      </c>
      <c r="AB93" s="356"/>
      <c r="AC93" s="233"/>
      <c r="AD93" s="227"/>
      <c r="AE93" s="357"/>
      <c r="AF93" s="355">
        <v>0</v>
      </c>
      <c r="AG93" s="356"/>
      <c r="AH93" s="233"/>
      <c r="AI93" s="227"/>
      <c r="AJ93" s="357"/>
      <c r="AK93" s="355">
        <v>0</v>
      </c>
      <c r="AL93" s="356"/>
      <c r="AM93" s="233"/>
      <c r="AN93" s="227"/>
      <c r="AO93" s="357"/>
      <c r="AP93" s="355">
        <v>0</v>
      </c>
      <c r="AQ93" s="356"/>
      <c r="AR93" s="233"/>
      <c r="AS93" s="227"/>
      <c r="AT93" s="357"/>
      <c r="AU93" s="355">
        <v>0</v>
      </c>
      <c r="AV93" s="356"/>
      <c r="AW93" s="233"/>
      <c r="AX93" s="227"/>
      <c r="AY93" s="357"/>
      <c r="AZ93" s="355">
        <v>0</v>
      </c>
      <c r="BA93" s="356"/>
      <c r="BB93" s="233"/>
      <c r="BC93" s="227"/>
      <c r="BD93" s="357"/>
      <c r="BE93" s="355">
        <v>0</v>
      </c>
      <c r="BF93" s="356"/>
      <c r="BG93" s="233"/>
      <c r="BH93" s="227"/>
      <c r="BI93" s="357"/>
      <c r="BJ93" s="355">
        <v>0</v>
      </c>
      <c r="BK93" s="356"/>
      <c r="BL93" s="233"/>
      <c r="BM93" s="227"/>
      <c r="BN93" s="357"/>
      <c r="BO93" s="355">
        <v>0</v>
      </c>
      <c r="BP93" s="356"/>
      <c r="BQ93" s="233"/>
      <c r="BR93" s="227"/>
      <c r="BS93" s="357"/>
      <c r="BT93" s="355">
        <f>SUM(L93:BO93)</f>
        <v>0</v>
      </c>
      <c r="BU93" s="356"/>
      <c r="BV93" s="233"/>
      <c r="BW93" s="233"/>
      <c r="BX93" s="254"/>
      <c r="CA93" s="268"/>
      <c r="CB93" s="268"/>
    </row>
    <row r="94" spans="1:80" ht="12.75" hidden="1" customHeight="1" x14ac:dyDescent="0.2">
      <c r="A94" s="244"/>
      <c r="B94" s="244"/>
      <c r="D94" s="254"/>
      <c r="E94" s="227"/>
      <c r="F94" s="244"/>
      <c r="G94" s="233"/>
      <c r="H94" s="233"/>
      <c r="I94" s="233"/>
      <c r="J94" s="227"/>
      <c r="K94" s="233"/>
      <c r="L94" s="233"/>
      <c r="M94" s="233"/>
      <c r="N94" s="233"/>
      <c r="O94" s="227"/>
      <c r="P94" s="233"/>
      <c r="Q94" s="233"/>
      <c r="R94" s="233"/>
      <c r="S94" s="233"/>
      <c r="T94" s="227"/>
      <c r="U94" s="233"/>
      <c r="V94" s="233"/>
      <c r="W94" s="233"/>
      <c r="X94" s="233"/>
      <c r="Y94" s="227"/>
      <c r="Z94" s="233"/>
      <c r="AA94" s="233"/>
      <c r="AB94" s="233"/>
      <c r="AC94" s="233"/>
      <c r="AD94" s="227"/>
      <c r="AE94" s="233"/>
      <c r="AF94" s="233"/>
      <c r="AG94" s="233"/>
      <c r="AH94" s="233"/>
      <c r="AI94" s="227"/>
      <c r="AJ94" s="233"/>
      <c r="AK94" s="233"/>
      <c r="AL94" s="233"/>
      <c r="AM94" s="233"/>
      <c r="AN94" s="227"/>
      <c r="AO94" s="233"/>
      <c r="AP94" s="233"/>
      <c r="AQ94" s="233"/>
      <c r="AR94" s="233"/>
      <c r="AS94" s="227"/>
      <c r="AT94" s="233"/>
      <c r="AU94" s="233"/>
      <c r="AV94" s="233"/>
      <c r="AW94" s="233"/>
      <c r="AX94" s="227"/>
      <c r="AY94" s="233"/>
      <c r="AZ94" s="233"/>
      <c r="BA94" s="233"/>
      <c r="BB94" s="233"/>
      <c r="BC94" s="227"/>
      <c r="BD94" s="233"/>
      <c r="BE94" s="233"/>
      <c r="BF94" s="233"/>
      <c r="BG94" s="233"/>
      <c r="BH94" s="227"/>
      <c r="BI94" s="233"/>
      <c r="BJ94" s="233"/>
      <c r="BK94" s="233"/>
      <c r="BL94" s="233"/>
      <c r="BM94" s="227"/>
      <c r="BN94" s="233"/>
      <c r="BO94" s="233"/>
      <c r="BP94" s="233"/>
      <c r="BQ94" s="233"/>
      <c r="BR94" s="227"/>
      <c r="BS94" s="233"/>
      <c r="BT94" s="233"/>
      <c r="BU94" s="233"/>
      <c r="BV94" s="233"/>
      <c r="BW94" s="233"/>
      <c r="BX94" s="254"/>
      <c r="CA94" s="268"/>
      <c r="CB94" s="268"/>
    </row>
    <row r="95" spans="1:80" ht="12.75" hidden="1" customHeight="1" x14ac:dyDescent="0.2">
      <c r="A95" s="244"/>
      <c r="B95" s="244"/>
      <c r="D95" s="254" t="s">
        <v>328</v>
      </c>
      <c r="E95" s="227"/>
      <c r="F95" s="244"/>
      <c r="G95" s="233">
        <f>SUM(G96:G98)</f>
        <v>0</v>
      </c>
      <c r="H95" s="233"/>
      <c r="I95" s="233"/>
      <c r="J95" s="227"/>
      <c r="K95" s="233"/>
      <c r="L95" s="233">
        <f>SUM(L96:L98)</f>
        <v>0</v>
      </c>
      <c r="M95" s="233"/>
      <c r="N95" s="233"/>
      <c r="O95" s="227"/>
      <c r="P95" s="233"/>
      <c r="Q95" s="233">
        <f>SUM(Q96:Q98)</f>
        <v>0</v>
      </c>
      <c r="R95" s="233"/>
      <c r="S95" s="233"/>
      <c r="T95" s="227"/>
      <c r="U95" s="233"/>
      <c r="V95" s="233">
        <f>SUM(V96:V98)</f>
        <v>0</v>
      </c>
      <c r="W95" s="233"/>
      <c r="X95" s="233"/>
      <c r="Y95" s="227"/>
      <c r="Z95" s="233"/>
      <c r="AA95" s="233">
        <f>SUM(AA96:AA98)</f>
        <v>0</v>
      </c>
      <c r="AB95" s="233"/>
      <c r="AC95" s="233"/>
      <c r="AD95" s="227"/>
      <c r="AE95" s="233"/>
      <c r="AF95" s="233">
        <f>SUM(AF96:AF98)</f>
        <v>0</v>
      </c>
      <c r="AG95" s="233"/>
      <c r="AH95" s="233"/>
      <c r="AI95" s="227"/>
      <c r="AJ95" s="233"/>
      <c r="AK95" s="233">
        <f>SUM(AK96:AK98)</f>
        <v>0</v>
      </c>
      <c r="AL95" s="233"/>
      <c r="AM95" s="233"/>
      <c r="AN95" s="227"/>
      <c r="AO95" s="233"/>
      <c r="AP95" s="233">
        <f>SUM(AP96:AP98)</f>
        <v>0</v>
      </c>
      <c r="AQ95" s="233"/>
      <c r="AR95" s="233"/>
      <c r="AS95" s="227"/>
      <c r="AT95" s="233"/>
      <c r="AU95" s="233">
        <f>SUM(AU96:AU98)</f>
        <v>0</v>
      </c>
      <c r="AV95" s="233"/>
      <c r="AW95" s="233"/>
      <c r="AX95" s="227"/>
      <c r="AY95" s="233"/>
      <c r="AZ95" s="233">
        <f>SUM(AZ96:AZ98)</f>
        <v>0</v>
      </c>
      <c r="BA95" s="233"/>
      <c r="BB95" s="233"/>
      <c r="BC95" s="227"/>
      <c r="BD95" s="233"/>
      <c r="BE95" s="233">
        <f>SUM(BE96:BE98)</f>
        <v>0</v>
      </c>
      <c r="BF95" s="233"/>
      <c r="BG95" s="233"/>
      <c r="BH95" s="227"/>
      <c r="BI95" s="233"/>
      <c r="BJ95" s="233">
        <f>SUM(BJ96:BJ98)</f>
        <v>0</v>
      </c>
      <c r="BK95" s="233"/>
      <c r="BL95" s="233"/>
      <c r="BM95" s="227"/>
      <c r="BN95" s="233"/>
      <c r="BO95" s="233">
        <f>SUM(BO96:BO98)</f>
        <v>0</v>
      </c>
      <c r="BP95" s="233"/>
      <c r="BQ95" s="233"/>
      <c r="BR95" s="227"/>
      <c r="BS95" s="233"/>
      <c r="BT95" s="233">
        <f>SUM(BT96:BT98)</f>
        <v>0</v>
      </c>
      <c r="BU95" s="233"/>
      <c r="BV95" s="233"/>
      <c r="BW95" s="233"/>
      <c r="BX95" s="254"/>
      <c r="CA95" s="268"/>
      <c r="CB95" s="268"/>
    </row>
    <row r="96" spans="1:80" ht="12.75" hidden="1" customHeight="1" x14ac:dyDescent="0.2">
      <c r="A96" s="244"/>
      <c r="B96" s="244"/>
      <c r="D96" s="254" t="s">
        <v>310</v>
      </c>
      <c r="E96" s="227"/>
      <c r="F96" s="269"/>
      <c r="G96" s="343">
        <v>0</v>
      </c>
      <c r="H96" s="344"/>
      <c r="I96" s="233"/>
      <c r="J96" s="227"/>
      <c r="K96" s="345"/>
      <c r="L96" s="343">
        <v>0</v>
      </c>
      <c r="M96" s="344"/>
      <c r="N96" s="233"/>
      <c r="O96" s="227"/>
      <c r="P96" s="345"/>
      <c r="Q96" s="343">
        <v>0</v>
      </c>
      <c r="R96" s="344"/>
      <c r="S96" s="233"/>
      <c r="T96" s="227"/>
      <c r="U96" s="345"/>
      <c r="V96" s="343">
        <v>0</v>
      </c>
      <c r="W96" s="344"/>
      <c r="X96" s="233"/>
      <c r="Y96" s="227"/>
      <c r="Z96" s="345"/>
      <c r="AA96" s="343">
        <v>0</v>
      </c>
      <c r="AB96" s="344"/>
      <c r="AC96" s="233"/>
      <c r="AD96" s="227"/>
      <c r="AE96" s="345"/>
      <c r="AF96" s="343">
        <v>0</v>
      </c>
      <c r="AG96" s="344"/>
      <c r="AH96" s="233"/>
      <c r="AI96" s="227"/>
      <c r="AJ96" s="345"/>
      <c r="AK96" s="343">
        <v>0</v>
      </c>
      <c r="AL96" s="344"/>
      <c r="AM96" s="233"/>
      <c r="AN96" s="227"/>
      <c r="AO96" s="345"/>
      <c r="AP96" s="343">
        <v>0</v>
      </c>
      <c r="AQ96" s="344"/>
      <c r="AR96" s="233"/>
      <c r="AS96" s="227"/>
      <c r="AT96" s="345"/>
      <c r="AU96" s="343">
        <v>0</v>
      </c>
      <c r="AV96" s="344"/>
      <c r="AW96" s="233"/>
      <c r="AX96" s="227"/>
      <c r="AY96" s="345"/>
      <c r="AZ96" s="343">
        <v>0</v>
      </c>
      <c r="BA96" s="344"/>
      <c r="BB96" s="233"/>
      <c r="BC96" s="227"/>
      <c r="BD96" s="345"/>
      <c r="BE96" s="343">
        <v>0</v>
      </c>
      <c r="BF96" s="344"/>
      <c r="BG96" s="233"/>
      <c r="BH96" s="227"/>
      <c r="BI96" s="345"/>
      <c r="BJ96" s="343">
        <v>0</v>
      </c>
      <c r="BK96" s="344"/>
      <c r="BL96" s="233"/>
      <c r="BM96" s="227"/>
      <c r="BN96" s="345"/>
      <c r="BO96" s="343">
        <v>0</v>
      </c>
      <c r="BP96" s="344"/>
      <c r="BQ96" s="233"/>
      <c r="BR96" s="227"/>
      <c r="BS96" s="345"/>
      <c r="BT96" s="343">
        <f>SUM(L96:BO96)</f>
        <v>0</v>
      </c>
      <c r="BU96" s="344"/>
      <c r="BV96" s="233"/>
      <c r="BW96" s="233"/>
      <c r="BX96" s="254"/>
      <c r="CA96" s="268"/>
      <c r="CB96" s="268"/>
    </row>
    <row r="97" spans="1:80" ht="12.75" hidden="1" customHeight="1" x14ac:dyDescent="0.2">
      <c r="A97" s="244"/>
      <c r="B97" s="244"/>
      <c r="D97" s="254" t="s">
        <v>312</v>
      </c>
      <c r="E97" s="227"/>
      <c r="F97" s="261"/>
      <c r="G97" s="233">
        <v>0</v>
      </c>
      <c r="H97" s="347"/>
      <c r="I97" s="233"/>
      <c r="J97" s="227"/>
      <c r="K97" s="227"/>
      <c r="L97" s="233">
        <v>0</v>
      </c>
      <c r="M97" s="347"/>
      <c r="N97" s="233"/>
      <c r="O97" s="227"/>
      <c r="P97" s="227"/>
      <c r="Q97" s="233">
        <v>0</v>
      </c>
      <c r="R97" s="347"/>
      <c r="S97" s="233"/>
      <c r="T97" s="227"/>
      <c r="U97" s="227"/>
      <c r="V97" s="233">
        <v>0</v>
      </c>
      <c r="W97" s="347"/>
      <c r="X97" s="233"/>
      <c r="Y97" s="227"/>
      <c r="Z97" s="227"/>
      <c r="AA97" s="233">
        <v>0</v>
      </c>
      <c r="AB97" s="347"/>
      <c r="AC97" s="233"/>
      <c r="AD97" s="227"/>
      <c r="AE97" s="227"/>
      <c r="AF97" s="233">
        <v>0</v>
      </c>
      <c r="AG97" s="347"/>
      <c r="AH97" s="233"/>
      <c r="AI97" s="227"/>
      <c r="AJ97" s="227"/>
      <c r="AK97" s="233">
        <v>0</v>
      </c>
      <c r="AL97" s="347"/>
      <c r="AM97" s="233"/>
      <c r="AN97" s="227"/>
      <c r="AO97" s="227"/>
      <c r="AP97" s="233">
        <v>0</v>
      </c>
      <c r="AQ97" s="347"/>
      <c r="AR97" s="233"/>
      <c r="AS97" s="227"/>
      <c r="AT97" s="227"/>
      <c r="AU97" s="233">
        <v>0</v>
      </c>
      <c r="AV97" s="347"/>
      <c r="AW97" s="233"/>
      <c r="AX97" s="227"/>
      <c r="AY97" s="227"/>
      <c r="AZ97" s="233">
        <v>0</v>
      </c>
      <c r="BA97" s="347"/>
      <c r="BB97" s="233"/>
      <c r="BC97" s="227"/>
      <c r="BD97" s="227"/>
      <c r="BE97" s="233">
        <v>0</v>
      </c>
      <c r="BF97" s="347"/>
      <c r="BG97" s="233"/>
      <c r="BH97" s="227"/>
      <c r="BI97" s="227"/>
      <c r="BJ97" s="233">
        <v>0</v>
      </c>
      <c r="BK97" s="347"/>
      <c r="BL97" s="233"/>
      <c r="BM97" s="227"/>
      <c r="BN97" s="227"/>
      <c r="BO97" s="233">
        <v>0</v>
      </c>
      <c r="BP97" s="347"/>
      <c r="BQ97" s="233"/>
      <c r="BR97" s="227"/>
      <c r="BS97" s="227"/>
      <c r="BT97" s="233">
        <f>SUM(L97:BO97)</f>
        <v>0</v>
      </c>
      <c r="BU97" s="347"/>
      <c r="BV97" s="233"/>
      <c r="BW97" s="233"/>
      <c r="BX97" s="254"/>
      <c r="CA97" s="268"/>
      <c r="CB97" s="268"/>
    </row>
    <row r="98" spans="1:80" ht="12.75" hidden="1" customHeight="1" x14ac:dyDescent="0.2">
      <c r="A98" s="244"/>
      <c r="B98" s="244"/>
      <c r="D98" s="254" t="s">
        <v>320</v>
      </c>
      <c r="E98" s="227"/>
      <c r="F98" s="284"/>
      <c r="G98" s="355">
        <v>0</v>
      </c>
      <c r="H98" s="356"/>
      <c r="I98" s="233"/>
      <c r="J98" s="227"/>
      <c r="K98" s="357"/>
      <c r="L98" s="355">
        <v>0</v>
      </c>
      <c r="M98" s="356"/>
      <c r="N98" s="233"/>
      <c r="O98" s="227"/>
      <c r="P98" s="357"/>
      <c r="Q98" s="355">
        <v>0</v>
      </c>
      <c r="R98" s="356"/>
      <c r="S98" s="233"/>
      <c r="T98" s="227"/>
      <c r="U98" s="357"/>
      <c r="V98" s="355">
        <v>0</v>
      </c>
      <c r="W98" s="356"/>
      <c r="X98" s="233"/>
      <c r="Y98" s="227"/>
      <c r="Z98" s="357"/>
      <c r="AA98" s="355">
        <v>0</v>
      </c>
      <c r="AB98" s="356"/>
      <c r="AC98" s="233"/>
      <c r="AD98" s="227"/>
      <c r="AE98" s="357"/>
      <c r="AF98" s="355">
        <v>0</v>
      </c>
      <c r="AG98" s="356"/>
      <c r="AH98" s="233"/>
      <c r="AI98" s="227"/>
      <c r="AJ98" s="357"/>
      <c r="AK98" s="355">
        <v>0</v>
      </c>
      <c r="AL98" s="356"/>
      <c r="AM98" s="233"/>
      <c r="AN98" s="227"/>
      <c r="AO98" s="357"/>
      <c r="AP98" s="355">
        <v>0</v>
      </c>
      <c r="AQ98" s="356"/>
      <c r="AR98" s="233"/>
      <c r="AS98" s="227"/>
      <c r="AT98" s="357"/>
      <c r="AU98" s="355">
        <v>0</v>
      </c>
      <c r="AV98" s="356"/>
      <c r="AW98" s="233"/>
      <c r="AX98" s="227"/>
      <c r="AY98" s="357"/>
      <c r="AZ98" s="355">
        <v>0</v>
      </c>
      <c r="BA98" s="356"/>
      <c r="BB98" s="233"/>
      <c r="BC98" s="227"/>
      <c r="BD98" s="357"/>
      <c r="BE98" s="355">
        <v>0</v>
      </c>
      <c r="BF98" s="356"/>
      <c r="BG98" s="233"/>
      <c r="BH98" s="227"/>
      <c r="BI98" s="357"/>
      <c r="BJ98" s="355">
        <v>0</v>
      </c>
      <c r="BK98" s="356"/>
      <c r="BL98" s="233"/>
      <c r="BM98" s="227"/>
      <c r="BN98" s="357"/>
      <c r="BO98" s="355">
        <v>0</v>
      </c>
      <c r="BP98" s="356"/>
      <c r="BQ98" s="233"/>
      <c r="BR98" s="227"/>
      <c r="BS98" s="357"/>
      <c r="BT98" s="355">
        <f>SUM(L98:BO98)</f>
        <v>0</v>
      </c>
      <c r="BU98" s="356"/>
      <c r="BV98" s="233"/>
      <c r="BW98" s="233"/>
      <c r="BX98" s="254"/>
      <c r="CA98" s="268"/>
      <c r="CB98" s="268"/>
    </row>
    <row r="99" spans="1:80" ht="12.75" hidden="1" customHeight="1" x14ac:dyDescent="0.2">
      <c r="A99" s="244"/>
      <c r="B99" s="244"/>
      <c r="D99" s="254"/>
      <c r="E99" s="227"/>
      <c r="F99" s="244"/>
      <c r="G99" s="233"/>
      <c r="H99" s="233"/>
      <c r="I99" s="233"/>
      <c r="J99" s="227"/>
      <c r="K99" s="233"/>
      <c r="L99" s="233"/>
      <c r="M99" s="233"/>
      <c r="N99" s="233"/>
      <c r="O99" s="227"/>
      <c r="P99" s="233"/>
      <c r="Q99" s="233"/>
      <c r="R99" s="233"/>
      <c r="S99" s="233"/>
      <c r="T99" s="227"/>
      <c r="U99" s="233"/>
      <c r="V99" s="233"/>
      <c r="W99" s="233"/>
      <c r="X99" s="233"/>
      <c r="Y99" s="227"/>
      <c r="Z99" s="233"/>
      <c r="AA99" s="233"/>
      <c r="AB99" s="233"/>
      <c r="AC99" s="233"/>
      <c r="AD99" s="227"/>
      <c r="AE99" s="233"/>
      <c r="AF99" s="233"/>
      <c r="AG99" s="233"/>
      <c r="AH99" s="233"/>
      <c r="AI99" s="227"/>
      <c r="AJ99" s="233"/>
      <c r="AK99" s="233"/>
      <c r="AL99" s="233"/>
      <c r="AM99" s="233"/>
      <c r="AN99" s="227"/>
      <c r="AO99" s="233"/>
      <c r="AP99" s="233"/>
      <c r="AQ99" s="233"/>
      <c r="AR99" s="233"/>
      <c r="AS99" s="227"/>
      <c r="AT99" s="233"/>
      <c r="AU99" s="233"/>
      <c r="AV99" s="233"/>
      <c r="AW99" s="233"/>
      <c r="AX99" s="227"/>
      <c r="AY99" s="233"/>
      <c r="AZ99" s="233"/>
      <c r="BA99" s="233"/>
      <c r="BB99" s="233"/>
      <c r="BC99" s="227"/>
      <c r="BD99" s="233"/>
      <c r="BE99" s="233"/>
      <c r="BF99" s="233"/>
      <c r="BG99" s="233"/>
      <c r="BH99" s="227"/>
      <c r="BI99" s="233"/>
      <c r="BJ99" s="233"/>
      <c r="BK99" s="233"/>
      <c r="BL99" s="233"/>
      <c r="BM99" s="227"/>
      <c r="BN99" s="233"/>
      <c r="BO99" s="233"/>
      <c r="BP99" s="233"/>
      <c r="BQ99" s="233"/>
      <c r="BR99" s="227"/>
      <c r="BS99" s="355"/>
      <c r="BT99" s="233"/>
      <c r="BU99" s="233"/>
      <c r="BV99" s="233"/>
      <c r="BW99" s="233"/>
      <c r="BX99" s="254"/>
      <c r="CA99" s="268"/>
      <c r="CB99" s="268"/>
    </row>
    <row r="100" spans="1:80" ht="12.75" hidden="1" customHeight="1" x14ac:dyDescent="0.2">
      <c r="A100" s="244"/>
      <c r="B100" s="244"/>
      <c r="D100" s="254" t="s">
        <v>329</v>
      </c>
      <c r="E100" s="227"/>
      <c r="F100" s="244"/>
      <c r="G100" s="233">
        <f>SUM(G101:G103)</f>
        <v>0</v>
      </c>
      <c r="H100" s="233"/>
      <c r="I100" s="233"/>
      <c r="J100" s="227"/>
      <c r="K100" s="233"/>
      <c r="L100" s="233">
        <f>SUM(L101:L103)</f>
        <v>0</v>
      </c>
      <c r="M100" s="233"/>
      <c r="N100" s="233"/>
      <c r="O100" s="227"/>
      <c r="P100" s="233"/>
      <c r="Q100" s="233">
        <f>SUM(Q101:Q103)</f>
        <v>0</v>
      </c>
      <c r="R100" s="233"/>
      <c r="S100" s="233"/>
      <c r="T100" s="227"/>
      <c r="U100" s="233"/>
      <c r="V100" s="233">
        <f>SUM(V101:V103)</f>
        <v>0</v>
      </c>
      <c r="W100" s="233"/>
      <c r="X100" s="233"/>
      <c r="Y100" s="227"/>
      <c r="Z100" s="233"/>
      <c r="AA100" s="233">
        <f>SUM(AA101:AA103)</f>
        <v>0</v>
      </c>
      <c r="AB100" s="233"/>
      <c r="AC100" s="233"/>
      <c r="AD100" s="227"/>
      <c r="AE100" s="233"/>
      <c r="AF100" s="233">
        <f>SUM(AF101:AF103)</f>
        <v>0</v>
      </c>
      <c r="AG100" s="233"/>
      <c r="AH100" s="233"/>
      <c r="AI100" s="227"/>
      <c r="AJ100" s="233"/>
      <c r="AK100" s="233">
        <f>SUM(AK101:AK103)</f>
        <v>0</v>
      </c>
      <c r="AL100" s="233"/>
      <c r="AM100" s="233"/>
      <c r="AN100" s="227"/>
      <c r="AO100" s="233"/>
      <c r="AP100" s="233">
        <f>SUM(AP101:AP103)</f>
        <v>0</v>
      </c>
      <c r="AQ100" s="233"/>
      <c r="AR100" s="233"/>
      <c r="AS100" s="227"/>
      <c r="AT100" s="233"/>
      <c r="AU100" s="233">
        <f>SUM(AU101:AU103)</f>
        <v>0</v>
      </c>
      <c r="AV100" s="233"/>
      <c r="AW100" s="233"/>
      <c r="AX100" s="227"/>
      <c r="AY100" s="233"/>
      <c r="AZ100" s="233">
        <f>SUM(AZ101:AZ103)</f>
        <v>0</v>
      </c>
      <c r="BA100" s="233"/>
      <c r="BB100" s="233"/>
      <c r="BC100" s="227"/>
      <c r="BD100" s="233"/>
      <c r="BE100" s="233">
        <f>SUM(BE101:BE103)</f>
        <v>0</v>
      </c>
      <c r="BF100" s="233"/>
      <c r="BG100" s="233"/>
      <c r="BH100" s="227"/>
      <c r="BI100" s="233"/>
      <c r="BJ100" s="233">
        <f>SUM(BJ101:BJ103)</f>
        <v>0</v>
      </c>
      <c r="BK100" s="233"/>
      <c r="BL100" s="233"/>
      <c r="BM100" s="227"/>
      <c r="BN100" s="233"/>
      <c r="BO100" s="233">
        <f>SUM(BO101:BO103)</f>
        <v>0</v>
      </c>
      <c r="BP100" s="233"/>
      <c r="BQ100" s="233"/>
      <c r="BR100" s="227"/>
      <c r="BS100" s="355"/>
      <c r="BT100" s="355">
        <f>SUM(BT101:BT103)</f>
        <v>0</v>
      </c>
      <c r="BU100" s="233"/>
      <c r="BV100" s="233"/>
      <c r="BW100" s="233"/>
      <c r="BX100" s="254"/>
      <c r="CA100" s="268"/>
      <c r="CB100" s="268"/>
    </row>
    <row r="101" spans="1:80" ht="12.75" hidden="1" customHeight="1" x14ac:dyDescent="0.2">
      <c r="A101" s="244"/>
      <c r="B101" s="244"/>
      <c r="D101" s="254" t="s">
        <v>310</v>
      </c>
      <c r="E101" s="227"/>
      <c r="F101" s="269"/>
      <c r="G101" s="343">
        <v>0</v>
      </c>
      <c r="H101" s="344"/>
      <c r="I101" s="233"/>
      <c r="J101" s="227"/>
      <c r="K101" s="345"/>
      <c r="L101" s="343">
        <v>0</v>
      </c>
      <c r="M101" s="344"/>
      <c r="N101" s="233"/>
      <c r="O101" s="227"/>
      <c r="P101" s="345"/>
      <c r="Q101" s="343">
        <v>0</v>
      </c>
      <c r="R101" s="344"/>
      <c r="S101" s="233"/>
      <c r="T101" s="227"/>
      <c r="U101" s="345"/>
      <c r="V101" s="343">
        <v>0</v>
      </c>
      <c r="W101" s="344"/>
      <c r="X101" s="233"/>
      <c r="Y101" s="227"/>
      <c r="Z101" s="345"/>
      <c r="AA101" s="343">
        <v>0</v>
      </c>
      <c r="AB101" s="344"/>
      <c r="AC101" s="233"/>
      <c r="AD101" s="227"/>
      <c r="AE101" s="345"/>
      <c r="AF101" s="343">
        <v>0</v>
      </c>
      <c r="AG101" s="344"/>
      <c r="AH101" s="233"/>
      <c r="AI101" s="227"/>
      <c r="AJ101" s="345"/>
      <c r="AK101" s="343">
        <v>0</v>
      </c>
      <c r="AL101" s="344"/>
      <c r="AM101" s="233"/>
      <c r="AN101" s="227"/>
      <c r="AO101" s="345"/>
      <c r="AP101" s="343">
        <v>0</v>
      </c>
      <c r="AQ101" s="344"/>
      <c r="AR101" s="233"/>
      <c r="AS101" s="227"/>
      <c r="AT101" s="345"/>
      <c r="AU101" s="343">
        <v>0</v>
      </c>
      <c r="AV101" s="344"/>
      <c r="AW101" s="233"/>
      <c r="AX101" s="227"/>
      <c r="AY101" s="345"/>
      <c r="AZ101" s="343">
        <v>0</v>
      </c>
      <c r="BA101" s="344"/>
      <c r="BB101" s="233"/>
      <c r="BC101" s="227"/>
      <c r="BD101" s="345"/>
      <c r="BE101" s="343">
        <v>0</v>
      </c>
      <c r="BF101" s="344"/>
      <c r="BG101" s="233"/>
      <c r="BH101" s="227"/>
      <c r="BI101" s="345"/>
      <c r="BJ101" s="343">
        <v>0</v>
      </c>
      <c r="BK101" s="344"/>
      <c r="BL101" s="233"/>
      <c r="BM101" s="227"/>
      <c r="BN101" s="345"/>
      <c r="BO101" s="343">
        <v>0</v>
      </c>
      <c r="BP101" s="344"/>
      <c r="BQ101" s="233"/>
      <c r="BR101" s="227"/>
      <c r="BS101" s="227"/>
      <c r="BT101" s="233">
        <f>SUM(L101:BO101)</f>
        <v>0</v>
      </c>
      <c r="BU101" s="344"/>
      <c r="BV101" s="233"/>
      <c r="BW101" s="233"/>
      <c r="BX101" s="254"/>
      <c r="CA101" s="268"/>
      <c r="CB101" s="268"/>
    </row>
    <row r="102" spans="1:80" ht="12.75" hidden="1" customHeight="1" x14ac:dyDescent="0.2">
      <c r="A102" s="244"/>
      <c r="B102" s="244"/>
      <c r="D102" s="254" t="s">
        <v>312</v>
      </c>
      <c r="E102" s="227"/>
      <c r="F102" s="261"/>
      <c r="G102" s="233">
        <v>0</v>
      </c>
      <c r="H102" s="347"/>
      <c r="I102" s="233"/>
      <c r="J102" s="227"/>
      <c r="K102" s="227"/>
      <c r="L102" s="233">
        <v>0</v>
      </c>
      <c r="M102" s="347"/>
      <c r="N102" s="233"/>
      <c r="O102" s="227"/>
      <c r="P102" s="227"/>
      <c r="Q102" s="233">
        <v>0</v>
      </c>
      <c r="R102" s="347"/>
      <c r="S102" s="233"/>
      <c r="T102" s="227"/>
      <c r="U102" s="227"/>
      <c r="V102" s="233">
        <v>0</v>
      </c>
      <c r="W102" s="347"/>
      <c r="X102" s="233"/>
      <c r="Y102" s="227"/>
      <c r="Z102" s="227"/>
      <c r="AA102" s="233">
        <v>0</v>
      </c>
      <c r="AB102" s="347"/>
      <c r="AC102" s="233"/>
      <c r="AD102" s="227"/>
      <c r="AE102" s="227"/>
      <c r="AF102" s="233">
        <v>0</v>
      </c>
      <c r="AG102" s="347"/>
      <c r="AH102" s="233"/>
      <c r="AI102" s="227"/>
      <c r="AJ102" s="227"/>
      <c r="AK102" s="233">
        <v>0</v>
      </c>
      <c r="AL102" s="347"/>
      <c r="AM102" s="233"/>
      <c r="AN102" s="227"/>
      <c r="AO102" s="227"/>
      <c r="AP102" s="233">
        <v>0</v>
      </c>
      <c r="AQ102" s="347"/>
      <c r="AR102" s="233"/>
      <c r="AS102" s="227"/>
      <c r="AT102" s="227"/>
      <c r="AU102" s="233">
        <v>0</v>
      </c>
      <c r="AV102" s="347"/>
      <c r="AW102" s="233"/>
      <c r="AX102" s="227"/>
      <c r="AY102" s="227"/>
      <c r="AZ102" s="233">
        <v>0</v>
      </c>
      <c r="BA102" s="347"/>
      <c r="BB102" s="233"/>
      <c r="BC102" s="227"/>
      <c r="BD102" s="227"/>
      <c r="BE102" s="233">
        <v>0</v>
      </c>
      <c r="BF102" s="347"/>
      <c r="BG102" s="233"/>
      <c r="BH102" s="227"/>
      <c r="BI102" s="227"/>
      <c r="BJ102" s="233">
        <v>0</v>
      </c>
      <c r="BK102" s="347"/>
      <c r="BL102" s="233"/>
      <c r="BM102" s="227"/>
      <c r="BN102" s="227"/>
      <c r="BO102" s="233">
        <v>0</v>
      </c>
      <c r="BP102" s="347"/>
      <c r="BQ102" s="233"/>
      <c r="BR102" s="227"/>
      <c r="BS102" s="227"/>
      <c r="BT102" s="233">
        <f>SUM(L102:BO102)</f>
        <v>0</v>
      </c>
      <c r="BU102" s="347"/>
      <c r="BV102" s="233"/>
      <c r="BW102" s="233"/>
      <c r="BX102" s="254"/>
      <c r="CA102" s="268"/>
      <c r="CB102" s="268"/>
    </row>
    <row r="103" spans="1:80" ht="12.75" hidden="1" customHeight="1" x14ac:dyDescent="0.2">
      <c r="A103" s="244"/>
      <c r="B103" s="244"/>
      <c r="D103" s="254" t="s">
        <v>320</v>
      </c>
      <c r="E103" s="227"/>
      <c r="F103" s="284"/>
      <c r="G103" s="355">
        <v>0</v>
      </c>
      <c r="H103" s="356"/>
      <c r="I103" s="233"/>
      <c r="J103" s="227"/>
      <c r="K103" s="357"/>
      <c r="L103" s="355">
        <v>0</v>
      </c>
      <c r="M103" s="356"/>
      <c r="N103" s="233"/>
      <c r="O103" s="227"/>
      <c r="P103" s="357"/>
      <c r="Q103" s="355">
        <v>0</v>
      </c>
      <c r="R103" s="356"/>
      <c r="S103" s="233"/>
      <c r="T103" s="227"/>
      <c r="U103" s="357"/>
      <c r="V103" s="355">
        <v>0</v>
      </c>
      <c r="W103" s="356"/>
      <c r="X103" s="233"/>
      <c r="Y103" s="227"/>
      <c r="Z103" s="357"/>
      <c r="AA103" s="355">
        <v>0</v>
      </c>
      <c r="AB103" s="356"/>
      <c r="AC103" s="233"/>
      <c r="AD103" s="227"/>
      <c r="AE103" s="357"/>
      <c r="AF103" s="355">
        <v>0</v>
      </c>
      <c r="AG103" s="356"/>
      <c r="AH103" s="233"/>
      <c r="AI103" s="227"/>
      <c r="AJ103" s="357"/>
      <c r="AK103" s="355">
        <v>0</v>
      </c>
      <c r="AL103" s="356"/>
      <c r="AM103" s="233"/>
      <c r="AN103" s="227"/>
      <c r="AO103" s="357"/>
      <c r="AP103" s="355">
        <v>0</v>
      </c>
      <c r="AQ103" s="356"/>
      <c r="AR103" s="233"/>
      <c r="AS103" s="227"/>
      <c r="AT103" s="357"/>
      <c r="AU103" s="355">
        <v>0</v>
      </c>
      <c r="AV103" s="356"/>
      <c r="AW103" s="233"/>
      <c r="AX103" s="227"/>
      <c r="AY103" s="357"/>
      <c r="AZ103" s="355">
        <v>0</v>
      </c>
      <c r="BA103" s="356"/>
      <c r="BB103" s="233"/>
      <c r="BC103" s="227"/>
      <c r="BD103" s="357"/>
      <c r="BE103" s="355">
        <v>0</v>
      </c>
      <c r="BF103" s="356"/>
      <c r="BG103" s="233"/>
      <c r="BH103" s="227"/>
      <c r="BI103" s="357"/>
      <c r="BJ103" s="355">
        <v>0</v>
      </c>
      <c r="BK103" s="356"/>
      <c r="BL103" s="233"/>
      <c r="BM103" s="227"/>
      <c r="BN103" s="357"/>
      <c r="BO103" s="355">
        <v>0</v>
      </c>
      <c r="BP103" s="356"/>
      <c r="BQ103" s="233"/>
      <c r="BR103" s="227"/>
      <c r="BS103" s="357"/>
      <c r="BT103" s="355">
        <f>SUM(L103:BO103)</f>
        <v>0</v>
      </c>
      <c r="BU103" s="356"/>
      <c r="BV103" s="233"/>
      <c r="BW103" s="233"/>
      <c r="BX103" s="254"/>
      <c r="CA103" s="268"/>
      <c r="CB103" s="268"/>
    </row>
    <row r="104" spans="1:80" ht="12.75" hidden="1" customHeight="1" x14ac:dyDescent="0.2">
      <c r="A104" s="244"/>
      <c r="B104" s="244"/>
      <c r="D104" s="254"/>
      <c r="E104" s="227"/>
      <c r="F104" s="244"/>
      <c r="G104" s="233"/>
      <c r="H104" s="233"/>
      <c r="I104" s="233"/>
      <c r="J104" s="227"/>
      <c r="K104" s="233"/>
      <c r="L104" s="233"/>
      <c r="M104" s="233"/>
      <c r="N104" s="233"/>
      <c r="O104" s="227"/>
      <c r="P104" s="233"/>
      <c r="Q104" s="233"/>
      <c r="R104" s="233"/>
      <c r="S104" s="233"/>
      <c r="T104" s="227"/>
      <c r="U104" s="233"/>
      <c r="V104" s="233"/>
      <c r="W104" s="233"/>
      <c r="X104" s="233"/>
      <c r="Y104" s="227"/>
      <c r="Z104" s="233"/>
      <c r="AA104" s="233"/>
      <c r="AB104" s="233"/>
      <c r="AC104" s="233"/>
      <c r="AD104" s="227"/>
      <c r="AE104" s="233"/>
      <c r="AF104" s="233"/>
      <c r="AG104" s="233"/>
      <c r="AH104" s="233"/>
      <c r="AI104" s="227"/>
      <c r="AJ104" s="233"/>
      <c r="AK104" s="233"/>
      <c r="AL104" s="233"/>
      <c r="AM104" s="233"/>
      <c r="AN104" s="227"/>
      <c r="AO104" s="233"/>
      <c r="AP104" s="233"/>
      <c r="AQ104" s="233"/>
      <c r="AR104" s="233"/>
      <c r="AS104" s="227"/>
      <c r="AT104" s="233"/>
      <c r="AU104" s="233"/>
      <c r="AV104" s="233"/>
      <c r="AW104" s="233"/>
      <c r="AX104" s="227"/>
      <c r="AY104" s="233"/>
      <c r="AZ104" s="233"/>
      <c r="BA104" s="233"/>
      <c r="BB104" s="233"/>
      <c r="BC104" s="227"/>
      <c r="BD104" s="233"/>
      <c r="BE104" s="233"/>
      <c r="BF104" s="233"/>
      <c r="BG104" s="233"/>
      <c r="BH104" s="227"/>
      <c r="BI104" s="233"/>
      <c r="BJ104" s="233"/>
      <c r="BK104" s="233"/>
      <c r="BL104" s="233"/>
      <c r="BM104" s="227"/>
      <c r="BN104" s="233"/>
      <c r="BO104" s="233"/>
      <c r="BP104" s="233"/>
      <c r="BQ104" s="233"/>
      <c r="BR104" s="227"/>
      <c r="BS104" s="233"/>
      <c r="BT104" s="233"/>
      <c r="BU104" s="233"/>
      <c r="BV104" s="233"/>
      <c r="BW104" s="233"/>
      <c r="BX104" s="254"/>
      <c r="CA104" s="268"/>
      <c r="CB104" s="268"/>
    </row>
    <row r="105" spans="1:80" ht="12.75" hidden="1" customHeight="1" x14ac:dyDescent="0.2">
      <c r="A105" s="244"/>
      <c r="B105" s="244"/>
      <c r="D105" s="254" t="s">
        <v>330</v>
      </c>
      <c r="E105" s="227"/>
      <c r="F105" s="244"/>
      <c r="G105" s="233">
        <f>SUM(G106:G108)</f>
        <v>0</v>
      </c>
      <c r="H105" s="233"/>
      <c r="I105" s="233"/>
      <c r="J105" s="227"/>
      <c r="K105" s="233"/>
      <c r="L105" s="233">
        <f>SUM(L106:L108)</f>
        <v>0</v>
      </c>
      <c r="M105" s="233"/>
      <c r="N105" s="233"/>
      <c r="O105" s="227"/>
      <c r="P105" s="233"/>
      <c r="Q105" s="233">
        <f>SUM(Q106:Q108)</f>
        <v>0</v>
      </c>
      <c r="R105" s="233"/>
      <c r="S105" s="233"/>
      <c r="T105" s="227"/>
      <c r="U105" s="233"/>
      <c r="V105" s="233">
        <f>SUM(V106:V108)</f>
        <v>0</v>
      </c>
      <c r="W105" s="233"/>
      <c r="X105" s="233"/>
      <c r="Y105" s="227"/>
      <c r="Z105" s="233"/>
      <c r="AA105" s="233">
        <f>SUM(AA106:AA108)</f>
        <v>0</v>
      </c>
      <c r="AB105" s="233"/>
      <c r="AC105" s="233"/>
      <c r="AD105" s="227"/>
      <c r="AE105" s="233"/>
      <c r="AF105" s="233">
        <f>SUM(AF106:AF108)</f>
        <v>0</v>
      </c>
      <c r="AG105" s="233"/>
      <c r="AH105" s="233"/>
      <c r="AI105" s="227"/>
      <c r="AJ105" s="233"/>
      <c r="AK105" s="233">
        <f>SUM(AK106:AK108)</f>
        <v>0</v>
      </c>
      <c r="AL105" s="233"/>
      <c r="AM105" s="233"/>
      <c r="AN105" s="227"/>
      <c r="AO105" s="233"/>
      <c r="AP105" s="233">
        <f>SUM(AP106:AP108)</f>
        <v>0</v>
      </c>
      <c r="AQ105" s="233"/>
      <c r="AR105" s="233"/>
      <c r="AS105" s="227"/>
      <c r="AT105" s="233"/>
      <c r="AU105" s="233">
        <f>SUM(AU106:AU108)</f>
        <v>0</v>
      </c>
      <c r="AV105" s="233"/>
      <c r="AW105" s="233"/>
      <c r="AX105" s="227"/>
      <c r="AY105" s="233"/>
      <c r="AZ105" s="233">
        <f>SUM(AZ106:AZ108)</f>
        <v>0</v>
      </c>
      <c r="BA105" s="233"/>
      <c r="BB105" s="233"/>
      <c r="BC105" s="227"/>
      <c r="BD105" s="233"/>
      <c r="BE105" s="233">
        <f>SUM(BE106:BE108)</f>
        <v>0</v>
      </c>
      <c r="BF105" s="233"/>
      <c r="BG105" s="233"/>
      <c r="BH105" s="227"/>
      <c r="BI105" s="233"/>
      <c r="BJ105" s="233">
        <f>SUM(BJ106:BJ108)</f>
        <v>0</v>
      </c>
      <c r="BK105" s="233"/>
      <c r="BL105" s="233"/>
      <c r="BM105" s="227"/>
      <c r="BN105" s="233"/>
      <c r="BO105" s="233">
        <f>SUM(BO106:BO108)</f>
        <v>0</v>
      </c>
      <c r="BP105" s="233"/>
      <c r="BQ105" s="233"/>
      <c r="BR105" s="227"/>
      <c r="BS105" s="233"/>
      <c r="BT105" s="233">
        <f>SUM(BT106:BT108)</f>
        <v>0</v>
      </c>
      <c r="BU105" s="233"/>
      <c r="BV105" s="233"/>
      <c r="BW105" s="233"/>
      <c r="BX105" s="254"/>
      <c r="CA105" s="268"/>
      <c r="CB105" s="268"/>
    </row>
    <row r="106" spans="1:80" ht="12.75" hidden="1" customHeight="1" x14ac:dyDescent="0.2">
      <c r="A106" s="244"/>
      <c r="B106" s="244"/>
      <c r="D106" s="254" t="s">
        <v>310</v>
      </c>
      <c r="E106" s="227"/>
      <c r="F106" s="269"/>
      <c r="G106" s="343">
        <v>0</v>
      </c>
      <c r="H106" s="344"/>
      <c r="I106" s="233"/>
      <c r="J106" s="227"/>
      <c r="K106" s="345"/>
      <c r="L106" s="343">
        <v>0</v>
      </c>
      <c r="M106" s="344"/>
      <c r="N106" s="233"/>
      <c r="O106" s="227"/>
      <c r="P106" s="345"/>
      <c r="Q106" s="343">
        <v>0</v>
      </c>
      <c r="R106" s="344"/>
      <c r="S106" s="233"/>
      <c r="T106" s="227"/>
      <c r="U106" s="345"/>
      <c r="V106" s="343">
        <v>0</v>
      </c>
      <c r="W106" s="344"/>
      <c r="X106" s="233"/>
      <c r="Y106" s="227"/>
      <c r="Z106" s="345"/>
      <c r="AA106" s="343">
        <v>0</v>
      </c>
      <c r="AB106" s="344"/>
      <c r="AC106" s="233"/>
      <c r="AD106" s="227"/>
      <c r="AE106" s="345"/>
      <c r="AF106" s="343">
        <v>0</v>
      </c>
      <c r="AG106" s="344"/>
      <c r="AH106" s="233"/>
      <c r="AI106" s="227"/>
      <c r="AJ106" s="345"/>
      <c r="AK106" s="343">
        <v>0</v>
      </c>
      <c r="AL106" s="344"/>
      <c r="AM106" s="233"/>
      <c r="AN106" s="227"/>
      <c r="AO106" s="345"/>
      <c r="AP106" s="343">
        <v>0</v>
      </c>
      <c r="AQ106" s="344"/>
      <c r="AR106" s="233"/>
      <c r="AS106" s="227"/>
      <c r="AT106" s="345"/>
      <c r="AU106" s="343">
        <v>0</v>
      </c>
      <c r="AV106" s="344"/>
      <c r="AW106" s="233"/>
      <c r="AX106" s="227"/>
      <c r="AY106" s="345"/>
      <c r="AZ106" s="343">
        <v>0</v>
      </c>
      <c r="BA106" s="344"/>
      <c r="BB106" s="233"/>
      <c r="BC106" s="227"/>
      <c r="BD106" s="345"/>
      <c r="BE106" s="343">
        <v>0</v>
      </c>
      <c r="BF106" s="344"/>
      <c r="BG106" s="233"/>
      <c r="BH106" s="227"/>
      <c r="BI106" s="345"/>
      <c r="BJ106" s="343">
        <v>0</v>
      </c>
      <c r="BK106" s="344"/>
      <c r="BL106" s="233"/>
      <c r="BM106" s="227"/>
      <c r="BN106" s="345"/>
      <c r="BO106" s="343">
        <v>0</v>
      </c>
      <c r="BP106" s="344"/>
      <c r="BQ106" s="233"/>
      <c r="BR106" s="227"/>
      <c r="BS106" s="345"/>
      <c r="BT106" s="343">
        <f>SUM(L106:BO106)</f>
        <v>0</v>
      </c>
      <c r="BU106" s="344"/>
      <c r="BV106" s="233"/>
      <c r="BW106" s="233"/>
      <c r="BX106" s="254"/>
      <c r="CA106" s="268"/>
      <c r="CB106" s="268"/>
    </row>
    <row r="107" spans="1:80" ht="12.75" hidden="1" customHeight="1" x14ac:dyDescent="0.2">
      <c r="A107" s="244"/>
      <c r="B107" s="244"/>
      <c r="D107" s="254" t="s">
        <v>312</v>
      </c>
      <c r="E107" s="227"/>
      <c r="F107" s="261"/>
      <c r="G107" s="233">
        <v>0</v>
      </c>
      <c r="H107" s="347"/>
      <c r="I107" s="233"/>
      <c r="J107" s="227"/>
      <c r="K107" s="227"/>
      <c r="L107" s="233">
        <v>0</v>
      </c>
      <c r="M107" s="347"/>
      <c r="N107" s="233"/>
      <c r="O107" s="227"/>
      <c r="P107" s="227"/>
      <c r="Q107" s="233">
        <v>0</v>
      </c>
      <c r="R107" s="347"/>
      <c r="S107" s="233"/>
      <c r="T107" s="227"/>
      <c r="U107" s="227"/>
      <c r="V107" s="233">
        <v>0</v>
      </c>
      <c r="W107" s="347"/>
      <c r="X107" s="233"/>
      <c r="Y107" s="227"/>
      <c r="Z107" s="227"/>
      <c r="AA107" s="233">
        <v>0</v>
      </c>
      <c r="AB107" s="347"/>
      <c r="AC107" s="233"/>
      <c r="AD107" s="227"/>
      <c r="AE107" s="227"/>
      <c r="AF107" s="233">
        <v>0</v>
      </c>
      <c r="AG107" s="347"/>
      <c r="AH107" s="233"/>
      <c r="AI107" s="227"/>
      <c r="AJ107" s="227"/>
      <c r="AK107" s="233">
        <v>0</v>
      </c>
      <c r="AL107" s="347"/>
      <c r="AM107" s="233"/>
      <c r="AN107" s="227"/>
      <c r="AO107" s="227"/>
      <c r="AP107" s="233">
        <v>0</v>
      </c>
      <c r="AQ107" s="347"/>
      <c r="AR107" s="233"/>
      <c r="AS107" s="227"/>
      <c r="AT107" s="227"/>
      <c r="AU107" s="233">
        <v>0</v>
      </c>
      <c r="AV107" s="347"/>
      <c r="AW107" s="233"/>
      <c r="AX107" s="227"/>
      <c r="AY107" s="227"/>
      <c r="AZ107" s="233">
        <v>0</v>
      </c>
      <c r="BA107" s="347"/>
      <c r="BB107" s="233"/>
      <c r="BC107" s="227"/>
      <c r="BD107" s="227"/>
      <c r="BE107" s="233">
        <v>0</v>
      </c>
      <c r="BF107" s="347"/>
      <c r="BG107" s="233"/>
      <c r="BH107" s="227"/>
      <c r="BI107" s="227"/>
      <c r="BJ107" s="233">
        <v>0</v>
      </c>
      <c r="BK107" s="347"/>
      <c r="BL107" s="233"/>
      <c r="BM107" s="227"/>
      <c r="BN107" s="227"/>
      <c r="BO107" s="233">
        <v>0</v>
      </c>
      <c r="BP107" s="347"/>
      <c r="BQ107" s="233"/>
      <c r="BR107" s="227"/>
      <c r="BS107" s="227"/>
      <c r="BT107" s="233">
        <f>SUM(L107:BO107)</f>
        <v>0</v>
      </c>
      <c r="BU107" s="347"/>
      <c r="BV107" s="233"/>
      <c r="BW107" s="233"/>
      <c r="BX107" s="254"/>
      <c r="CA107" s="268"/>
      <c r="CB107" s="268"/>
    </row>
    <row r="108" spans="1:80" ht="12.75" hidden="1" customHeight="1" x14ac:dyDescent="0.2">
      <c r="A108" s="244"/>
      <c r="B108" s="244"/>
      <c r="D108" s="254" t="s">
        <v>320</v>
      </c>
      <c r="E108" s="227"/>
      <c r="F108" s="284"/>
      <c r="G108" s="355">
        <v>0</v>
      </c>
      <c r="H108" s="356"/>
      <c r="I108" s="233"/>
      <c r="J108" s="227"/>
      <c r="K108" s="357"/>
      <c r="L108" s="355">
        <v>0</v>
      </c>
      <c r="M108" s="356"/>
      <c r="N108" s="233"/>
      <c r="O108" s="227"/>
      <c r="P108" s="357"/>
      <c r="Q108" s="355">
        <v>0</v>
      </c>
      <c r="R108" s="356"/>
      <c r="S108" s="233"/>
      <c r="T108" s="227"/>
      <c r="U108" s="357"/>
      <c r="V108" s="355">
        <v>0</v>
      </c>
      <c r="W108" s="356"/>
      <c r="X108" s="233"/>
      <c r="Y108" s="227"/>
      <c r="Z108" s="357"/>
      <c r="AA108" s="355">
        <v>0</v>
      </c>
      <c r="AB108" s="356"/>
      <c r="AC108" s="233"/>
      <c r="AD108" s="227"/>
      <c r="AE108" s="357"/>
      <c r="AF108" s="355">
        <v>0</v>
      </c>
      <c r="AG108" s="356"/>
      <c r="AH108" s="233"/>
      <c r="AI108" s="227"/>
      <c r="AJ108" s="357"/>
      <c r="AK108" s="355">
        <v>0</v>
      </c>
      <c r="AL108" s="356"/>
      <c r="AM108" s="233"/>
      <c r="AN108" s="227"/>
      <c r="AO108" s="357"/>
      <c r="AP108" s="355">
        <v>0</v>
      </c>
      <c r="AQ108" s="356"/>
      <c r="AR108" s="233"/>
      <c r="AS108" s="227"/>
      <c r="AT108" s="357"/>
      <c r="AU108" s="355">
        <v>0</v>
      </c>
      <c r="AV108" s="356"/>
      <c r="AW108" s="233"/>
      <c r="AX108" s="227"/>
      <c r="AY108" s="357"/>
      <c r="AZ108" s="355">
        <v>0</v>
      </c>
      <c r="BA108" s="356"/>
      <c r="BB108" s="233"/>
      <c r="BC108" s="227"/>
      <c r="BD108" s="357"/>
      <c r="BE108" s="355">
        <v>0</v>
      </c>
      <c r="BF108" s="356"/>
      <c r="BG108" s="233"/>
      <c r="BH108" s="227"/>
      <c r="BI108" s="357"/>
      <c r="BJ108" s="355">
        <v>0</v>
      </c>
      <c r="BK108" s="356"/>
      <c r="BL108" s="233"/>
      <c r="BM108" s="227"/>
      <c r="BN108" s="357"/>
      <c r="BO108" s="355">
        <v>0</v>
      </c>
      <c r="BP108" s="356"/>
      <c r="BQ108" s="233"/>
      <c r="BR108" s="227"/>
      <c r="BS108" s="357"/>
      <c r="BT108" s="355">
        <f>SUM(L108:BO108)</f>
        <v>0</v>
      </c>
      <c r="BU108" s="356"/>
      <c r="BV108" s="233"/>
      <c r="BW108" s="233"/>
      <c r="BX108" s="254"/>
      <c r="CA108" s="268"/>
      <c r="CB108" s="268"/>
    </row>
    <row r="109" spans="1:80" ht="12.75" hidden="1" customHeight="1" x14ac:dyDescent="0.2">
      <c r="A109" s="244"/>
      <c r="B109" s="244"/>
      <c r="D109" s="254"/>
      <c r="E109" s="227"/>
      <c r="F109" s="244"/>
      <c r="G109" s="233"/>
      <c r="H109" s="233"/>
      <c r="I109" s="233"/>
      <c r="J109" s="227"/>
      <c r="K109" s="233"/>
      <c r="L109" s="233"/>
      <c r="M109" s="233"/>
      <c r="N109" s="233"/>
      <c r="O109" s="227"/>
      <c r="P109" s="233"/>
      <c r="Q109" s="233"/>
      <c r="R109" s="233"/>
      <c r="S109" s="233"/>
      <c r="T109" s="227"/>
      <c r="U109" s="233"/>
      <c r="V109" s="233"/>
      <c r="W109" s="233"/>
      <c r="X109" s="233"/>
      <c r="Y109" s="227"/>
      <c r="Z109" s="233"/>
      <c r="AA109" s="233"/>
      <c r="AB109" s="233"/>
      <c r="AC109" s="233"/>
      <c r="AD109" s="227"/>
      <c r="AE109" s="233"/>
      <c r="AF109" s="233"/>
      <c r="AG109" s="233"/>
      <c r="AH109" s="233"/>
      <c r="AI109" s="227"/>
      <c r="AJ109" s="233"/>
      <c r="AK109" s="233"/>
      <c r="AL109" s="233"/>
      <c r="AM109" s="233"/>
      <c r="AN109" s="227"/>
      <c r="AO109" s="233"/>
      <c r="AP109" s="233"/>
      <c r="AQ109" s="233"/>
      <c r="AR109" s="233"/>
      <c r="AS109" s="227"/>
      <c r="AT109" s="233"/>
      <c r="AU109" s="233"/>
      <c r="AV109" s="233"/>
      <c r="AW109" s="233"/>
      <c r="AX109" s="227"/>
      <c r="AY109" s="233"/>
      <c r="AZ109" s="233"/>
      <c r="BA109" s="233"/>
      <c r="BB109" s="233"/>
      <c r="BC109" s="227"/>
      <c r="BD109" s="233"/>
      <c r="BE109" s="233"/>
      <c r="BF109" s="233"/>
      <c r="BG109" s="233"/>
      <c r="BH109" s="227"/>
      <c r="BI109" s="233"/>
      <c r="BJ109" s="233"/>
      <c r="BK109" s="233"/>
      <c r="BL109" s="233"/>
      <c r="BM109" s="227"/>
      <c r="BN109" s="233"/>
      <c r="BO109" s="233"/>
      <c r="BP109" s="233"/>
      <c r="BQ109" s="233"/>
      <c r="BR109" s="227"/>
      <c r="BS109" s="233"/>
      <c r="BT109" s="233"/>
      <c r="BU109" s="233"/>
      <c r="BV109" s="233"/>
      <c r="BW109" s="233"/>
      <c r="BX109" s="254"/>
      <c r="CA109" s="268"/>
      <c r="CB109" s="268"/>
    </row>
    <row r="110" spans="1:80" ht="12.75" hidden="1" customHeight="1" x14ac:dyDescent="0.2">
      <c r="A110" s="244"/>
      <c r="B110" s="244"/>
      <c r="D110" s="254" t="s">
        <v>331</v>
      </c>
      <c r="E110" s="227"/>
      <c r="F110" s="244"/>
      <c r="G110" s="233">
        <f>SUM(G111:G113)</f>
        <v>0</v>
      </c>
      <c r="H110" s="233"/>
      <c r="I110" s="233"/>
      <c r="J110" s="227"/>
      <c r="K110" s="233"/>
      <c r="L110" s="233">
        <f>SUM(L111:L113)</f>
        <v>0</v>
      </c>
      <c r="M110" s="233"/>
      <c r="N110" s="233"/>
      <c r="O110" s="227"/>
      <c r="P110" s="233"/>
      <c r="Q110" s="233">
        <f>SUM(Q111:Q113)</f>
        <v>0</v>
      </c>
      <c r="R110" s="233"/>
      <c r="S110" s="233"/>
      <c r="T110" s="227"/>
      <c r="U110" s="233"/>
      <c r="V110" s="233">
        <f>SUM(V111:V113)</f>
        <v>0</v>
      </c>
      <c r="W110" s="233"/>
      <c r="X110" s="233"/>
      <c r="Y110" s="227"/>
      <c r="Z110" s="233"/>
      <c r="AA110" s="233">
        <f>SUM(AA111:AA113)</f>
        <v>0</v>
      </c>
      <c r="AB110" s="233"/>
      <c r="AC110" s="233"/>
      <c r="AD110" s="227"/>
      <c r="AE110" s="233"/>
      <c r="AF110" s="233">
        <f>SUM(AF111:AF113)</f>
        <v>0</v>
      </c>
      <c r="AG110" s="233"/>
      <c r="AH110" s="233"/>
      <c r="AI110" s="227"/>
      <c r="AJ110" s="233"/>
      <c r="AK110" s="233">
        <f>SUM(AK111:AK113)</f>
        <v>0</v>
      </c>
      <c r="AL110" s="233"/>
      <c r="AM110" s="233"/>
      <c r="AN110" s="227"/>
      <c r="AO110" s="233"/>
      <c r="AP110" s="233">
        <f>SUM(AP111:AP113)</f>
        <v>0</v>
      </c>
      <c r="AQ110" s="233"/>
      <c r="AR110" s="233"/>
      <c r="AS110" s="227"/>
      <c r="AT110" s="233"/>
      <c r="AU110" s="233">
        <f>SUM(AU111:AU113)</f>
        <v>0</v>
      </c>
      <c r="AV110" s="233"/>
      <c r="AW110" s="233"/>
      <c r="AX110" s="227"/>
      <c r="AY110" s="233"/>
      <c r="AZ110" s="233">
        <f>SUM(AZ111:AZ113)</f>
        <v>0</v>
      </c>
      <c r="BA110" s="233"/>
      <c r="BB110" s="233"/>
      <c r="BC110" s="227"/>
      <c r="BD110" s="233"/>
      <c r="BE110" s="233">
        <f>SUM(BE111:BE113)</f>
        <v>0</v>
      </c>
      <c r="BF110" s="233"/>
      <c r="BG110" s="233"/>
      <c r="BH110" s="227"/>
      <c r="BI110" s="233"/>
      <c r="BJ110" s="233">
        <f>SUM(BJ111:BJ113)</f>
        <v>0</v>
      </c>
      <c r="BK110" s="233"/>
      <c r="BL110" s="233"/>
      <c r="BM110" s="227"/>
      <c r="BN110" s="233"/>
      <c r="BO110" s="233">
        <f>SUM(BO111:BO113)</f>
        <v>0</v>
      </c>
      <c r="BP110" s="233"/>
      <c r="BQ110" s="233"/>
      <c r="BR110" s="227"/>
      <c r="BS110" s="233"/>
      <c r="BT110" s="233">
        <f>SUM(BT111:BT113)</f>
        <v>0</v>
      </c>
      <c r="BU110" s="233"/>
      <c r="BV110" s="233"/>
      <c r="BW110" s="233"/>
      <c r="BX110" s="254"/>
      <c r="CA110" s="268"/>
      <c r="CB110" s="268"/>
    </row>
    <row r="111" spans="1:80" ht="12.75" hidden="1" customHeight="1" x14ac:dyDescent="0.2">
      <c r="A111" s="244"/>
      <c r="B111" s="244"/>
      <c r="D111" s="254" t="s">
        <v>310</v>
      </c>
      <c r="E111" s="227"/>
      <c r="F111" s="269"/>
      <c r="G111" s="343">
        <v>0</v>
      </c>
      <c r="H111" s="344"/>
      <c r="I111" s="233"/>
      <c r="J111" s="227"/>
      <c r="K111" s="345"/>
      <c r="L111" s="343">
        <v>0</v>
      </c>
      <c r="M111" s="344"/>
      <c r="N111" s="233"/>
      <c r="O111" s="227"/>
      <c r="P111" s="345"/>
      <c r="Q111" s="343">
        <v>0</v>
      </c>
      <c r="R111" s="344"/>
      <c r="S111" s="233"/>
      <c r="T111" s="227"/>
      <c r="U111" s="345"/>
      <c r="V111" s="343">
        <v>0</v>
      </c>
      <c r="W111" s="344"/>
      <c r="X111" s="233"/>
      <c r="Y111" s="227"/>
      <c r="Z111" s="345"/>
      <c r="AA111" s="343">
        <v>0</v>
      </c>
      <c r="AB111" s="344"/>
      <c r="AC111" s="233"/>
      <c r="AD111" s="227"/>
      <c r="AE111" s="345"/>
      <c r="AF111" s="343">
        <v>0</v>
      </c>
      <c r="AG111" s="344"/>
      <c r="AH111" s="233"/>
      <c r="AI111" s="227"/>
      <c r="AJ111" s="345"/>
      <c r="AK111" s="343">
        <v>0</v>
      </c>
      <c r="AL111" s="344"/>
      <c r="AM111" s="233"/>
      <c r="AN111" s="227"/>
      <c r="AO111" s="345"/>
      <c r="AP111" s="343">
        <v>0</v>
      </c>
      <c r="AQ111" s="344"/>
      <c r="AR111" s="233"/>
      <c r="AS111" s="227"/>
      <c r="AT111" s="345"/>
      <c r="AU111" s="343">
        <v>0</v>
      </c>
      <c r="AV111" s="344"/>
      <c r="AW111" s="233"/>
      <c r="AX111" s="227"/>
      <c r="AY111" s="345"/>
      <c r="AZ111" s="343">
        <v>0</v>
      </c>
      <c r="BA111" s="344"/>
      <c r="BB111" s="233"/>
      <c r="BC111" s="227"/>
      <c r="BD111" s="345"/>
      <c r="BE111" s="343">
        <v>0</v>
      </c>
      <c r="BF111" s="344"/>
      <c r="BG111" s="233"/>
      <c r="BH111" s="227"/>
      <c r="BI111" s="345"/>
      <c r="BJ111" s="343">
        <v>0</v>
      </c>
      <c r="BK111" s="344"/>
      <c r="BL111" s="233"/>
      <c r="BM111" s="227"/>
      <c r="BN111" s="345"/>
      <c r="BO111" s="343">
        <v>0</v>
      </c>
      <c r="BP111" s="344"/>
      <c r="BQ111" s="233"/>
      <c r="BR111" s="227"/>
      <c r="BS111" s="345"/>
      <c r="BT111" s="343">
        <f>SUM(L111:BO111)</f>
        <v>0</v>
      </c>
      <c r="BU111" s="344"/>
      <c r="BV111" s="233"/>
      <c r="BW111" s="233"/>
      <c r="BX111" s="254"/>
      <c r="CA111" s="268"/>
      <c r="CB111" s="268"/>
    </row>
    <row r="112" spans="1:80" ht="12.75" hidden="1" customHeight="1" x14ac:dyDescent="0.2">
      <c r="A112" s="244"/>
      <c r="B112" s="244"/>
      <c r="D112" s="254" t="s">
        <v>312</v>
      </c>
      <c r="E112" s="227"/>
      <c r="F112" s="261"/>
      <c r="G112" s="233">
        <v>0</v>
      </c>
      <c r="H112" s="347"/>
      <c r="I112" s="233"/>
      <c r="J112" s="227"/>
      <c r="K112" s="227"/>
      <c r="L112" s="233">
        <v>0</v>
      </c>
      <c r="M112" s="347"/>
      <c r="N112" s="233"/>
      <c r="O112" s="227"/>
      <c r="P112" s="227"/>
      <c r="Q112" s="233">
        <v>0</v>
      </c>
      <c r="R112" s="347"/>
      <c r="S112" s="233"/>
      <c r="T112" s="227"/>
      <c r="U112" s="227"/>
      <c r="V112" s="233">
        <v>0</v>
      </c>
      <c r="W112" s="347"/>
      <c r="X112" s="233"/>
      <c r="Y112" s="227"/>
      <c r="Z112" s="227"/>
      <c r="AA112" s="233">
        <v>0</v>
      </c>
      <c r="AB112" s="347"/>
      <c r="AC112" s="233"/>
      <c r="AD112" s="227"/>
      <c r="AE112" s="227"/>
      <c r="AF112" s="233">
        <v>0</v>
      </c>
      <c r="AG112" s="347"/>
      <c r="AH112" s="233"/>
      <c r="AI112" s="227"/>
      <c r="AJ112" s="227"/>
      <c r="AK112" s="233">
        <v>0</v>
      </c>
      <c r="AL112" s="347"/>
      <c r="AM112" s="233"/>
      <c r="AN112" s="227"/>
      <c r="AO112" s="227"/>
      <c r="AP112" s="233">
        <v>0</v>
      </c>
      <c r="AQ112" s="347"/>
      <c r="AR112" s="233"/>
      <c r="AS112" s="227"/>
      <c r="AT112" s="227"/>
      <c r="AU112" s="233">
        <v>0</v>
      </c>
      <c r="AV112" s="347"/>
      <c r="AW112" s="233"/>
      <c r="AX112" s="227"/>
      <c r="AY112" s="227"/>
      <c r="AZ112" s="233">
        <v>0</v>
      </c>
      <c r="BA112" s="347"/>
      <c r="BB112" s="233"/>
      <c r="BC112" s="227"/>
      <c r="BD112" s="227"/>
      <c r="BE112" s="233">
        <v>0</v>
      </c>
      <c r="BF112" s="347"/>
      <c r="BG112" s="233"/>
      <c r="BH112" s="227"/>
      <c r="BI112" s="227"/>
      <c r="BJ112" s="233">
        <v>0</v>
      </c>
      <c r="BK112" s="347"/>
      <c r="BL112" s="233"/>
      <c r="BM112" s="227"/>
      <c r="BN112" s="227"/>
      <c r="BO112" s="233">
        <v>0</v>
      </c>
      <c r="BP112" s="347"/>
      <c r="BQ112" s="233"/>
      <c r="BR112" s="227"/>
      <c r="BS112" s="227"/>
      <c r="BT112" s="233">
        <f>SUM(L112:BO112)</f>
        <v>0</v>
      </c>
      <c r="BU112" s="347"/>
      <c r="BV112" s="233"/>
      <c r="BW112" s="233"/>
      <c r="BX112" s="254"/>
      <c r="CA112" s="268"/>
      <c r="CB112" s="268"/>
    </row>
    <row r="113" spans="1:80" ht="12.75" hidden="1" customHeight="1" x14ac:dyDescent="0.2">
      <c r="A113" s="244"/>
      <c r="B113" s="244"/>
      <c r="D113" s="254" t="s">
        <v>320</v>
      </c>
      <c r="E113" s="227"/>
      <c r="F113" s="284"/>
      <c r="G113" s="355">
        <v>0</v>
      </c>
      <c r="H113" s="356"/>
      <c r="I113" s="233"/>
      <c r="J113" s="227"/>
      <c r="K113" s="357"/>
      <c r="L113" s="355">
        <v>0</v>
      </c>
      <c r="M113" s="356"/>
      <c r="N113" s="233"/>
      <c r="O113" s="227"/>
      <c r="P113" s="357"/>
      <c r="Q113" s="355">
        <v>0</v>
      </c>
      <c r="R113" s="356"/>
      <c r="S113" s="233"/>
      <c r="T113" s="227"/>
      <c r="U113" s="357"/>
      <c r="V113" s="355">
        <v>0</v>
      </c>
      <c r="W113" s="356"/>
      <c r="X113" s="233"/>
      <c r="Y113" s="227"/>
      <c r="Z113" s="357"/>
      <c r="AA113" s="355">
        <v>0</v>
      </c>
      <c r="AB113" s="356"/>
      <c r="AC113" s="233"/>
      <c r="AD113" s="227"/>
      <c r="AE113" s="357"/>
      <c r="AF113" s="355">
        <v>0</v>
      </c>
      <c r="AG113" s="356"/>
      <c r="AH113" s="233"/>
      <c r="AI113" s="227"/>
      <c r="AJ113" s="357"/>
      <c r="AK113" s="355">
        <v>0</v>
      </c>
      <c r="AL113" s="356"/>
      <c r="AM113" s="233"/>
      <c r="AN113" s="227"/>
      <c r="AO113" s="357"/>
      <c r="AP113" s="355">
        <v>0</v>
      </c>
      <c r="AQ113" s="356"/>
      <c r="AR113" s="233"/>
      <c r="AS113" s="227"/>
      <c r="AT113" s="357"/>
      <c r="AU113" s="355">
        <v>0</v>
      </c>
      <c r="AV113" s="356"/>
      <c r="AW113" s="233"/>
      <c r="AX113" s="227"/>
      <c r="AY113" s="357"/>
      <c r="AZ113" s="355">
        <v>0</v>
      </c>
      <c r="BA113" s="356"/>
      <c r="BB113" s="233"/>
      <c r="BC113" s="227"/>
      <c r="BD113" s="357"/>
      <c r="BE113" s="355">
        <v>0</v>
      </c>
      <c r="BF113" s="356"/>
      <c r="BG113" s="233"/>
      <c r="BH113" s="227"/>
      <c r="BI113" s="357"/>
      <c r="BJ113" s="355">
        <v>0</v>
      </c>
      <c r="BK113" s="356"/>
      <c r="BL113" s="233"/>
      <c r="BM113" s="227"/>
      <c r="BN113" s="357"/>
      <c r="BO113" s="355">
        <v>0</v>
      </c>
      <c r="BP113" s="356"/>
      <c r="BQ113" s="233"/>
      <c r="BR113" s="227"/>
      <c r="BS113" s="357"/>
      <c r="BT113" s="355">
        <f>SUM(L113:BO113)</f>
        <v>0</v>
      </c>
      <c r="BU113" s="356"/>
      <c r="BV113" s="233"/>
      <c r="BW113" s="233"/>
      <c r="BX113" s="254"/>
      <c r="CA113" s="268"/>
      <c r="CB113" s="268"/>
    </row>
    <row r="114" spans="1:80" ht="12.75" hidden="1" customHeight="1" x14ac:dyDescent="0.2">
      <c r="A114" s="244"/>
      <c r="B114" s="244"/>
      <c r="D114" s="254"/>
      <c r="E114" s="227"/>
      <c r="F114" s="244"/>
      <c r="G114" s="233"/>
      <c r="H114" s="233"/>
      <c r="I114" s="233"/>
      <c r="J114" s="227"/>
      <c r="K114" s="233"/>
      <c r="L114" s="233"/>
      <c r="M114" s="233"/>
      <c r="N114" s="233"/>
      <c r="O114" s="227"/>
      <c r="P114" s="233"/>
      <c r="Q114" s="233"/>
      <c r="R114" s="233"/>
      <c r="S114" s="233"/>
      <c r="T114" s="227"/>
      <c r="U114" s="233"/>
      <c r="V114" s="233"/>
      <c r="W114" s="233"/>
      <c r="X114" s="233"/>
      <c r="Y114" s="227"/>
      <c r="Z114" s="233"/>
      <c r="AA114" s="233"/>
      <c r="AB114" s="233"/>
      <c r="AC114" s="233"/>
      <c r="AD114" s="227"/>
      <c r="AE114" s="233"/>
      <c r="AF114" s="233"/>
      <c r="AG114" s="233"/>
      <c r="AH114" s="233"/>
      <c r="AI114" s="227"/>
      <c r="AJ114" s="233"/>
      <c r="AK114" s="233"/>
      <c r="AL114" s="233"/>
      <c r="AM114" s="233"/>
      <c r="AN114" s="227"/>
      <c r="AO114" s="233"/>
      <c r="AP114" s="233"/>
      <c r="AQ114" s="233"/>
      <c r="AR114" s="233"/>
      <c r="AS114" s="227"/>
      <c r="AT114" s="233"/>
      <c r="AU114" s="233"/>
      <c r="AV114" s="233"/>
      <c r="AW114" s="233"/>
      <c r="AX114" s="227"/>
      <c r="AY114" s="233"/>
      <c r="AZ114" s="233"/>
      <c r="BA114" s="233"/>
      <c r="BB114" s="233"/>
      <c r="BC114" s="227"/>
      <c r="BD114" s="233"/>
      <c r="BE114" s="233"/>
      <c r="BF114" s="233"/>
      <c r="BG114" s="233"/>
      <c r="BH114" s="227"/>
      <c r="BI114" s="233"/>
      <c r="BJ114" s="233"/>
      <c r="BK114" s="233"/>
      <c r="BL114" s="233"/>
      <c r="BM114" s="227"/>
      <c r="BN114" s="233"/>
      <c r="BO114" s="233"/>
      <c r="BP114" s="233"/>
      <c r="BQ114" s="233"/>
      <c r="BR114" s="227"/>
      <c r="BS114" s="233"/>
      <c r="BT114" s="233"/>
      <c r="BU114" s="233"/>
      <c r="BV114" s="233"/>
      <c r="BW114" s="233"/>
      <c r="BX114" s="254"/>
      <c r="CA114" s="268"/>
      <c r="CB114" s="268"/>
    </row>
    <row r="115" spans="1:80" x14ac:dyDescent="0.2">
      <c r="A115" s="244"/>
      <c r="B115" s="244"/>
      <c r="D115" s="254" t="s">
        <v>332</v>
      </c>
      <c r="E115" s="227"/>
      <c r="F115" s="244"/>
      <c r="G115" s="233">
        <f>SUM(G116:G118)</f>
        <v>0</v>
      </c>
      <c r="H115" s="233"/>
      <c r="I115" s="233"/>
      <c r="J115" s="227"/>
      <c r="K115" s="233"/>
      <c r="L115" s="233">
        <f>SUM(L116:L118)</f>
        <v>2119000</v>
      </c>
      <c r="M115" s="233"/>
      <c r="N115" s="233"/>
      <c r="O115" s="227"/>
      <c r="P115" s="233"/>
      <c r="Q115" s="233">
        <f>SUM(Q116:Q118)</f>
        <v>1103177</v>
      </c>
      <c r="R115" s="233"/>
      <c r="S115" s="233"/>
      <c r="T115" s="227"/>
      <c r="U115" s="233"/>
      <c r="V115" s="233">
        <f>SUM(V116:V118)</f>
        <v>2200000</v>
      </c>
      <c r="W115" s="233"/>
      <c r="X115" s="233"/>
      <c r="Y115" s="227"/>
      <c r="Z115" s="233"/>
      <c r="AA115" s="233">
        <f>SUM(AA116:AA118)</f>
        <v>546000</v>
      </c>
      <c r="AB115" s="233"/>
      <c r="AC115" s="233"/>
      <c r="AD115" s="227"/>
      <c r="AE115" s="233"/>
      <c r="AF115" s="233">
        <f>SUM(AF116:AF118)</f>
        <v>4875000</v>
      </c>
      <c r="AG115" s="233"/>
      <c r="AH115" s="233"/>
      <c r="AI115" s="227"/>
      <c r="AJ115" s="233"/>
      <c r="AK115" s="233">
        <f>SUM(AK116:AK118)</f>
        <v>2264000</v>
      </c>
      <c r="AL115" s="233"/>
      <c r="AM115" s="233"/>
      <c r="AN115" s="227"/>
      <c r="AO115" s="233"/>
      <c r="AP115" s="233">
        <f>SUM(AP116:AP118)</f>
        <v>0</v>
      </c>
      <c r="AQ115" s="233"/>
      <c r="AR115" s="233"/>
      <c r="AS115" s="227"/>
      <c r="AT115" s="233"/>
      <c r="AU115" s="233">
        <f>SUM(AU116:AU118)</f>
        <v>2263000</v>
      </c>
      <c r="AV115" s="233"/>
      <c r="AW115" s="233"/>
      <c r="AX115" s="227"/>
      <c r="AY115" s="233"/>
      <c r="AZ115" s="233">
        <f>SUM(AZ116:AZ118)</f>
        <v>4524000</v>
      </c>
      <c r="BA115" s="233"/>
      <c r="BB115" s="233"/>
      <c r="BC115" s="227"/>
      <c r="BD115" s="233"/>
      <c r="BE115" s="233">
        <f>SUM(BE116:BE118)</f>
        <v>0</v>
      </c>
      <c r="BF115" s="233"/>
      <c r="BG115" s="233"/>
      <c r="BH115" s="227"/>
      <c r="BI115" s="233"/>
      <c r="BJ115" s="233">
        <f>SUM(BJ116:BJ118)</f>
        <v>2262000</v>
      </c>
      <c r="BK115" s="233"/>
      <c r="BL115" s="233"/>
      <c r="BM115" s="227"/>
      <c r="BN115" s="233"/>
      <c r="BO115" s="233">
        <f>SUM(BO116:BO118)</f>
        <v>0</v>
      </c>
      <c r="BP115" s="233"/>
      <c r="BQ115" s="233"/>
      <c r="BR115" s="227"/>
      <c r="BS115" s="233"/>
      <c r="BT115" s="233">
        <f>SUM(BT116:BT118)</f>
        <v>22156177</v>
      </c>
      <c r="BU115" s="233"/>
      <c r="BV115" s="233"/>
      <c r="BW115" s="233"/>
      <c r="BX115" s="254"/>
      <c r="CA115" s="268"/>
      <c r="CB115" s="268"/>
    </row>
    <row r="116" spans="1:80" x14ac:dyDescent="0.2">
      <c r="A116" s="244"/>
      <c r="B116" s="244"/>
      <c r="D116" s="254" t="s">
        <v>310</v>
      </c>
      <c r="E116" s="227"/>
      <c r="F116" s="269"/>
      <c r="G116" s="343">
        <v>0</v>
      </c>
      <c r="H116" s="344"/>
      <c r="I116" s="233"/>
      <c r="J116" s="227"/>
      <c r="K116" s="345"/>
      <c r="L116" s="343">
        <f>2119000-135529</f>
        <v>1983471</v>
      </c>
      <c r="M116" s="344"/>
      <c r="N116" s="233"/>
      <c r="O116" s="227"/>
      <c r="P116" s="345"/>
      <c r="Q116" s="343">
        <f>1103177-72711</f>
        <v>1030466</v>
      </c>
      <c r="R116" s="344"/>
      <c r="S116" s="233"/>
      <c r="T116" s="227"/>
      <c r="U116" s="345"/>
      <c r="V116" s="343">
        <f>2200000-173807</f>
        <v>2026193</v>
      </c>
      <c r="W116" s="344"/>
      <c r="X116" s="233"/>
      <c r="Y116" s="227"/>
      <c r="Z116" s="345"/>
      <c r="AA116" s="343">
        <f>546000-44754</f>
        <v>501246</v>
      </c>
      <c r="AB116" s="344"/>
      <c r="AC116" s="233"/>
      <c r="AD116" s="227"/>
      <c r="AE116" s="345"/>
      <c r="AF116" s="343">
        <f>4875000-417052</f>
        <v>4457948</v>
      </c>
      <c r="AG116" s="344"/>
      <c r="AH116" s="233"/>
      <c r="AI116" s="227"/>
      <c r="AJ116" s="345"/>
      <c r="AK116" s="343">
        <f>2264000-156357</f>
        <v>2107643</v>
      </c>
      <c r="AL116" s="344"/>
      <c r="AM116" s="233"/>
      <c r="AN116" s="227"/>
      <c r="AO116" s="345"/>
      <c r="AP116" s="343">
        <v>0</v>
      </c>
      <c r="AQ116" s="344"/>
      <c r="AR116" s="233"/>
      <c r="AS116" s="227"/>
      <c r="AT116" s="345"/>
      <c r="AU116" s="343">
        <f>2263000-209425</f>
        <v>2053575</v>
      </c>
      <c r="AV116" s="344"/>
      <c r="AW116" s="233"/>
      <c r="AX116" s="227"/>
      <c r="AY116" s="345"/>
      <c r="AZ116" s="343">
        <f>4524000-451972</f>
        <v>4072028</v>
      </c>
      <c r="BA116" s="344"/>
      <c r="BB116" s="233"/>
      <c r="BC116" s="227"/>
      <c r="BD116" s="345"/>
      <c r="BE116" s="343">
        <v>0</v>
      </c>
      <c r="BF116" s="344"/>
      <c r="BG116" s="233"/>
      <c r="BH116" s="227"/>
      <c r="BI116" s="345"/>
      <c r="BJ116" s="343">
        <f>2262000-193188</f>
        <v>2068812</v>
      </c>
      <c r="BK116" s="344"/>
      <c r="BL116" s="233"/>
      <c r="BM116" s="227"/>
      <c r="BN116" s="345"/>
      <c r="BO116" s="343">
        <v>0</v>
      </c>
      <c r="BP116" s="344"/>
      <c r="BQ116" s="233"/>
      <c r="BR116" s="227"/>
      <c r="BS116" s="345"/>
      <c r="BT116" s="343">
        <f>SUM(L116:BO116)</f>
        <v>20301382</v>
      </c>
      <c r="BU116" s="344"/>
      <c r="BV116" s="233"/>
      <c r="BW116" s="233"/>
      <c r="BX116" s="254"/>
      <c r="CA116" s="268"/>
      <c r="CB116" s="268"/>
    </row>
    <row r="117" spans="1:80" x14ac:dyDescent="0.2">
      <c r="A117" s="244"/>
      <c r="B117" s="244"/>
      <c r="D117" s="254" t="s">
        <v>312</v>
      </c>
      <c r="E117" s="227"/>
      <c r="F117" s="261"/>
      <c r="G117" s="233">
        <v>0</v>
      </c>
      <c r="H117" s="347"/>
      <c r="I117" s="233"/>
      <c r="J117" s="227"/>
      <c r="K117" s="227"/>
      <c r="L117" s="233">
        <v>135529</v>
      </c>
      <c r="M117" s="347"/>
      <c r="N117" s="233"/>
      <c r="O117" s="227"/>
      <c r="P117" s="227"/>
      <c r="Q117" s="233">
        <v>72711</v>
      </c>
      <c r="R117" s="347"/>
      <c r="S117" s="233"/>
      <c r="T117" s="227"/>
      <c r="U117" s="227"/>
      <c r="V117" s="233">
        <v>173807</v>
      </c>
      <c r="W117" s="347"/>
      <c r="X117" s="233"/>
      <c r="Y117" s="227"/>
      <c r="Z117" s="227"/>
      <c r="AA117" s="233">
        <v>44754</v>
      </c>
      <c r="AB117" s="347"/>
      <c r="AC117" s="233"/>
      <c r="AD117" s="227"/>
      <c r="AE117" s="227"/>
      <c r="AF117" s="233">
        <v>417052</v>
      </c>
      <c r="AG117" s="347"/>
      <c r="AH117" s="233"/>
      <c r="AI117" s="227"/>
      <c r="AJ117" s="227"/>
      <c r="AK117" s="233">
        <v>156357</v>
      </c>
      <c r="AL117" s="347"/>
      <c r="AM117" s="233"/>
      <c r="AN117" s="227"/>
      <c r="AO117" s="227"/>
      <c r="AP117" s="233">
        <v>0</v>
      </c>
      <c r="AQ117" s="347"/>
      <c r="AR117" s="233"/>
      <c r="AS117" s="227"/>
      <c r="AT117" s="227"/>
      <c r="AU117" s="233">
        <v>209425</v>
      </c>
      <c r="AV117" s="347"/>
      <c r="AW117" s="233"/>
      <c r="AX117" s="227"/>
      <c r="AY117" s="227"/>
      <c r="AZ117" s="233">
        <v>451972</v>
      </c>
      <c r="BA117" s="347"/>
      <c r="BB117" s="233"/>
      <c r="BC117" s="227"/>
      <c r="BD117" s="227"/>
      <c r="BE117" s="233">
        <v>0</v>
      </c>
      <c r="BF117" s="347"/>
      <c r="BG117" s="233"/>
      <c r="BH117" s="227"/>
      <c r="BI117" s="227"/>
      <c r="BJ117" s="233">
        <v>193188</v>
      </c>
      <c r="BK117" s="347"/>
      <c r="BL117" s="233"/>
      <c r="BM117" s="227"/>
      <c r="BN117" s="227"/>
      <c r="BO117" s="233">
        <v>0</v>
      </c>
      <c r="BP117" s="347"/>
      <c r="BQ117" s="233"/>
      <c r="BR117" s="227"/>
      <c r="BS117" s="227"/>
      <c r="BT117" s="233">
        <f>SUM(L117:BO117)</f>
        <v>1854795</v>
      </c>
      <c r="BU117" s="347"/>
      <c r="BV117" s="233"/>
      <c r="BW117" s="233"/>
      <c r="BX117" s="254"/>
      <c r="CA117" s="268"/>
      <c r="CB117" s="268"/>
    </row>
    <row r="118" spans="1:80" x14ac:dyDescent="0.2">
      <c r="A118" s="244"/>
      <c r="B118" s="244"/>
      <c r="D118" s="254" t="s">
        <v>320</v>
      </c>
      <c r="E118" s="227"/>
      <c r="F118" s="284"/>
      <c r="G118" s="355">
        <v>0</v>
      </c>
      <c r="H118" s="356"/>
      <c r="I118" s="233"/>
      <c r="J118" s="227"/>
      <c r="K118" s="357"/>
      <c r="L118" s="355">
        <v>0</v>
      </c>
      <c r="M118" s="356"/>
      <c r="N118" s="233"/>
      <c r="O118" s="227"/>
      <c r="P118" s="357"/>
      <c r="Q118" s="355">
        <v>0</v>
      </c>
      <c r="R118" s="356"/>
      <c r="S118" s="233"/>
      <c r="T118" s="227"/>
      <c r="U118" s="357"/>
      <c r="V118" s="355">
        <v>0</v>
      </c>
      <c r="W118" s="356"/>
      <c r="X118" s="233"/>
      <c r="Y118" s="227"/>
      <c r="Z118" s="357"/>
      <c r="AA118" s="355">
        <v>0</v>
      </c>
      <c r="AB118" s="356"/>
      <c r="AC118" s="233"/>
      <c r="AD118" s="227"/>
      <c r="AE118" s="357"/>
      <c r="AF118" s="355">
        <v>0</v>
      </c>
      <c r="AG118" s="356"/>
      <c r="AH118" s="233"/>
      <c r="AI118" s="227"/>
      <c r="AJ118" s="357"/>
      <c r="AK118" s="355">
        <v>0</v>
      </c>
      <c r="AL118" s="356"/>
      <c r="AM118" s="233"/>
      <c r="AN118" s="227"/>
      <c r="AO118" s="357"/>
      <c r="AP118" s="355">
        <v>0</v>
      </c>
      <c r="AQ118" s="356"/>
      <c r="AR118" s="233"/>
      <c r="AS118" s="227"/>
      <c r="AT118" s="357"/>
      <c r="AU118" s="355">
        <v>0</v>
      </c>
      <c r="AV118" s="356"/>
      <c r="AW118" s="233"/>
      <c r="AX118" s="227"/>
      <c r="AY118" s="357"/>
      <c r="AZ118" s="355">
        <v>0</v>
      </c>
      <c r="BA118" s="356"/>
      <c r="BB118" s="233"/>
      <c r="BC118" s="227"/>
      <c r="BD118" s="357"/>
      <c r="BE118" s="355">
        <v>0</v>
      </c>
      <c r="BF118" s="356"/>
      <c r="BG118" s="233"/>
      <c r="BH118" s="227"/>
      <c r="BI118" s="357"/>
      <c r="BJ118" s="355">
        <v>0</v>
      </c>
      <c r="BK118" s="356"/>
      <c r="BL118" s="233"/>
      <c r="BM118" s="227"/>
      <c r="BN118" s="357"/>
      <c r="BO118" s="355">
        <v>0</v>
      </c>
      <c r="BP118" s="356"/>
      <c r="BQ118" s="233"/>
      <c r="BR118" s="227"/>
      <c r="BS118" s="357"/>
      <c r="BT118" s="355">
        <f>SUM(L118:BO118)</f>
        <v>0</v>
      </c>
      <c r="BU118" s="356"/>
      <c r="BV118" s="233"/>
      <c r="BW118" s="233"/>
      <c r="BX118" s="254"/>
      <c r="CA118" s="268"/>
      <c r="CB118" s="268"/>
    </row>
    <row r="119" spans="1:80" hidden="1" x14ac:dyDescent="0.2">
      <c r="A119" s="244"/>
      <c r="B119" s="244"/>
      <c r="D119" s="254"/>
      <c r="E119" s="227"/>
      <c r="F119" s="244"/>
      <c r="G119" s="233"/>
      <c r="H119" s="233"/>
      <c r="I119" s="233"/>
      <c r="J119" s="227"/>
      <c r="K119" s="233"/>
      <c r="L119" s="233"/>
      <c r="M119" s="233"/>
      <c r="N119" s="233"/>
      <c r="O119" s="227"/>
      <c r="P119" s="233"/>
      <c r="Q119" s="233"/>
      <c r="R119" s="233"/>
      <c r="S119" s="233"/>
      <c r="T119" s="227"/>
      <c r="U119" s="233"/>
      <c r="V119" s="233"/>
      <c r="W119" s="233"/>
      <c r="X119" s="233"/>
      <c r="Y119" s="227"/>
      <c r="Z119" s="233"/>
      <c r="AA119" s="233"/>
      <c r="AB119" s="233"/>
      <c r="AC119" s="233"/>
      <c r="AD119" s="227"/>
      <c r="AE119" s="233"/>
      <c r="AF119" s="233"/>
      <c r="AG119" s="233"/>
      <c r="AH119" s="233"/>
      <c r="AI119" s="227"/>
      <c r="AJ119" s="233"/>
      <c r="AK119" s="233"/>
      <c r="AL119" s="233"/>
      <c r="AM119" s="233"/>
      <c r="AN119" s="227"/>
      <c r="AO119" s="233"/>
      <c r="AP119" s="233"/>
      <c r="AQ119" s="233"/>
      <c r="AR119" s="233"/>
      <c r="AS119" s="227"/>
      <c r="AT119" s="233"/>
      <c r="AU119" s="233"/>
      <c r="AV119" s="233"/>
      <c r="AW119" s="233"/>
      <c r="AX119" s="227"/>
      <c r="AY119" s="233"/>
      <c r="AZ119" s="233"/>
      <c r="BA119" s="233"/>
      <c r="BB119" s="233"/>
      <c r="BC119" s="227"/>
      <c r="BD119" s="233"/>
      <c r="BE119" s="233"/>
      <c r="BF119" s="233"/>
      <c r="BG119" s="233"/>
      <c r="BH119" s="227"/>
      <c r="BI119" s="233"/>
      <c r="BJ119" s="233"/>
      <c r="BK119" s="233"/>
      <c r="BL119" s="233"/>
      <c r="BM119" s="227"/>
      <c r="BN119" s="233"/>
      <c r="BO119" s="233"/>
      <c r="BP119" s="233"/>
      <c r="BQ119" s="233"/>
      <c r="BR119" s="227"/>
      <c r="BS119" s="233"/>
      <c r="BT119" s="233"/>
      <c r="BU119" s="233"/>
      <c r="BV119" s="233"/>
      <c r="BW119" s="233"/>
      <c r="BX119" s="254"/>
      <c r="CA119" s="268"/>
      <c r="CB119" s="268"/>
    </row>
    <row r="120" spans="1:80" hidden="1" x14ac:dyDescent="0.2">
      <c r="A120" s="244"/>
      <c r="B120" s="244"/>
      <c r="D120" s="254" t="s">
        <v>333</v>
      </c>
      <c r="E120" s="227"/>
      <c r="F120" s="244"/>
      <c r="G120" s="233">
        <f>SUM(G121:G124)</f>
        <v>0</v>
      </c>
      <c r="H120" s="233"/>
      <c r="I120" s="233"/>
      <c r="J120" s="227"/>
      <c r="K120" s="233"/>
      <c r="L120" s="233">
        <f>SUM(L121:L124)</f>
        <v>0</v>
      </c>
      <c r="M120" s="233"/>
      <c r="N120" s="233"/>
      <c r="O120" s="227"/>
      <c r="P120" s="233"/>
      <c r="Q120" s="233">
        <f>SUM(Q121:Q124)</f>
        <v>0</v>
      </c>
      <c r="R120" s="233"/>
      <c r="S120" s="233"/>
      <c r="T120" s="227"/>
      <c r="U120" s="233"/>
      <c r="V120" s="233">
        <f>SUM(V121:V124)</f>
        <v>0</v>
      </c>
      <c r="W120" s="233"/>
      <c r="X120" s="233"/>
      <c r="Y120" s="227"/>
      <c r="Z120" s="233"/>
      <c r="AA120" s="233">
        <f>SUM(AA121:AA124)</f>
        <v>0</v>
      </c>
      <c r="AB120" s="233"/>
      <c r="AC120" s="233"/>
      <c r="AD120" s="227"/>
      <c r="AE120" s="233"/>
      <c r="AF120" s="233">
        <f>SUM(AF121:AF124)</f>
        <v>0</v>
      </c>
      <c r="AG120" s="233"/>
      <c r="AH120" s="233"/>
      <c r="AI120" s="227"/>
      <c r="AJ120" s="233"/>
      <c r="AK120" s="233">
        <f>SUM(AK121:AK124)</f>
        <v>0</v>
      </c>
      <c r="AL120" s="233"/>
      <c r="AM120" s="233"/>
      <c r="AN120" s="227"/>
      <c r="AO120" s="233"/>
      <c r="AP120" s="233">
        <f>SUM(AP121:AP124)</f>
        <v>0</v>
      </c>
      <c r="AQ120" s="233"/>
      <c r="AR120" s="233"/>
      <c r="AS120" s="227"/>
      <c r="AT120" s="233"/>
      <c r="AU120" s="233">
        <f>SUM(AU121:AU124)</f>
        <v>0</v>
      </c>
      <c r="AV120" s="233"/>
      <c r="AW120" s="233"/>
      <c r="AX120" s="227"/>
      <c r="AY120" s="233"/>
      <c r="AZ120" s="233">
        <f>SUM(AZ121:AZ124)</f>
        <v>0</v>
      </c>
      <c r="BA120" s="233"/>
      <c r="BB120" s="233"/>
      <c r="BC120" s="227"/>
      <c r="BD120" s="233"/>
      <c r="BE120" s="233">
        <f>SUM(BE121:BE124)</f>
        <v>0</v>
      </c>
      <c r="BF120" s="233"/>
      <c r="BG120" s="233"/>
      <c r="BH120" s="227"/>
      <c r="BI120" s="233"/>
      <c r="BJ120" s="233">
        <f>SUM(BJ121:BJ124)</f>
        <v>0</v>
      </c>
      <c r="BK120" s="233"/>
      <c r="BL120" s="233"/>
      <c r="BM120" s="227"/>
      <c r="BN120" s="233"/>
      <c r="BO120" s="233">
        <f>SUM(BO121:BO124)</f>
        <v>0</v>
      </c>
      <c r="BP120" s="233"/>
      <c r="BQ120" s="233"/>
      <c r="BR120" s="227"/>
      <c r="BS120" s="233"/>
      <c r="BT120" s="233">
        <f>SUM(BT121:BT124)</f>
        <v>0</v>
      </c>
      <c r="BU120" s="233"/>
      <c r="BV120" s="233"/>
      <c r="BW120" s="233"/>
      <c r="BX120" s="254"/>
      <c r="CA120" s="268"/>
      <c r="CB120" s="268"/>
    </row>
    <row r="121" spans="1:80" hidden="1" x14ac:dyDescent="0.2">
      <c r="A121" s="244"/>
      <c r="B121" s="244"/>
      <c r="D121" s="254" t="s">
        <v>310</v>
      </c>
      <c r="E121" s="227"/>
      <c r="F121" s="269"/>
      <c r="G121" s="343">
        <v>0</v>
      </c>
      <c r="H121" s="344"/>
      <c r="I121" s="233"/>
      <c r="J121" s="227"/>
      <c r="K121" s="345"/>
      <c r="L121" s="343">
        <v>0</v>
      </c>
      <c r="M121" s="344"/>
      <c r="N121" s="233"/>
      <c r="O121" s="227"/>
      <c r="P121" s="345"/>
      <c r="Q121" s="343">
        <v>0</v>
      </c>
      <c r="R121" s="344"/>
      <c r="S121" s="233"/>
      <c r="T121" s="227"/>
      <c r="U121" s="345"/>
      <c r="V121" s="343">
        <v>0</v>
      </c>
      <c r="W121" s="344"/>
      <c r="X121" s="233"/>
      <c r="Y121" s="227"/>
      <c r="Z121" s="345"/>
      <c r="AA121" s="343">
        <v>0</v>
      </c>
      <c r="AB121" s="344"/>
      <c r="AC121" s="233"/>
      <c r="AD121" s="227"/>
      <c r="AE121" s="345"/>
      <c r="AF121" s="343">
        <v>0</v>
      </c>
      <c r="AG121" s="344"/>
      <c r="AH121" s="233"/>
      <c r="AI121" s="227"/>
      <c r="AJ121" s="345"/>
      <c r="AK121" s="343">
        <v>0</v>
      </c>
      <c r="AL121" s="344"/>
      <c r="AM121" s="233"/>
      <c r="AN121" s="227"/>
      <c r="AO121" s="345"/>
      <c r="AP121" s="343">
        <v>0</v>
      </c>
      <c r="AQ121" s="344"/>
      <c r="AR121" s="233"/>
      <c r="AS121" s="227"/>
      <c r="AT121" s="345"/>
      <c r="AU121" s="343">
        <v>0</v>
      </c>
      <c r="AV121" s="344"/>
      <c r="AW121" s="233"/>
      <c r="AX121" s="227"/>
      <c r="AY121" s="345"/>
      <c r="AZ121" s="343">
        <v>0</v>
      </c>
      <c r="BA121" s="344"/>
      <c r="BB121" s="233"/>
      <c r="BC121" s="227"/>
      <c r="BD121" s="345"/>
      <c r="BE121" s="343">
        <v>0</v>
      </c>
      <c r="BF121" s="344"/>
      <c r="BG121" s="233"/>
      <c r="BH121" s="227"/>
      <c r="BI121" s="345"/>
      <c r="BJ121" s="343">
        <v>0</v>
      </c>
      <c r="BK121" s="344"/>
      <c r="BL121" s="233"/>
      <c r="BM121" s="227"/>
      <c r="BN121" s="345"/>
      <c r="BO121" s="343">
        <v>0</v>
      </c>
      <c r="BP121" s="344"/>
      <c r="BQ121" s="233"/>
      <c r="BR121" s="227"/>
      <c r="BS121" s="345"/>
      <c r="BT121" s="343">
        <f>SUM(L121:BO121)</f>
        <v>0</v>
      </c>
      <c r="BU121" s="344"/>
      <c r="BV121" s="233"/>
      <c r="BW121" s="233"/>
      <c r="BX121" s="254"/>
      <c r="CA121" s="268"/>
      <c r="CB121" s="268"/>
    </row>
    <row r="122" spans="1:80" hidden="1" x14ac:dyDescent="0.2">
      <c r="A122" s="244"/>
      <c r="B122" s="244"/>
      <c r="D122" s="254" t="s">
        <v>312</v>
      </c>
      <c r="E122" s="227"/>
      <c r="F122" s="261"/>
      <c r="G122" s="233">
        <v>0</v>
      </c>
      <c r="H122" s="347"/>
      <c r="I122" s="233"/>
      <c r="J122" s="227"/>
      <c r="K122" s="227"/>
      <c r="L122" s="233">
        <v>0</v>
      </c>
      <c r="M122" s="347"/>
      <c r="N122" s="233"/>
      <c r="O122" s="227"/>
      <c r="P122" s="227"/>
      <c r="Q122" s="233">
        <v>0</v>
      </c>
      <c r="R122" s="347"/>
      <c r="S122" s="233"/>
      <c r="T122" s="227"/>
      <c r="U122" s="227"/>
      <c r="V122" s="233">
        <v>0</v>
      </c>
      <c r="W122" s="347"/>
      <c r="X122" s="233"/>
      <c r="Y122" s="227"/>
      <c r="Z122" s="227"/>
      <c r="AA122" s="233">
        <v>0</v>
      </c>
      <c r="AB122" s="347"/>
      <c r="AC122" s="233"/>
      <c r="AD122" s="227"/>
      <c r="AE122" s="227"/>
      <c r="AF122" s="233">
        <v>0</v>
      </c>
      <c r="AG122" s="347"/>
      <c r="AH122" s="233"/>
      <c r="AI122" s="227"/>
      <c r="AJ122" s="227"/>
      <c r="AK122" s="233">
        <v>0</v>
      </c>
      <c r="AL122" s="347"/>
      <c r="AM122" s="233"/>
      <c r="AN122" s="227"/>
      <c r="AO122" s="227"/>
      <c r="AP122" s="233">
        <v>0</v>
      </c>
      <c r="AQ122" s="347"/>
      <c r="AR122" s="233"/>
      <c r="AS122" s="227"/>
      <c r="AT122" s="227"/>
      <c r="AU122" s="233">
        <v>0</v>
      </c>
      <c r="AV122" s="347"/>
      <c r="AW122" s="233"/>
      <c r="AX122" s="227"/>
      <c r="AY122" s="227"/>
      <c r="AZ122" s="233">
        <v>0</v>
      </c>
      <c r="BA122" s="347"/>
      <c r="BB122" s="233"/>
      <c r="BC122" s="227"/>
      <c r="BD122" s="227"/>
      <c r="BE122" s="233">
        <v>0</v>
      </c>
      <c r="BF122" s="347"/>
      <c r="BG122" s="233"/>
      <c r="BH122" s="227"/>
      <c r="BI122" s="227"/>
      <c r="BJ122" s="233">
        <v>0</v>
      </c>
      <c r="BK122" s="347"/>
      <c r="BL122" s="233"/>
      <c r="BM122" s="227"/>
      <c r="BN122" s="227"/>
      <c r="BO122" s="233">
        <v>0</v>
      </c>
      <c r="BP122" s="347"/>
      <c r="BQ122" s="233"/>
      <c r="BR122" s="227"/>
      <c r="BS122" s="227"/>
      <c r="BT122" s="233">
        <f>SUM(L122:BO122)</f>
        <v>0</v>
      </c>
      <c r="BU122" s="347"/>
      <c r="BV122" s="233"/>
      <c r="BW122" s="233"/>
      <c r="BX122" s="254"/>
      <c r="CA122" s="268"/>
      <c r="CB122" s="268"/>
    </row>
    <row r="123" spans="1:80" hidden="1" x14ac:dyDescent="0.2">
      <c r="A123" s="244"/>
      <c r="B123" s="244"/>
      <c r="D123" s="254" t="s">
        <v>313</v>
      </c>
      <c r="E123" s="227"/>
      <c r="F123" s="261"/>
      <c r="G123" s="233">
        <v>0</v>
      </c>
      <c r="H123" s="347"/>
      <c r="I123" s="233"/>
      <c r="J123" s="227"/>
      <c r="K123" s="227"/>
      <c r="L123" s="233">
        <v>0</v>
      </c>
      <c r="M123" s="347"/>
      <c r="N123" s="233"/>
      <c r="O123" s="227"/>
      <c r="P123" s="227"/>
      <c r="Q123" s="233">
        <v>0</v>
      </c>
      <c r="R123" s="347"/>
      <c r="S123" s="233"/>
      <c r="T123" s="227"/>
      <c r="U123" s="227"/>
      <c r="V123" s="233">
        <v>0</v>
      </c>
      <c r="W123" s="347"/>
      <c r="X123" s="233"/>
      <c r="Y123" s="227"/>
      <c r="Z123" s="227"/>
      <c r="AA123" s="233">
        <v>0</v>
      </c>
      <c r="AB123" s="347"/>
      <c r="AC123" s="233"/>
      <c r="AD123" s="227"/>
      <c r="AE123" s="227"/>
      <c r="AF123" s="233">
        <v>0</v>
      </c>
      <c r="AG123" s="347"/>
      <c r="AH123" s="233"/>
      <c r="AI123" s="227"/>
      <c r="AJ123" s="227"/>
      <c r="AK123" s="233">
        <v>0</v>
      </c>
      <c r="AL123" s="347"/>
      <c r="AM123" s="233"/>
      <c r="AN123" s="227"/>
      <c r="AO123" s="227"/>
      <c r="AP123" s="233">
        <v>0</v>
      </c>
      <c r="AQ123" s="347"/>
      <c r="AR123" s="233"/>
      <c r="AS123" s="227"/>
      <c r="AT123" s="227"/>
      <c r="AU123" s="233">
        <v>0</v>
      </c>
      <c r="AV123" s="347"/>
      <c r="AW123" s="233"/>
      <c r="AX123" s="227"/>
      <c r="AY123" s="227"/>
      <c r="AZ123" s="233">
        <v>0</v>
      </c>
      <c r="BA123" s="347"/>
      <c r="BB123" s="233"/>
      <c r="BC123" s="227"/>
      <c r="BD123" s="227"/>
      <c r="BE123" s="233">
        <v>0</v>
      </c>
      <c r="BF123" s="347"/>
      <c r="BG123" s="233"/>
      <c r="BH123" s="227"/>
      <c r="BI123" s="227"/>
      <c r="BJ123" s="233">
        <v>0</v>
      </c>
      <c r="BK123" s="347"/>
      <c r="BL123" s="233"/>
      <c r="BM123" s="227"/>
      <c r="BN123" s="227"/>
      <c r="BO123" s="233">
        <v>0</v>
      </c>
      <c r="BP123" s="347"/>
      <c r="BQ123" s="233"/>
      <c r="BR123" s="227"/>
      <c r="BS123" s="227"/>
      <c r="BT123" s="233">
        <f>SUM(L123:BO123)</f>
        <v>0</v>
      </c>
      <c r="BU123" s="347"/>
      <c r="BV123" s="233"/>
      <c r="BW123" s="233"/>
      <c r="BX123" s="254"/>
      <c r="CA123" s="268"/>
      <c r="CB123" s="268"/>
    </row>
    <row r="124" spans="1:80" hidden="1" x14ac:dyDescent="0.2">
      <c r="A124" s="244"/>
      <c r="B124" s="244"/>
      <c r="D124" s="254" t="s">
        <v>314</v>
      </c>
      <c r="E124" s="227"/>
      <c r="F124" s="284"/>
      <c r="G124" s="355">
        <v>0</v>
      </c>
      <c r="H124" s="356"/>
      <c r="I124" s="233"/>
      <c r="J124" s="227"/>
      <c r="K124" s="357"/>
      <c r="L124" s="355">
        <v>0</v>
      </c>
      <c r="M124" s="356"/>
      <c r="N124" s="233"/>
      <c r="O124" s="227"/>
      <c r="P124" s="357"/>
      <c r="Q124" s="355">
        <v>0</v>
      </c>
      <c r="R124" s="356"/>
      <c r="S124" s="233"/>
      <c r="T124" s="227"/>
      <c r="U124" s="357"/>
      <c r="V124" s="355">
        <v>0</v>
      </c>
      <c r="W124" s="356"/>
      <c r="X124" s="233"/>
      <c r="Y124" s="227"/>
      <c r="Z124" s="357"/>
      <c r="AA124" s="355">
        <v>0</v>
      </c>
      <c r="AB124" s="356"/>
      <c r="AC124" s="233"/>
      <c r="AD124" s="227"/>
      <c r="AE124" s="357"/>
      <c r="AF124" s="355">
        <v>0</v>
      </c>
      <c r="AG124" s="356"/>
      <c r="AH124" s="233"/>
      <c r="AI124" s="227"/>
      <c r="AJ124" s="357"/>
      <c r="AK124" s="355">
        <v>0</v>
      </c>
      <c r="AL124" s="356"/>
      <c r="AM124" s="233"/>
      <c r="AN124" s="227"/>
      <c r="AO124" s="357"/>
      <c r="AP124" s="355">
        <v>0</v>
      </c>
      <c r="AQ124" s="356"/>
      <c r="AR124" s="233"/>
      <c r="AS124" s="227"/>
      <c r="AT124" s="357"/>
      <c r="AU124" s="355">
        <v>0</v>
      </c>
      <c r="AV124" s="356"/>
      <c r="AW124" s="233"/>
      <c r="AX124" s="227"/>
      <c r="AY124" s="357"/>
      <c r="AZ124" s="355">
        <v>0</v>
      </c>
      <c r="BA124" s="356"/>
      <c r="BB124" s="233"/>
      <c r="BC124" s="227"/>
      <c r="BD124" s="357"/>
      <c r="BE124" s="355">
        <v>0</v>
      </c>
      <c r="BF124" s="356"/>
      <c r="BG124" s="233"/>
      <c r="BH124" s="227"/>
      <c r="BI124" s="357"/>
      <c r="BJ124" s="355">
        <v>0</v>
      </c>
      <c r="BK124" s="356"/>
      <c r="BL124" s="233"/>
      <c r="BM124" s="227"/>
      <c r="BN124" s="357"/>
      <c r="BO124" s="355">
        <v>0</v>
      </c>
      <c r="BP124" s="356"/>
      <c r="BQ124" s="233"/>
      <c r="BR124" s="227"/>
      <c r="BS124" s="357"/>
      <c r="BT124" s="355">
        <f>SUM(L124:BO124)</f>
        <v>0</v>
      </c>
      <c r="BU124" s="356"/>
      <c r="BV124" s="233"/>
      <c r="BW124" s="233"/>
      <c r="BX124" s="254"/>
      <c r="CA124" s="268"/>
      <c r="CB124" s="268"/>
    </row>
    <row r="125" spans="1:80" hidden="1" x14ac:dyDescent="0.2">
      <c r="A125" s="244"/>
      <c r="B125" s="244"/>
      <c r="D125" s="254"/>
      <c r="E125" s="227"/>
      <c r="F125" s="244"/>
      <c r="G125" s="233"/>
      <c r="H125" s="233"/>
      <c r="I125" s="233"/>
      <c r="J125" s="227"/>
      <c r="K125" s="233"/>
      <c r="L125" s="233"/>
      <c r="M125" s="233"/>
      <c r="N125" s="233"/>
      <c r="O125" s="227"/>
      <c r="P125" s="233"/>
      <c r="Q125" s="233"/>
      <c r="R125" s="233"/>
      <c r="S125" s="233"/>
      <c r="T125" s="227"/>
      <c r="U125" s="233"/>
      <c r="V125" s="233"/>
      <c r="W125" s="233"/>
      <c r="X125" s="233"/>
      <c r="Y125" s="227"/>
      <c r="Z125" s="233"/>
      <c r="AA125" s="233"/>
      <c r="AB125" s="233"/>
      <c r="AC125" s="233"/>
      <c r="AD125" s="227"/>
      <c r="AE125" s="233"/>
      <c r="AF125" s="233"/>
      <c r="AG125" s="233"/>
      <c r="AH125" s="233"/>
      <c r="AI125" s="227"/>
      <c r="AJ125" s="233"/>
      <c r="AK125" s="233"/>
      <c r="AL125" s="233"/>
      <c r="AM125" s="233"/>
      <c r="AN125" s="227"/>
      <c r="AO125" s="233"/>
      <c r="AP125" s="233"/>
      <c r="AQ125" s="233"/>
      <c r="AR125" s="233"/>
      <c r="AS125" s="227"/>
      <c r="AT125" s="233"/>
      <c r="AU125" s="233"/>
      <c r="AV125" s="233"/>
      <c r="AW125" s="233"/>
      <c r="AX125" s="227"/>
      <c r="AY125" s="233"/>
      <c r="AZ125" s="233"/>
      <c r="BA125" s="233"/>
      <c r="BB125" s="233"/>
      <c r="BC125" s="227"/>
      <c r="BD125" s="233"/>
      <c r="BE125" s="233"/>
      <c r="BF125" s="233"/>
      <c r="BG125" s="233"/>
      <c r="BH125" s="227"/>
      <c r="BI125" s="233"/>
      <c r="BJ125" s="233"/>
      <c r="BK125" s="233"/>
      <c r="BL125" s="233"/>
      <c r="BM125" s="227"/>
      <c r="BN125" s="233"/>
      <c r="BO125" s="233"/>
      <c r="BP125" s="233"/>
      <c r="BQ125" s="233"/>
      <c r="BR125" s="227"/>
      <c r="BS125" s="233"/>
      <c r="BT125" s="233"/>
      <c r="BU125" s="233"/>
      <c r="BV125" s="233"/>
      <c r="BW125" s="233"/>
      <c r="BX125" s="254"/>
      <c r="CA125" s="268"/>
      <c r="CB125" s="268"/>
    </row>
    <row r="126" spans="1:80" ht="12.75" hidden="1" customHeight="1" x14ac:dyDescent="0.2">
      <c r="A126" s="244"/>
      <c r="B126" s="244"/>
      <c r="D126" s="254" t="s">
        <v>334</v>
      </c>
      <c r="E126" s="227"/>
      <c r="F126" s="244"/>
      <c r="G126" s="233">
        <f>SUM(G127:G130)</f>
        <v>0</v>
      </c>
      <c r="H126" s="233"/>
      <c r="I126" s="233"/>
      <c r="J126" s="227"/>
      <c r="K126" s="233"/>
      <c r="L126" s="233">
        <f>SUM(L127:L130)</f>
        <v>0</v>
      </c>
      <c r="M126" s="233"/>
      <c r="N126" s="233"/>
      <c r="O126" s="227"/>
      <c r="P126" s="233"/>
      <c r="Q126" s="233">
        <f>SUM(Q127:Q130)</f>
        <v>0</v>
      </c>
      <c r="R126" s="233"/>
      <c r="S126" s="233"/>
      <c r="T126" s="227"/>
      <c r="U126" s="233"/>
      <c r="V126" s="233">
        <f>SUM(V127:V130)</f>
        <v>0</v>
      </c>
      <c r="W126" s="233"/>
      <c r="X126" s="233"/>
      <c r="Y126" s="227"/>
      <c r="Z126" s="233"/>
      <c r="AA126" s="233">
        <f>SUM(AA127:AA130)</f>
        <v>0</v>
      </c>
      <c r="AB126" s="233"/>
      <c r="AC126" s="233"/>
      <c r="AD126" s="227"/>
      <c r="AE126" s="233"/>
      <c r="AF126" s="233">
        <f>SUM(AF127:AF130)</f>
        <v>0</v>
      </c>
      <c r="AG126" s="233"/>
      <c r="AH126" s="233"/>
      <c r="AI126" s="227"/>
      <c r="AJ126" s="233"/>
      <c r="AK126" s="233">
        <f>SUM(AK127:AK130)</f>
        <v>0</v>
      </c>
      <c r="AL126" s="233"/>
      <c r="AM126" s="233"/>
      <c r="AN126" s="227"/>
      <c r="AO126" s="233"/>
      <c r="AP126" s="233">
        <f>SUM(AP127:AP130)</f>
        <v>0</v>
      </c>
      <c r="AQ126" s="233"/>
      <c r="AR126" s="233"/>
      <c r="AS126" s="227"/>
      <c r="AT126" s="233"/>
      <c r="AU126" s="233">
        <f>SUM(AU127:AU130)</f>
        <v>0</v>
      </c>
      <c r="AV126" s="233"/>
      <c r="AW126" s="233"/>
      <c r="AX126" s="227"/>
      <c r="AY126" s="233"/>
      <c r="AZ126" s="233">
        <f>SUM(AZ127:AZ130)</f>
        <v>0</v>
      </c>
      <c r="BA126" s="233"/>
      <c r="BB126" s="233"/>
      <c r="BC126" s="227"/>
      <c r="BD126" s="233"/>
      <c r="BE126" s="233">
        <f>SUM(BE127:BE130)</f>
        <v>0</v>
      </c>
      <c r="BF126" s="233"/>
      <c r="BG126" s="233"/>
      <c r="BH126" s="227"/>
      <c r="BI126" s="233"/>
      <c r="BJ126" s="233">
        <f>SUM(BJ127:BJ130)</f>
        <v>0</v>
      </c>
      <c r="BK126" s="233"/>
      <c r="BL126" s="233"/>
      <c r="BM126" s="227"/>
      <c r="BN126" s="233"/>
      <c r="BO126" s="233">
        <f>SUM(BO127:BO130)</f>
        <v>0</v>
      </c>
      <c r="BP126" s="233"/>
      <c r="BQ126" s="233"/>
      <c r="BR126" s="227"/>
      <c r="BS126" s="233"/>
      <c r="BT126" s="233">
        <f>SUM(BT127:BT130)</f>
        <v>0</v>
      </c>
      <c r="BU126" s="233"/>
      <c r="BV126" s="233"/>
      <c r="BW126" s="233"/>
      <c r="BX126" s="254"/>
      <c r="CA126" s="268"/>
      <c r="CB126" s="268"/>
    </row>
    <row r="127" spans="1:80" ht="12.75" hidden="1" customHeight="1" x14ac:dyDescent="0.2">
      <c r="A127" s="244"/>
      <c r="B127" s="244"/>
      <c r="D127" s="254" t="s">
        <v>310</v>
      </c>
      <c r="E127" s="227"/>
      <c r="F127" s="269"/>
      <c r="G127" s="343">
        <v>0</v>
      </c>
      <c r="H127" s="344"/>
      <c r="I127" s="233"/>
      <c r="J127" s="227"/>
      <c r="K127" s="345"/>
      <c r="L127" s="343">
        <v>0</v>
      </c>
      <c r="M127" s="344"/>
      <c r="N127" s="233"/>
      <c r="O127" s="227"/>
      <c r="P127" s="345"/>
      <c r="Q127" s="343">
        <v>0</v>
      </c>
      <c r="R127" s="344"/>
      <c r="S127" s="233"/>
      <c r="T127" s="227"/>
      <c r="U127" s="345"/>
      <c r="V127" s="343">
        <v>0</v>
      </c>
      <c r="W127" s="344"/>
      <c r="X127" s="233"/>
      <c r="Y127" s="227"/>
      <c r="Z127" s="345"/>
      <c r="AA127" s="343">
        <v>0</v>
      </c>
      <c r="AB127" s="344"/>
      <c r="AC127" s="233"/>
      <c r="AD127" s="227"/>
      <c r="AE127" s="345"/>
      <c r="AF127" s="343">
        <v>0</v>
      </c>
      <c r="AG127" s="344"/>
      <c r="AH127" s="233"/>
      <c r="AI127" s="227"/>
      <c r="AJ127" s="345"/>
      <c r="AK127" s="343">
        <v>0</v>
      </c>
      <c r="AL127" s="344"/>
      <c r="AM127" s="233"/>
      <c r="AN127" s="227"/>
      <c r="AO127" s="345"/>
      <c r="AP127" s="343">
        <v>0</v>
      </c>
      <c r="AQ127" s="344"/>
      <c r="AR127" s="233"/>
      <c r="AS127" s="227"/>
      <c r="AT127" s="345"/>
      <c r="AU127" s="343">
        <v>0</v>
      </c>
      <c r="AV127" s="344"/>
      <c r="AW127" s="233"/>
      <c r="AX127" s="227"/>
      <c r="AY127" s="345"/>
      <c r="AZ127" s="343">
        <v>0</v>
      </c>
      <c r="BA127" s="344"/>
      <c r="BB127" s="233"/>
      <c r="BC127" s="227"/>
      <c r="BD127" s="345"/>
      <c r="BE127" s="343">
        <v>0</v>
      </c>
      <c r="BF127" s="344"/>
      <c r="BG127" s="233"/>
      <c r="BH127" s="227"/>
      <c r="BI127" s="345"/>
      <c r="BJ127" s="343">
        <v>0</v>
      </c>
      <c r="BK127" s="344"/>
      <c r="BL127" s="233"/>
      <c r="BM127" s="227"/>
      <c r="BN127" s="345"/>
      <c r="BO127" s="343">
        <v>0</v>
      </c>
      <c r="BP127" s="344"/>
      <c r="BQ127" s="233"/>
      <c r="BR127" s="227"/>
      <c r="BS127" s="345"/>
      <c r="BT127" s="343">
        <f>SUM(L127:BO127)</f>
        <v>0</v>
      </c>
      <c r="BU127" s="344"/>
      <c r="BV127" s="233"/>
      <c r="BW127" s="233"/>
      <c r="BX127" s="254"/>
      <c r="CA127" s="268"/>
      <c r="CB127" s="268"/>
    </row>
    <row r="128" spans="1:80" ht="12.75" hidden="1" customHeight="1" x14ac:dyDescent="0.2">
      <c r="A128" s="244"/>
      <c r="B128" s="244"/>
      <c r="D128" s="254" t="s">
        <v>312</v>
      </c>
      <c r="E128" s="227"/>
      <c r="F128" s="261"/>
      <c r="G128" s="233">
        <v>0</v>
      </c>
      <c r="H128" s="347"/>
      <c r="I128" s="233"/>
      <c r="J128" s="227"/>
      <c r="K128" s="227"/>
      <c r="L128" s="233">
        <v>0</v>
      </c>
      <c r="M128" s="347"/>
      <c r="N128" s="233"/>
      <c r="O128" s="227"/>
      <c r="P128" s="227"/>
      <c r="Q128" s="233">
        <v>0</v>
      </c>
      <c r="R128" s="347"/>
      <c r="S128" s="233"/>
      <c r="T128" s="227"/>
      <c r="U128" s="227"/>
      <c r="V128" s="233">
        <v>0</v>
      </c>
      <c r="W128" s="347"/>
      <c r="X128" s="233"/>
      <c r="Y128" s="227"/>
      <c r="Z128" s="227"/>
      <c r="AA128" s="233">
        <v>0</v>
      </c>
      <c r="AB128" s="347"/>
      <c r="AC128" s="233"/>
      <c r="AD128" s="227"/>
      <c r="AE128" s="227"/>
      <c r="AF128" s="233">
        <v>0</v>
      </c>
      <c r="AG128" s="347"/>
      <c r="AH128" s="233"/>
      <c r="AI128" s="227"/>
      <c r="AJ128" s="227"/>
      <c r="AK128" s="233">
        <v>0</v>
      </c>
      <c r="AL128" s="347"/>
      <c r="AM128" s="233"/>
      <c r="AN128" s="227"/>
      <c r="AO128" s="227"/>
      <c r="AP128" s="233">
        <v>0</v>
      </c>
      <c r="AQ128" s="347"/>
      <c r="AR128" s="233"/>
      <c r="AS128" s="227"/>
      <c r="AT128" s="227"/>
      <c r="AU128" s="233">
        <v>0</v>
      </c>
      <c r="AV128" s="347"/>
      <c r="AW128" s="233"/>
      <c r="AX128" s="227"/>
      <c r="AY128" s="227"/>
      <c r="AZ128" s="233">
        <v>0</v>
      </c>
      <c r="BA128" s="347"/>
      <c r="BB128" s="233"/>
      <c r="BC128" s="227"/>
      <c r="BD128" s="227"/>
      <c r="BE128" s="233">
        <v>0</v>
      </c>
      <c r="BF128" s="347"/>
      <c r="BG128" s="233"/>
      <c r="BH128" s="227"/>
      <c r="BI128" s="227"/>
      <c r="BJ128" s="233">
        <v>0</v>
      </c>
      <c r="BK128" s="347"/>
      <c r="BL128" s="233"/>
      <c r="BM128" s="227"/>
      <c r="BN128" s="227"/>
      <c r="BO128" s="233">
        <v>0</v>
      </c>
      <c r="BP128" s="347"/>
      <c r="BQ128" s="233"/>
      <c r="BR128" s="227"/>
      <c r="BS128" s="227"/>
      <c r="BT128" s="233">
        <f>SUM(L128:BO128)</f>
        <v>0</v>
      </c>
      <c r="BU128" s="347"/>
      <c r="BV128" s="233"/>
      <c r="BW128" s="233"/>
      <c r="BX128" s="254"/>
      <c r="CA128" s="268"/>
      <c r="CB128" s="268"/>
    </row>
    <row r="129" spans="1:80" ht="12.75" hidden="1" customHeight="1" x14ac:dyDescent="0.2">
      <c r="A129" s="244"/>
      <c r="B129" s="244"/>
      <c r="D129" s="254" t="s">
        <v>313</v>
      </c>
      <c r="E129" s="227"/>
      <c r="F129" s="261"/>
      <c r="G129" s="233">
        <v>0</v>
      </c>
      <c r="H129" s="347"/>
      <c r="I129" s="233"/>
      <c r="J129" s="227"/>
      <c r="K129" s="227"/>
      <c r="L129" s="233">
        <v>0</v>
      </c>
      <c r="M129" s="347"/>
      <c r="N129" s="233"/>
      <c r="O129" s="227"/>
      <c r="P129" s="227"/>
      <c r="Q129" s="233">
        <v>0</v>
      </c>
      <c r="R129" s="347"/>
      <c r="S129" s="233"/>
      <c r="T129" s="227"/>
      <c r="U129" s="227"/>
      <c r="V129" s="233">
        <v>0</v>
      </c>
      <c r="W129" s="347"/>
      <c r="X129" s="233"/>
      <c r="Y129" s="227"/>
      <c r="Z129" s="227"/>
      <c r="AA129" s="233">
        <v>0</v>
      </c>
      <c r="AB129" s="347"/>
      <c r="AC129" s="233"/>
      <c r="AD129" s="227"/>
      <c r="AE129" s="227"/>
      <c r="AF129" s="233">
        <v>0</v>
      </c>
      <c r="AG129" s="347"/>
      <c r="AH129" s="233"/>
      <c r="AI129" s="227"/>
      <c r="AJ129" s="227"/>
      <c r="AK129" s="233">
        <v>0</v>
      </c>
      <c r="AL129" s="347"/>
      <c r="AM129" s="233"/>
      <c r="AN129" s="227"/>
      <c r="AO129" s="227"/>
      <c r="AP129" s="233">
        <v>0</v>
      </c>
      <c r="AQ129" s="347"/>
      <c r="AR129" s="233"/>
      <c r="AS129" s="227"/>
      <c r="AT129" s="227"/>
      <c r="AU129" s="233">
        <v>0</v>
      </c>
      <c r="AV129" s="347"/>
      <c r="AW129" s="233"/>
      <c r="AX129" s="227"/>
      <c r="AY129" s="227"/>
      <c r="AZ129" s="233">
        <v>0</v>
      </c>
      <c r="BA129" s="347"/>
      <c r="BB129" s="233"/>
      <c r="BC129" s="227"/>
      <c r="BD129" s="227"/>
      <c r="BE129" s="233">
        <v>0</v>
      </c>
      <c r="BF129" s="347"/>
      <c r="BG129" s="233"/>
      <c r="BH129" s="227"/>
      <c r="BI129" s="227"/>
      <c r="BJ129" s="233">
        <v>0</v>
      </c>
      <c r="BK129" s="347"/>
      <c r="BL129" s="233"/>
      <c r="BM129" s="227"/>
      <c r="BN129" s="227"/>
      <c r="BO129" s="233">
        <v>0</v>
      </c>
      <c r="BP129" s="347"/>
      <c r="BQ129" s="233"/>
      <c r="BR129" s="227"/>
      <c r="BS129" s="227"/>
      <c r="BT129" s="233">
        <f>SUM(L129:BO129)</f>
        <v>0</v>
      </c>
      <c r="BU129" s="347"/>
      <c r="BV129" s="233"/>
      <c r="BW129" s="233"/>
      <c r="BX129" s="254"/>
      <c r="CA129" s="268"/>
      <c r="CB129" s="268"/>
    </row>
    <row r="130" spans="1:80" ht="12.75" hidden="1" customHeight="1" x14ac:dyDescent="0.2">
      <c r="A130" s="244"/>
      <c r="B130" s="244"/>
      <c r="D130" s="254" t="s">
        <v>314</v>
      </c>
      <c r="E130" s="227"/>
      <c r="F130" s="284"/>
      <c r="G130" s="355">
        <v>0</v>
      </c>
      <c r="H130" s="356"/>
      <c r="I130" s="233"/>
      <c r="J130" s="227"/>
      <c r="K130" s="357"/>
      <c r="L130" s="355">
        <v>0</v>
      </c>
      <c r="M130" s="356"/>
      <c r="N130" s="233"/>
      <c r="O130" s="227"/>
      <c r="P130" s="357"/>
      <c r="Q130" s="355">
        <v>0</v>
      </c>
      <c r="R130" s="356"/>
      <c r="S130" s="233"/>
      <c r="T130" s="227"/>
      <c r="U130" s="357"/>
      <c r="V130" s="355">
        <v>0</v>
      </c>
      <c r="W130" s="356"/>
      <c r="X130" s="233"/>
      <c r="Y130" s="227"/>
      <c r="Z130" s="357"/>
      <c r="AA130" s="355">
        <v>0</v>
      </c>
      <c r="AB130" s="356"/>
      <c r="AC130" s="233"/>
      <c r="AD130" s="227"/>
      <c r="AE130" s="357"/>
      <c r="AF130" s="355">
        <v>0</v>
      </c>
      <c r="AG130" s="356"/>
      <c r="AH130" s="233"/>
      <c r="AI130" s="227"/>
      <c r="AJ130" s="357"/>
      <c r="AK130" s="355">
        <v>0</v>
      </c>
      <c r="AL130" s="356"/>
      <c r="AM130" s="233"/>
      <c r="AN130" s="227"/>
      <c r="AO130" s="357"/>
      <c r="AP130" s="355">
        <v>0</v>
      </c>
      <c r="AQ130" s="356"/>
      <c r="AR130" s="233"/>
      <c r="AS130" s="227"/>
      <c r="AT130" s="357"/>
      <c r="AU130" s="355">
        <v>0</v>
      </c>
      <c r="AV130" s="356"/>
      <c r="AW130" s="233"/>
      <c r="AX130" s="227"/>
      <c r="AY130" s="357"/>
      <c r="AZ130" s="355">
        <v>0</v>
      </c>
      <c r="BA130" s="356"/>
      <c r="BB130" s="233"/>
      <c r="BC130" s="227"/>
      <c r="BD130" s="357"/>
      <c r="BE130" s="355">
        <v>0</v>
      </c>
      <c r="BF130" s="356"/>
      <c r="BG130" s="233"/>
      <c r="BH130" s="227"/>
      <c r="BI130" s="357"/>
      <c r="BJ130" s="355">
        <v>0</v>
      </c>
      <c r="BK130" s="356"/>
      <c r="BL130" s="233"/>
      <c r="BM130" s="227"/>
      <c r="BN130" s="357"/>
      <c r="BO130" s="355">
        <v>0</v>
      </c>
      <c r="BP130" s="356"/>
      <c r="BQ130" s="233"/>
      <c r="BR130" s="227"/>
      <c r="BS130" s="357"/>
      <c r="BT130" s="355">
        <f>SUM(L130:BO130)</f>
        <v>0</v>
      </c>
      <c r="BU130" s="356"/>
      <c r="BV130" s="233"/>
      <c r="BW130" s="233"/>
      <c r="BX130" s="254"/>
      <c r="CA130" s="268"/>
      <c r="CB130" s="268"/>
    </row>
    <row r="131" spans="1:80" ht="12.75" hidden="1" customHeight="1" x14ac:dyDescent="0.2">
      <c r="A131" s="244"/>
      <c r="B131" s="244"/>
      <c r="D131" s="254"/>
      <c r="E131" s="227"/>
      <c r="F131" s="244"/>
      <c r="G131" s="233"/>
      <c r="H131" s="233"/>
      <c r="I131" s="233"/>
      <c r="J131" s="227"/>
      <c r="K131" s="233"/>
      <c r="L131" s="233"/>
      <c r="M131" s="233"/>
      <c r="N131" s="233"/>
      <c r="O131" s="227"/>
      <c r="P131" s="233"/>
      <c r="Q131" s="233"/>
      <c r="R131" s="233"/>
      <c r="S131" s="233"/>
      <c r="T131" s="227"/>
      <c r="U131" s="233"/>
      <c r="V131" s="233"/>
      <c r="W131" s="233"/>
      <c r="X131" s="233"/>
      <c r="Y131" s="227"/>
      <c r="Z131" s="233"/>
      <c r="AA131" s="233"/>
      <c r="AB131" s="233"/>
      <c r="AC131" s="233"/>
      <c r="AD131" s="227"/>
      <c r="AE131" s="233"/>
      <c r="AF131" s="233"/>
      <c r="AG131" s="233"/>
      <c r="AH131" s="233"/>
      <c r="AI131" s="227"/>
      <c r="AJ131" s="233"/>
      <c r="AK131" s="233"/>
      <c r="AL131" s="233"/>
      <c r="AM131" s="233"/>
      <c r="AN131" s="227"/>
      <c r="AO131" s="233"/>
      <c r="AP131" s="233"/>
      <c r="AQ131" s="233"/>
      <c r="AR131" s="233"/>
      <c r="AS131" s="227"/>
      <c r="AT131" s="233"/>
      <c r="AU131" s="233"/>
      <c r="AV131" s="233"/>
      <c r="AW131" s="233"/>
      <c r="AX131" s="227"/>
      <c r="AY131" s="233"/>
      <c r="AZ131" s="233"/>
      <c r="BA131" s="233"/>
      <c r="BB131" s="233"/>
      <c r="BC131" s="227"/>
      <c r="BD131" s="233"/>
      <c r="BE131" s="233"/>
      <c r="BF131" s="233"/>
      <c r="BG131" s="233"/>
      <c r="BH131" s="227"/>
      <c r="BI131" s="233"/>
      <c r="BJ131" s="233"/>
      <c r="BK131" s="233"/>
      <c r="BL131" s="233"/>
      <c r="BM131" s="227"/>
      <c r="BN131" s="233"/>
      <c r="BO131" s="233"/>
      <c r="BP131" s="233"/>
      <c r="BQ131" s="233"/>
      <c r="BR131" s="227"/>
      <c r="BS131" s="233"/>
      <c r="BT131" s="233"/>
      <c r="BU131" s="233"/>
      <c r="BV131" s="233"/>
      <c r="BW131" s="233"/>
      <c r="BX131" s="254"/>
      <c r="CA131" s="268"/>
      <c r="CB131" s="268"/>
    </row>
    <row r="132" spans="1:80" ht="12.75" hidden="1" customHeight="1" x14ac:dyDescent="0.2">
      <c r="A132" s="244"/>
      <c r="B132" s="244"/>
      <c r="D132" s="254" t="s">
        <v>335</v>
      </c>
      <c r="E132" s="227"/>
      <c r="F132" s="244"/>
      <c r="G132" s="233">
        <f>SUM(G133:G136)</f>
        <v>0</v>
      </c>
      <c r="H132" s="233"/>
      <c r="I132" s="233"/>
      <c r="J132" s="227"/>
      <c r="K132" s="233"/>
      <c r="L132" s="233">
        <f>SUM(L133:L136)</f>
        <v>0</v>
      </c>
      <c r="M132" s="233"/>
      <c r="N132" s="233"/>
      <c r="O132" s="227"/>
      <c r="P132" s="233"/>
      <c r="Q132" s="233">
        <f>SUM(Q133:Q136)</f>
        <v>0</v>
      </c>
      <c r="R132" s="233"/>
      <c r="S132" s="233"/>
      <c r="T132" s="227"/>
      <c r="U132" s="233"/>
      <c r="V132" s="233">
        <f>SUM(V133:V136)</f>
        <v>0</v>
      </c>
      <c r="W132" s="233"/>
      <c r="X132" s="233"/>
      <c r="Y132" s="227"/>
      <c r="Z132" s="233"/>
      <c r="AA132" s="233">
        <f>SUM(AA133:AA136)</f>
        <v>0</v>
      </c>
      <c r="AB132" s="233"/>
      <c r="AC132" s="233"/>
      <c r="AD132" s="227"/>
      <c r="AE132" s="233"/>
      <c r="AF132" s="233">
        <f>SUM(AF133:AF136)</f>
        <v>0</v>
      </c>
      <c r="AG132" s="233"/>
      <c r="AH132" s="233"/>
      <c r="AI132" s="227"/>
      <c r="AJ132" s="233"/>
      <c r="AK132" s="233">
        <f>SUM(AK133:AK136)</f>
        <v>0</v>
      </c>
      <c r="AL132" s="233"/>
      <c r="AM132" s="233"/>
      <c r="AN132" s="227"/>
      <c r="AO132" s="233"/>
      <c r="AP132" s="233">
        <f>SUM(AP133:AP136)</f>
        <v>0</v>
      </c>
      <c r="AQ132" s="233"/>
      <c r="AR132" s="233"/>
      <c r="AS132" s="227"/>
      <c r="AT132" s="233"/>
      <c r="AU132" s="233">
        <f>SUM(AU133:AU136)</f>
        <v>0</v>
      </c>
      <c r="AV132" s="233"/>
      <c r="AW132" s="233"/>
      <c r="AX132" s="227"/>
      <c r="AY132" s="233"/>
      <c r="AZ132" s="233">
        <f>SUM(AZ133:AZ136)</f>
        <v>0</v>
      </c>
      <c r="BA132" s="233"/>
      <c r="BB132" s="233"/>
      <c r="BC132" s="227"/>
      <c r="BD132" s="233"/>
      <c r="BE132" s="233">
        <f>SUM(BE133:BE136)</f>
        <v>0</v>
      </c>
      <c r="BF132" s="233"/>
      <c r="BG132" s="233"/>
      <c r="BH132" s="227"/>
      <c r="BI132" s="233"/>
      <c r="BJ132" s="233">
        <f>SUM(BJ133:BJ136)</f>
        <v>0</v>
      </c>
      <c r="BK132" s="233"/>
      <c r="BL132" s="233"/>
      <c r="BM132" s="227"/>
      <c r="BN132" s="233"/>
      <c r="BO132" s="233">
        <f>SUM(BO133:BO136)</f>
        <v>0</v>
      </c>
      <c r="BP132" s="233"/>
      <c r="BQ132" s="233"/>
      <c r="BR132" s="227"/>
      <c r="BS132" s="233"/>
      <c r="BT132" s="233">
        <f>SUM(BT133:BT136)</f>
        <v>0</v>
      </c>
      <c r="BU132" s="233"/>
      <c r="BV132" s="233"/>
      <c r="BW132" s="233"/>
      <c r="BX132" s="254"/>
      <c r="CA132" s="268"/>
      <c r="CB132" s="268"/>
    </row>
    <row r="133" spans="1:80" ht="12.75" hidden="1" customHeight="1" x14ac:dyDescent="0.2">
      <c r="A133" s="244"/>
      <c r="B133" s="244"/>
      <c r="D133" s="254" t="s">
        <v>310</v>
      </c>
      <c r="E133" s="227"/>
      <c r="F133" s="269"/>
      <c r="G133" s="343">
        <v>0</v>
      </c>
      <c r="H133" s="344"/>
      <c r="I133" s="233"/>
      <c r="J133" s="227"/>
      <c r="K133" s="269"/>
      <c r="L133" s="343">
        <v>0</v>
      </c>
      <c r="M133" s="344"/>
      <c r="N133" s="233"/>
      <c r="O133" s="227"/>
      <c r="P133" s="345"/>
      <c r="Q133" s="343">
        <v>0</v>
      </c>
      <c r="R133" s="344"/>
      <c r="S133" s="233"/>
      <c r="T133" s="227"/>
      <c r="U133" s="345"/>
      <c r="V133" s="343">
        <v>0</v>
      </c>
      <c r="W133" s="344"/>
      <c r="X133" s="233"/>
      <c r="Y133" s="227"/>
      <c r="Z133" s="345"/>
      <c r="AA133" s="343">
        <v>0</v>
      </c>
      <c r="AB133" s="344"/>
      <c r="AC133" s="233"/>
      <c r="AD133" s="227"/>
      <c r="AE133" s="345"/>
      <c r="AF133" s="343">
        <v>0</v>
      </c>
      <c r="AG133" s="344"/>
      <c r="AH133" s="233"/>
      <c r="AI133" s="227"/>
      <c r="AJ133" s="345"/>
      <c r="AK133" s="343">
        <v>0</v>
      </c>
      <c r="AL133" s="344"/>
      <c r="AM133" s="233"/>
      <c r="AN133" s="227"/>
      <c r="AO133" s="345"/>
      <c r="AP133" s="343">
        <v>0</v>
      </c>
      <c r="AQ133" s="344"/>
      <c r="AR133" s="233"/>
      <c r="AS133" s="227"/>
      <c r="AT133" s="345"/>
      <c r="AU133" s="343">
        <v>0</v>
      </c>
      <c r="AV133" s="344"/>
      <c r="AW133" s="233"/>
      <c r="AX133" s="227"/>
      <c r="AY133" s="345"/>
      <c r="AZ133" s="343">
        <v>0</v>
      </c>
      <c r="BA133" s="344"/>
      <c r="BB133" s="233"/>
      <c r="BC133" s="227"/>
      <c r="BD133" s="345"/>
      <c r="BE133" s="343">
        <v>0</v>
      </c>
      <c r="BF133" s="344"/>
      <c r="BG133" s="233"/>
      <c r="BH133" s="227"/>
      <c r="BI133" s="345"/>
      <c r="BJ133" s="343">
        <v>0</v>
      </c>
      <c r="BK133" s="344"/>
      <c r="BL133" s="233"/>
      <c r="BM133" s="227"/>
      <c r="BN133" s="345"/>
      <c r="BO133" s="343">
        <v>0</v>
      </c>
      <c r="BP133" s="344"/>
      <c r="BQ133" s="233"/>
      <c r="BR133" s="227"/>
      <c r="BS133" s="345"/>
      <c r="BT133" s="343">
        <f>SUM(L133:BO133)</f>
        <v>0</v>
      </c>
      <c r="BU133" s="344"/>
      <c r="BV133" s="233"/>
      <c r="BW133" s="233"/>
      <c r="BX133" s="254"/>
      <c r="CA133" s="268"/>
      <c r="CB133" s="268"/>
    </row>
    <row r="134" spans="1:80" ht="12.75" hidden="1" customHeight="1" x14ac:dyDescent="0.2">
      <c r="A134" s="244"/>
      <c r="B134" s="244"/>
      <c r="D134" s="254" t="s">
        <v>312</v>
      </c>
      <c r="E134" s="227"/>
      <c r="F134" s="261"/>
      <c r="G134" s="233">
        <v>0</v>
      </c>
      <c r="H134" s="347"/>
      <c r="I134" s="233"/>
      <c r="J134" s="227"/>
      <c r="K134" s="261"/>
      <c r="L134" s="233">
        <v>0</v>
      </c>
      <c r="M134" s="347"/>
      <c r="N134" s="233"/>
      <c r="O134" s="227"/>
      <c r="P134" s="227"/>
      <c r="Q134" s="233">
        <v>0</v>
      </c>
      <c r="R134" s="347"/>
      <c r="S134" s="233"/>
      <c r="T134" s="227"/>
      <c r="U134" s="227"/>
      <c r="V134" s="233">
        <v>0</v>
      </c>
      <c r="W134" s="347"/>
      <c r="X134" s="233"/>
      <c r="Y134" s="227"/>
      <c r="Z134" s="227"/>
      <c r="AA134" s="233">
        <v>0</v>
      </c>
      <c r="AB134" s="347"/>
      <c r="AC134" s="233"/>
      <c r="AD134" s="227"/>
      <c r="AE134" s="227"/>
      <c r="AF134" s="233">
        <v>0</v>
      </c>
      <c r="AG134" s="347"/>
      <c r="AH134" s="233"/>
      <c r="AI134" s="227"/>
      <c r="AJ134" s="227"/>
      <c r="AK134" s="233">
        <v>0</v>
      </c>
      <c r="AL134" s="347"/>
      <c r="AM134" s="233"/>
      <c r="AN134" s="227"/>
      <c r="AO134" s="227"/>
      <c r="AP134" s="233">
        <v>0</v>
      </c>
      <c r="AQ134" s="347"/>
      <c r="AR134" s="233"/>
      <c r="AS134" s="227"/>
      <c r="AT134" s="227"/>
      <c r="AU134" s="233">
        <v>0</v>
      </c>
      <c r="AV134" s="347"/>
      <c r="AW134" s="233"/>
      <c r="AX134" s="227"/>
      <c r="AY134" s="227"/>
      <c r="AZ134" s="233">
        <v>0</v>
      </c>
      <c r="BA134" s="347"/>
      <c r="BB134" s="233"/>
      <c r="BC134" s="227"/>
      <c r="BD134" s="227"/>
      <c r="BE134" s="233">
        <v>0</v>
      </c>
      <c r="BF134" s="347"/>
      <c r="BG134" s="233"/>
      <c r="BH134" s="227"/>
      <c r="BI134" s="227"/>
      <c r="BJ134" s="233">
        <v>0</v>
      </c>
      <c r="BK134" s="347"/>
      <c r="BL134" s="233"/>
      <c r="BM134" s="227"/>
      <c r="BN134" s="227"/>
      <c r="BO134" s="233">
        <v>0</v>
      </c>
      <c r="BP134" s="347"/>
      <c r="BQ134" s="233"/>
      <c r="BR134" s="227"/>
      <c r="BS134" s="227"/>
      <c r="BT134" s="233">
        <f>SUM(L134:BO134)</f>
        <v>0</v>
      </c>
      <c r="BU134" s="347"/>
      <c r="BV134" s="233"/>
      <c r="BW134" s="233"/>
      <c r="BX134" s="254"/>
      <c r="CA134" s="268"/>
      <c r="CB134" s="268"/>
    </row>
    <row r="135" spans="1:80" ht="12.75" hidden="1" customHeight="1" x14ac:dyDescent="0.2">
      <c r="A135" s="244"/>
      <c r="B135" s="244"/>
      <c r="D135" s="254" t="s">
        <v>313</v>
      </c>
      <c r="E135" s="227"/>
      <c r="F135" s="261"/>
      <c r="G135" s="233">
        <v>0</v>
      </c>
      <c r="H135" s="347"/>
      <c r="I135" s="233"/>
      <c r="J135" s="227"/>
      <c r="K135" s="261"/>
      <c r="L135" s="233">
        <v>0</v>
      </c>
      <c r="M135" s="347"/>
      <c r="N135" s="233"/>
      <c r="O135" s="227"/>
      <c r="P135" s="227"/>
      <c r="Q135" s="233">
        <v>0</v>
      </c>
      <c r="R135" s="347"/>
      <c r="S135" s="233"/>
      <c r="T135" s="227"/>
      <c r="U135" s="227"/>
      <c r="V135" s="233">
        <v>0</v>
      </c>
      <c r="W135" s="347"/>
      <c r="X135" s="233"/>
      <c r="Y135" s="227"/>
      <c r="Z135" s="227"/>
      <c r="AA135" s="233">
        <v>0</v>
      </c>
      <c r="AB135" s="347"/>
      <c r="AC135" s="233"/>
      <c r="AD135" s="227"/>
      <c r="AE135" s="227"/>
      <c r="AF135" s="233">
        <v>0</v>
      </c>
      <c r="AG135" s="347"/>
      <c r="AH135" s="233"/>
      <c r="AI135" s="227"/>
      <c r="AJ135" s="227"/>
      <c r="AK135" s="233">
        <v>0</v>
      </c>
      <c r="AL135" s="347"/>
      <c r="AM135" s="233"/>
      <c r="AN135" s="227"/>
      <c r="AO135" s="227"/>
      <c r="AP135" s="233">
        <v>0</v>
      </c>
      <c r="AQ135" s="347"/>
      <c r="AR135" s="233"/>
      <c r="AS135" s="227"/>
      <c r="AT135" s="227"/>
      <c r="AU135" s="233">
        <v>0</v>
      </c>
      <c r="AV135" s="347"/>
      <c r="AW135" s="233"/>
      <c r="AX135" s="227"/>
      <c r="AY135" s="227"/>
      <c r="AZ135" s="233">
        <v>0</v>
      </c>
      <c r="BA135" s="347"/>
      <c r="BB135" s="233"/>
      <c r="BC135" s="227"/>
      <c r="BD135" s="227"/>
      <c r="BE135" s="233">
        <v>0</v>
      </c>
      <c r="BF135" s="347"/>
      <c r="BG135" s="233"/>
      <c r="BH135" s="227"/>
      <c r="BI135" s="227"/>
      <c r="BJ135" s="233">
        <v>0</v>
      </c>
      <c r="BK135" s="347"/>
      <c r="BL135" s="233"/>
      <c r="BM135" s="227"/>
      <c r="BN135" s="227"/>
      <c r="BO135" s="233">
        <v>0</v>
      </c>
      <c r="BP135" s="347"/>
      <c r="BQ135" s="233"/>
      <c r="BR135" s="227"/>
      <c r="BS135" s="227"/>
      <c r="BT135" s="233">
        <f>SUM(L135:BO135)</f>
        <v>0</v>
      </c>
      <c r="BU135" s="347"/>
      <c r="BV135" s="233"/>
      <c r="BW135" s="233"/>
      <c r="BX135" s="254"/>
      <c r="CA135" s="268"/>
      <c r="CB135" s="268"/>
    </row>
    <row r="136" spans="1:80" ht="12.75" hidden="1" customHeight="1" x14ac:dyDescent="0.2">
      <c r="A136" s="244"/>
      <c r="B136" s="244"/>
      <c r="D136" s="254" t="s">
        <v>314</v>
      </c>
      <c r="F136" s="284"/>
      <c r="G136" s="355">
        <v>0</v>
      </c>
      <c r="H136" s="356"/>
      <c r="I136" s="233"/>
      <c r="J136" s="227"/>
      <c r="K136" s="284"/>
      <c r="L136" s="355">
        <v>0</v>
      </c>
      <c r="M136" s="356"/>
      <c r="N136" s="233"/>
      <c r="O136" s="227"/>
      <c r="P136" s="357"/>
      <c r="Q136" s="355">
        <v>0</v>
      </c>
      <c r="R136" s="356"/>
      <c r="S136" s="233"/>
      <c r="T136" s="227"/>
      <c r="U136" s="357"/>
      <c r="V136" s="355">
        <v>0</v>
      </c>
      <c r="W136" s="356"/>
      <c r="X136" s="233"/>
      <c r="Y136" s="227"/>
      <c r="Z136" s="357"/>
      <c r="AA136" s="355">
        <v>0</v>
      </c>
      <c r="AB136" s="356"/>
      <c r="AC136" s="233"/>
      <c r="AD136" s="227"/>
      <c r="AE136" s="357"/>
      <c r="AF136" s="355">
        <v>0</v>
      </c>
      <c r="AG136" s="356"/>
      <c r="AH136" s="233"/>
      <c r="AI136" s="227"/>
      <c r="AJ136" s="357"/>
      <c r="AK136" s="355">
        <v>0</v>
      </c>
      <c r="AL136" s="356"/>
      <c r="AM136" s="233"/>
      <c r="AN136" s="227"/>
      <c r="AO136" s="357"/>
      <c r="AP136" s="355">
        <v>0</v>
      </c>
      <c r="AQ136" s="356"/>
      <c r="AR136" s="233"/>
      <c r="AS136" s="227"/>
      <c r="AT136" s="357"/>
      <c r="AU136" s="355">
        <v>0</v>
      </c>
      <c r="AV136" s="356"/>
      <c r="AW136" s="233"/>
      <c r="AX136" s="227"/>
      <c r="AY136" s="357"/>
      <c r="AZ136" s="355">
        <v>0</v>
      </c>
      <c r="BA136" s="356"/>
      <c r="BB136" s="233"/>
      <c r="BC136" s="227"/>
      <c r="BD136" s="357"/>
      <c r="BE136" s="355">
        <v>0</v>
      </c>
      <c r="BF136" s="356"/>
      <c r="BG136" s="233"/>
      <c r="BH136" s="227"/>
      <c r="BI136" s="357"/>
      <c r="BJ136" s="355">
        <v>0</v>
      </c>
      <c r="BK136" s="356"/>
      <c r="BL136" s="233"/>
      <c r="BM136" s="227"/>
      <c r="BN136" s="357"/>
      <c r="BO136" s="355">
        <v>0</v>
      </c>
      <c r="BP136" s="356"/>
      <c r="BQ136" s="233"/>
      <c r="BR136" s="227"/>
      <c r="BS136" s="357"/>
      <c r="BT136" s="355">
        <f>SUM(L136:BO136)</f>
        <v>0</v>
      </c>
      <c r="BU136" s="356"/>
      <c r="BV136" s="233"/>
      <c r="BW136" s="233"/>
      <c r="BX136" s="254"/>
      <c r="CA136" s="268"/>
      <c r="CB136" s="268"/>
    </row>
    <row r="137" spans="1:80" ht="12.75" hidden="1" customHeight="1" x14ac:dyDescent="0.2">
      <c r="A137" s="244"/>
      <c r="B137" s="244"/>
      <c r="D137" s="254"/>
      <c r="F137" s="244"/>
      <c r="G137" s="233"/>
      <c r="H137" s="233"/>
      <c r="I137" s="233"/>
      <c r="J137" s="227"/>
      <c r="K137" s="233"/>
      <c r="L137" s="233"/>
      <c r="M137" s="233"/>
      <c r="N137" s="233"/>
      <c r="O137" s="227"/>
      <c r="P137" s="233"/>
      <c r="Q137" s="233"/>
      <c r="R137" s="233"/>
      <c r="S137" s="233"/>
      <c r="T137" s="227"/>
      <c r="U137" s="233"/>
      <c r="V137" s="233"/>
      <c r="W137" s="233"/>
      <c r="X137" s="233"/>
      <c r="Y137" s="227"/>
      <c r="Z137" s="233"/>
      <c r="AA137" s="233"/>
      <c r="AB137" s="233"/>
      <c r="AC137" s="233"/>
      <c r="AD137" s="227"/>
      <c r="AE137" s="233"/>
      <c r="AF137" s="233"/>
      <c r="AG137" s="233"/>
      <c r="AH137" s="233"/>
      <c r="AI137" s="227"/>
      <c r="AJ137" s="233"/>
      <c r="AK137" s="233"/>
      <c r="AL137" s="233"/>
      <c r="AM137" s="233"/>
      <c r="AN137" s="227"/>
      <c r="AO137" s="233"/>
      <c r="AP137" s="233"/>
      <c r="AQ137" s="233"/>
      <c r="AR137" s="233"/>
      <c r="AS137" s="227"/>
      <c r="AT137" s="233"/>
      <c r="AU137" s="233"/>
      <c r="AV137" s="233"/>
      <c r="AW137" s="233"/>
      <c r="AX137" s="227"/>
      <c r="AY137" s="233"/>
      <c r="AZ137" s="233"/>
      <c r="BA137" s="233"/>
      <c r="BB137" s="233"/>
      <c r="BC137" s="227"/>
      <c r="BD137" s="233"/>
      <c r="BE137" s="233"/>
      <c r="BF137" s="233"/>
      <c r="BG137" s="233"/>
      <c r="BH137" s="227"/>
      <c r="BI137" s="233"/>
      <c r="BJ137" s="233"/>
      <c r="BK137" s="233"/>
      <c r="BL137" s="233"/>
      <c r="BM137" s="227"/>
      <c r="BN137" s="233"/>
      <c r="BO137" s="233"/>
      <c r="BP137" s="233"/>
      <c r="BQ137" s="233"/>
      <c r="BR137" s="227"/>
      <c r="BS137" s="233"/>
      <c r="BT137" s="233"/>
      <c r="BU137" s="233"/>
      <c r="BV137" s="233"/>
      <c r="BW137" s="233"/>
      <c r="BX137" s="254"/>
      <c r="CA137" s="268"/>
      <c r="CB137" s="268"/>
    </row>
    <row r="138" spans="1:80" ht="12.75" hidden="1" customHeight="1" x14ac:dyDescent="0.2">
      <c r="A138" s="244"/>
      <c r="B138" s="244"/>
      <c r="D138" s="254" t="s">
        <v>336</v>
      </c>
      <c r="F138" s="244"/>
      <c r="G138" s="233">
        <f>SUM(G139:G141)</f>
        <v>0</v>
      </c>
      <c r="H138" s="233"/>
      <c r="I138" s="233"/>
      <c r="J138" s="227"/>
      <c r="K138" s="233"/>
      <c r="L138" s="233">
        <f>SUM(L139:L141)</f>
        <v>0</v>
      </c>
      <c r="M138" s="233"/>
      <c r="N138" s="233"/>
      <c r="O138" s="227"/>
      <c r="P138" s="233"/>
      <c r="Q138" s="233">
        <f>SUM(Q139:Q141)</f>
        <v>0</v>
      </c>
      <c r="R138" s="233"/>
      <c r="S138" s="233"/>
      <c r="T138" s="227"/>
      <c r="U138" s="233"/>
      <c r="V138" s="233">
        <f>SUM(V139:V141)</f>
        <v>0</v>
      </c>
      <c r="W138" s="233"/>
      <c r="X138" s="233"/>
      <c r="Y138" s="227"/>
      <c r="Z138" s="233"/>
      <c r="AA138" s="233">
        <f>SUM(AA139:AA141)</f>
        <v>0</v>
      </c>
      <c r="AB138" s="233"/>
      <c r="AC138" s="233"/>
      <c r="AD138" s="227"/>
      <c r="AE138" s="233"/>
      <c r="AF138" s="233">
        <f>SUM(AF139:AF141)</f>
        <v>0</v>
      </c>
      <c r="AG138" s="233"/>
      <c r="AH138" s="233"/>
      <c r="AI138" s="227"/>
      <c r="AJ138" s="233"/>
      <c r="AK138" s="233">
        <f>SUM(AK139:AK141)</f>
        <v>0</v>
      </c>
      <c r="AL138" s="233"/>
      <c r="AM138" s="233"/>
      <c r="AN138" s="227"/>
      <c r="AO138" s="233"/>
      <c r="AP138" s="233">
        <f>SUM(AP139:AP141)</f>
        <v>0</v>
      </c>
      <c r="AQ138" s="233"/>
      <c r="AR138" s="233"/>
      <c r="AS138" s="227"/>
      <c r="AT138" s="233"/>
      <c r="AU138" s="233">
        <f>SUM(AU139:AU141)</f>
        <v>0</v>
      </c>
      <c r="AV138" s="233"/>
      <c r="AW138" s="233"/>
      <c r="AX138" s="227"/>
      <c r="AY138" s="233"/>
      <c r="AZ138" s="233">
        <f>SUM(AZ139:AZ141)</f>
        <v>0</v>
      </c>
      <c r="BA138" s="233"/>
      <c r="BB138" s="233"/>
      <c r="BC138" s="227"/>
      <c r="BD138" s="233"/>
      <c r="BE138" s="233">
        <f>SUM(BE139:BE141)</f>
        <v>0</v>
      </c>
      <c r="BF138" s="233"/>
      <c r="BG138" s="233"/>
      <c r="BH138" s="227"/>
      <c r="BI138" s="233"/>
      <c r="BJ138" s="233">
        <f>SUM(BJ139:BJ141)</f>
        <v>0</v>
      </c>
      <c r="BK138" s="233"/>
      <c r="BL138" s="233"/>
      <c r="BM138" s="227"/>
      <c r="BN138" s="233"/>
      <c r="BO138" s="233">
        <f>SUM(BO139:BO141)</f>
        <v>0</v>
      </c>
      <c r="BP138" s="233"/>
      <c r="BQ138" s="233"/>
      <c r="BR138" s="227"/>
      <c r="BS138" s="233"/>
      <c r="BT138" s="233">
        <f>SUM(BT139:BT141)</f>
        <v>0</v>
      </c>
      <c r="BU138" s="233"/>
      <c r="BV138" s="233"/>
      <c r="BW138" s="233"/>
      <c r="BX138" s="254"/>
      <c r="CA138" s="268"/>
      <c r="CB138" s="268"/>
    </row>
    <row r="139" spans="1:80" ht="12.75" hidden="1" customHeight="1" x14ac:dyDescent="0.2">
      <c r="A139" s="244"/>
      <c r="B139" s="244"/>
      <c r="D139" s="254" t="s">
        <v>310</v>
      </c>
      <c r="F139" s="269"/>
      <c r="G139" s="343">
        <v>0</v>
      </c>
      <c r="H139" s="344"/>
      <c r="I139" s="233"/>
      <c r="J139" s="227"/>
      <c r="K139" s="269"/>
      <c r="L139" s="343">
        <v>0</v>
      </c>
      <c r="M139" s="344"/>
      <c r="N139" s="233"/>
      <c r="O139" s="227"/>
      <c r="P139" s="269"/>
      <c r="Q139" s="343">
        <v>0</v>
      </c>
      <c r="R139" s="344"/>
      <c r="S139" s="233"/>
      <c r="T139" s="227"/>
      <c r="U139" s="269"/>
      <c r="V139" s="343">
        <v>0</v>
      </c>
      <c r="W139" s="344"/>
      <c r="X139" s="233"/>
      <c r="Y139" s="227"/>
      <c r="Z139" s="269"/>
      <c r="AA139" s="343">
        <v>0</v>
      </c>
      <c r="AB139" s="344"/>
      <c r="AC139" s="233"/>
      <c r="AD139" s="227"/>
      <c r="AE139" s="269"/>
      <c r="AF139" s="343">
        <v>0</v>
      </c>
      <c r="AG139" s="344"/>
      <c r="AH139" s="233"/>
      <c r="AI139" s="227"/>
      <c r="AJ139" s="269"/>
      <c r="AK139" s="343">
        <v>0</v>
      </c>
      <c r="AL139" s="344"/>
      <c r="AM139" s="233"/>
      <c r="AN139" s="227"/>
      <c r="AO139" s="269"/>
      <c r="AP139" s="343">
        <v>0</v>
      </c>
      <c r="AQ139" s="344"/>
      <c r="AR139" s="233"/>
      <c r="AS139" s="227"/>
      <c r="AT139" s="345"/>
      <c r="AU139" s="343">
        <v>0</v>
      </c>
      <c r="AV139" s="344"/>
      <c r="AW139" s="233"/>
      <c r="AX139" s="227"/>
      <c r="AY139" s="345"/>
      <c r="AZ139" s="343">
        <v>0</v>
      </c>
      <c r="BA139" s="344"/>
      <c r="BB139" s="233"/>
      <c r="BC139" s="227"/>
      <c r="BD139" s="345"/>
      <c r="BE139" s="343">
        <v>0</v>
      </c>
      <c r="BF139" s="344"/>
      <c r="BG139" s="233"/>
      <c r="BH139" s="227"/>
      <c r="BI139" s="345"/>
      <c r="BJ139" s="343">
        <v>0</v>
      </c>
      <c r="BK139" s="344"/>
      <c r="BL139" s="233"/>
      <c r="BM139" s="227"/>
      <c r="BN139" s="345"/>
      <c r="BO139" s="343">
        <v>0</v>
      </c>
      <c r="BP139" s="344"/>
      <c r="BQ139" s="233"/>
      <c r="BR139" s="227"/>
      <c r="BS139" s="345"/>
      <c r="BT139" s="343">
        <f>SUM(L139:BO139)</f>
        <v>0</v>
      </c>
      <c r="BU139" s="344"/>
      <c r="BV139" s="233"/>
      <c r="BW139" s="233"/>
      <c r="BX139" s="254"/>
      <c r="CA139" s="268"/>
      <c r="CB139" s="268"/>
    </row>
    <row r="140" spans="1:80" ht="12.75" hidden="1" customHeight="1" x14ac:dyDescent="0.2">
      <c r="A140" s="244"/>
      <c r="B140" s="244"/>
      <c r="D140" s="254" t="s">
        <v>312</v>
      </c>
      <c r="F140" s="261"/>
      <c r="G140" s="233">
        <v>0</v>
      </c>
      <c r="H140" s="347"/>
      <c r="I140" s="233"/>
      <c r="J140" s="227"/>
      <c r="K140" s="261"/>
      <c r="L140" s="233">
        <v>0</v>
      </c>
      <c r="M140" s="347"/>
      <c r="N140" s="233"/>
      <c r="O140" s="227"/>
      <c r="P140" s="261"/>
      <c r="Q140" s="233">
        <v>0</v>
      </c>
      <c r="R140" s="347"/>
      <c r="S140" s="233"/>
      <c r="T140" s="227"/>
      <c r="U140" s="261"/>
      <c r="V140" s="233">
        <v>0</v>
      </c>
      <c r="W140" s="347"/>
      <c r="X140" s="233"/>
      <c r="Y140" s="227"/>
      <c r="Z140" s="261"/>
      <c r="AA140" s="233">
        <v>0</v>
      </c>
      <c r="AB140" s="347"/>
      <c r="AC140" s="233"/>
      <c r="AD140" s="227"/>
      <c r="AE140" s="261"/>
      <c r="AF140" s="233">
        <v>0</v>
      </c>
      <c r="AG140" s="347"/>
      <c r="AH140" s="233"/>
      <c r="AI140" s="227"/>
      <c r="AJ140" s="261"/>
      <c r="AK140" s="233">
        <v>0</v>
      </c>
      <c r="AL140" s="347"/>
      <c r="AM140" s="233"/>
      <c r="AN140" s="227"/>
      <c r="AO140" s="261"/>
      <c r="AP140" s="233">
        <v>0</v>
      </c>
      <c r="AQ140" s="347"/>
      <c r="AR140" s="233"/>
      <c r="AS140" s="227"/>
      <c r="AT140" s="227"/>
      <c r="AU140" s="233">
        <v>0</v>
      </c>
      <c r="AV140" s="347"/>
      <c r="AW140" s="233"/>
      <c r="AX140" s="227"/>
      <c r="AY140" s="227"/>
      <c r="AZ140" s="233">
        <v>0</v>
      </c>
      <c r="BA140" s="347"/>
      <c r="BB140" s="233"/>
      <c r="BC140" s="227"/>
      <c r="BD140" s="227"/>
      <c r="BE140" s="233">
        <v>0</v>
      </c>
      <c r="BF140" s="347"/>
      <c r="BG140" s="233"/>
      <c r="BH140" s="227"/>
      <c r="BI140" s="227"/>
      <c r="BJ140" s="233">
        <v>0</v>
      </c>
      <c r="BK140" s="347"/>
      <c r="BL140" s="233"/>
      <c r="BM140" s="227"/>
      <c r="BN140" s="227"/>
      <c r="BO140" s="233">
        <v>0</v>
      </c>
      <c r="BP140" s="347"/>
      <c r="BQ140" s="233"/>
      <c r="BR140" s="227"/>
      <c r="BS140" s="227"/>
      <c r="BT140" s="233">
        <f>SUM(L140:BO140)</f>
        <v>0</v>
      </c>
      <c r="BU140" s="347"/>
      <c r="BV140" s="233"/>
      <c r="BW140" s="233"/>
      <c r="BX140" s="254"/>
      <c r="CA140" s="268"/>
      <c r="CB140" s="268"/>
    </row>
    <row r="141" spans="1:80" ht="12.75" hidden="1" customHeight="1" x14ac:dyDescent="0.2">
      <c r="A141" s="244"/>
      <c r="B141" s="244"/>
      <c r="D141" s="254" t="s">
        <v>313</v>
      </c>
      <c r="F141" s="284"/>
      <c r="G141" s="355">
        <v>0</v>
      </c>
      <c r="H141" s="356"/>
      <c r="I141" s="233"/>
      <c r="J141" s="227"/>
      <c r="K141" s="284"/>
      <c r="L141" s="355">
        <v>0</v>
      </c>
      <c r="M141" s="356"/>
      <c r="N141" s="233"/>
      <c r="O141" s="227"/>
      <c r="P141" s="284"/>
      <c r="Q141" s="355">
        <v>0</v>
      </c>
      <c r="R141" s="356"/>
      <c r="S141" s="233"/>
      <c r="T141" s="227"/>
      <c r="U141" s="284"/>
      <c r="V141" s="355">
        <v>0</v>
      </c>
      <c r="W141" s="356"/>
      <c r="X141" s="233"/>
      <c r="Y141" s="227"/>
      <c r="Z141" s="284"/>
      <c r="AA141" s="355">
        <v>0</v>
      </c>
      <c r="AB141" s="356"/>
      <c r="AC141" s="233"/>
      <c r="AD141" s="227"/>
      <c r="AE141" s="284"/>
      <c r="AF141" s="355">
        <v>0</v>
      </c>
      <c r="AG141" s="356"/>
      <c r="AH141" s="233"/>
      <c r="AI141" s="227"/>
      <c r="AJ141" s="284"/>
      <c r="AK141" s="355">
        <v>0</v>
      </c>
      <c r="AL141" s="356"/>
      <c r="AM141" s="233"/>
      <c r="AN141" s="227"/>
      <c r="AO141" s="284"/>
      <c r="AP141" s="355">
        <v>0</v>
      </c>
      <c r="AQ141" s="356"/>
      <c r="AR141" s="233"/>
      <c r="AS141" s="227"/>
      <c r="AT141" s="357"/>
      <c r="AU141" s="355">
        <v>0</v>
      </c>
      <c r="AV141" s="356"/>
      <c r="AW141" s="233"/>
      <c r="AX141" s="227"/>
      <c r="AY141" s="357"/>
      <c r="AZ141" s="355">
        <v>0</v>
      </c>
      <c r="BA141" s="356"/>
      <c r="BB141" s="233"/>
      <c r="BC141" s="227"/>
      <c r="BD141" s="357"/>
      <c r="BE141" s="355">
        <v>0</v>
      </c>
      <c r="BF141" s="356"/>
      <c r="BG141" s="233"/>
      <c r="BH141" s="227"/>
      <c r="BI141" s="357"/>
      <c r="BJ141" s="355">
        <v>0</v>
      </c>
      <c r="BK141" s="356"/>
      <c r="BL141" s="233"/>
      <c r="BM141" s="227"/>
      <c r="BN141" s="357"/>
      <c r="BO141" s="355">
        <v>0</v>
      </c>
      <c r="BP141" s="356"/>
      <c r="BQ141" s="233"/>
      <c r="BR141" s="227"/>
      <c r="BS141" s="357"/>
      <c r="BT141" s="355">
        <f>SUM(L141:BO141)</f>
        <v>0</v>
      </c>
      <c r="BU141" s="356"/>
      <c r="BV141" s="233"/>
      <c r="BW141" s="233"/>
      <c r="BX141" s="254"/>
      <c r="CA141" s="268"/>
      <c r="CB141" s="268"/>
    </row>
    <row r="142" spans="1:80" ht="12.75" customHeight="1" x14ac:dyDescent="0.2">
      <c r="A142" s="244"/>
      <c r="B142" s="244"/>
      <c r="D142" s="254"/>
      <c r="F142" s="244"/>
      <c r="G142" s="233"/>
      <c r="H142" s="233"/>
      <c r="I142" s="233"/>
      <c r="J142" s="227"/>
      <c r="K142" s="233"/>
      <c r="L142" s="233"/>
      <c r="M142" s="233"/>
      <c r="N142" s="233"/>
      <c r="O142" s="227"/>
      <c r="P142" s="233"/>
      <c r="Q142" s="233"/>
      <c r="R142" s="233"/>
      <c r="S142" s="233"/>
      <c r="T142" s="227"/>
      <c r="U142" s="233"/>
      <c r="V142" s="233"/>
      <c r="W142" s="233"/>
      <c r="X142" s="233"/>
      <c r="Y142" s="227"/>
      <c r="Z142" s="233"/>
      <c r="AA142" s="233"/>
      <c r="AB142" s="233"/>
      <c r="AC142" s="233"/>
      <c r="AD142" s="227"/>
      <c r="AE142" s="233"/>
      <c r="AF142" s="233"/>
      <c r="AG142" s="233"/>
      <c r="AH142" s="233"/>
      <c r="AI142" s="227"/>
      <c r="AJ142" s="233"/>
      <c r="AK142" s="233"/>
      <c r="AL142" s="233"/>
      <c r="AM142" s="233"/>
      <c r="AN142" s="227"/>
      <c r="AO142" s="233"/>
      <c r="AP142" s="233"/>
      <c r="AQ142" s="233"/>
      <c r="AR142" s="233"/>
      <c r="AS142" s="227"/>
      <c r="AT142" s="233"/>
      <c r="AU142" s="233"/>
      <c r="AV142" s="233"/>
      <c r="AW142" s="233"/>
      <c r="AX142" s="227"/>
      <c r="AY142" s="233"/>
      <c r="AZ142" s="233"/>
      <c r="BA142" s="233"/>
      <c r="BB142" s="233"/>
      <c r="BC142" s="227"/>
      <c r="BD142" s="233"/>
      <c r="BE142" s="233"/>
      <c r="BF142" s="233"/>
      <c r="BG142" s="233"/>
      <c r="BH142" s="227"/>
      <c r="BI142" s="233"/>
      <c r="BJ142" s="233"/>
      <c r="BK142" s="233"/>
      <c r="BL142" s="233"/>
      <c r="BM142" s="227"/>
      <c r="BN142" s="233"/>
      <c r="BO142" s="233"/>
      <c r="BP142" s="233"/>
      <c r="BQ142" s="233"/>
      <c r="BR142" s="227"/>
      <c r="BS142" s="233"/>
      <c r="BT142" s="233"/>
      <c r="BU142" s="233"/>
      <c r="BV142" s="233"/>
      <c r="BW142" s="233"/>
      <c r="BX142" s="254"/>
      <c r="CA142" s="268"/>
      <c r="CB142" s="268"/>
    </row>
    <row r="143" spans="1:80" ht="12.75" customHeight="1" x14ac:dyDescent="0.2">
      <c r="A143" s="244"/>
      <c r="B143" s="244"/>
      <c r="D143" s="254" t="s">
        <v>337</v>
      </c>
      <c r="F143" s="244"/>
      <c r="G143" s="233">
        <f>SUM(G144:G146)</f>
        <v>0</v>
      </c>
      <c r="H143" s="233"/>
      <c r="I143" s="233"/>
      <c r="J143" s="227"/>
      <c r="K143" s="233"/>
      <c r="L143" s="233">
        <f>SUM(L144:L146)</f>
        <v>0</v>
      </c>
      <c r="M143" s="233"/>
      <c r="N143" s="233"/>
      <c r="O143" s="227"/>
      <c r="P143" s="233"/>
      <c r="Q143" s="233">
        <f>SUM(Q144:Q146)</f>
        <v>1592</v>
      </c>
      <c r="R143" s="233"/>
      <c r="S143" s="233"/>
      <c r="T143" s="227"/>
      <c r="U143" s="233"/>
      <c r="V143" s="233">
        <f>SUM(V144:V146)</f>
        <v>0</v>
      </c>
      <c r="W143" s="233"/>
      <c r="X143" s="233"/>
      <c r="Y143" s="227"/>
      <c r="Z143" s="233"/>
      <c r="AA143" s="233">
        <f>SUM(AA144:AA146)</f>
        <v>0</v>
      </c>
      <c r="AB143" s="233"/>
      <c r="AC143" s="233"/>
      <c r="AD143" s="227"/>
      <c r="AE143" s="233"/>
      <c r="AF143" s="233">
        <f>SUM(AF144:AF146)</f>
        <v>0</v>
      </c>
      <c r="AG143" s="233"/>
      <c r="AH143" s="233"/>
      <c r="AI143" s="227"/>
      <c r="AJ143" s="233"/>
      <c r="AK143" s="233">
        <f>SUM(AK144:AK146)</f>
        <v>0</v>
      </c>
      <c r="AL143" s="233"/>
      <c r="AM143" s="233"/>
      <c r="AN143" s="227"/>
      <c r="AO143" s="233"/>
      <c r="AP143" s="233">
        <f>SUM(AP144:AP146)</f>
        <v>0</v>
      </c>
      <c r="AQ143" s="233"/>
      <c r="AR143" s="233"/>
      <c r="AS143" s="227"/>
      <c r="AT143" s="233"/>
      <c r="AU143" s="233">
        <f>SUM(AU144:AU146)</f>
        <v>0</v>
      </c>
      <c r="AV143" s="233"/>
      <c r="AW143" s="233"/>
      <c r="AX143" s="227"/>
      <c r="AY143" s="233"/>
      <c r="AZ143" s="233">
        <f>SUM(AZ144:AZ146)</f>
        <v>0</v>
      </c>
      <c r="BA143" s="233"/>
      <c r="BB143" s="233"/>
      <c r="BC143" s="227"/>
      <c r="BD143" s="233"/>
      <c r="BE143" s="233">
        <f>SUM(BE144:BE146)</f>
        <v>0</v>
      </c>
      <c r="BF143" s="233"/>
      <c r="BG143" s="233"/>
      <c r="BH143" s="227"/>
      <c r="BI143" s="233"/>
      <c r="BJ143" s="233">
        <f>SUM(BJ144:BJ146)</f>
        <v>0</v>
      </c>
      <c r="BK143" s="233"/>
      <c r="BL143" s="233"/>
      <c r="BM143" s="227"/>
      <c r="BN143" s="233"/>
      <c r="BO143" s="233">
        <f>SUM(BO144:BO146)</f>
        <v>0</v>
      </c>
      <c r="BP143" s="233"/>
      <c r="BQ143" s="233"/>
      <c r="BR143" s="227"/>
      <c r="BS143" s="233"/>
      <c r="BT143" s="233">
        <f>SUM(BT144:BT146)</f>
        <v>1592</v>
      </c>
      <c r="BU143" s="233"/>
      <c r="BV143" s="233"/>
      <c r="BW143" s="233"/>
      <c r="BX143" s="254"/>
      <c r="CA143" s="268"/>
      <c r="CB143" s="268"/>
    </row>
    <row r="144" spans="1:80" ht="12.75" customHeight="1" x14ac:dyDescent="0.2">
      <c r="A144" s="244"/>
      <c r="B144" s="244"/>
      <c r="D144" s="254" t="s">
        <v>310</v>
      </c>
      <c r="F144" s="269"/>
      <c r="G144" s="343">
        <v>0</v>
      </c>
      <c r="H144" s="344"/>
      <c r="I144" s="233"/>
      <c r="J144" s="227"/>
      <c r="K144" s="345"/>
      <c r="L144" s="343">
        <v>0</v>
      </c>
      <c r="M144" s="344"/>
      <c r="N144" s="233"/>
      <c r="O144" s="227"/>
      <c r="P144" s="345"/>
      <c r="Q144" s="343">
        <f>1592-469</f>
        <v>1123</v>
      </c>
      <c r="R144" s="344"/>
      <c r="S144" s="233"/>
      <c r="T144" s="227"/>
      <c r="U144" s="345"/>
      <c r="V144" s="343">
        <v>0</v>
      </c>
      <c r="W144" s="344"/>
      <c r="X144" s="233"/>
      <c r="Y144" s="227"/>
      <c r="Z144" s="345"/>
      <c r="AA144" s="343">
        <v>0</v>
      </c>
      <c r="AB144" s="344"/>
      <c r="AC144" s="233"/>
      <c r="AD144" s="227"/>
      <c r="AE144" s="345"/>
      <c r="AF144" s="343">
        <v>0</v>
      </c>
      <c r="AG144" s="344"/>
      <c r="AH144" s="233"/>
      <c r="AI144" s="227"/>
      <c r="AJ144" s="345"/>
      <c r="AK144" s="343">
        <v>0</v>
      </c>
      <c r="AL144" s="344"/>
      <c r="AM144" s="233"/>
      <c r="AN144" s="227"/>
      <c r="AO144" s="345"/>
      <c r="AP144" s="343">
        <v>0</v>
      </c>
      <c r="AQ144" s="344"/>
      <c r="AR144" s="233"/>
      <c r="AS144" s="227"/>
      <c r="AT144" s="345"/>
      <c r="AU144" s="343">
        <v>0</v>
      </c>
      <c r="AV144" s="344"/>
      <c r="AW144" s="233"/>
      <c r="AX144" s="227"/>
      <c r="AY144" s="345"/>
      <c r="AZ144" s="343">
        <v>0</v>
      </c>
      <c r="BA144" s="344"/>
      <c r="BB144" s="233"/>
      <c r="BC144" s="227"/>
      <c r="BD144" s="345"/>
      <c r="BE144" s="343">
        <v>0</v>
      </c>
      <c r="BF144" s="344"/>
      <c r="BG144" s="233"/>
      <c r="BH144" s="227"/>
      <c r="BI144" s="345"/>
      <c r="BJ144" s="343">
        <v>0</v>
      </c>
      <c r="BK144" s="344"/>
      <c r="BL144" s="233"/>
      <c r="BM144" s="227"/>
      <c r="BN144" s="345"/>
      <c r="BO144" s="343">
        <v>0</v>
      </c>
      <c r="BP144" s="344"/>
      <c r="BQ144" s="233"/>
      <c r="BR144" s="227"/>
      <c r="BS144" s="345"/>
      <c r="BT144" s="343">
        <f>SUM(L144:BO144)</f>
        <v>1123</v>
      </c>
      <c r="BU144" s="344"/>
      <c r="BV144" s="233"/>
      <c r="BW144" s="233"/>
      <c r="BX144" s="254"/>
      <c r="CA144" s="268"/>
      <c r="CB144" s="268"/>
    </row>
    <row r="145" spans="1:80" ht="12.75" customHeight="1" x14ac:dyDescent="0.2">
      <c r="A145" s="244"/>
      <c r="B145" s="244"/>
      <c r="D145" s="254" t="s">
        <v>312</v>
      </c>
      <c r="F145" s="261"/>
      <c r="G145" s="233">
        <v>0</v>
      </c>
      <c r="H145" s="347"/>
      <c r="I145" s="233"/>
      <c r="J145" s="227"/>
      <c r="K145" s="227"/>
      <c r="L145" s="233">
        <v>0</v>
      </c>
      <c r="M145" s="347"/>
      <c r="N145" s="233"/>
      <c r="O145" s="227"/>
      <c r="P145" s="227"/>
      <c r="Q145" s="233">
        <v>469</v>
      </c>
      <c r="R145" s="347"/>
      <c r="S145" s="233"/>
      <c r="T145" s="227"/>
      <c r="U145" s="227"/>
      <c r="V145" s="233">
        <v>0</v>
      </c>
      <c r="W145" s="347"/>
      <c r="X145" s="233"/>
      <c r="Y145" s="227"/>
      <c r="Z145" s="227"/>
      <c r="AA145" s="233">
        <v>0</v>
      </c>
      <c r="AB145" s="347"/>
      <c r="AC145" s="233"/>
      <c r="AD145" s="227"/>
      <c r="AE145" s="227"/>
      <c r="AF145" s="233">
        <v>0</v>
      </c>
      <c r="AG145" s="347"/>
      <c r="AH145" s="233"/>
      <c r="AI145" s="227"/>
      <c r="AJ145" s="227"/>
      <c r="AK145" s="233">
        <v>0</v>
      </c>
      <c r="AL145" s="347"/>
      <c r="AM145" s="233"/>
      <c r="AN145" s="227"/>
      <c r="AO145" s="227"/>
      <c r="AP145" s="233">
        <v>0</v>
      </c>
      <c r="AQ145" s="347"/>
      <c r="AR145" s="233"/>
      <c r="AS145" s="227"/>
      <c r="AT145" s="227"/>
      <c r="AU145" s="233">
        <v>0</v>
      </c>
      <c r="AV145" s="347"/>
      <c r="AW145" s="233"/>
      <c r="AX145" s="227"/>
      <c r="AY145" s="227"/>
      <c r="AZ145" s="233">
        <v>0</v>
      </c>
      <c r="BA145" s="347"/>
      <c r="BB145" s="233"/>
      <c r="BC145" s="227"/>
      <c r="BD145" s="227"/>
      <c r="BE145" s="233">
        <v>0</v>
      </c>
      <c r="BF145" s="347"/>
      <c r="BG145" s="233"/>
      <c r="BH145" s="227"/>
      <c r="BI145" s="227"/>
      <c r="BJ145" s="233">
        <v>0</v>
      </c>
      <c r="BK145" s="347"/>
      <c r="BL145" s="233"/>
      <c r="BM145" s="227"/>
      <c r="BN145" s="227"/>
      <c r="BO145" s="233">
        <v>0</v>
      </c>
      <c r="BP145" s="347"/>
      <c r="BQ145" s="233"/>
      <c r="BR145" s="227"/>
      <c r="BS145" s="227"/>
      <c r="BT145" s="233">
        <f>SUM(L145:BO145)</f>
        <v>469</v>
      </c>
      <c r="BU145" s="347"/>
      <c r="BV145" s="233"/>
      <c r="BW145" s="233"/>
      <c r="BX145" s="254"/>
      <c r="CA145" s="268"/>
      <c r="CB145" s="268"/>
    </row>
    <row r="146" spans="1:80" ht="12.75" customHeight="1" x14ac:dyDescent="0.2">
      <c r="A146" s="244"/>
      <c r="B146" s="244"/>
      <c r="D146" s="254" t="s">
        <v>313</v>
      </c>
      <c r="F146" s="284"/>
      <c r="G146" s="355">
        <v>0</v>
      </c>
      <c r="H146" s="356"/>
      <c r="I146" s="233"/>
      <c r="J146" s="227"/>
      <c r="K146" s="357"/>
      <c r="L146" s="355">
        <v>0</v>
      </c>
      <c r="M146" s="356"/>
      <c r="N146" s="233"/>
      <c r="O146" s="227"/>
      <c r="P146" s="357"/>
      <c r="Q146" s="355">
        <v>0</v>
      </c>
      <c r="R146" s="356"/>
      <c r="S146" s="233"/>
      <c r="T146" s="227"/>
      <c r="U146" s="357"/>
      <c r="V146" s="355">
        <v>0</v>
      </c>
      <c r="W146" s="356"/>
      <c r="X146" s="233"/>
      <c r="Y146" s="227"/>
      <c r="Z146" s="357"/>
      <c r="AA146" s="355">
        <v>0</v>
      </c>
      <c r="AB146" s="356"/>
      <c r="AC146" s="233"/>
      <c r="AD146" s="227"/>
      <c r="AE146" s="357"/>
      <c r="AF146" s="355">
        <v>0</v>
      </c>
      <c r="AG146" s="356"/>
      <c r="AH146" s="233"/>
      <c r="AI146" s="227"/>
      <c r="AJ146" s="357"/>
      <c r="AK146" s="355">
        <v>0</v>
      </c>
      <c r="AL146" s="356"/>
      <c r="AM146" s="233"/>
      <c r="AN146" s="227"/>
      <c r="AO146" s="357"/>
      <c r="AP146" s="355">
        <v>0</v>
      </c>
      <c r="AQ146" s="356"/>
      <c r="AR146" s="233"/>
      <c r="AS146" s="227"/>
      <c r="AT146" s="357"/>
      <c r="AU146" s="355">
        <v>0</v>
      </c>
      <c r="AV146" s="356"/>
      <c r="AW146" s="233"/>
      <c r="AX146" s="227"/>
      <c r="AY146" s="357"/>
      <c r="AZ146" s="355">
        <v>0</v>
      </c>
      <c r="BA146" s="356"/>
      <c r="BB146" s="233"/>
      <c r="BC146" s="227"/>
      <c r="BD146" s="357"/>
      <c r="BE146" s="355">
        <v>0</v>
      </c>
      <c r="BF146" s="356"/>
      <c r="BG146" s="233"/>
      <c r="BH146" s="227"/>
      <c r="BI146" s="357"/>
      <c r="BJ146" s="355">
        <v>0</v>
      </c>
      <c r="BK146" s="356"/>
      <c r="BL146" s="233"/>
      <c r="BM146" s="227"/>
      <c r="BN146" s="357"/>
      <c r="BO146" s="355">
        <v>0</v>
      </c>
      <c r="BP146" s="356"/>
      <c r="BQ146" s="233"/>
      <c r="BR146" s="227"/>
      <c r="BS146" s="357"/>
      <c r="BT146" s="355">
        <f>SUM(L146:BO146)</f>
        <v>0</v>
      </c>
      <c r="BU146" s="356"/>
      <c r="BV146" s="233"/>
      <c r="BW146" s="233"/>
      <c r="BX146" s="254"/>
      <c r="CA146" s="268"/>
      <c r="CB146" s="268"/>
    </row>
    <row r="147" spans="1:80" ht="12.75" customHeight="1" x14ac:dyDescent="0.2">
      <c r="A147" s="244"/>
      <c r="B147" s="244"/>
      <c r="D147" s="254"/>
      <c r="F147" s="244"/>
      <c r="G147" s="233"/>
      <c r="H147" s="233"/>
      <c r="I147" s="233"/>
      <c r="J147" s="227"/>
      <c r="K147" s="233"/>
      <c r="L147" s="233"/>
      <c r="M147" s="233"/>
      <c r="N147" s="233"/>
      <c r="O147" s="227"/>
      <c r="P147" s="233"/>
      <c r="Q147" s="233"/>
      <c r="R147" s="233"/>
      <c r="S147" s="233"/>
      <c r="T147" s="227"/>
      <c r="U147" s="233"/>
      <c r="V147" s="233"/>
      <c r="W147" s="233"/>
      <c r="X147" s="233"/>
      <c r="Y147" s="227"/>
      <c r="Z147" s="233"/>
      <c r="AA147" s="233"/>
      <c r="AB147" s="233"/>
      <c r="AC147" s="233"/>
      <c r="AD147" s="227"/>
      <c r="AE147" s="233"/>
      <c r="AF147" s="233"/>
      <c r="AG147" s="233"/>
      <c r="AH147" s="233"/>
      <c r="AI147" s="227"/>
      <c r="AJ147" s="233"/>
      <c r="AK147" s="233"/>
      <c r="AL147" s="233"/>
      <c r="AM147" s="233"/>
      <c r="AN147" s="227"/>
      <c r="AO147" s="233"/>
      <c r="AP147" s="233"/>
      <c r="AQ147" s="233"/>
      <c r="AR147" s="233"/>
      <c r="AS147" s="227"/>
      <c r="AT147" s="233"/>
      <c r="AU147" s="233"/>
      <c r="AV147" s="233"/>
      <c r="AW147" s="233"/>
      <c r="AX147" s="227"/>
      <c r="AY147" s="233"/>
      <c r="AZ147" s="233"/>
      <c r="BA147" s="233"/>
      <c r="BB147" s="233"/>
      <c r="BC147" s="227"/>
      <c r="BD147" s="233"/>
      <c r="BE147" s="233"/>
      <c r="BF147" s="233"/>
      <c r="BG147" s="233"/>
      <c r="BH147" s="227"/>
      <c r="BI147" s="233"/>
      <c r="BJ147" s="233"/>
      <c r="BK147" s="233"/>
      <c r="BL147" s="233"/>
      <c r="BM147" s="227"/>
      <c r="BN147" s="233"/>
      <c r="BO147" s="233"/>
      <c r="BP147" s="233"/>
      <c r="BQ147" s="233"/>
      <c r="BR147" s="227"/>
      <c r="BS147" s="233"/>
      <c r="BT147" s="233"/>
      <c r="BU147" s="233"/>
      <c r="BV147" s="233"/>
      <c r="BW147" s="233"/>
      <c r="BX147" s="254"/>
      <c r="CA147" s="268"/>
      <c r="CB147" s="268"/>
    </row>
    <row r="148" spans="1:80" ht="12.75" customHeight="1" x14ac:dyDescent="0.2">
      <c r="A148" s="244"/>
      <c r="B148" s="244"/>
      <c r="D148" s="254" t="s">
        <v>338</v>
      </c>
      <c r="F148" s="244"/>
      <c r="G148" s="233">
        <f>SUM(G149:G151)</f>
        <v>0</v>
      </c>
      <c r="H148" s="233"/>
      <c r="I148" s="233"/>
      <c r="J148" s="227"/>
      <c r="K148" s="233"/>
      <c r="L148" s="233">
        <f>SUM(L149:L151)</f>
        <v>2541000</v>
      </c>
      <c r="M148" s="233"/>
      <c r="N148" s="233"/>
      <c r="O148" s="227"/>
      <c r="P148" s="233"/>
      <c r="Q148" s="233">
        <f>SUM(Q149:Q151)</f>
        <v>5976092</v>
      </c>
      <c r="R148" s="233"/>
      <c r="S148" s="233"/>
      <c r="T148" s="227"/>
      <c r="U148" s="233"/>
      <c r="V148" s="233">
        <f>SUM(V149:V151)</f>
        <v>496000</v>
      </c>
      <c r="W148" s="233"/>
      <c r="X148" s="233"/>
      <c r="Y148" s="227"/>
      <c r="Z148" s="233"/>
      <c r="AA148" s="233">
        <f>SUM(AA149:AA151)</f>
        <v>1653000</v>
      </c>
      <c r="AB148" s="233"/>
      <c r="AC148" s="233"/>
      <c r="AD148" s="227"/>
      <c r="AE148" s="233"/>
      <c r="AF148" s="233">
        <f>SUM(AF149:AF151)</f>
        <v>0</v>
      </c>
      <c r="AG148" s="233"/>
      <c r="AH148" s="233"/>
      <c r="AI148" s="227"/>
      <c r="AJ148" s="233"/>
      <c r="AK148" s="233">
        <f>SUM(AK149:AK151)</f>
        <v>3238000</v>
      </c>
      <c r="AL148" s="233"/>
      <c r="AM148" s="233"/>
      <c r="AN148" s="227"/>
      <c r="AO148" s="233"/>
      <c r="AP148" s="233">
        <f>SUM(AP149:AP151)</f>
        <v>4911000</v>
      </c>
      <c r="AQ148" s="233"/>
      <c r="AR148" s="233"/>
      <c r="AS148" s="227"/>
      <c r="AT148" s="233"/>
      <c r="AU148" s="233">
        <f>SUM(AU149:AU151)</f>
        <v>1510000</v>
      </c>
      <c r="AV148" s="233"/>
      <c r="AW148" s="233"/>
      <c r="AX148" s="227"/>
      <c r="AY148" s="233"/>
      <c r="AZ148" s="233">
        <f>SUM(AZ149:AZ151)</f>
        <v>3778000</v>
      </c>
      <c r="BA148" s="233"/>
      <c r="BB148" s="233"/>
      <c r="BC148" s="227"/>
      <c r="BD148" s="233"/>
      <c r="BE148" s="233">
        <f>SUM(BE149:BE151)</f>
        <v>0</v>
      </c>
      <c r="BF148" s="233"/>
      <c r="BG148" s="233"/>
      <c r="BH148" s="227"/>
      <c r="BI148" s="233"/>
      <c r="BJ148" s="233">
        <f>SUM(BJ149:BJ151)</f>
        <v>0</v>
      </c>
      <c r="BK148" s="233"/>
      <c r="BL148" s="233"/>
      <c r="BM148" s="227"/>
      <c r="BN148" s="233"/>
      <c r="BO148" s="233">
        <f>SUM(BO149:BO151)</f>
        <v>0</v>
      </c>
      <c r="BP148" s="233"/>
      <c r="BQ148" s="233"/>
      <c r="BR148" s="227"/>
      <c r="BS148" s="233"/>
      <c r="BT148" s="233">
        <f>SUM(BT149:BT151)</f>
        <v>24103092</v>
      </c>
      <c r="BU148" s="233"/>
      <c r="BV148" s="233"/>
      <c r="BW148" s="233"/>
      <c r="BX148" s="254"/>
      <c r="CA148" s="268"/>
      <c r="CB148" s="268"/>
    </row>
    <row r="149" spans="1:80" ht="12.75" customHeight="1" x14ac:dyDescent="0.2">
      <c r="A149" s="244"/>
      <c r="B149" s="244"/>
      <c r="D149" s="254" t="s">
        <v>310</v>
      </c>
      <c r="F149" s="269"/>
      <c r="G149" s="343">
        <v>0</v>
      </c>
      <c r="H149" s="344"/>
      <c r="I149" s="233"/>
      <c r="J149" s="227"/>
      <c r="K149" s="345"/>
      <c r="L149" s="343">
        <f>2541000+10556</f>
        <v>2551556</v>
      </c>
      <c r="M149" s="344"/>
      <c r="N149" s="233"/>
      <c r="O149" s="227"/>
      <c r="P149" s="345"/>
      <c r="Q149" s="343">
        <f>5976092-6+24173</f>
        <v>6000259</v>
      </c>
      <c r="R149" s="344"/>
      <c r="S149" s="233"/>
      <c r="T149" s="227"/>
      <c r="U149" s="345"/>
      <c r="V149" s="343">
        <f>496000+3328</f>
        <v>499328</v>
      </c>
      <c r="W149" s="344"/>
      <c r="X149" s="233"/>
      <c r="Y149" s="227"/>
      <c r="Z149" s="345"/>
      <c r="AA149" s="343">
        <f>1676387</f>
        <v>1676387</v>
      </c>
      <c r="AB149" s="344"/>
      <c r="AC149" s="233"/>
      <c r="AD149" s="227"/>
      <c r="AE149" s="345"/>
      <c r="AF149" s="343">
        <v>0</v>
      </c>
      <c r="AG149" s="344"/>
      <c r="AH149" s="233"/>
      <c r="AI149" s="227"/>
      <c r="AJ149" s="345"/>
      <c r="AK149" s="343">
        <f>3238000+44207</f>
        <v>3282207</v>
      </c>
      <c r="AL149" s="344"/>
      <c r="AM149" s="233"/>
      <c r="AN149" s="227"/>
      <c r="AO149" s="345"/>
      <c r="AP149" s="343">
        <f>4911000+54544</f>
        <v>4965544</v>
      </c>
      <c r="AQ149" s="344"/>
      <c r="AR149" s="233"/>
      <c r="AS149" s="227"/>
      <c r="AT149" s="345"/>
      <c r="AU149" s="343">
        <f>1510000+21022</f>
        <v>1531022</v>
      </c>
      <c r="AV149" s="344"/>
      <c r="AW149" s="233"/>
      <c r="AX149" s="227"/>
      <c r="AY149" s="345"/>
      <c r="AZ149" s="343">
        <f>3778000+53426</f>
        <v>3831426</v>
      </c>
      <c r="BA149" s="344"/>
      <c r="BB149" s="233"/>
      <c r="BC149" s="227"/>
      <c r="BD149" s="345"/>
      <c r="BE149" s="343">
        <v>0</v>
      </c>
      <c r="BF149" s="344"/>
      <c r="BG149" s="233"/>
      <c r="BH149" s="227"/>
      <c r="BI149" s="345"/>
      <c r="BJ149" s="343">
        <v>0</v>
      </c>
      <c r="BK149" s="344"/>
      <c r="BL149" s="233"/>
      <c r="BM149" s="227"/>
      <c r="BN149" s="345"/>
      <c r="BO149" s="343">
        <v>0</v>
      </c>
      <c r="BP149" s="344"/>
      <c r="BQ149" s="233"/>
      <c r="BR149" s="227"/>
      <c r="BS149" s="345"/>
      <c r="BT149" s="343">
        <f>SUM(L149:BO149)</f>
        <v>24337729</v>
      </c>
      <c r="BU149" s="344"/>
      <c r="BV149" s="233"/>
      <c r="BW149" s="233"/>
      <c r="BX149" s="254"/>
      <c r="CA149" s="268"/>
      <c r="CB149" s="268"/>
    </row>
    <row r="150" spans="1:80" ht="12.75" customHeight="1" x14ac:dyDescent="0.2">
      <c r="A150" s="244"/>
      <c r="B150" s="244"/>
      <c r="D150" s="254" t="s">
        <v>312</v>
      </c>
      <c r="F150" s="261"/>
      <c r="G150" s="233">
        <v>0</v>
      </c>
      <c r="H150" s="347"/>
      <c r="I150" s="233"/>
      <c r="J150" s="227"/>
      <c r="K150" s="227"/>
      <c r="L150" s="233">
        <v>0</v>
      </c>
      <c r="M150" s="347"/>
      <c r="N150" s="233"/>
      <c r="O150" s="227"/>
      <c r="P150" s="227"/>
      <c r="Q150" s="233">
        <v>6</v>
      </c>
      <c r="R150" s="347"/>
      <c r="S150" s="233"/>
      <c r="T150" s="227"/>
      <c r="U150" s="227"/>
      <c r="V150" s="233">
        <v>0</v>
      </c>
      <c r="W150" s="347"/>
      <c r="X150" s="233"/>
      <c r="Y150" s="227"/>
      <c r="Z150" s="227"/>
      <c r="AA150" s="233">
        <v>0</v>
      </c>
      <c r="AB150" s="347"/>
      <c r="AC150" s="233"/>
      <c r="AD150" s="227"/>
      <c r="AE150" s="227"/>
      <c r="AF150" s="233">
        <v>0</v>
      </c>
      <c r="AG150" s="347"/>
      <c r="AH150" s="233"/>
      <c r="AI150" s="227"/>
      <c r="AJ150" s="227"/>
      <c r="AK150" s="233">
        <v>0</v>
      </c>
      <c r="AL150" s="347"/>
      <c r="AM150" s="233"/>
      <c r="AN150" s="227"/>
      <c r="AO150" s="227"/>
      <c r="AP150" s="233">
        <v>0</v>
      </c>
      <c r="AQ150" s="347"/>
      <c r="AR150" s="233"/>
      <c r="AS150" s="227"/>
      <c r="AT150" s="227"/>
      <c r="AU150" s="233">
        <v>0</v>
      </c>
      <c r="AV150" s="347"/>
      <c r="AW150" s="233"/>
      <c r="AX150" s="227"/>
      <c r="AY150" s="227"/>
      <c r="AZ150" s="233">
        <v>0</v>
      </c>
      <c r="BA150" s="347"/>
      <c r="BB150" s="233"/>
      <c r="BC150" s="227"/>
      <c r="BD150" s="227"/>
      <c r="BE150" s="233">
        <v>0</v>
      </c>
      <c r="BF150" s="347"/>
      <c r="BG150" s="233"/>
      <c r="BH150" s="227"/>
      <c r="BI150" s="227"/>
      <c r="BJ150" s="233">
        <v>0</v>
      </c>
      <c r="BK150" s="347"/>
      <c r="BL150" s="233"/>
      <c r="BM150" s="227"/>
      <c r="BN150" s="227"/>
      <c r="BO150" s="233">
        <v>0</v>
      </c>
      <c r="BP150" s="347"/>
      <c r="BQ150" s="233"/>
      <c r="BR150" s="227"/>
      <c r="BS150" s="227"/>
      <c r="BT150" s="233">
        <f>SUM(L150:BO150)</f>
        <v>6</v>
      </c>
      <c r="BU150" s="347"/>
      <c r="BV150" s="233"/>
      <c r="BW150" s="233"/>
      <c r="BX150" s="254"/>
      <c r="CA150" s="268"/>
      <c r="CB150" s="268"/>
    </row>
    <row r="151" spans="1:80" ht="12.75" customHeight="1" x14ac:dyDescent="0.2">
      <c r="A151" s="244"/>
      <c r="B151" s="244"/>
      <c r="D151" s="254" t="s">
        <v>313</v>
      </c>
      <c r="F151" s="284"/>
      <c r="G151" s="355">
        <v>0</v>
      </c>
      <c r="H151" s="356"/>
      <c r="I151" s="233"/>
      <c r="J151" s="227"/>
      <c r="K151" s="357"/>
      <c r="L151" s="355">
        <v>-10556</v>
      </c>
      <c r="M151" s="356"/>
      <c r="N151" s="233"/>
      <c r="O151" s="227"/>
      <c r="P151" s="357"/>
      <c r="Q151" s="355">
        <v>-24173</v>
      </c>
      <c r="R151" s="356"/>
      <c r="S151" s="233"/>
      <c r="T151" s="227"/>
      <c r="U151" s="357"/>
      <c r="V151" s="355">
        <v>-3328</v>
      </c>
      <c r="W151" s="356"/>
      <c r="X151" s="233"/>
      <c r="Y151" s="227"/>
      <c r="Z151" s="357"/>
      <c r="AA151" s="355">
        <v>-23387</v>
      </c>
      <c r="AB151" s="356"/>
      <c r="AC151" s="233"/>
      <c r="AD151" s="227"/>
      <c r="AE151" s="357"/>
      <c r="AF151" s="355">
        <v>0</v>
      </c>
      <c r="AG151" s="356"/>
      <c r="AH151" s="233"/>
      <c r="AI151" s="227"/>
      <c r="AJ151" s="357"/>
      <c r="AK151" s="355">
        <v>-44207</v>
      </c>
      <c r="AL151" s="356"/>
      <c r="AM151" s="233"/>
      <c r="AN151" s="227"/>
      <c r="AO151" s="357"/>
      <c r="AP151" s="355">
        <v>-54544</v>
      </c>
      <c r="AQ151" s="356"/>
      <c r="AR151" s="233"/>
      <c r="AS151" s="227"/>
      <c r="AT151" s="357"/>
      <c r="AU151" s="355">
        <v>-21022</v>
      </c>
      <c r="AV151" s="356"/>
      <c r="AW151" s="233"/>
      <c r="AX151" s="227"/>
      <c r="AY151" s="357"/>
      <c r="AZ151" s="355">
        <v>-53426</v>
      </c>
      <c r="BA151" s="356"/>
      <c r="BB151" s="233"/>
      <c r="BC151" s="227"/>
      <c r="BD151" s="357"/>
      <c r="BE151" s="355">
        <v>0</v>
      </c>
      <c r="BF151" s="356"/>
      <c r="BG151" s="233"/>
      <c r="BH151" s="227"/>
      <c r="BI151" s="357"/>
      <c r="BJ151" s="355">
        <v>0</v>
      </c>
      <c r="BK151" s="356"/>
      <c r="BL151" s="233"/>
      <c r="BM151" s="227"/>
      <c r="BN151" s="357"/>
      <c r="BO151" s="355">
        <v>0</v>
      </c>
      <c r="BP151" s="356"/>
      <c r="BQ151" s="233"/>
      <c r="BR151" s="227"/>
      <c r="BS151" s="357"/>
      <c r="BT151" s="355">
        <f>SUM(L151:BO151)</f>
        <v>-234643</v>
      </c>
      <c r="BU151" s="356"/>
      <c r="BV151" s="233"/>
      <c r="BW151" s="233"/>
      <c r="BX151" s="254"/>
      <c r="CA151" s="268"/>
      <c r="CB151" s="268"/>
    </row>
    <row r="152" spans="1:80" ht="12.75" customHeight="1" x14ac:dyDescent="0.2">
      <c r="A152" s="244"/>
      <c r="B152" s="244"/>
      <c r="D152" s="254"/>
      <c r="F152" s="244"/>
      <c r="G152" s="233"/>
      <c r="H152" s="233"/>
      <c r="I152" s="233"/>
      <c r="J152" s="227"/>
      <c r="K152" s="233"/>
      <c r="L152" s="233"/>
      <c r="M152" s="233"/>
      <c r="N152" s="233"/>
      <c r="O152" s="227"/>
      <c r="P152" s="233"/>
      <c r="Q152" s="233"/>
      <c r="R152" s="233"/>
      <c r="S152" s="233"/>
      <c r="T152" s="227"/>
      <c r="U152" s="233"/>
      <c r="V152" s="233"/>
      <c r="W152" s="233"/>
      <c r="X152" s="233"/>
      <c r="Y152" s="227"/>
      <c r="Z152" s="233"/>
      <c r="AA152" s="233"/>
      <c r="AB152" s="233"/>
      <c r="AC152" s="233"/>
      <c r="AD152" s="227"/>
      <c r="AE152" s="233"/>
      <c r="AF152" s="233"/>
      <c r="AG152" s="233"/>
      <c r="AH152" s="233"/>
      <c r="AI152" s="227"/>
      <c r="AJ152" s="233"/>
      <c r="AK152" s="233"/>
      <c r="AL152" s="233"/>
      <c r="AM152" s="233"/>
      <c r="AN152" s="227"/>
      <c r="AO152" s="233"/>
      <c r="AP152" s="233"/>
      <c r="AQ152" s="233"/>
      <c r="AR152" s="233"/>
      <c r="AS152" s="227"/>
      <c r="AT152" s="233"/>
      <c r="AU152" s="233"/>
      <c r="AV152" s="233"/>
      <c r="AW152" s="233"/>
      <c r="AX152" s="227"/>
      <c r="AY152" s="233"/>
      <c r="AZ152" s="233"/>
      <c r="BA152" s="233"/>
      <c r="BB152" s="233"/>
      <c r="BC152" s="227"/>
      <c r="BD152" s="233"/>
      <c r="BE152" s="233"/>
      <c r="BF152" s="233"/>
      <c r="BG152" s="233"/>
      <c r="BH152" s="227"/>
      <c r="BI152" s="233"/>
      <c r="BJ152" s="233"/>
      <c r="BK152" s="233"/>
      <c r="BL152" s="233"/>
      <c r="BM152" s="227"/>
      <c r="BN152" s="233"/>
      <c r="BO152" s="233"/>
      <c r="BP152" s="233"/>
      <c r="BQ152" s="233"/>
      <c r="BR152" s="227"/>
      <c r="BS152" s="233"/>
      <c r="BT152" s="233"/>
      <c r="BU152" s="233"/>
      <c r="BV152" s="233"/>
      <c r="BW152" s="233"/>
      <c r="BX152" s="254"/>
      <c r="CA152" s="268"/>
      <c r="CB152" s="268"/>
    </row>
    <row r="153" spans="1:80" ht="12.75" customHeight="1" x14ac:dyDescent="0.2">
      <c r="A153" s="244"/>
      <c r="B153" s="244"/>
      <c r="D153" s="254" t="s">
        <v>339</v>
      </c>
      <c r="F153" s="244"/>
      <c r="G153" s="233">
        <f>SUM(G154:G156)</f>
        <v>0</v>
      </c>
      <c r="H153" s="233"/>
      <c r="I153" s="233"/>
      <c r="J153" s="227"/>
      <c r="K153" s="233"/>
      <c r="L153" s="233">
        <f>SUM(L154:L156)</f>
        <v>3309000</v>
      </c>
      <c r="M153" s="233"/>
      <c r="N153" s="233"/>
      <c r="O153" s="227"/>
      <c r="P153" s="233"/>
      <c r="Q153" s="233">
        <f>SUM(Q154:Q156)</f>
        <v>4309812</v>
      </c>
      <c r="R153" s="233"/>
      <c r="S153" s="233"/>
      <c r="T153" s="227"/>
      <c r="U153" s="233"/>
      <c r="V153" s="233">
        <f>SUM(V154:V156)</f>
        <v>5250000</v>
      </c>
      <c r="W153" s="233"/>
      <c r="X153" s="233"/>
      <c r="Y153" s="227"/>
      <c r="Z153" s="233"/>
      <c r="AA153" s="233">
        <f>SUM(AA154:AA156)</f>
        <v>6123000</v>
      </c>
      <c r="AB153" s="233"/>
      <c r="AC153" s="233"/>
      <c r="AD153" s="227"/>
      <c r="AE153" s="233"/>
      <c r="AF153" s="233">
        <f>SUM(AF154:AF156)</f>
        <v>6039000</v>
      </c>
      <c r="AG153" s="233"/>
      <c r="AH153" s="233"/>
      <c r="AI153" s="227"/>
      <c r="AJ153" s="233"/>
      <c r="AK153" s="233">
        <f>SUM(AK154:AK156)</f>
        <v>2269000</v>
      </c>
      <c r="AL153" s="233"/>
      <c r="AM153" s="233"/>
      <c r="AN153" s="227"/>
      <c r="AO153" s="233"/>
      <c r="AP153" s="233">
        <f>SUM(AP154:AP156)</f>
        <v>2186000</v>
      </c>
      <c r="AQ153" s="233"/>
      <c r="AR153" s="233"/>
      <c r="AS153" s="227"/>
      <c r="AT153" s="233"/>
      <c r="AU153" s="233">
        <f>SUM(AU154:AU156)</f>
        <v>6046000</v>
      </c>
      <c r="AV153" s="233"/>
      <c r="AW153" s="233"/>
      <c r="AX153" s="227"/>
      <c r="AY153" s="233"/>
      <c r="AZ153" s="233">
        <f>SUM(AZ154:AZ156)</f>
        <v>6796000</v>
      </c>
      <c r="BA153" s="233"/>
      <c r="BB153" s="233"/>
      <c r="BC153" s="227"/>
      <c r="BD153" s="233"/>
      <c r="BE153" s="233">
        <f>SUM(BE154:BE156)</f>
        <v>1510000</v>
      </c>
      <c r="BF153" s="233"/>
      <c r="BG153" s="233"/>
      <c r="BH153" s="227"/>
      <c r="BI153" s="233"/>
      <c r="BJ153" s="233">
        <f>SUM(BJ154:BJ156)</f>
        <v>6046000</v>
      </c>
      <c r="BK153" s="233"/>
      <c r="BL153" s="233"/>
      <c r="BM153" s="227"/>
      <c r="BN153" s="233"/>
      <c r="BO153" s="233">
        <f>SUM(BO154:BO156)</f>
        <v>6870000</v>
      </c>
      <c r="BP153" s="233"/>
      <c r="BQ153" s="233"/>
      <c r="BR153" s="227"/>
      <c r="BS153" s="233"/>
      <c r="BT153" s="233">
        <f>SUM(BT154:BT156)</f>
        <v>56753812</v>
      </c>
      <c r="BU153" s="233"/>
      <c r="BV153" s="233"/>
      <c r="BW153" s="233"/>
      <c r="BX153" s="254"/>
      <c r="CA153" s="268"/>
      <c r="CB153" s="268"/>
    </row>
    <row r="154" spans="1:80" ht="12.75" customHeight="1" x14ac:dyDescent="0.2">
      <c r="A154" s="244"/>
      <c r="B154" s="244"/>
      <c r="D154" s="254" t="s">
        <v>310</v>
      </c>
      <c r="F154" s="269"/>
      <c r="G154" s="343">
        <v>0</v>
      </c>
      <c r="H154" s="344"/>
      <c r="I154" s="233"/>
      <c r="J154" s="227"/>
      <c r="K154" s="345"/>
      <c r="L154" s="343">
        <f>3309000-234758</f>
        <v>3074242</v>
      </c>
      <c r="M154" s="344"/>
      <c r="N154" s="233"/>
      <c r="O154" s="227"/>
      <c r="P154" s="345"/>
      <c r="Q154" s="343">
        <f>4309812-322734</f>
        <v>3987078</v>
      </c>
      <c r="R154" s="344"/>
      <c r="S154" s="233"/>
      <c r="T154" s="227"/>
      <c r="U154" s="345"/>
      <c r="V154" s="343">
        <f>5250000-363141</f>
        <v>4886859</v>
      </c>
      <c r="W154" s="344"/>
      <c r="X154" s="233"/>
      <c r="Y154" s="227"/>
      <c r="Z154" s="345"/>
      <c r="AA154" s="343">
        <f>6123000-324811</f>
        <v>5798189</v>
      </c>
      <c r="AB154" s="344"/>
      <c r="AC154" s="233"/>
      <c r="AD154" s="227"/>
      <c r="AE154" s="345"/>
      <c r="AF154" s="343">
        <f>6039000-431027</f>
        <v>5607973</v>
      </c>
      <c r="AG154" s="344"/>
      <c r="AH154" s="233"/>
      <c r="AI154" s="227"/>
      <c r="AJ154" s="345"/>
      <c r="AK154" s="343">
        <f>2269000-150922</f>
        <v>2118078</v>
      </c>
      <c r="AL154" s="344"/>
      <c r="AM154" s="233"/>
      <c r="AN154" s="227"/>
      <c r="AO154" s="345"/>
      <c r="AP154" s="343">
        <f>2186000-137762</f>
        <v>2048238</v>
      </c>
      <c r="AQ154" s="344"/>
      <c r="AR154" s="233"/>
      <c r="AS154" s="227"/>
      <c r="AT154" s="345"/>
      <c r="AU154" s="343">
        <f>6046000-410944</f>
        <v>5635056</v>
      </c>
      <c r="AV154" s="344"/>
      <c r="AW154" s="233"/>
      <c r="AX154" s="227"/>
      <c r="AY154" s="345"/>
      <c r="AZ154" s="343">
        <f>6796000-516754</f>
        <v>6279246</v>
      </c>
      <c r="BA154" s="344"/>
      <c r="BB154" s="233"/>
      <c r="BC154" s="227"/>
      <c r="BD154" s="345"/>
      <c r="BE154" s="343">
        <f>1510000-105700</f>
        <v>1404300</v>
      </c>
      <c r="BF154" s="344"/>
      <c r="BG154" s="233"/>
      <c r="BH154" s="227"/>
      <c r="BI154" s="345"/>
      <c r="BJ154" s="343">
        <f>6046000-348463</f>
        <v>5697537</v>
      </c>
      <c r="BK154" s="344"/>
      <c r="BL154" s="233"/>
      <c r="BM154" s="227"/>
      <c r="BN154" s="345"/>
      <c r="BO154" s="343">
        <f>6870000-970317</f>
        <v>5899683</v>
      </c>
      <c r="BP154" s="344"/>
      <c r="BQ154" s="233"/>
      <c r="BR154" s="227"/>
      <c r="BS154" s="345"/>
      <c r="BT154" s="343">
        <f>SUM(L154:BO154)</f>
        <v>52436479</v>
      </c>
      <c r="BU154" s="344"/>
      <c r="BV154" s="233"/>
      <c r="BW154" s="233"/>
      <c r="BX154" s="254"/>
      <c r="CA154" s="268"/>
      <c r="CB154" s="268"/>
    </row>
    <row r="155" spans="1:80" ht="12.75" customHeight="1" x14ac:dyDescent="0.2">
      <c r="A155" s="244"/>
      <c r="B155" s="244"/>
      <c r="D155" s="254" t="s">
        <v>312</v>
      </c>
      <c r="F155" s="261"/>
      <c r="G155" s="233">
        <v>0</v>
      </c>
      <c r="H155" s="347"/>
      <c r="I155" s="233"/>
      <c r="J155" s="227"/>
      <c r="K155" s="227"/>
      <c r="L155" s="233">
        <v>234758</v>
      </c>
      <c r="M155" s="347"/>
      <c r="N155" s="233"/>
      <c r="O155" s="227"/>
      <c r="P155" s="227"/>
      <c r="Q155" s="233">
        <v>322734</v>
      </c>
      <c r="R155" s="347"/>
      <c r="S155" s="233"/>
      <c r="T155" s="227"/>
      <c r="U155" s="227"/>
      <c r="V155" s="233">
        <v>363141</v>
      </c>
      <c r="W155" s="347"/>
      <c r="X155" s="233"/>
      <c r="Y155" s="227"/>
      <c r="Z155" s="227"/>
      <c r="AA155" s="233">
        <v>324811</v>
      </c>
      <c r="AB155" s="347"/>
      <c r="AC155" s="233"/>
      <c r="AD155" s="227"/>
      <c r="AE155" s="227"/>
      <c r="AF155" s="233">
        <v>431027</v>
      </c>
      <c r="AG155" s="347"/>
      <c r="AH155" s="233"/>
      <c r="AI155" s="227"/>
      <c r="AJ155" s="227"/>
      <c r="AK155" s="233">
        <v>150922</v>
      </c>
      <c r="AL155" s="347"/>
      <c r="AM155" s="233"/>
      <c r="AN155" s="227"/>
      <c r="AO155" s="227"/>
      <c r="AP155" s="233">
        <v>137762</v>
      </c>
      <c r="AQ155" s="347"/>
      <c r="AR155" s="233"/>
      <c r="AS155" s="227"/>
      <c r="AT155" s="227"/>
      <c r="AU155" s="233">
        <v>410944</v>
      </c>
      <c r="AV155" s="347"/>
      <c r="AW155" s="233"/>
      <c r="AX155" s="227"/>
      <c r="AY155" s="227"/>
      <c r="AZ155" s="233">
        <v>516754</v>
      </c>
      <c r="BA155" s="347"/>
      <c r="BB155" s="233"/>
      <c r="BC155" s="227"/>
      <c r="BD155" s="227"/>
      <c r="BE155" s="233">
        <v>105700</v>
      </c>
      <c r="BF155" s="347"/>
      <c r="BG155" s="233"/>
      <c r="BH155" s="227"/>
      <c r="BI155" s="227"/>
      <c r="BJ155" s="233">
        <v>348463</v>
      </c>
      <c r="BK155" s="347"/>
      <c r="BL155" s="233"/>
      <c r="BM155" s="227"/>
      <c r="BN155" s="227"/>
      <c r="BO155" s="233">
        <v>970317</v>
      </c>
      <c r="BP155" s="347"/>
      <c r="BQ155" s="233"/>
      <c r="BR155" s="227"/>
      <c r="BS155" s="227"/>
      <c r="BT155" s="233">
        <f>SUM(L155:BO155)</f>
        <v>4317333</v>
      </c>
      <c r="BU155" s="347"/>
      <c r="BV155" s="233"/>
      <c r="BW155" s="233"/>
      <c r="BX155" s="254"/>
      <c r="CA155" s="268"/>
      <c r="CB155" s="268"/>
    </row>
    <row r="156" spans="1:80" ht="12.75" customHeight="1" x14ac:dyDescent="0.2">
      <c r="A156" s="244"/>
      <c r="B156" s="244"/>
      <c r="D156" s="254" t="s">
        <v>313</v>
      </c>
      <c r="F156" s="284"/>
      <c r="G156" s="355">
        <v>0</v>
      </c>
      <c r="H156" s="356"/>
      <c r="I156" s="233"/>
      <c r="J156" s="227"/>
      <c r="K156" s="357"/>
      <c r="L156" s="355">
        <v>0</v>
      </c>
      <c r="M156" s="356"/>
      <c r="N156" s="233"/>
      <c r="O156" s="227"/>
      <c r="P156" s="357"/>
      <c r="Q156" s="355">
        <v>0</v>
      </c>
      <c r="R156" s="356"/>
      <c r="S156" s="233"/>
      <c r="T156" s="227"/>
      <c r="U156" s="357"/>
      <c r="V156" s="355">
        <v>0</v>
      </c>
      <c r="W156" s="356"/>
      <c r="X156" s="233"/>
      <c r="Y156" s="227"/>
      <c r="Z156" s="357"/>
      <c r="AA156" s="355">
        <v>0</v>
      </c>
      <c r="AB156" s="356"/>
      <c r="AC156" s="233"/>
      <c r="AD156" s="227"/>
      <c r="AE156" s="357"/>
      <c r="AF156" s="355">
        <v>0</v>
      </c>
      <c r="AG156" s="356"/>
      <c r="AH156" s="233"/>
      <c r="AI156" s="227"/>
      <c r="AJ156" s="357"/>
      <c r="AK156" s="355">
        <v>0</v>
      </c>
      <c r="AL156" s="356"/>
      <c r="AM156" s="233"/>
      <c r="AN156" s="227"/>
      <c r="AO156" s="357"/>
      <c r="AP156" s="355">
        <v>0</v>
      </c>
      <c r="AQ156" s="356"/>
      <c r="AR156" s="233"/>
      <c r="AS156" s="227"/>
      <c r="AT156" s="357"/>
      <c r="AU156" s="355">
        <v>0</v>
      </c>
      <c r="AV156" s="356"/>
      <c r="AW156" s="233"/>
      <c r="AX156" s="227"/>
      <c r="AY156" s="357"/>
      <c r="AZ156" s="355">
        <v>0</v>
      </c>
      <c r="BA156" s="356"/>
      <c r="BB156" s="233"/>
      <c r="BC156" s="227"/>
      <c r="BD156" s="357"/>
      <c r="BE156" s="355">
        <v>0</v>
      </c>
      <c r="BF156" s="356"/>
      <c r="BG156" s="233"/>
      <c r="BH156" s="227"/>
      <c r="BI156" s="357"/>
      <c r="BJ156" s="355">
        <v>0</v>
      </c>
      <c r="BK156" s="356"/>
      <c r="BL156" s="233"/>
      <c r="BM156" s="227"/>
      <c r="BN156" s="357"/>
      <c r="BO156" s="355">
        <v>0</v>
      </c>
      <c r="BP156" s="356"/>
      <c r="BQ156" s="233"/>
      <c r="BR156" s="227"/>
      <c r="BS156" s="357"/>
      <c r="BT156" s="355">
        <f>SUM(L156:BO156)</f>
        <v>0</v>
      </c>
      <c r="BU156" s="356"/>
      <c r="BV156" s="233"/>
      <c r="BW156" s="233"/>
      <c r="BX156" s="254"/>
      <c r="CA156" s="268"/>
      <c r="CB156" s="268"/>
    </row>
    <row r="157" spans="1:80" ht="12.75" customHeight="1" x14ac:dyDescent="0.2">
      <c r="A157" s="244"/>
      <c r="B157" s="244"/>
      <c r="D157" s="254"/>
      <c r="F157" s="244"/>
      <c r="G157" s="233"/>
      <c r="H157" s="233"/>
      <c r="I157" s="233"/>
      <c r="J157" s="227"/>
      <c r="K157" s="233"/>
      <c r="L157" s="233"/>
      <c r="M157" s="233"/>
      <c r="N157" s="233"/>
      <c r="O157" s="227"/>
      <c r="P157" s="233"/>
      <c r="Q157" s="233"/>
      <c r="R157" s="233"/>
      <c r="S157" s="233"/>
      <c r="T157" s="227"/>
      <c r="U157" s="233"/>
      <c r="V157" s="233"/>
      <c r="W157" s="233"/>
      <c r="X157" s="233"/>
      <c r="Y157" s="227"/>
      <c r="Z157" s="233"/>
      <c r="AA157" s="233"/>
      <c r="AB157" s="233"/>
      <c r="AC157" s="233"/>
      <c r="AD157" s="227"/>
      <c r="AE157" s="233"/>
      <c r="AF157" s="233"/>
      <c r="AG157" s="233"/>
      <c r="AH157" s="233"/>
      <c r="AI157" s="227"/>
      <c r="AJ157" s="233"/>
      <c r="AK157" s="233"/>
      <c r="AL157" s="233"/>
      <c r="AM157" s="233"/>
      <c r="AN157" s="227"/>
      <c r="AO157" s="233"/>
      <c r="AP157" s="233"/>
      <c r="AQ157" s="233"/>
      <c r="AR157" s="233"/>
      <c r="AS157" s="227"/>
      <c r="AT157" s="233"/>
      <c r="AU157" s="233"/>
      <c r="AV157" s="233"/>
      <c r="AW157" s="233"/>
      <c r="AX157" s="227"/>
      <c r="AY157" s="233"/>
      <c r="AZ157" s="233"/>
      <c r="BA157" s="233"/>
      <c r="BB157" s="233"/>
      <c r="BC157" s="227"/>
      <c r="BD157" s="233"/>
      <c r="BE157" s="233"/>
      <c r="BF157" s="233"/>
      <c r="BG157" s="233"/>
      <c r="BH157" s="227"/>
      <c r="BI157" s="233"/>
      <c r="BJ157" s="233"/>
      <c r="BK157" s="233"/>
      <c r="BL157" s="233"/>
      <c r="BM157" s="227"/>
      <c r="BN157" s="233"/>
      <c r="BO157" s="233"/>
      <c r="BP157" s="233"/>
      <c r="BQ157" s="233"/>
      <c r="BR157" s="227"/>
      <c r="BS157" s="233"/>
      <c r="BT157" s="233"/>
      <c r="BU157" s="233"/>
      <c r="BV157" s="233"/>
      <c r="BW157" s="233"/>
      <c r="BX157" s="254"/>
      <c r="CA157" s="268"/>
      <c r="CB157" s="268"/>
    </row>
    <row r="158" spans="1:80" ht="12.75" customHeight="1" x14ac:dyDescent="0.2">
      <c r="A158" s="244"/>
      <c r="B158" s="244"/>
      <c r="D158" s="254" t="s">
        <v>340</v>
      </c>
      <c r="F158" s="244"/>
      <c r="G158" s="233">
        <f>SUM(G159:G161)</f>
        <v>0</v>
      </c>
      <c r="H158" s="233"/>
      <c r="I158" s="233"/>
      <c r="J158" s="227"/>
      <c r="K158" s="233"/>
      <c r="L158" s="233">
        <f>SUM(L159:L161)</f>
        <v>800000</v>
      </c>
      <c r="M158" s="233"/>
      <c r="N158" s="233"/>
      <c r="O158" s="227"/>
      <c r="P158" s="233"/>
      <c r="Q158" s="233">
        <f>SUM(Q159:Q161)</f>
        <v>2081</v>
      </c>
      <c r="R158" s="233"/>
      <c r="S158" s="233"/>
      <c r="T158" s="227"/>
      <c r="U158" s="233"/>
      <c r="V158" s="233">
        <f>SUM(V159:V161)</f>
        <v>1100000</v>
      </c>
      <c r="W158" s="233"/>
      <c r="X158" s="233"/>
      <c r="Y158" s="227"/>
      <c r="Z158" s="233"/>
      <c r="AA158" s="233">
        <f>SUM(AA159:AA161)</f>
        <v>2750000</v>
      </c>
      <c r="AB158" s="233"/>
      <c r="AC158" s="233"/>
      <c r="AD158" s="227"/>
      <c r="AE158" s="233"/>
      <c r="AF158" s="233">
        <f>SUM(AF159:AF161)</f>
        <v>0</v>
      </c>
      <c r="AG158" s="233"/>
      <c r="AH158" s="233"/>
      <c r="AI158" s="227"/>
      <c r="AJ158" s="233"/>
      <c r="AK158" s="233">
        <f>SUM(AK159:AK161)</f>
        <v>4533000</v>
      </c>
      <c r="AL158" s="233"/>
      <c r="AM158" s="233"/>
      <c r="AN158" s="227"/>
      <c r="AO158" s="233"/>
      <c r="AP158" s="233">
        <f>SUM(AP159:AP161)</f>
        <v>3780000</v>
      </c>
      <c r="AQ158" s="233"/>
      <c r="AR158" s="233"/>
      <c r="AS158" s="227"/>
      <c r="AT158" s="233"/>
      <c r="AU158" s="233">
        <f>SUM(AU159:AU161)</f>
        <v>2268000</v>
      </c>
      <c r="AV158" s="233"/>
      <c r="AW158" s="233"/>
      <c r="AX158" s="227"/>
      <c r="AY158" s="233"/>
      <c r="AZ158" s="233">
        <f>SUM(AZ159:AZ161)</f>
        <v>0</v>
      </c>
      <c r="BA158" s="233"/>
      <c r="BB158" s="233"/>
      <c r="BC158" s="227"/>
      <c r="BD158" s="233"/>
      <c r="BE158" s="233">
        <f>SUM(BE159:BE161)</f>
        <v>4412000</v>
      </c>
      <c r="BF158" s="233"/>
      <c r="BG158" s="233"/>
      <c r="BH158" s="227"/>
      <c r="BI158" s="233"/>
      <c r="BJ158" s="233">
        <f>SUM(BJ159:BJ161)</f>
        <v>2265000</v>
      </c>
      <c r="BK158" s="233"/>
      <c r="BL158" s="233"/>
      <c r="BM158" s="227"/>
      <c r="BN158" s="233"/>
      <c r="BO158" s="233">
        <f>SUM(BO159:BO161)</f>
        <v>1510000</v>
      </c>
      <c r="BP158" s="233"/>
      <c r="BQ158" s="233"/>
      <c r="BR158" s="227"/>
      <c r="BS158" s="233"/>
      <c r="BT158" s="233">
        <f>SUM(BT159:BT161)</f>
        <v>23420081</v>
      </c>
      <c r="BU158" s="233"/>
      <c r="BV158" s="233"/>
      <c r="BW158" s="233"/>
      <c r="BX158" s="254"/>
      <c r="CA158" s="268"/>
      <c r="CB158" s="268"/>
    </row>
    <row r="159" spans="1:80" ht="12.75" customHeight="1" x14ac:dyDescent="0.2">
      <c r="A159" s="244"/>
      <c r="B159" s="244"/>
      <c r="D159" s="254" t="s">
        <v>310</v>
      </c>
      <c r="F159" s="269"/>
      <c r="G159" s="343">
        <v>0</v>
      </c>
      <c r="H159" s="344"/>
      <c r="I159" s="233"/>
      <c r="J159" s="227"/>
      <c r="K159" s="345"/>
      <c r="L159" s="343">
        <f>800000-62541</f>
        <v>737459</v>
      </c>
      <c r="M159" s="344"/>
      <c r="N159" s="233"/>
      <c r="O159" s="227"/>
      <c r="P159" s="345"/>
      <c r="Q159" s="343">
        <f>2081-179</f>
        <v>1902</v>
      </c>
      <c r="R159" s="344"/>
      <c r="S159" s="233"/>
      <c r="T159" s="227"/>
      <c r="U159" s="345"/>
      <c r="V159" s="343">
        <f>1100000-88807</f>
        <v>1011193</v>
      </c>
      <c r="W159" s="344"/>
      <c r="X159" s="233"/>
      <c r="Y159" s="227"/>
      <c r="Z159" s="345"/>
      <c r="AA159" s="343">
        <f>2750000-179977</f>
        <v>2570023</v>
      </c>
      <c r="AB159" s="344"/>
      <c r="AC159" s="233"/>
      <c r="AD159" s="227"/>
      <c r="AE159" s="345"/>
      <c r="AF159" s="343">
        <v>0</v>
      </c>
      <c r="AG159" s="344"/>
      <c r="AH159" s="233"/>
      <c r="AI159" s="227"/>
      <c r="AJ159" s="345"/>
      <c r="AK159" s="343">
        <f>4533000-338254</f>
        <v>4194746</v>
      </c>
      <c r="AL159" s="344"/>
      <c r="AM159" s="233"/>
      <c r="AN159" s="227"/>
      <c r="AO159" s="345"/>
      <c r="AP159" s="343">
        <f>3780000-278593</f>
        <v>3501407</v>
      </c>
      <c r="AQ159" s="344"/>
      <c r="AR159" s="233"/>
      <c r="AS159" s="227"/>
      <c r="AT159" s="345"/>
      <c r="AU159" s="343">
        <f>2268000-207289</f>
        <v>2060711</v>
      </c>
      <c r="AV159" s="344"/>
      <c r="AW159" s="233"/>
      <c r="AX159" s="227"/>
      <c r="AY159" s="345"/>
      <c r="AZ159" s="343">
        <v>0</v>
      </c>
      <c r="BA159" s="344"/>
      <c r="BB159" s="233"/>
      <c r="BC159" s="227"/>
      <c r="BD159" s="345"/>
      <c r="BE159" s="343">
        <f>4412000-368545</f>
        <v>4043455</v>
      </c>
      <c r="BF159" s="344"/>
      <c r="BG159" s="233"/>
      <c r="BH159" s="227"/>
      <c r="BI159" s="345"/>
      <c r="BJ159" s="343">
        <f>2265000-174247</f>
        <v>2090753</v>
      </c>
      <c r="BK159" s="344"/>
      <c r="BL159" s="233"/>
      <c r="BM159" s="227"/>
      <c r="BN159" s="345"/>
      <c r="BO159" s="343">
        <f>1510000-294157</f>
        <v>1215843</v>
      </c>
      <c r="BP159" s="344"/>
      <c r="BQ159" s="233"/>
      <c r="BR159" s="227"/>
      <c r="BS159" s="345"/>
      <c r="BT159" s="343">
        <f>SUM(L159:BO159)</f>
        <v>21427492</v>
      </c>
      <c r="BU159" s="344"/>
      <c r="BV159" s="233"/>
      <c r="BW159" s="233"/>
      <c r="BX159" s="254"/>
      <c r="CA159" s="268"/>
      <c r="CB159" s="268"/>
    </row>
    <row r="160" spans="1:80" ht="12.75" customHeight="1" x14ac:dyDescent="0.2">
      <c r="A160" s="244"/>
      <c r="B160" s="244"/>
      <c r="D160" s="254" t="s">
        <v>312</v>
      </c>
      <c r="F160" s="261"/>
      <c r="G160" s="233">
        <v>0</v>
      </c>
      <c r="H160" s="347"/>
      <c r="I160" s="233"/>
      <c r="J160" s="227"/>
      <c r="K160" s="227"/>
      <c r="L160" s="233">
        <v>62541</v>
      </c>
      <c r="M160" s="347"/>
      <c r="N160" s="233"/>
      <c r="O160" s="227"/>
      <c r="P160" s="227"/>
      <c r="Q160" s="233">
        <v>179</v>
      </c>
      <c r="R160" s="347"/>
      <c r="S160" s="233"/>
      <c r="T160" s="227"/>
      <c r="U160" s="227"/>
      <c r="V160" s="233">
        <v>88807</v>
      </c>
      <c r="W160" s="347"/>
      <c r="X160" s="233"/>
      <c r="Y160" s="227"/>
      <c r="Z160" s="227"/>
      <c r="AA160" s="233">
        <v>179977</v>
      </c>
      <c r="AB160" s="347"/>
      <c r="AC160" s="233"/>
      <c r="AD160" s="227"/>
      <c r="AE160" s="227"/>
      <c r="AF160" s="233">
        <v>0</v>
      </c>
      <c r="AG160" s="347"/>
      <c r="AH160" s="233"/>
      <c r="AI160" s="227"/>
      <c r="AJ160" s="227"/>
      <c r="AK160" s="233">
        <v>338254</v>
      </c>
      <c r="AL160" s="347"/>
      <c r="AM160" s="233"/>
      <c r="AN160" s="227"/>
      <c r="AO160" s="227"/>
      <c r="AP160" s="233">
        <v>278593</v>
      </c>
      <c r="AQ160" s="347"/>
      <c r="AR160" s="233"/>
      <c r="AS160" s="227"/>
      <c r="AT160" s="227"/>
      <c r="AU160" s="233">
        <v>207289</v>
      </c>
      <c r="AV160" s="347"/>
      <c r="AW160" s="233"/>
      <c r="AX160" s="227"/>
      <c r="AY160" s="227"/>
      <c r="AZ160" s="233">
        <v>0</v>
      </c>
      <c r="BA160" s="347"/>
      <c r="BB160" s="233"/>
      <c r="BC160" s="227"/>
      <c r="BD160" s="227"/>
      <c r="BE160" s="233">
        <v>368545</v>
      </c>
      <c r="BF160" s="347"/>
      <c r="BG160" s="233"/>
      <c r="BH160" s="227"/>
      <c r="BI160" s="227"/>
      <c r="BJ160" s="233">
        <v>174247</v>
      </c>
      <c r="BK160" s="347"/>
      <c r="BL160" s="233"/>
      <c r="BM160" s="227"/>
      <c r="BN160" s="227"/>
      <c r="BO160" s="233">
        <v>294157</v>
      </c>
      <c r="BP160" s="347"/>
      <c r="BQ160" s="233"/>
      <c r="BR160" s="227"/>
      <c r="BS160" s="227"/>
      <c r="BT160" s="233">
        <f>SUM(L160:BO160)</f>
        <v>1992589</v>
      </c>
      <c r="BU160" s="347"/>
      <c r="BV160" s="233"/>
      <c r="BW160" s="233"/>
      <c r="BX160" s="254"/>
      <c r="CA160" s="268"/>
      <c r="CB160" s="268"/>
    </row>
    <row r="161" spans="1:80" ht="12.75" customHeight="1" x14ac:dyDescent="0.2">
      <c r="A161" s="244"/>
      <c r="B161" s="244"/>
      <c r="D161" s="254" t="s">
        <v>313</v>
      </c>
      <c r="F161" s="284"/>
      <c r="G161" s="355">
        <v>0</v>
      </c>
      <c r="H161" s="356"/>
      <c r="I161" s="233"/>
      <c r="J161" s="227"/>
      <c r="K161" s="357"/>
      <c r="L161" s="355">
        <v>0</v>
      </c>
      <c r="M161" s="356"/>
      <c r="N161" s="233"/>
      <c r="O161" s="227"/>
      <c r="P161" s="357"/>
      <c r="Q161" s="355">
        <v>0</v>
      </c>
      <c r="R161" s="356"/>
      <c r="S161" s="233"/>
      <c r="T161" s="227"/>
      <c r="U161" s="357"/>
      <c r="V161" s="355">
        <v>0</v>
      </c>
      <c r="W161" s="356"/>
      <c r="X161" s="233"/>
      <c r="Y161" s="227"/>
      <c r="Z161" s="357"/>
      <c r="AA161" s="355">
        <v>0</v>
      </c>
      <c r="AB161" s="356"/>
      <c r="AC161" s="233"/>
      <c r="AD161" s="227"/>
      <c r="AE161" s="357"/>
      <c r="AF161" s="355">
        <v>0</v>
      </c>
      <c r="AG161" s="356"/>
      <c r="AH161" s="233"/>
      <c r="AI161" s="227"/>
      <c r="AJ161" s="357"/>
      <c r="AK161" s="355">
        <v>0</v>
      </c>
      <c r="AL161" s="356"/>
      <c r="AM161" s="233"/>
      <c r="AN161" s="227"/>
      <c r="AO161" s="357"/>
      <c r="AP161" s="355">
        <v>0</v>
      </c>
      <c r="AQ161" s="356"/>
      <c r="AR161" s="233"/>
      <c r="AS161" s="227"/>
      <c r="AT161" s="357"/>
      <c r="AU161" s="355">
        <v>0</v>
      </c>
      <c r="AV161" s="356"/>
      <c r="AW161" s="233"/>
      <c r="AX161" s="227"/>
      <c r="AY161" s="357"/>
      <c r="AZ161" s="355">
        <v>0</v>
      </c>
      <c r="BA161" s="356"/>
      <c r="BB161" s="233"/>
      <c r="BC161" s="227"/>
      <c r="BD161" s="357"/>
      <c r="BE161" s="355">
        <v>0</v>
      </c>
      <c r="BF161" s="356"/>
      <c r="BG161" s="233"/>
      <c r="BH161" s="227"/>
      <c r="BI161" s="357"/>
      <c r="BJ161" s="355">
        <v>0</v>
      </c>
      <c r="BK161" s="356"/>
      <c r="BL161" s="233"/>
      <c r="BM161" s="227"/>
      <c r="BN161" s="357"/>
      <c r="BO161" s="355">
        <v>0</v>
      </c>
      <c r="BP161" s="356"/>
      <c r="BQ161" s="233"/>
      <c r="BR161" s="227"/>
      <c r="BS161" s="357"/>
      <c r="BT161" s="355">
        <f>SUM(L161:BO161)</f>
        <v>0</v>
      </c>
      <c r="BU161" s="356"/>
      <c r="BV161" s="233"/>
      <c r="BW161" s="233"/>
      <c r="BX161" s="254"/>
      <c r="CA161" s="268"/>
      <c r="CB161" s="268"/>
    </row>
    <row r="162" spans="1:80" ht="12.75" customHeight="1" x14ac:dyDescent="0.2">
      <c r="A162" s="244"/>
      <c r="B162" s="244"/>
      <c r="D162" s="254"/>
      <c r="F162" s="244"/>
      <c r="G162" s="233"/>
      <c r="H162" s="233"/>
      <c r="I162" s="233"/>
      <c r="J162" s="227"/>
      <c r="K162" s="233"/>
      <c r="L162" s="233"/>
      <c r="M162" s="233"/>
      <c r="N162" s="233"/>
      <c r="O162" s="227"/>
      <c r="P162" s="233"/>
      <c r="Q162" s="233"/>
      <c r="R162" s="233"/>
      <c r="S162" s="233"/>
      <c r="T162" s="227"/>
      <c r="U162" s="233"/>
      <c r="V162" s="233"/>
      <c r="W162" s="233"/>
      <c r="X162" s="233"/>
      <c r="Y162" s="227"/>
      <c r="Z162" s="233"/>
      <c r="AA162" s="233"/>
      <c r="AB162" s="233"/>
      <c r="AC162" s="233"/>
      <c r="AD162" s="227"/>
      <c r="AE162" s="233"/>
      <c r="AF162" s="233"/>
      <c r="AG162" s="233"/>
      <c r="AH162" s="233"/>
      <c r="AI162" s="227"/>
      <c r="AJ162" s="233"/>
      <c r="AK162" s="233"/>
      <c r="AL162" s="233"/>
      <c r="AM162" s="233"/>
      <c r="AN162" s="227"/>
      <c r="AO162" s="233"/>
      <c r="AP162" s="233"/>
      <c r="AQ162" s="233"/>
      <c r="AR162" s="233"/>
      <c r="AS162" s="227"/>
      <c r="AT162" s="233"/>
      <c r="AU162" s="233"/>
      <c r="AV162" s="233"/>
      <c r="AW162" s="233"/>
      <c r="AX162" s="227"/>
      <c r="AY162" s="233"/>
      <c r="AZ162" s="233"/>
      <c r="BA162" s="233"/>
      <c r="BB162" s="233"/>
      <c r="BC162" s="227"/>
      <c r="BD162" s="233"/>
      <c r="BE162" s="233"/>
      <c r="BF162" s="233"/>
      <c r="BG162" s="233"/>
      <c r="BH162" s="227"/>
      <c r="BI162" s="233"/>
      <c r="BJ162" s="233"/>
      <c r="BK162" s="233"/>
      <c r="BL162" s="233"/>
      <c r="BM162" s="227"/>
      <c r="BN162" s="233"/>
      <c r="BO162" s="233"/>
      <c r="BP162" s="233"/>
      <c r="BQ162" s="233"/>
      <c r="BR162" s="227"/>
      <c r="BS162" s="233"/>
      <c r="BT162" s="233"/>
      <c r="BU162" s="233"/>
      <c r="BV162" s="233"/>
      <c r="BW162" s="233"/>
      <c r="BX162" s="254"/>
      <c r="CA162" s="268"/>
      <c r="CB162" s="268"/>
    </row>
    <row r="163" spans="1:80" ht="12.75" customHeight="1" x14ac:dyDescent="0.2">
      <c r="A163" s="244"/>
      <c r="B163" s="244"/>
      <c r="D163" s="254" t="s">
        <v>341</v>
      </c>
      <c r="F163" s="244"/>
      <c r="G163" s="233">
        <f>SUM(G164:G166)</f>
        <v>0</v>
      </c>
      <c r="H163" s="233"/>
      <c r="I163" s="233"/>
      <c r="J163" s="227"/>
      <c r="K163" s="233"/>
      <c r="L163" s="233">
        <f>SUM(L164:L166)</f>
        <v>800000</v>
      </c>
      <c r="M163" s="233"/>
      <c r="N163" s="233"/>
      <c r="O163" s="227"/>
      <c r="P163" s="233"/>
      <c r="Q163" s="233">
        <f>SUM(Q164:Q166)</f>
        <v>1648468</v>
      </c>
      <c r="R163" s="233"/>
      <c r="S163" s="233"/>
      <c r="T163" s="227"/>
      <c r="U163" s="233"/>
      <c r="V163" s="233">
        <f>SUM(V164:V166)</f>
        <v>0</v>
      </c>
      <c r="W163" s="233"/>
      <c r="X163" s="233"/>
      <c r="Y163" s="227"/>
      <c r="Z163" s="233"/>
      <c r="AA163" s="233">
        <f>SUM(AA164:AA166)</f>
        <v>3292000</v>
      </c>
      <c r="AB163" s="233"/>
      <c r="AC163" s="233"/>
      <c r="AD163" s="227"/>
      <c r="AE163" s="233"/>
      <c r="AF163" s="233">
        <f>SUM(AF164:AF166)</f>
        <v>2823000</v>
      </c>
      <c r="AG163" s="233"/>
      <c r="AH163" s="233"/>
      <c r="AI163" s="227"/>
      <c r="AJ163" s="233"/>
      <c r="AK163" s="233">
        <f>SUM(AK164:AK166)</f>
        <v>1510000</v>
      </c>
      <c r="AL163" s="233"/>
      <c r="AM163" s="233"/>
      <c r="AN163" s="227"/>
      <c r="AO163" s="233"/>
      <c r="AP163" s="233">
        <f>SUM(AP164:AP166)</f>
        <v>1910000</v>
      </c>
      <c r="AQ163" s="233"/>
      <c r="AR163" s="233"/>
      <c r="AS163" s="227"/>
      <c r="AT163" s="233"/>
      <c r="AU163" s="233">
        <f>SUM(AU164:AU166)</f>
        <v>3528000</v>
      </c>
      <c r="AV163" s="233"/>
      <c r="AW163" s="233"/>
      <c r="AX163" s="227"/>
      <c r="AY163" s="233"/>
      <c r="AZ163" s="233">
        <f>SUM(AZ164:AZ166)</f>
        <v>755000</v>
      </c>
      <c r="BA163" s="233"/>
      <c r="BB163" s="233"/>
      <c r="BC163" s="227"/>
      <c r="BD163" s="233"/>
      <c r="BE163" s="233">
        <f>SUM(BE164:BE166)</f>
        <v>3760000</v>
      </c>
      <c r="BF163" s="233"/>
      <c r="BG163" s="233"/>
      <c r="BH163" s="227"/>
      <c r="BI163" s="233"/>
      <c r="BJ163" s="233">
        <f>SUM(BJ164:BJ166)</f>
        <v>2264000</v>
      </c>
      <c r="BK163" s="233"/>
      <c r="BL163" s="233"/>
      <c r="BM163" s="227"/>
      <c r="BN163" s="233"/>
      <c r="BO163" s="233">
        <f>SUM(BO164:BO166)</f>
        <v>6862000</v>
      </c>
      <c r="BP163" s="233"/>
      <c r="BQ163" s="233"/>
      <c r="BR163" s="227"/>
      <c r="BS163" s="233"/>
      <c r="BT163" s="233">
        <f>SUM(BT164:BT166)</f>
        <v>29152468</v>
      </c>
      <c r="BU163" s="233"/>
      <c r="BV163" s="233"/>
      <c r="BW163" s="233"/>
      <c r="BX163" s="254"/>
      <c r="CA163" s="268"/>
      <c r="CB163" s="268"/>
    </row>
    <row r="164" spans="1:80" ht="12.75" customHeight="1" x14ac:dyDescent="0.2">
      <c r="A164" s="244"/>
      <c r="B164" s="244"/>
      <c r="D164" s="254" t="s">
        <v>310</v>
      </c>
      <c r="F164" s="269"/>
      <c r="G164" s="343">
        <v>0</v>
      </c>
      <c r="H164" s="344"/>
      <c r="I164" s="233"/>
      <c r="J164" s="227"/>
      <c r="K164" s="345"/>
      <c r="L164" s="343">
        <f>800000-75033</f>
        <v>724967</v>
      </c>
      <c r="M164" s="344"/>
      <c r="N164" s="233"/>
      <c r="O164" s="227"/>
      <c r="P164" s="345"/>
      <c r="Q164" s="343">
        <f>1648468-165869</f>
        <v>1482599</v>
      </c>
      <c r="R164" s="344"/>
      <c r="S164" s="233"/>
      <c r="T164" s="227"/>
      <c r="U164" s="345"/>
      <c r="V164" s="343">
        <v>0</v>
      </c>
      <c r="W164" s="344"/>
      <c r="X164" s="233"/>
      <c r="Y164" s="227"/>
      <c r="Z164" s="345"/>
      <c r="AA164" s="343">
        <f>3292000-271930</f>
        <v>3020070</v>
      </c>
      <c r="AB164" s="344"/>
      <c r="AC164" s="233"/>
      <c r="AD164" s="227"/>
      <c r="AE164" s="345"/>
      <c r="AF164" s="343">
        <f>2823000-313566</f>
        <v>2509434</v>
      </c>
      <c r="AG164" s="344"/>
      <c r="AH164" s="233"/>
      <c r="AI164" s="227"/>
      <c r="AJ164" s="345"/>
      <c r="AK164" s="343">
        <f>1510000-156930</f>
        <v>1353070</v>
      </c>
      <c r="AL164" s="344"/>
      <c r="AM164" s="233"/>
      <c r="AN164" s="227"/>
      <c r="AO164" s="345"/>
      <c r="AP164" s="343">
        <f>1910000-180384</f>
        <v>1729616</v>
      </c>
      <c r="AQ164" s="344"/>
      <c r="AR164" s="233"/>
      <c r="AS164" s="227"/>
      <c r="AT164" s="345"/>
      <c r="AU164" s="343">
        <f>3528000-413024</f>
        <v>3114976</v>
      </c>
      <c r="AV164" s="344"/>
      <c r="AW164" s="233"/>
      <c r="AX164" s="227"/>
      <c r="AY164" s="345"/>
      <c r="AZ164" s="343">
        <f>755000-96806</f>
        <v>658194</v>
      </c>
      <c r="BA164" s="344"/>
      <c r="BB164" s="233"/>
      <c r="BC164" s="227"/>
      <c r="BD164" s="345"/>
      <c r="BE164" s="343">
        <f>3760000-462363</f>
        <v>3297637</v>
      </c>
      <c r="BF164" s="344"/>
      <c r="BG164" s="233"/>
      <c r="BH164" s="227"/>
      <c r="BI164" s="345"/>
      <c r="BJ164" s="343">
        <f>2264000-253083</f>
        <v>2010917</v>
      </c>
      <c r="BK164" s="344"/>
      <c r="BL164" s="233"/>
      <c r="BM164" s="227"/>
      <c r="BN164" s="345"/>
      <c r="BO164" s="343">
        <f>6862000-1385024</f>
        <v>5476976</v>
      </c>
      <c r="BP164" s="344"/>
      <c r="BQ164" s="233"/>
      <c r="BR164" s="227"/>
      <c r="BS164" s="345"/>
      <c r="BT164" s="343">
        <f>SUM(L164:BO164)</f>
        <v>25378456</v>
      </c>
      <c r="BU164" s="344"/>
      <c r="BV164" s="233"/>
      <c r="BW164" s="233"/>
      <c r="BX164" s="254"/>
      <c r="CA164" s="268"/>
      <c r="CB164" s="268"/>
    </row>
    <row r="165" spans="1:80" ht="12.75" customHeight="1" x14ac:dyDescent="0.2">
      <c r="A165" s="244"/>
      <c r="B165" s="244"/>
      <c r="D165" s="254" t="s">
        <v>312</v>
      </c>
      <c r="F165" s="261"/>
      <c r="G165" s="233">
        <v>0</v>
      </c>
      <c r="H165" s="347"/>
      <c r="I165" s="233"/>
      <c r="J165" s="227"/>
      <c r="K165" s="227"/>
      <c r="L165" s="233">
        <v>75033</v>
      </c>
      <c r="M165" s="347"/>
      <c r="N165" s="233"/>
      <c r="O165" s="227"/>
      <c r="P165" s="227"/>
      <c r="Q165" s="233">
        <v>165869</v>
      </c>
      <c r="R165" s="347"/>
      <c r="S165" s="233"/>
      <c r="T165" s="227"/>
      <c r="U165" s="227"/>
      <c r="V165" s="233">
        <v>0</v>
      </c>
      <c r="W165" s="347"/>
      <c r="X165" s="233"/>
      <c r="Y165" s="227"/>
      <c r="Z165" s="227"/>
      <c r="AA165" s="233">
        <v>271930</v>
      </c>
      <c r="AB165" s="347"/>
      <c r="AC165" s="233"/>
      <c r="AD165" s="227"/>
      <c r="AE165" s="227"/>
      <c r="AF165" s="233">
        <v>313566</v>
      </c>
      <c r="AG165" s="347"/>
      <c r="AH165" s="233"/>
      <c r="AI165" s="227"/>
      <c r="AJ165" s="227"/>
      <c r="AK165" s="233">
        <v>156930</v>
      </c>
      <c r="AL165" s="347"/>
      <c r="AM165" s="233"/>
      <c r="AN165" s="227"/>
      <c r="AO165" s="227"/>
      <c r="AP165" s="233">
        <v>180384</v>
      </c>
      <c r="AQ165" s="347"/>
      <c r="AR165" s="233"/>
      <c r="AS165" s="227"/>
      <c r="AT165" s="227"/>
      <c r="AU165" s="233">
        <v>413024</v>
      </c>
      <c r="AV165" s="347"/>
      <c r="AW165" s="233"/>
      <c r="AX165" s="227"/>
      <c r="AY165" s="227"/>
      <c r="AZ165" s="233">
        <v>96806</v>
      </c>
      <c r="BA165" s="347"/>
      <c r="BB165" s="233"/>
      <c r="BC165" s="227"/>
      <c r="BD165" s="227"/>
      <c r="BE165" s="233">
        <v>462363</v>
      </c>
      <c r="BF165" s="347"/>
      <c r="BG165" s="233"/>
      <c r="BH165" s="227"/>
      <c r="BI165" s="227"/>
      <c r="BJ165" s="233">
        <v>253083</v>
      </c>
      <c r="BK165" s="347"/>
      <c r="BL165" s="233"/>
      <c r="BM165" s="227"/>
      <c r="BN165" s="227"/>
      <c r="BO165" s="233">
        <v>1385024</v>
      </c>
      <c r="BP165" s="347"/>
      <c r="BQ165" s="233"/>
      <c r="BR165" s="227"/>
      <c r="BS165" s="227"/>
      <c r="BT165" s="233">
        <f>SUM(L165:BO165)</f>
        <v>3774012</v>
      </c>
      <c r="BU165" s="347"/>
      <c r="BV165" s="233"/>
      <c r="BW165" s="233"/>
      <c r="BX165" s="254"/>
      <c r="CA165" s="268"/>
      <c r="CB165" s="268"/>
    </row>
    <row r="166" spans="1:80" ht="12.75" customHeight="1" x14ac:dyDescent="0.2">
      <c r="A166" s="244"/>
      <c r="B166" s="244"/>
      <c r="D166" s="254" t="s">
        <v>313</v>
      </c>
      <c r="F166" s="284"/>
      <c r="G166" s="355">
        <v>0</v>
      </c>
      <c r="H166" s="356"/>
      <c r="I166" s="233"/>
      <c r="J166" s="227"/>
      <c r="K166" s="357"/>
      <c r="L166" s="355">
        <v>0</v>
      </c>
      <c r="M166" s="356"/>
      <c r="N166" s="233"/>
      <c r="O166" s="227"/>
      <c r="P166" s="357"/>
      <c r="Q166" s="355">
        <v>0</v>
      </c>
      <c r="R166" s="356"/>
      <c r="S166" s="233"/>
      <c r="T166" s="227"/>
      <c r="U166" s="357"/>
      <c r="V166" s="355">
        <v>0</v>
      </c>
      <c r="W166" s="356"/>
      <c r="X166" s="233"/>
      <c r="Y166" s="227"/>
      <c r="Z166" s="357"/>
      <c r="AA166" s="355">
        <v>0</v>
      </c>
      <c r="AB166" s="356"/>
      <c r="AC166" s="233"/>
      <c r="AD166" s="227"/>
      <c r="AE166" s="357"/>
      <c r="AF166" s="355">
        <v>0</v>
      </c>
      <c r="AG166" s="356"/>
      <c r="AH166" s="233"/>
      <c r="AI166" s="227"/>
      <c r="AJ166" s="357"/>
      <c r="AK166" s="355">
        <v>0</v>
      </c>
      <c r="AL166" s="356"/>
      <c r="AM166" s="233"/>
      <c r="AN166" s="227"/>
      <c r="AO166" s="357"/>
      <c r="AP166" s="355">
        <v>0</v>
      </c>
      <c r="AQ166" s="356"/>
      <c r="AR166" s="233"/>
      <c r="AS166" s="227"/>
      <c r="AT166" s="357"/>
      <c r="AU166" s="355">
        <v>0</v>
      </c>
      <c r="AV166" s="356"/>
      <c r="AW166" s="233"/>
      <c r="AX166" s="227"/>
      <c r="AY166" s="357"/>
      <c r="AZ166" s="355">
        <v>0</v>
      </c>
      <c r="BA166" s="356"/>
      <c r="BB166" s="233"/>
      <c r="BC166" s="227"/>
      <c r="BD166" s="357"/>
      <c r="BE166" s="355">
        <v>0</v>
      </c>
      <c r="BF166" s="356"/>
      <c r="BG166" s="233"/>
      <c r="BH166" s="227"/>
      <c r="BI166" s="357"/>
      <c r="BJ166" s="355">
        <v>0</v>
      </c>
      <c r="BK166" s="356"/>
      <c r="BL166" s="233"/>
      <c r="BM166" s="227"/>
      <c r="BN166" s="357"/>
      <c r="BO166" s="355">
        <v>0</v>
      </c>
      <c r="BP166" s="356"/>
      <c r="BQ166" s="233"/>
      <c r="BR166" s="227"/>
      <c r="BS166" s="357"/>
      <c r="BT166" s="355">
        <f>SUM(L166:BO166)</f>
        <v>0</v>
      </c>
      <c r="BU166" s="356"/>
      <c r="BV166" s="233"/>
      <c r="BW166" s="233"/>
      <c r="BX166" s="254"/>
      <c r="CA166" s="268"/>
      <c r="CB166" s="268"/>
    </row>
    <row r="167" spans="1:80" ht="12.75" customHeight="1" x14ac:dyDescent="0.2">
      <c r="A167" s="244"/>
      <c r="B167" s="244"/>
      <c r="D167" s="254"/>
      <c r="F167" s="244"/>
      <c r="G167" s="233"/>
      <c r="H167" s="233"/>
      <c r="I167" s="233"/>
      <c r="J167" s="227"/>
      <c r="K167" s="233"/>
      <c r="L167" s="233"/>
      <c r="M167" s="233"/>
      <c r="N167" s="233"/>
      <c r="O167" s="227"/>
      <c r="P167" s="233"/>
      <c r="Q167" s="233"/>
      <c r="R167" s="233"/>
      <c r="S167" s="233"/>
      <c r="T167" s="227"/>
      <c r="U167" s="233"/>
      <c r="V167" s="233"/>
      <c r="W167" s="233"/>
      <c r="X167" s="233"/>
      <c r="Y167" s="227"/>
      <c r="Z167" s="233"/>
      <c r="AA167" s="233"/>
      <c r="AB167" s="233"/>
      <c r="AC167" s="233"/>
      <c r="AD167" s="227"/>
      <c r="AE167" s="233"/>
      <c r="AF167" s="233"/>
      <c r="AG167" s="233"/>
      <c r="AH167" s="233"/>
      <c r="AI167" s="227"/>
      <c r="AJ167" s="233"/>
      <c r="AK167" s="233"/>
      <c r="AL167" s="233"/>
      <c r="AM167" s="233"/>
      <c r="AN167" s="227"/>
      <c r="AO167" s="233"/>
      <c r="AP167" s="233"/>
      <c r="AQ167" s="233"/>
      <c r="AR167" s="233"/>
      <c r="AS167" s="227"/>
      <c r="AT167" s="233"/>
      <c r="AU167" s="233"/>
      <c r="AV167" s="233"/>
      <c r="AW167" s="233"/>
      <c r="AX167" s="227"/>
      <c r="AY167" s="233"/>
      <c r="AZ167" s="233"/>
      <c r="BA167" s="233"/>
      <c r="BB167" s="233"/>
      <c r="BC167" s="227"/>
      <c r="BD167" s="233"/>
      <c r="BE167" s="233"/>
      <c r="BF167" s="233"/>
      <c r="BG167" s="233"/>
      <c r="BH167" s="227"/>
      <c r="BI167" s="233"/>
      <c r="BJ167" s="233"/>
      <c r="BK167" s="233"/>
      <c r="BL167" s="233"/>
      <c r="BM167" s="227"/>
      <c r="BN167" s="233"/>
      <c r="BO167" s="233"/>
      <c r="BP167" s="233"/>
      <c r="BQ167" s="233"/>
      <c r="BR167" s="227"/>
      <c r="BS167" s="233"/>
      <c r="BT167" s="233"/>
      <c r="BU167" s="233"/>
      <c r="BV167" s="233"/>
      <c r="BW167" s="233"/>
      <c r="BX167" s="254"/>
      <c r="CA167" s="268"/>
      <c r="CB167" s="268"/>
    </row>
    <row r="168" spans="1:80" ht="12.75" customHeight="1" x14ac:dyDescent="0.2">
      <c r="A168" s="244"/>
      <c r="B168" s="244"/>
      <c r="D168" s="254" t="s">
        <v>342</v>
      </c>
      <c r="F168" s="244"/>
      <c r="G168" s="233">
        <f>SUM(G169:G171)</f>
        <v>0</v>
      </c>
      <c r="H168" s="233"/>
      <c r="I168" s="233"/>
      <c r="J168" s="227"/>
      <c r="K168" s="233"/>
      <c r="L168" s="233">
        <f>SUM(L169:L171)</f>
        <v>1647000</v>
      </c>
      <c r="M168" s="233"/>
      <c r="N168" s="233"/>
      <c r="O168" s="227"/>
      <c r="P168" s="233"/>
      <c r="Q168" s="233">
        <f>SUM(Q169:Q171)</f>
        <v>1138676</v>
      </c>
      <c r="R168" s="233"/>
      <c r="S168" s="233"/>
      <c r="T168" s="227"/>
      <c r="U168" s="233"/>
      <c r="V168" s="233">
        <f>SUM(V169:V171)</f>
        <v>0</v>
      </c>
      <c r="W168" s="233"/>
      <c r="X168" s="233"/>
      <c r="Y168" s="227"/>
      <c r="Z168" s="233"/>
      <c r="AA168" s="233">
        <f>SUM(AA169:AA171)</f>
        <v>0</v>
      </c>
      <c r="AB168" s="233"/>
      <c r="AC168" s="233"/>
      <c r="AD168" s="227"/>
      <c r="AE168" s="233"/>
      <c r="AF168" s="233">
        <f>SUM(AF169:AF171)</f>
        <v>2262000</v>
      </c>
      <c r="AG168" s="233"/>
      <c r="AH168" s="233"/>
      <c r="AI168" s="227"/>
      <c r="AJ168" s="233"/>
      <c r="AK168" s="233">
        <f>SUM(AK169:AK171)</f>
        <v>0</v>
      </c>
      <c r="AL168" s="233"/>
      <c r="AM168" s="233"/>
      <c r="AN168" s="227"/>
      <c r="AO168" s="233"/>
      <c r="AP168" s="233">
        <f>SUM(AP169:AP171)</f>
        <v>0</v>
      </c>
      <c r="AQ168" s="233"/>
      <c r="AR168" s="233"/>
      <c r="AS168" s="227"/>
      <c r="AT168" s="233"/>
      <c r="AU168" s="233">
        <f>SUM(AU169:AU171)</f>
        <v>3773000</v>
      </c>
      <c r="AV168" s="233"/>
      <c r="AW168" s="233"/>
      <c r="AX168" s="227"/>
      <c r="AY168" s="233"/>
      <c r="AZ168" s="233">
        <f>SUM(AZ169:AZ171)</f>
        <v>752000</v>
      </c>
      <c r="BA168" s="233"/>
      <c r="BB168" s="233"/>
      <c r="BC168" s="227"/>
      <c r="BD168" s="233"/>
      <c r="BE168" s="233">
        <f>SUM(BE169:BE171)</f>
        <v>3698000</v>
      </c>
      <c r="BF168" s="233"/>
      <c r="BG168" s="233"/>
      <c r="BH168" s="227"/>
      <c r="BI168" s="233"/>
      <c r="BJ168" s="233">
        <f>SUM(BJ169:BJ171)</f>
        <v>3014000</v>
      </c>
      <c r="BK168" s="233"/>
      <c r="BL168" s="233"/>
      <c r="BM168" s="227"/>
      <c r="BN168" s="233"/>
      <c r="BO168" s="233">
        <f>SUM(BO169:BO171)</f>
        <v>0</v>
      </c>
      <c r="BP168" s="233"/>
      <c r="BQ168" s="233"/>
      <c r="BR168" s="227"/>
      <c r="BS168" s="233"/>
      <c r="BT168" s="233">
        <f>SUM(BT169:BT171)</f>
        <v>16284676</v>
      </c>
      <c r="BU168" s="233"/>
      <c r="BV168" s="233"/>
      <c r="BW168" s="233"/>
      <c r="BX168" s="254"/>
      <c r="CA168" s="268"/>
      <c r="CB168" s="268"/>
    </row>
    <row r="169" spans="1:80" ht="12.75" customHeight="1" x14ac:dyDescent="0.2">
      <c r="A169" s="244"/>
      <c r="B169" s="244"/>
      <c r="D169" s="254" t="s">
        <v>310</v>
      </c>
      <c r="F169" s="269"/>
      <c r="G169" s="343">
        <v>0</v>
      </c>
      <c r="H169" s="344"/>
      <c r="I169" s="233"/>
      <c r="J169" s="227"/>
      <c r="K169" s="345"/>
      <c r="L169" s="343">
        <f>1647000-140372</f>
        <v>1506628</v>
      </c>
      <c r="M169" s="344"/>
      <c r="N169" s="233"/>
      <c r="O169" s="227"/>
      <c r="P169" s="345"/>
      <c r="Q169" s="343">
        <f>1138676-110643</f>
        <v>1028033</v>
      </c>
      <c r="R169" s="344"/>
      <c r="S169" s="233"/>
      <c r="T169" s="227"/>
      <c r="U169" s="345"/>
      <c r="V169" s="343">
        <v>0</v>
      </c>
      <c r="W169" s="344"/>
      <c r="X169" s="233"/>
      <c r="Y169" s="227"/>
      <c r="Z169" s="345"/>
      <c r="AA169" s="343">
        <v>0</v>
      </c>
      <c r="AB169" s="344"/>
      <c r="AC169" s="233"/>
      <c r="AD169" s="227"/>
      <c r="AE169" s="345"/>
      <c r="AF169" s="343">
        <f>2262000-273679</f>
        <v>1988321</v>
      </c>
      <c r="AG169" s="344"/>
      <c r="AH169" s="233"/>
      <c r="AI169" s="227"/>
      <c r="AJ169" s="345"/>
      <c r="AK169" s="343">
        <v>0</v>
      </c>
      <c r="AL169" s="344"/>
      <c r="AM169" s="233"/>
      <c r="AN169" s="227"/>
      <c r="AO169" s="345"/>
      <c r="AP169" s="343">
        <v>0</v>
      </c>
      <c r="AQ169" s="344"/>
      <c r="AR169" s="233"/>
      <c r="AS169" s="227"/>
      <c r="AT169" s="345"/>
      <c r="AU169" s="343">
        <f>3773000-492118</f>
        <v>3280882</v>
      </c>
      <c r="AV169" s="344"/>
      <c r="AW169" s="233"/>
      <c r="AX169" s="227"/>
      <c r="AY169" s="345"/>
      <c r="AZ169" s="343">
        <f>752000-103238</f>
        <v>648762</v>
      </c>
      <c r="BA169" s="344"/>
      <c r="BB169" s="233"/>
      <c r="BC169" s="227"/>
      <c r="BD169" s="345"/>
      <c r="BE169" s="343">
        <f>3698000-482202</f>
        <v>3215798</v>
      </c>
      <c r="BF169" s="344"/>
      <c r="BG169" s="233"/>
      <c r="BH169" s="227"/>
      <c r="BI169" s="345"/>
      <c r="BJ169" s="343">
        <f>3014000-386758</f>
        <v>2627242</v>
      </c>
      <c r="BK169" s="344"/>
      <c r="BL169" s="233"/>
      <c r="BM169" s="227"/>
      <c r="BN169" s="345"/>
      <c r="BO169" s="343">
        <v>0</v>
      </c>
      <c r="BP169" s="344"/>
      <c r="BQ169" s="233"/>
      <c r="BR169" s="227"/>
      <c r="BS169" s="345"/>
      <c r="BT169" s="343">
        <f>SUM(L169:BO169)</f>
        <v>14295666</v>
      </c>
      <c r="BU169" s="344"/>
      <c r="BV169" s="233"/>
      <c r="BW169" s="233"/>
      <c r="BX169" s="254"/>
      <c r="CA169" s="268"/>
      <c r="CB169" s="268"/>
    </row>
    <row r="170" spans="1:80" ht="12.75" customHeight="1" x14ac:dyDescent="0.2">
      <c r="A170" s="244"/>
      <c r="B170" s="244"/>
      <c r="D170" s="254" t="s">
        <v>312</v>
      </c>
      <c r="F170" s="261"/>
      <c r="G170" s="233">
        <v>0</v>
      </c>
      <c r="H170" s="347"/>
      <c r="I170" s="233"/>
      <c r="J170" s="227"/>
      <c r="K170" s="227"/>
      <c r="L170" s="233">
        <v>140372</v>
      </c>
      <c r="M170" s="347"/>
      <c r="N170" s="233"/>
      <c r="O170" s="227"/>
      <c r="P170" s="227"/>
      <c r="Q170" s="233">
        <v>110643</v>
      </c>
      <c r="R170" s="347"/>
      <c r="S170" s="233"/>
      <c r="T170" s="227"/>
      <c r="U170" s="227"/>
      <c r="V170" s="233">
        <v>0</v>
      </c>
      <c r="W170" s="347"/>
      <c r="X170" s="233"/>
      <c r="Y170" s="227"/>
      <c r="Z170" s="227"/>
      <c r="AA170" s="233">
        <v>0</v>
      </c>
      <c r="AB170" s="347"/>
      <c r="AC170" s="233"/>
      <c r="AD170" s="227"/>
      <c r="AE170" s="227"/>
      <c r="AF170" s="233">
        <v>273679</v>
      </c>
      <c r="AG170" s="347"/>
      <c r="AH170" s="233"/>
      <c r="AI170" s="227"/>
      <c r="AJ170" s="227"/>
      <c r="AK170" s="233">
        <v>0</v>
      </c>
      <c r="AL170" s="347"/>
      <c r="AM170" s="233"/>
      <c r="AN170" s="227"/>
      <c r="AO170" s="227"/>
      <c r="AP170" s="233">
        <v>0</v>
      </c>
      <c r="AQ170" s="347"/>
      <c r="AR170" s="233"/>
      <c r="AS170" s="227"/>
      <c r="AT170" s="227"/>
      <c r="AU170" s="233">
        <v>492118</v>
      </c>
      <c r="AV170" s="347"/>
      <c r="AW170" s="233"/>
      <c r="AX170" s="227"/>
      <c r="AY170" s="227"/>
      <c r="AZ170" s="233">
        <v>103238</v>
      </c>
      <c r="BA170" s="347"/>
      <c r="BB170" s="233"/>
      <c r="BC170" s="227"/>
      <c r="BD170" s="227"/>
      <c r="BE170" s="233">
        <v>482202</v>
      </c>
      <c r="BF170" s="347"/>
      <c r="BG170" s="233"/>
      <c r="BH170" s="227"/>
      <c r="BI170" s="227"/>
      <c r="BJ170" s="233">
        <v>386758</v>
      </c>
      <c r="BK170" s="347"/>
      <c r="BL170" s="233"/>
      <c r="BM170" s="227"/>
      <c r="BN170" s="227"/>
      <c r="BO170" s="233">
        <v>0</v>
      </c>
      <c r="BP170" s="347"/>
      <c r="BQ170" s="233"/>
      <c r="BR170" s="227"/>
      <c r="BS170" s="227"/>
      <c r="BT170" s="233">
        <f>SUM(L170:BO170)</f>
        <v>1989010</v>
      </c>
      <c r="BU170" s="347"/>
      <c r="BV170" s="233"/>
      <c r="BW170" s="233"/>
      <c r="BX170" s="254"/>
      <c r="CA170" s="268"/>
      <c r="CB170" s="268"/>
    </row>
    <row r="171" spans="1:80" ht="12.75" customHeight="1" x14ac:dyDescent="0.2">
      <c r="A171" s="244"/>
      <c r="B171" s="244"/>
      <c r="D171" s="254" t="s">
        <v>313</v>
      </c>
      <c r="F171" s="284"/>
      <c r="G171" s="355">
        <v>0</v>
      </c>
      <c r="H171" s="356"/>
      <c r="I171" s="233"/>
      <c r="J171" s="227"/>
      <c r="K171" s="357"/>
      <c r="L171" s="355">
        <v>0</v>
      </c>
      <c r="M171" s="356"/>
      <c r="N171" s="233"/>
      <c r="O171" s="227"/>
      <c r="P171" s="357"/>
      <c r="Q171" s="355">
        <v>0</v>
      </c>
      <c r="R171" s="356"/>
      <c r="S171" s="233"/>
      <c r="T171" s="227"/>
      <c r="U171" s="357"/>
      <c r="V171" s="355">
        <v>0</v>
      </c>
      <c r="W171" s="356"/>
      <c r="X171" s="233"/>
      <c r="Y171" s="227"/>
      <c r="Z171" s="357"/>
      <c r="AA171" s="355">
        <v>0</v>
      </c>
      <c r="AB171" s="356"/>
      <c r="AC171" s="233"/>
      <c r="AD171" s="227"/>
      <c r="AE171" s="357"/>
      <c r="AF171" s="355">
        <v>0</v>
      </c>
      <c r="AG171" s="356"/>
      <c r="AH171" s="233"/>
      <c r="AI171" s="227"/>
      <c r="AJ171" s="357"/>
      <c r="AK171" s="355">
        <v>0</v>
      </c>
      <c r="AL171" s="356"/>
      <c r="AM171" s="233"/>
      <c r="AN171" s="227"/>
      <c r="AO171" s="357"/>
      <c r="AP171" s="355">
        <v>0</v>
      </c>
      <c r="AQ171" s="356"/>
      <c r="AR171" s="233"/>
      <c r="AS171" s="227"/>
      <c r="AT171" s="357"/>
      <c r="AU171" s="355">
        <v>0</v>
      </c>
      <c r="AV171" s="356"/>
      <c r="AW171" s="233"/>
      <c r="AX171" s="227"/>
      <c r="AY171" s="357"/>
      <c r="AZ171" s="355">
        <v>0</v>
      </c>
      <c r="BA171" s="356"/>
      <c r="BB171" s="233"/>
      <c r="BC171" s="227"/>
      <c r="BD171" s="357"/>
      <c r="BE171" s="355">
        <v>0</v>
      </c>
      <c r="BF171" s="356"/>
      <c r="BG171" s="233"/>
      <c r="BH171" s="227"/>
      <c r="BI171" s="357"/>
      <c r="BJ171" s="355">
        <v>0</v>
      </c>
      <c r="BK171" s="356"/>
      <c r="BL171" s="233"/>
      <c r="BM171" s="227"/>
      <c r="BN171" s="357"/>
      <c r="BO171" s="355">
        <v>0</v>
      </c>
      <c r="BP171" s="356"/>
      <c r="BQ171" s="233"/>
      <c r="BR171" s="227"/>
      <c r="BS171" s="357"/>
      <c r="BT171" s="355">
        <f>SUM(L171:BO171)</f>
        <v>0</v>
      </c>
      <c r="BU171" s="356"/>
      <c r="BV171" s="233"/>
      <c r="BW171" s="233"/>
      <c r="BX171" s="254"/>
      <c r="CA171" s="268"/>
      <c r="CB171" s="268"/>
    </row>
    <row r="172" spans="1:80" ht="12.75" customHeight="1" x14ac:dyDescent="0.2">
      <c r="A172" s="244"/>
      <c r="B172" s="244"/>
      <c r="D172" s="254"/>
      <c r="F172" s="244"/>
      <c r="G172" s="233"/>
      <c r="H172" s="233"/>
      <c r="I172" s="233"/>
      <c r="J172" s="227"/>
      <c r="K172" s="233"/>
      <c r="L172" s="233"/>
      <c r="M172" s="233"/>
      <c r="N172" s="233"/>
      <c r="O172" s="227"/>
      <c r="P172" s="233"/>
      <c r="Q172" s="233"/>
      <c r="R172" s="233"/>
      <c r="S172" s="233"/>
      <c r="T172" s="227"/>
      <c r="U172" s="233"/>
      <c r="V172" s="233"/>
      <c r="W172" s="233"/>
      <c r="X172" s="233"/>
      <c r="Y172" s="227"/>
      <c r="Z172" s="233"/>
      <c r="AA172" s="233"/>
      <c r="AB172" s="233"/>
      <c r="AC172" s="233"/>
      <c r="AD172" s="227"/>
      <c r="AE172" s="233"/>
      <c r="AF172" s="233"/>
      <c r="AG172" s="233"/>
      <c r="AH172" s="233"/>
      <c r="AI172" s="227"/>
      <c r="AJ172" s="233"/>
      <c r="AK172" s="233"/>
      <c r="AL172" s="233"/>
      <c r="AM172" s="233"/>
      <c r="AN172" s="227"/>
      <c r="AO172" s="233"/>
      <c r="AP172" s="233"/>
      <c r="AQ172" s="233"/>
      <c r="AR172" s="233"/>
      <c r="AS172" s="227"/>
      <c r="AT172" s="233"/>
      <c r="AU172" s="233"/>
      <c r="AV172" s="233"/>
      <c r="AW172" s="233"/>
      <c r="AX172" s="227"/>
      <c r="AY172" s="233"/>
      <c r="AZ172" s="233"/>
      <c r="BA172" s="233"/>
      <c r="BB172" s="233"/>
      <c r="BC172" s="227"/>
      <c r="BD172" s="233"/>
      <c r="BE172" s="233"/>
      <c r="BF172" s="233"/>
      <c r="BG172" s="233"/>
      <c r="BH172" s="227"/>
      <c r="BI172" s="233"/>
      <c r="BJ172" s="233"/>
      <c r="BK172" s="233"/>
      <c r="BL172" s="233"/>
      <c r="BM172" s="227"/>
      <c r="BN172" s="233"/>
      <c r="BO172" s="233"/>
      <c r="BP172" s="233"/>
      <c r="BQ172" s="233"/>
      <c r="BR172" s="227"/>
      <c r="BS172" s="233"/>
      <c r="BT172" s="233"/>
      <c r="BU172" s="233"/>
      <c r="BV172" s="233"/>
      <c r="BW172" s="233"/>
      <c r="BX172" s="254"/>
      <c r="CA172" s="268"/>
      <c r="CB172" s="268"/>
    </row>
    <row r="173" spans="1:80" ht="12.75" customHeight="1" x14ac:dyDescent="0.2">
      <c r="A173" s="244"/>
      <c r="B173" s="244"/>
      <c r="D173" s="254" t="s">
        <v>343</v>
      </c>
      <c r="F173" s="244"/>
      <c r="G173" s="233">
        <f>SUM(G174:G176)</f>
        <v>0</v>
      </c>
      <c r="H173" s="233"/>
      <c r="I173" s="233"/>
      <c r="J173" s="227"/>
      <c r="K173" s="233"/>
      <c r="L173" s="233">
        <f>SUM(L174:L176)</f>
        <v>906000</v>
      </c>
      <c r="M173" s="233"/>
      <c r="N173" s="233"/>
      <c r="O173" s="227"/>
      <c r="P173" s="233"/>
      <c r="Q173" s="233">
        <f>SUM(Q174:Q176)</f>
        <v>1651634</v>
      </c>
      <c r="R173" s="233"/>
      <c r="S173" s="233"/>
      <c r="T173" s="227"/>
      <c r="U173" s="233"/>
      <c r="V173" s="233">
        <f>SUM(V174:V176)</f>
        <v>1649000</v>
      </c>
      <c r="W173" s="233"/>
      <c r="X173" s="233"/>
      <c r="Y173" s="227"/>
      <c r="Z173" s="233"/>
      <c r="AA173" s="233">
        <f>SUM(AA174:AA176)</f>
        <v>0</v>
      </c>
      <c r="AB173" s="233"/>
      <c r="AC173" s="233"/>
      <c r="AD173" s="227"/>
      <c r="AE173" s="233"/>
      <c r="AF173" s="233">
        <f>SUM(AF174:AF176)</f>
        <v>1510000</v>
      </c>
      <c r="AG173" s="233"/>
      <c r="AH173" s="233"/>
      <c r="AI173" s="227"/>
      <c r="AJ173" s="233"/>
      <c r="AK173" s="233">
        <f>SUM(AK174:AK176)</f>
        <v>5279000</v>
      </c>
      <c r="AL173" s="233"/>
      <c r="AM173" s="233"/>
      <c r="AN173" s="227"/>
      <c r="AO173" s="233"/>
      <c r="AP173" s="233">
        <f>SUM(AP174:AP176)</f>
        <v>6784000</v>
      </c>
      <c r="AQ173" s="233"/>
      <c r="AR173" s="233"/>
      <c r="AS173" s="227"/>
      <c r="AT173" s="233"/>
      <c r="AU173" s="233">
        <f>SUM(AU174:AU176)</f>
        <v>3899000</v>
      </c>
      <c r="AV173" s="233"/>
      <c r="AW173" s="233"/>
      <c r="AX173" s="227"/>
      <c r="AY173" s="233"/>
      <c r="AZ173" s="233">
        <f>SUM(AZ174:AZ176)</f>
        <v>0</v>
      </c>
      <c r="BA173" s="233"/>
      <c r="BB173" s="233"/>
      <c r="BC173" s="227"/>
      <c r="BD173" s="233"/>
      <c r="BE173" s="233">
        <f>SUM(BE174:BE176)</f>
        <v>0</v>
      </c>
      <c r="BF173" s="233"/>
      <c r="BG173" s="233"/>
      <c r="BH173" s="227"/>
      <c r="BI173" s="233"/>
      <c r="BJ173" s="233">
        <f>SUM(BJ174:BJ176)</f>
        <v>2205000</v>
      </c>
      <c r="BK173" s="233"/>
      <c r="BL173" s="233"/>
      <c r="BM173" s="227"/>
      <c r="BN173" s="233"/>
      <c r="BO173" s="233">
        <f>SUM(BO174:BO176)</f>
        <v>3772000</v>
      </c>
      <c r="BP173" s="233"/>
      <c r="BQ173" s="233"/>
      <c r="BR173" s="227"/>
      <c r="BS173" s="233"/>
      <c r="BT173" s="233">
        <f>SUM(BT174:BT176)</f>
        <v>27655634</v>
      </c>
      <c r="BU173" s="233"/>
      <c r="BV173" s="233"/>
      <c r="BW173" s="233"/>
      <c r="BX173" s="254"/>
      <c r="CA173" s="268"/>
      <c r="CB173" s="268"/>
    </row>
    <row r="174" spans="1:80" ht="12.75" customHeight="1" x14ac:dyDescent="0.2">
      <c r="A174" s="244"/>
      <c r="B174" s="244"/>
      <c r="D174" s="254" t="s">
        <v>310</v>
      </c>
      <c r="F174" s="269"/>
      <c r="G174" s="343">
        <v>0</v>
      </c>
      <c r="H174" s="344"/>
      <c r="I174" s="233"/>
      <c r="J174" s="227"/>
      <c r="K174" s="345"/>
      <c r="L174" s="343">
        <f>906000-71396</f>
        <v>834604</v>
      </c>
      <c r="M174" s="344"/>
      <c r="N174" s="233"/>
      <c r="O174" s="227"/>
      <c r="P174" s="345"/>
      <c r="Q174" s="343">
        <f>1651634-162031</f>
        <v>1489603</v>
      </c>
      <c r="R174" s="344"/>
      <c r="S174" s="233"/>
      <c r="T174" s="227"/>
      <c r="U174" s="345"/>
      <c r="V174" s="343">
        <f>1649000-176102</f>
        <v>1472898</v>
      </c>
      <c r="W174" s="344"/>
      <c r="X174" s="233"/>
      <c r="Y174" s="227"/>
      <c r="Z174" s="345"/>
      <c r="AA174" s="343">
        <v>0</v>
      </c>
      <c r="AB174" s="344"/>
      <c r="AC174" s="233"/>
      <c r="AD174" s="227"/>
      <c r="AE174" s="345"/>
      <c r="AF174" s="343">
        <f>1510000-163579</f>
        <v>1346421</v>
      </c>
      <c r="AG174" s="344"/>
      <c r="AH174" s="233"/>
      <c r="AI174" s="227"/>
      <c r="AJ174" s="345"/>
      <c r="AK174" s="343">
        <f>5279000-555456</f>
        <v>4723544</v>
      </c>
      <c r="AL174" s="344"/>
      <c r="AM174" s="233"/>
      <c r="AN174" s="227"/>
      <c r="AO174" s="345"/>
      <c r="AP174" s="343">
        <f>6784000-732119</f>
        <v>6051881</v>
      </c>
      <c r="AQ174" s="344"/>
      <c r="AR174" s="233"/>
      <c r="AS174" s="227"/>
      <c r="AT174" s="345"/>
      <c r="AU174" s="343">
        <f>3899000-474905</f>
        <v>3424095</v>
      </c>
      <c r="AV174" s="344"/>
      <c r="AW174" s="233"/>
      <c r="AX174" s="227"/>
      <c r="AY174" s="345"/>
      <c r="AZ174" s="343">
        <v>0</v>
      </c>
      <c r="BA174" s="344"/>
      <c r="BB174" s="233"/>
      <c r="BC174" s="227"/>
      <c r="BD174" s="345"/>
      <c r="BE174" s="343">
        <v>0</v>
      </c>
      <c r="BF174" s="344"/>
      <c r="BG174" s="233"/>
      <c r="BH174" s="227"/>
      <c r="BI174" s="345"/>
      <c r="BJ174" s="343">
        <f>2205000-284776</f>
        <v>1920224</v>
      </c>
      <c r="BK174" s="344"/>
      <c r="BL174" s="233"/>
      <c r="BM174" s="227"/>
      <c r="BN174" s="345"/>
      <c r="BO174" s="343">
        <f>3772000-679990</f>
        <v>3092010</v>
      </c>
      <c r="BP174" s="344"/>
      <c r="BQ174" s="233"/>
      <c r="BR174" s="227"/>
      <c r="BS174" s="345"/>
      <c r="BT174" s="343">
        <f>SUM(L174:BO174)</f>
        <v>24355280</v>
      </c>
      <c r="BU174" s="344"/>
      <c r="BV174" s="233"/>
      <c r="BW174" s="233"/>
      <c r="BX174" s="254"/>
      <c r="CA174" s="268"/>
      <c r="CB174" s="268"/>
    </row>
    <row r="175" spans="1:80" ht="12.75" customHeight="1" x14ac:dyDescent="0.2">
      <c r="A175" s="244"/>
      <c r="B175" s="244"/>
      <c r="D175" s="254" t="s">
        <v>312</v>
      </c>
      <c r="F175" s="261"/>
      <c r="G175" s="233">
        <v>0</v>
      </c>
      <c r="H175" s="347"/>
      <c r="I175" s="233"/>
      <c r="J175" s="227"/>
      <c r="K175" s="227"/>
      <c r="L175" s="233">
        <v>71396</v>
      </c>
      <c r="M175" s="347"/>
      <c r="N175" s="233"/>
      <c r="O175" s="227"/>
      <c r="P175" s="227"/>
      <c r="Q175" s="233">
        <v>162031</v>
      </c>
      <c r="R175" s="347"/>
      <c r="S175" s="233"/>
      <c r="T175" s="227"/>
      <c r="U175" s="227"/>
      <c r="V175" s="233">
        <v>176102</v>
      </c>
      <c r="W175" s="347"/>
      <c r="X175" s="233"/>
      <c r="Y175" s="227"/>
      <c r="Z175" s="227"/>
      <c r="AA175" s="233">
        <v>0</v>
      </c>
      <c r="AB175" s="347"/>
      <c r="AC175" s="233"/>
      <c r="AD175" s="227"/>
      <c r="AE175" s="227"/>
      <c r="AF175" s="233">
        <v>163579</v>
      </c>
      <c r="AG175" s="347"/>
      <c r="AH175" s="233"/>
      <c r="AI175" s="227"/>
      <c r="AJ175" s="227"/>
      <c r="AK175" s="233">
        <v>555456</v>
      </c>
      <c r="AL175" s="347"/>
      <c r="AM175" s="233"/>
      <c r="AN175" s="227"/>
      <c r="AO175" s="227"/>
      <c r="AP175" s="233">
        <v>732119</v>
      </c>
      <c r="AQ175" s="347"/>
      <c r="AR175" s="233"/>
      <c r="AS175" s="227"/>
      <c r="AT175" s="227"/>
      <c r="AU175" s="233">
        <v>474905</v>
      </c>
      <c r="AV175" s="347"/>
      <c r="AW175" s="233"/>
      <c r="AX175" s="227"/>
      <c r="AY175" s="227"/>
      <c r="AZ175" s="233">
        <v>0</v>
      </c>
      <c r="BA175" s="347"/>
      <c r="BB175" s="233"/>
      <c r="BC175" s="227"/>
      <c r="BD175" s="227"/>
      <c r="BE175" s="233">
        <v>0</v>
      </c>
      <c r="BF175" s="347"/>
      <c r="BG175" s="233"/>
      <c r="BH175" s="227"/>
      <c r="BI175" s="227"/>
      <c r="BJ175" s="233">
        <v>284776</v>
      </c>
      <c r="BK175" s="347"/>
      <c r="BL175" s="233"/>
      <c r="BM175" s="227"/>
      <c r="BN175" s="227"/>
      <c r="BO175" s="233">
        <v>679990</v>
      </c>
      <c r="BP175" s="347"/>
      <c r="BQ175" s="233"/>
      <c r="BR175" s="227"/>
      <c r="BS175" s="227"/>
      <c r="BT175" s="233">
        <f>SUM(L175:BO175)</f>
        <v>3300354</v>
      </c>
      <c r="BU175" s="347"/>
      <c r="BV175" s="233"/>
      <c r="BW175" s="233"/>
      <c r="BX175" s="254"/>
      <c r="CA175" s="268"/>
      <c r="CB175" s="268"/>
    </row>
    <row r="176" spans="1:80" ht="12.75" customHeight="1" x14ac:dyDescent="0.2">
      <c r="A176" s="244"/>
      <c r="B176" s="244"/>
      <c r="D176" s="254" t="s">
        <v>313</v>
      </c>
      <c r="F176" s="284"/>
      <c r="G176" s="355">
        <v>0</v>
      </c>
      <c r="H176" s="356"/>
      <c r="I176" s="233"/>
      <c r="J176" s="227"/>
      <c r="K176" s="357"/>
      <c r="L176" s="355">
        <v>0</v>
      </c>
      <c r="M176" s="356"/>
      <c r="N176" s="233"/>
      <c r="O176" s="227"/>
      <c r="P176" s="357"/>
      <c r="Q176" s="355">
        <v>0</v>
      </c>
      <c r="R176" s="356"/>
      <c r="S176" s="233"/>
      <c r="T176" s="227"/>
      <c r="U176" s="357"/>
      <c r="V176" s="355">
        <v>0</v>
      </c>
      <c r="W176" s="356"/>
      <c r="X176" s="233"/>
      <c r="Y176" s="227"/>
      <c r="Z176" s="357"/>
      <c r="AA176" s="355">
        <v>0</v>
      </c>
      <c r="AB176" s="356"/>
      <c r="AC176" s="233"/>
      <c r="AD176" s="227"/>
      <c r="AE176" s="357"/>
      <c r="AF176" s="355">
        <v>0</v>
      </c>
      <c r="AG176" s="356"/>
      <c r="AH176" s="233"/>
      <c r="AI176" s="227"/>
      <c r="AJ176" s="357"/>
      <c r="AK176" s="355">
        <v>0</v>
      </c>
      <c r="AL176" s="356"/>
      <c r="AM176" s="233"/>
      <c r="AN176" s="227"/>
      <c r="AO176" s="357"/>
      <c r="AP176" s="355">
        <v>0</v>
      </c>
      <c r="AQ176" s="356"/>
      <c r="AR176" s="233"/>
      <c r="AS176" s="227"/>
      <c r="AT176" s="357"/>
      <c r="AU176" s="355">
        <v>0</v>
      </c>
      <c r="AV176" s="356"/>
      <c r="AW176" s="233"/>
      <c r="AX176" s="227"/>
      <c r="AY176" s="357"/>
      <c r="AZ176" s="355">
        <v>0</v>
      </c>
      <c r="BA176" s="356"/>
      <c r="BB176" s="233"/>
      <c r="BC176" s="227"/>
      <c r="BD176" s="357"/>
      <c r="BE176" s="355">
        <v>0</v>
      </c>
      <c r="BF176" s="356"/>
      <c r="BG176" s="233"/>
      <c r="BH176" s="227"/>
      <c r="BI176" s="357"/>
      <c r="BJ176" s="355">
        <v>0</v>
      </c>
      <c r="BK176" s="356"/>
      <c r="BL176" s="233"/>
      <c r="BM176" s="227"/>
      <c r="BN176" s="357"/>
      <c r="BO176" s="355">
        <v>0</v>
      </c>
      <c r="BP176" s="356"/>
      <c r="BQ176" s="233"/>
      <c r="BR176" s="227"/>
      <c r="BS176" s="357"/>
      <c r="BT176" s="355">
        <f>SUM(L176:BO176)</f>
        <v>0</v>
      </c>
      <c r="BU176" s="356"/>
      <c r="BV176" s="233"/>
      <c r="BW176" s="233"/>
      <c r="BX176" s="254"/>
      <c r="CA176" s="268"/>
      <c r="CB176" s="268"/>
    </row>
    <row r="177" spans="1:80" ht="14.25" customHeight="1" x14ac:dyDescent="0.2">
      <c r="A177" s="244"/>
      <c r="B177" s="244"/>
      <c r="C177" s="244"/>
      <c r="D177" s="360"/>
      <c r="E177" s="361"/>
      <c r="F177" s="247"/>
      <c r="G177" s="362"/>
      <c r="H177" s="362"/>
      <c r="I177" s="362"/>
      <c r="J177" s="363"/>
      <c r="K177" s="362"/>
      <c r="L177" s="362"/>
      <c r="M177" s="362"/>
      <c r="N177" s="362"/>
      <c r="O177" s="363"/>
      <c r="P177" s="362"/>
      <c r="Q177" s="362"/>
      <c r="R177" s="362"/>
      <c r="S177" s="362"/>
      <c r="T177" s="363"/>
      <c r="U177" s="362"/>
      <c r="V177" s="362"/>
      <c r="W177" s="362"/>
      <c r="X177" s="362"/>
      <c r="Y177" s="363"/>
      <c r="Z177" s="362"/>
      <c r="AA177" s="362"/>
      <c r="AB177" s="362"/>
      <c r="AC177" s="362"/>
      <c r="AD177" s="363"/>
      <c r="AE177" s="362"/>
      <c r="AF177" s="362"/>
      <c r="AG177" s="362"/>
      <c r="AH177" s="362"/>
      <c r="AI177" s="363"/>
      <c r="AJ177" s="362"/>
      <c r="AK177" s="362"/>
      <c r="AL177" s="362"/>
      <c r="AM177" s="362"/>
      <c r="AN177" s="363"/>
      <c r="AO177" s="362"/>
      <c r="AP177" s="362"/>
      <c r="AQ177" s="362"/>
      <c r="AR177" s="362"/>
      <c r="AS177" s="363"/>
      <c r="AT177" s="362"/>
      <c r="AU177" s="362"/>
      <c r="AV177" s="362"/>
      <c r="AW177" s="362"/>
      <c r="AX177" s="363"/>
      <c r="AY177" s="362"/>
      <c r="AZ177" s="362"/>
      <c r="BA177" s="362"/>
      <c r="BB177" s="362"/>
      <c r="BC177" s="363"/>
      <c r="BD177" s="362"/>
      <c r="BE177" s="362"/>
      <c r="BF177" s="362"/>
      <c r="BG177" s="362"/>
      <c r="BH177" s="363"/>
      <c r="BI177" s="362"/>
      <c r="BJ177" s="362"/>
      <c r="BK177" s="362"/>
      <c r="BL177" s="362"/>
      <c r="BM177" s="363"/>
      <c r="BN177" s="362"/>
      <c r="BO177" s="362"/>
      <c r="BP177" s="362"/>
      <c r="BQ177" s="362"/>
      <c r="BR177" s="363"/>
      <c r="BS177" s="362"/>
      <c r="BT177" s="362"/>
      <c r="BU177" s="362"/>
      <c r="BV177" s="362"/>
      <c r="BW177" s="364"/>
      <c r="BX177" s="254"/>
      <c r="CA177" s="268"/>
      <c r="CB177" s="268"/>
    </row>
    <row r="178" spans="1:80" ht="7.5" customHeight="1" x14ac:dyDescent="0.2">
      <c r="A178" s="244"/>
      <c r="B178" s="244"/>
      <c r="C178" s="244"/>
      <c r="D178" s="244"/>
      <c r="E178" s="244"/>
      <c r="F178" s="244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44"/>
      <c r="CA178" s="268"/>
      <c r="CB178" s="268"/>
    </row>
    <row r="179" spans="1:80" ht="12" customHeight="1" x14ac:dyDescent="0.2">
      <c r="A179" s="244"/>
      <c r="B179" s="244"/>
      <c r="C179" s="233"/>
      <c r="D179" s="365"/>
      <c r="E179" s="244"/>
      <c r="F179" s="244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44"/>
      <c r="BY179" s="244"/>
      <c r="CA179" s="268"/>
      <c r="CB179" s="268"/>
    </row>
    <row r="180" spans="1:80" x14ac:dyDescent="0.2">
      <c r="A180" s="244"/>
      <c r="B180" s="244"/>
      <c r="C180" s="244"/>
      <c r="D180" s="244"/>
      <c r="E180" s="366"/>
      <c r="F180" s="366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44"/>
      <c r="CA180" s="268"/>
      <c r="CB180" s="268"/>
    </row>
    <row r="181" spans="1:80" ht="15.75" x14ac:dyDescent="0.25">
      <c r="A181" s="244"/>
      <c r="B181" s="244"/>
      <c r="C181" s="244"/>
      <c r="D181" s="319" t="s">
        <v>344</v>
      </c>
      <c r="E181" s="319"/>
      <c r="F181" s="319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362"/>
      <c r="AZ181" s="362"/>
      <c r="BA181" s="362"/>
      <c r="BB181" s="362"/>
      <c r="BC181" s="362"/>
      <c r="BD181" s="362"/>
      <c r="BE181" s="362"/>
      <c r="BF181" s="362"/>
      <c r="BG181" s="362"/>
      <c r="BH181" s="362"/>
      <c r="BI181" s="362"/>
      <c r="BJ181" s="362"/>
      <c r="BK181" s="362"/>
      <c r="BL181" s="362"/>
      <c r="BM181" s="362"/>
      <c r="BN181" s="362"/>
      <c r="BO181" s="362"/>
      <c r="BP181" s="362"/>
      <c r="BQ181" s="362"/>
      <c r="BR181" s="362"/>
      <c r="BS181" s="362"/>
      <c r="BT181" s="362"/>
      <c r="BU181" s="362"/>
      <c r="BV181" s="362"/>
      <c r="BW181" s="362"/>
      <c r="BX181" s="244"/>
      <c r="CA181" s="268"/>
      <c r="CB181" s="268"/>
    </row>
    <row r="182" spans="1:80" ht="15" customHeight="1" x14ac:dyDescent="0.2">
      <c r="A182" s="244"/>
      <c r="B182" s="244"/>
      <c r="D182" s="367"/>
      <c r="E182" s="284"/>
      <c r="F182" s="287"/>
      <c r="G182" s="664" t="str">
        <f>G3</f>
        <v>2019/20</v>
      </c>
      <c r="H182" s="692"/>
      <c r="I182" s="692"/>
      <c r="J182" s="692"/>
      <c r="K182" s="692"/>
      <c r="L182" s="692"/>
      <c r="M182" s="692"/>
      <c r="N182" s="692"/>
      <c r="O182" s="692"/>
      <c r="P182" s="692"/>
      <c r="Q182" s="692"/>
      <c r="R182" s="692"/>
      <c r="S182" s="692"/>
      <c r="T182" s="692"/>
      <c r="U182" s="692"/>
      <c r="V182" s="692"/>
      <c r="W182" s="692"/>
      <c r="X182" s="692"/>
      <c r="Y182" s="692"/>
      <c r="Z182" s="692"/>
      <c r="AA182" s="692"/>
      <c r="AB182" s="692"/>
      <c r="AC182" s="692"/>
      <c r="AD182" s="692"/>
      <c r="AE182" s="692"/>
      <c r="AF182" s="692"/>
      <c r="AG182" s="692"/>
      <c r="AH182" s="692"/>
      <c r="AI182" s="692"/>
      <c r="AJ182" s="692"/>
      <c r="AK182" s="692"/>
      <c r="AL182" s="692"/>
      <c r="AM182" s="692"/>
      <c r="AN182" s="692"/>
      <c r="AO182" s="692"/>
      <c r="AP182" s="692"/>
      <c r="AQ182" s="692"/>
      <c r="AR182" s="692"/>
      <c r="AS182" s="692"/>
      <c r="AT182" s="692"/>
      <c r="AU182" s="692"/>
      <c r="AV182" s="692"/>
      <c r="AW182" s="692"/>
      <c r="AX182" s="692"/>
      <c r="AY182" s="692"/>
      <c r="AZ182" s="692"/>
      <c r="BA182" s="692"/>
      <c r="BB182" s="692"/>
      <c r="BC182" s="692"/>
      <c r="BD182" s="692"/>
      <c r="BE182" s="692"/>
      <c r="BF182" s="692"/>
      <c r="BG182" s="692"/>
      <c r="BH182" s="692"/>
      <c r="BI182" s="692"/>
      <c r="BJ182" s="692"/>
      <c r="BK182" s="692"/>
      <c r="BL182" s="692"/>
      <c r="BM182" s="692"/>
      <c r="BN182" s="692"/>
      <c r="BO182" s="692"/>
      <c r="BP182" s="692"/>
      <c r="BQ182" s="692"/>
      <c r="BR182" s="692"/>
      <c r="BS182" s="692"/>
      <c r="BT182" s="692"/>
      <c r="BU182" s="368"/>
      <c r="BV182" s="368"/>
      <c r="BW182" s="370"/>
      <c r="BX182" s="254"/>
      <c r="CA182" s="268"/>
      <c r="CB182" s="268"/>
    </row>
    <row r="183" spans="1:80" ht="18" customHeight="1" x14ac:dyDescent="0.2">
      <c r="A183" s="244"/>
      <c r="B183" s="244"/>
      <c r="D183" s="38"/>
      <c r="F183" s="244"/>
      <c r="G183" s="31" t="str">
        <f>G4</f>
        <v>Revised</v>
      </c>
      <c r="H183" s="17"/>
      <c r="I183" s="17"/>
      <c r="J183" s="14"/>
      <c r="K183" s="17"/>
      <c r="L183" s="17" t="s">
        <v>2</v>
      </c>
      <c r="M183" s="17"/>
      <c r="N183" s="17"/>
      <c r="O183" s="14"/>
      <c r="P183" s="17"/>
      <c r="Q183" s="17" t="s">
        <v>3</v>
      </c>
      <c r="R183" s="17"/>
      <c r="S183" s="17"/>
      <c r="T183" s="14"/>
      <c r="U183" s="17"/>
      <c r="V183" s="17" t="s">
        <v>167</v>
      </c>
      <c r="W183" s="17"/>
      <c r="X183" s="17"/>
      <c r="Y183" s="14"/>
      <c r="Z183" s="17"/>
      <c r="AA183" s="17" t="s">
        <v>5</v>
      </c>
      <c r="AB183" s="17"/>
      <c r="AC183" s="17"/>
      <c r="AD183" s="14"/>
      <c r="AE183" s="17"/>
      <c r="AF183" s="17" t="s">
        <v>6</v>
      </c>
      <c r="AG183" s="17"/>
      <c r="AH183" s="17"/>
      <c r="AI183" s="14"/>
      <c r="AJ183" s="17"/>
      <c r="AK183" s="17" t="s">
        <v>7</v>
      </c>
      <c r="AL183" s="17"/>
      <c r="AM183" s="17"/>
      <c r="AN183" s="14"/>
      <c r="AO183" s="17"/>
      <c r="AP183" s="17" t="s">
        <v>8</v>
      </c>
      <c r="AQ183" s="17"/>
      <c r="AR183" s="17"/>
      <c r="AS183" s="14"/>
      <c r="AT183" s="17"/>
      <c r="AU183" s="17" t="s">
        <v>9</v>
      </c>
      <c r="AV183" s="17"/>
      <c r="AW183" s="17"/>
      <c r="AX183" s="14"/>
      <c r="AY183" s="17"/>
      <c r="AZ183" s="17" t="s">
        <v>10</v>
      </c>
      <c r="BA183" s="17"/>
      <c r="BB183" s="17"/>
      <c r="BC183" s="14"/>
      <c r="BD183" s="17"/>
      <c r="BE183" s="17" t="s">
        <v>11</v>
      </c>
      <c r="BF183" s="17"/>
      <c r="BG183" s="17"/>
      <c r="BH183" s="14"/>
      <c r="BI183" s="31"/>
      <c r="BJ183" s="31" t="s">
        <v>12</v>
      </c>
      <c r="BK183" s="31"/>
      <c r="BL183" s="12"/>
      <c r="BM183" s="14"/>
      <c r="BN183" s="31"/>
      <c r="BO183" s="31" t="s">
        <v>13</v>
      </c>
      <c r="BP183" s="31"/>
      <c r="BQ183" s="12"/>
      <c r="BR183" s="14"/>
      <c r="BS183" s="31"/>
      <c r="BT183" s="17" t="s">
        <v>14</v>
      </c>
      <c r="BU183" s="17"/>
      <c r="BV183" s="17"/>
      <c r="BW183" s="17"/>
      <c r="BX183" s="254"/>
      <c r="CA183" s="268"/>
      <c r="CB183" s="268"/>
    </row>
    <row r="184" spans="1:80" x14ac:dyDescent="0.2">
      <c r="A184" s="244"/>
      <c r="B184" s="244"/>
      <c r="D184" s="256" t="s">
        <v>15</v>
      </c>
      <c r="E184" s="324"/>
      <c r="F184" s="325"/>
      <c r="G184" s="79" t="s">
        <v>16</v>
      </c>
      <c r="H184" s="79"/>
      <c r="I184" s="20"/>
      <c r="J184" s="78"/>
      <c r="K184" s="79"/>
      <c r="L184" s="79"/>
      <c r="M184" s="79"/>
      <c r="N184" s="79"/>
      <c r="O184" s="78"/>
      <c r="P184" s="79"/>
      <c r="Q184" s="79"/>
      <c r="R184" s="79"/>
      <c r="S184" s="79"/>
      <c r="T184" s="78"/>
      <c r="U184" s="79"/>
      <c r="V184" s="79"/>
      <c r="W184" s="79"/>
      <c r="X184" s="79"/>
      <c r="Y184" s="78"/>
      <c r="Z184" s="79"/>
      <c r="AA184" s="79"/>
      <c r="AB184" s="79"/>
      <c r="AC184" s="79"/>
      <c r="AD184" s="78"/>
      <c r="AE184" s="79"/>
      <c r="AF184" s="79"/>
      <c r="AG184" s="79"/>
      <c r="AH184" s="79"/>
      <c r="AI184" s="78"/>
      <c r="AJ184" s="79"/>
      <c r="AK184" s="79"/>
      <c r="AL184" s="79"/>
      <c r="AM184" s="79"/>
      <c r="AN184" s="78"/>
      <c r="AO184" s="79"/>
      <c r="AP184" s="79"/>
      <c r="AQ184" s="79"/>
      <c r="AR184" s="79"/>
      <c r="AS184" s="78"/>
      <c r="AT184" s="79"/>
      <c r="AU184" s="79"/>
      <c r="AV184" s="79"/>
      <c r="AW184" s="79"/>
      <c r="AX184" s="78"/>
      <c r="AY184" s="79"/>
      <c r="AZ184" s="79"/>
      <c r="BA184" s="79"/>
      <c r="BB184" s="79"/>
      <c r="BC184" s="78"/>
      <c r="BD184" s="79"/>
      <c r="BE184" s="79"/>
      <c r="BF184" s="79"/>
      <c r="BG184" s="79"/>
      <c r="BH184" s="78"/>
      <c r="BI184" s="79"/>
      <c r="BJ184" s="79"/>
      <c r="BK184" s="79"/>
      <c r="BL184" s="20"/>
      <c r="BM184" s="78"/>
      <c r="BN184" s="79"/>
      <c r="BO184" s="79"/>
      <c r="BP184" s="79"/>
      <c r="BQ184" s="20"/>
      <c r="BR184" s="78"/>
      <c r="BS184" s="79"/>
      <c r="BT184" s="79"/>
      <c r="BU184" s="79"/>
      <c r="BV184" s="20"/>
      <c r="BW184" s="259"/>
      <c r="BX184" s="254"/>
      <c r="CA184" s="268"/>
      <c r="CB184" s="268"/>
    </row>
    <row r="185" spans="1:80" x14ac:dyDescent="0.2">
      <c r="A185" s="244"/>
      <c r="B185" s="244"/>
      <c r="D185" s="254"/>
      <c r="E185" s="371"/>
      <c r="F185" s="119"/>
      <c r="G185" s="233"/>
      <c r="H185" s="233"/>
      <c r="I185" s="233"/>
      <c r="J185" s="227"/>
      <c r="K185" s="119"/>
      <c r="L185" s="233"/>
      <c r="M185" s="233"/>
      <c r="N185" s="233"/>
      <c r="O185" s="227"/>
      <c r="P185" s="119"/>
      <c r="Q185" s="233"/>
      <c r="R185" s="233"/>
      <c r="S185" s="233"/>
      <c r="T185" s="227"/>
      <c r="U185" s="119"/>
      <c r="V185" s="233"/>
      <c r="W185" s="233"/>
      <c r="X185" s="233"/>
      <c r="Y185" s="227"/>
      <c r="Z185" s="119"/>
      <c r="AA185" s="233"/>
      <c r="AB185" s="233"/>
      <c r="AC185" s="233"/>
      <c r="AD185" s="227"/>
      <c r="AE185" s="119"/>
      <c r="AF185" s="233"/>
      <c r="AG185" s="233"/>
      <c r="AH185" s="233"/>
      <c r="AI185" s="227"/>
      <c r="AJ185" s="119"/>
      <c r="AK185" s="233"/>
      <c r="AL185" s="233"/>
      <c r="AM185" s="233"/>
      <c r="AN185" s="227"/>
      <c r="AO185" s="119"/>
      <c r="AP185" s="233"/>
      <c r="AQ185" s="233"/>
      <c r="AR185" s="233"/>
      <c r="AS185" s="227"/>
      <c r="AT185" s="119"/>
      <c r="AU185" s="233"/>
      <c r="AV185" s="233"/>
      <c r="AW185" s="233"/>
      <c r="AX185" s="227"/>
      <c r="AY185" s="119"/>
      <c r="AZ185" s="233"/>
      <c r="BA185" s="233"/>
      <c r="BB185" s="233"/>
      <c r="BC185" s="227"/>
      <c r="BD185" s="119"/>
      <c r="BE185" s="233"/>
      <c r="BF185" s="233"/>
      <c r="BG185" s="233"/>
      <c r="BH185" s="227"/>
      <c r="BI185" s="119"/>
      <c r="BJ185" s="233"/>
      <c r="BK185" s="233"/>
      <c r="BL185" s="233"/>
      <c r="BM185" s="227"/>
      <c r="BN185" s="119"/>
      <c r="BO185" s="233"/>
      <c r="BP185" s="233"/>
      <c r="BQ185" s="233"/>
      <c r="BR185" s="227"/>
      <c r="BS185" s="119"/>
      <c r="BT185" s="233"/>
      <c r="BU185" s="233"/>
      <c r="BV185" s="233"/>
      <c r="BW185" s="233"/>
      <c r="BX185" s="254"/>
      <c r="CA185" s="268"/>
      <c r="CB185" s="268"/>
    </row>
    <row r="186" spans="1:80" x14ac:dyDescent="0.2">
      <c r="A186" s="244"/>
      <c r="B186" s="244"/>
      <c r="D186" s="254" t="s">
        <v>345</v>
      </c>
      <c r="F186" s="287"/>
      <c r="G186" s="355">
        <v>0</v>
      </c>
      <c r="H186" s="355"/>
      <c r="I186" s="233"/>
      <c r="J186" s="227"/>
      <c r="K186" s="287"/>
      <c r="L186" s="355">
        <f>SUM(L187:L198)</f>
        <v>0</v>
      </c>
      <c r="M186" s="355"/>
      <c r="N186" s="233"/>
      <c r="O186" s="227"/>
      <c r="P186" s="287"/>
      <c r="Q186" s="355">
        <f>SUM(Q187:Q198)</f>
        <v>0</v>
      </c>
      <c r="R186" s="355"/>
      <c r="S186" s="233"/>
      <c r="T186" s="227"/>
      <c r="U186" s="287"/>
      <c r="V186" s="355">
        <f>SUM(V187:V198)</f>
        <v>0</v>
      </c>
      <c r="W186" s="355"/>
      <c r="X186" s="233"/>
      <c r="Y186" s="227"/>
      <c r="Z186" s="287"/>
      <c r="AA186" s="355">
        <f>SUM(AA187:AA198)</f>
        <v>0</v>
      </c>
      <c r="AB186" s="355"/>
      <c r="AC186" s="233"/>
      <c r="AD186" s="227"/>
      <c r="AE186" s="287"/>
      <c r="AF186" s="355">
        <f>SUM(AF187:AF198)</f>
        <v>0</v>
      </c>
      <c r="AG186" s="355"/>
      <c r="AH186" s="233"/>
      <c r="AI186" s="227"/>
      <c r="AJ186" s="287"/>
      <c r="AK186" s="355">
        <f>SUM(AK187:AK198)</f>
        <v>10627</v>
      </c>
      <c r="AL186" s="355"/>
      <c r="AM186" s="233"/>
      <c r="AN186" s="227"/>
      <c r="AO186" s="287"/>
      <c r="AP186" s="355">
        <f>SUM(AP187:AP198)</f>
        <v>0</v>
      </c>
      <c r="AQ186" s="355"/>
      <c r="AR186" s="233"/>
      <c r="AS186" s="227"/>
      <c r="AT186" s="287"/>
      <c r="AU186" s="355">
        <f>SUM(AU187:AU198)</f>
        <v>0</v>
      </c>
      <c r="AV186" s="355"/>
      <c r="AW186" s="233"/>
      <c r="AX186" s="227"/>
      <c r="AY186" s="287"/>
      <c r="AZ186" s="355">
        <f>SUM(AZ187:AZ198)</f>
        <v>0</v>
      </c>
      <c r="BA186" s="355"/>
      <c r="BB186" s="233"/>
      <c r="BC186" s="227"/>
      <c r="BD186" s="287"/>
      <c r="BE186" s="355">
        <f>SUM(BE187:BE198)</f>
        <v>0</v>
      </c>
      <c r="BF186" s="355"/>
      <c r="BG186" s="233"/>
      <c r="BH186" s="227"/>
      <c r="BI186" s="287"/>
      <c r="BJ186" s="355">
        <f>SUM(BJ187:BJ198)</f>
        <v>0</v>
      </c>
      <c r="BK186" s="355"/>
      <c r="BL186" s="233"/>
      <c r="BM186" s="227"/>
      <c r="BN186" s="287"/>
      <c r="BO186" s="355">
        <f>SUM(BO187:BO198)</f>
        <v>0</v>
      </c>
      <c r="BP186" s="355"/>
      <c r="BQ186" s="233"/>
      <c r="BR186" s="227"/>
      <c r="BS186" s="287"/>
      <c r="BT186" s="355">
        <f>SUM(BT187:BT198)</f>
        <v>10627</v>
      </c>
      <c r="BU186" s="355"/>
      <c r="BV186" s="233"/>
      <c r="BW186" s="233"/>
      <c r="BX186" s="254"/>
      <c r="CA186" s="268"/>
      <c r="CB186" s="268"/>
    </row>
    <row r="187" spans="1:80" hidden="1" x14ac:dyDescent="0.2">
      <c r="A187" s="244"/>
      <c r="B187" s="244"/>
      <c r="D187" s="254" t="s">
        <v>346</v>
      </c>
      <c r="F187" s="269"/>
      <c r="G187" s="343">
        <v>0</v>
      </c>
      <c r="H187" s="344"/>
      <c r="I187" s="233"/>
      <c r="J187" s="227"/>
      <c r="K187" s="269"/>
      <c r="L187" s="343">
        <v>0</v>
      </c>
      <c r="M187" s="344"/>
      <c r="N187" s="233"/>
      <c r="O187" s="227"/>
      <c r="P187" s="269"/>
      <c r="Q187" s="343">
        <v>0</v>
      </c>
      <c r="R187" s="344"/>
      <c r="S187" s="233"/>
      <c r="T187" s="227"/>
      <c r="U187" s="287"/>
      <c r="V187" s="343">
        <v>0</v>
      </c>
      <c r="W187" s="355"/>
      <c r="X187" s="233"/>
      <c r="Y187" s="227"/>
      <c r="Z187" s="269"/>
      <c r="AA187" s="343">
        <v>0</v>
      </c>
      <c r="AB187" s="344"/>
      <c r="AC187" s="233"/>
      <c r="AD187" s="227"/>
      <c r="AE187" s="269"/>
      <c r="AF187" s="343">
        <v>0</v>
      </c>
      <c r="AG187" s="344"/>
      <c r="AH187" s="233"/>
      <c r="AI187" s="227"/>
      <c r="AJ187" s="269"/>
      <c r="AK187" s="343">
        <v>0</v>
      </c>
      <c r="AL187" s="344"/>
      <c r="AM187" s="233"/>
      <c r="AN187" s="227"/>
      <c r="AO187" s="269"/>
      <c r="AP187" s="343">
        <v>0</v>
      </c>
      <c r="AQ187" s="344"/>
      <c r="AR187" s="233"/>
      <c r="AS187" s="227"/>
      <c r="AT187" s="269"/>
      <c r="AU187" s="343">
        <v>0</v>
      </c>
      <c r="AV187" s="344"/>
      <c r="AW187" s="233"/>
      <c r="AX187" s="227"/>
      <c r="AY187" s="269"/>
      <c r="AZ187" s="343">
        <v>0</v>
      </c>
      <c r="BA187" s="344"/>
      <c r="BB187" s="233"/>
      <c r="BC187" s="227"/>
      <c r="BD187" s="269"/>
      <c r="BE187" s="343">
        <v>0</v>
      </c>
      <c r="BF187" s="344"/>
      <c r="BG187" s="233"/>
      <c r="BH187" s="227"/>
      <c r="BI187" s="269"/>
      <c r="BJ187" s="343">
        <v>0</v>
      </c>
      <c r="BK187" s="344"/>
      <c r="BL187" s="233"/>
      <c r="BM187" s="227"/>
      <c r="BN187" s="269"/>
      <c r="BO187" s="343">
        <v>0</v>
      </c>
      <c r="BP187" s="344"/>
      <c r="BQ187" s="233"/>
      <c r="BR187" s="227"/>
      <c r="BS187" s="269"/>
      <c r="BT187" s="343">
        <f t="shared" ref="BT187:BT198" si="0">SUM(L187:BO187)</f>
        <v>0</v>
      </c>
      <c r="BU187" s="344"/>
      <c r="BV187" s="233"/>
      <c r="BW187" s="233"/>
      <c r="BX187" s="254"/>
      <c r="CA187" s="268"/>
      <c r="CB187" s="268"/>
    </row>
    <row r="188" spans="1:80" hidden="1" x14ac:dyDescent="0.2">
      <c r="A188" s="244"/>
      <c r="B188" s="244"/>
      <c r="D188" s="254" t="s">
        <v>347</v>
      </c>
      <c r="F188" s="261"/>
      <c r="G188" s="233">
        <v>0</v>
      </c>
      <c r="H188" s="347"/>
      <c r="I188" s="233"/>
      <c r="J188" s="227"/>
      <c r="K188" s="261"/>
      <c r="L188" s="233">
        <v>0</v>
      </c>
      <c r="M188" s="347"/>
      <c r="N188" s="233"/>
      <c r="O188" s="227"/>
      <c r="P188" s="261"/>
      <c r="Q188" s="233">
        <v>0</v>
      </c>
      <c r="R188" s="347"/>
      <c r="S188" s="233"/>
      <c r="T188" s="227"/>
      <c r="U188" s="261"/>
      <c r="V188" s="233">
        <v>0</v>
      </c>
      <c r="W188" s="347"/>
      <c r="X188" s="233"/>
      <c r="Y188" s="227"/>
      <c r="Z188" s="261"/>
      <c r="AA188" s="233">
        <v>0</v>
      </c>
      <c r="AB188" s="347"/>
      <c r="AC188" s="233"/>
      <c r="AD188" s="227"/>
      <c r="AE188" s="261"/>
      <c r="AF188" s="233">
        <v>0</v>
      </c>
      <c r="AG188" s="347"/>
      <c r="AH188" s="233"/>
      <c r="AI188" s="227"/>
      <c r="AJ188" s="261"/>
      <c r="AK188" s="233">
        <v>0</v>
      </c>
      <c r="AL188" s="347"/>
      <c r="AM188" s="233"/>
      <c r="AN188" s="227"/>
      <c r="AO188" s="261"/>
      <c r="AP188" s="233">
        <v>0</v>
      </c>
      <c r="AQ188" s="347"/>
      <c r="AR188" s="233"/>
      <c r="AS188" s="227"/>
      <c r="AT188" s="261"/>
      <c r="AU188" s="233">
        <v>0</v>
      </c>
      <c r="AV188" s="347"/>
      <c r="AW188" s="233"/>
      <c r="AX188" s="227"/>
      <c r="AY188" s="261"/>
      <c r="AZ188" s="233">
        <v>0</v>
      </c>
      <c r="BA188" s="347"/>
      <c r="BB188" s="233"/>
      <c r="BC188" s="227"/>
      <c r="BD188" s="261"/>
      <c r="BE188" s="233">
        <v>0</v>
      </c>
      <c r="BF188" s="347"/>
      <c r="BG188" s="233"/>
      <c r="BH188" s="227"/>
      <c r="BI188" s="261"/>
      <c r="BJ188" s="233">
        <v>0</v>
      </c>
      <c r="BK188" s="347"/>
      <c r="BL188" s="233"/>
      <c r="BM188" s="227"/>
      <c r="BN188" s="261"/>
      <c r="BO188" s="233">
        <v>0</v>
      </c>
      <c r="BP188" s="347"/>
      <c r="BQ188" s="233"/>
      <c r="BR188" s="227"/>
      <c r="BS188" s="261"/>
      <c r="BT188" s="233">
        <f t="shared" si="0"/>
        <v>0</v>
      </c>
      <c r="BU188" s="347"/>
      <c r="BV188" s="233"/>
      <c r="BW188" s="233"/>
      <c r="BX188" s="254"/>
      <c r="CA188" s="268"/>
      <c r="CB188" s="268"/>
    </row>
    <row r="189" spans="1:80" hidden="1" x14ac:dyDescent="0.2">
      <c r="A189" s="244"/>
      <c r="B189" s="244"/>
      <c r="D189" s="254" t="s">
        <v>348</v>
      </c>
      <c r="F189" s="261"/>
      <c r="G189" s="233">
        <v>0</v>
      </c>
      <c r="H189" s="347"/>
      <c r="I189" s="233"/>
      <c r="J189" s="227"/>
      <c r="K189" s="261"/>
      <c r="L189" s="233">
        <v>0</v>
      </c>
      <c r="M189" s="347"/>
      <c r="N189" s="233"/>
      <c r="O189" s="227"/>
      <c r="P189" s="261"/>
      <c r="Q189" s="233">
        <v>0</v>
      </c>
      <c r="R189" s="347"/>
      <c r="S189" s="233"/>
      <c r="T189" s="227"/>
      <c r="U189" s="261"/>
      <c r="V189" s="233">
        <v>0</v>
      </c>
      <c r="W189" s="347"/>
      <c r="X189" s="233"/>
      <c r="Y189" s="227"/>
      <c r="Z189" s="261"/>
      <c r="AA189" s="233">
        <v>0</v>
      </c>
      <c r="AB189" s="347"/>
      <c r="AC189" s="233"/>
      <c r="AD189" s="227"/>
      <c r="AE189" s="261"/>
      <c r="AF189" s="233">
        <v>0</v>
      </c>
      <c r="AG189" s="347"/>
      <c r="AH189" s="233"/>
      <c r="AI189" s="227"/>
      <c r="AJ189" s="261"/>
      <c r="AK189" s="233">
        <v>0</v>
      </c>
      <c r="AL189" s="347"/>
      <c r="AM189" s="233"/>
      <c r="AN189" s="227"/>
      <c r="AO189" s="261"/>
      <c r="AP189" s="233">
        <v>0</v>
      </c>
      <c r="AQ189" s="347"/>
      <c r="AR189" s="233"/>
      <c r="AS189" s="227"/>
      <c r="AT189" s="261"/>
      <c r="AU189" s="233">
        <v>0</v>
      </c>
      <c r="AV189" s="347"/>
      <c r="AW189" s="233"/>
      <c r="AX189" s="227"/>
      <c r="AY189" s="261"/>
      <c r="AZ189" s="233">
        <v>0</v>
      </c>
      <c r="BA189" s="347"/>
      <c r="BB189" s="233"/>
      <c r="BC189" s="227"/>
      <c r="BD189" s="261"/>
      <c r="BE189" s="233">
        <v>0</v>
      </c>
      <c r="BF189" s="347"/>
      <c r="BG189" s="233"/>
      <c r="BH189" s="227"/>
      <c r="BI189" s="261"/>
      <c r="BJ189" s="233">
        <v>0</v>
      </c>
      <c r="BK189" s="347"/>
      <c r="BL189" s="233"/>
      <c r="BM189" s="227"/>
      <c r="BN189" s="261"/>
      <c r="BO189" s="233">
        <v>0</v>
      </c>
      <c r="BP189" s="347"/>
      <c r="BQ189" s="233"/>
      <c r="BR189" s="227"/>
      <c r="BS189" s="261"/>
      <c r="BT189" s="233">
        <f>SUM(L189:BO189)</f>
        <v>0</v>
      </c>
      <c r="BU189" s="347"/>
      <c r="BV189" s="233"/>
      <c r="BW189" s="233"/>
      <c r="BX189" s="254"/>
      <c r="CA189" s="268"/>
      <c r="CB189" s="268"/>
    </row>
    <row r="190" spans="1:80" hidden="1" x14ac:dyDescent="0.2">
      <c r="A190" s="244"/>
      <c r="B190" s="244"/>
      <c r="D190" s="254" t="s">
        <v>349</v>
      </c>
      <c r="F190" s="261"/>
      <c r="G190" s="233">
        <v>0</v>
      </c>
      <c r="H190" s="347"/>
      <c r="I190" s="233"/>
      <c r="J190" s="227"/>
      <c r="K190" s="261"/>
      <c r="L190" s="233">
        <v>0</v>
      </c>
      <c r="M190" s="347"/>
      <c r="N190" s="233"/>
      <c r="O190" s="227"/>
      <c r="P190" s="261"/>
      <c r="Q190" s="233">
        <v>0</v>
      </c>
      <c r="R190" s="347"/>
      <c r="S190" s="233"/>
      <c r="T190" s="227"/>
      <c r="U190" s="261"/>
      <c r="V190" s="233">
        <v>0</v>
      </c>
      <c r="W190" s="347"/>
      <c r="X190" s="233"/>
      <c r="Y190" s="227"/>
      <c r="Z190" s="261"/>
      <c r="AA190" s="233">
        <v>0</v>
      </c>
      <c r="AB190" s="347"/>
      <c r="AC190" s="233"/>
      <c r="AD190" s="227"/>
      <c r="AE190" s="261"/>
      <c r="AF190" s="233">
        <v>0</v>
      </c>
      <c r="AG190" s="347"/>
      <c r="AH190" s="233"/>
      <c r="AI190" s="227"/>
      <c r="AJ190" s="261"/>
      <c r="AK190" s="233">
        <v>0</v>
      </c>
      <c r="AL190" s="347"/>
      <c r="AM190" s="233"/>
      <c r="AN190" s="227"/>
      <c r="AO190" s="261"/>
      <c r="AP190" s="233">
        <v>0</v>
      </c>
      <c r="AQ190" s="347"/>
      <c r="AR190" s="233"/>
      <c r="AS190" s="227"/>
      <c r="AT190" s="261"/>
      <c r="AU190" s="233">
        <v>0</v>
      </c>
      <c r="AV190" s="347"/>
      <c r="AW190" s="233"/>
      <c r="AX190" s="227"/>
      <c r="AY190" s="261"/>
      <c r="AZ190" s="233">
        <v>0</v>
      </c>
      <c r="BA190" s="347"/>
      <c r="BB190" s="233"/>
      <c r="BC190" s="227"/>
      <c r="BD190" s="261"/>
      <c r="BE190" s="233">
        <v>0</v>
      </c>
      <c r="BF190" s="347"/>
      <c r="BG190" s="233"/>
      <c r="BH190" s="227"/>
      <c r="BI190" s="261"/>
      <c r="BJ190" s="233">
        <v>0</v>
      </c>
      <c r="BK190" s="347"/>
      <c r="BL190" s="233"/>
      <c r="BM190" s="227"/>
      <c r="BN190" s="261"/>
      <c r="BO190" s="233">
        <v>0</v>
      </c>
      <c r="BP190" s="347"/>
      <c r="BQ190" s="233"/>
      <c r="BR190" s="227"/>
      <c r="BS190" s="261"/>
      <c r="BT190" s="233">
        <f t="shared" si="0"/>
        <v>0</v>
      </c>
      <c r="BU190" s="347"/>
      <c r="BV190" s="233"/>
      <c r="BW190" s="233"/>
      <c r="BX190" s="254"/>
      <c r="CA190" s="268"/>
      <c r="CB190" s="268"/>
    </row>
    <row r="191" spans="1:80" hidden="1" x14ac:dyDescent="0.2">
      <c r="A191" s="244"/>
      <c r="B191" s="244"/>
      <c r="D191" s="254" t="s">
        <v>350</v>
      </c>
      <c r="F191" s="261"/>
      <c r="G191" s="233">
        <v>0</v>
      </c>
      <c r="H191" s="347"/>
      <c r="I191" s="233"/>
      <c r="J191" s="227"/>
      <c r="K191" s="261"/>
      <c r="L191" s="233">
        <v>0</v>
      </c>
      <c r="M191" s="347"/>
      <c r="N191" s="233"/>
      <c r="O191" s="227"/>
      <c r="P191" s="261"/>
      <c r="Q191" s="233">
        <v>0</v>
      </c>
      <c r="R191" s="347"/>
      <c r="S191" s="233"/>
      <c r="T191" s="227"/>
      <c r="U191" s="261"/>
      <c r="V191" s="233">
        <v>0</v>
      </c>
      <c r="W191" s="347"/>
      <c r="X191" s="233"/>
      <c r="Y191" s="227"/>
      <c r="Z191" s="261"/>
      <c r="AA191" s="233">
        <v>0</v>
      </c>
      <c r="AB191" s="347"/>
      <c r="AC191" s="233"/>
      <c r="AD191" s="227"/>
      <c r="AE191" s="261"/>
      <c r="AF191" s="233">
        <v>0</v>
      </c>
      <c r="AG191" s="347"/>
      <c r="AH191" s="233"/>
      <c r="AI191" s="227"/>
      <c r="AJ191" s="261"/>
      <c r="AK191" s="233">
        <v>0</v>
      </c>
      <c r="AL191" s="347"/>
      <c r="AM191" s="233"/>
      <c r="AN191" s="227"/>
      <c r="AO191" s="261"/>
      <c r="AP191" s="233">
        <v>0</v>
      </c>
      <c r="AQ191" s="347"/>
      <c r="AR191" s="233"/>
      <c r="AS191" s="227"/>
      <c r="AT191" s="261"/>
      <c r="AU191" s="233">
        <v>0</v>
      </c>
      <c r="AV191" s="347"/>
      <c r="AW191" s="233"/>
      <c r="AX191" s="227"/>
      <c r="AY191" s="261"/>
      <c r="AZ191" s="233">
        <v>0</v>
      </c>
      <c r="BA191" s="347"/>
      <c r="BB191" s="233"/>
      <c r="BC191" s="227"/>
      <c r="BD191" s="261"/>
      <c r="BE191" s="233">
        <v>0</v>
      </c>
      <c r="BF191" s="347"/>
      <c r="BG191" s="233"/>
      <c r="BH191" s="227"/>
      <c r="BI191" s="261"/>
      <c r="BJ191" s="233">
        <v>0</v>
      </c>
      <c r="BK191" s="347"/>
      <c r="BL191" s="233"/>
      <c r="BM191" s="227"/>
      <c r="BN191" s="261"/>
      <c r="BO191" s="233">
        <v>0</v>
      </c>
      <c r="BP191" s="347"/>
      <c r="BQ191" s="233"/>
      <c r="BR191" s="227"/>
      <c r="BS191" s="261"/>
      <c r="BT191" s="233">
        <f t="shared" si="0"/>
        <v>0</v>
      </c>
      <c r="BU191" s="347"/>
      <c r="BV191" s="233"/>
      <c r="BW191" s="233"/>
      <c r="BX191" s="254"/>
      <c r="CA191" s="268"/>
      <c r="CB191" s="268"/>
    </row>
    <row r="192" spans="1:80" hidden="1" x14ac:dyDescent="0.2">
      <c r="A192" s="244"/>
      <c r="B192" s="244"/>
      <c r="D192" s="254" t="s">
        <v>351</v>
      </c>
      <c r="F192" s="261"/>
      <c r="G192" s="233">
        <v>0</v>
      </c>
      <c r="H192" s="347"/>
      <c r="I192" s="233"/>
      <c r="J192" s="227"/>
      <c r="K192" s="261"/>
      <c r="L192" s="233">
        <v>0</v>
      </c>
      <c r="M192" s="347"/>
      <c r="N192" s="233"/>
      <c r="O192" s="227"/>
      <c r="P192" s="261"/>
      <c r="Q192" s="233">
        <v>0</v>
      </c>
      <c r="R192" s="347"/>
      <c r="S192" s="233"/>
      <c r="T192" s="227"/>
      <c r="U192" s="261"/>
      <c r="V192" s="233">
        <v>0</v>
      </c>
      <c r="W192" s="347"/>
      <c r="X192" s="233"/>
      <c r="Y192" s="227"/>
      <c r="Z192" s="261"/>
      <c r="AA192" s="233">
        <v>0</v>
      </c>
      <c r="AB192" s="347"/>
      <c r="AC192" s="233"/>
      <c r="AD192" s="227"/>
      <c r="AE192" s="261"/>
      <c r="AF192" s="233">
        <v>0</v>
      </c>
      <c r="AG192" s="347"/>
      <c r="AH192" s="233"/>
      <c r="AI192" s="227"/>
      <c r="AJ192" s="261"/>
      <c r="AK192" s="233">
        <v>0</v>
      </c>
      <c r="AL192" s="347"/>
      <c r="AM192" s="233"/>
      <c r="AN192" s="227"/>
      <c r="AO192" s="261"/>
      <c r="AP192" s="233">
        <v>0</v>
      </c>
      <c r="AQ192" s="347"/>
      <c r="AR192" s="233"/>
      <c r="AS192" s="227"/>
      <c r="AT192" s="261"/>
      <c r="AU192" s="233">
        <v>0</v>
      </c>
      <c r="AV192" s="347"/>
      <c r="AW192" s="233"/>
      <c r="AX192" s="227"/>
      <c r="AY192" s="261"/>
      <c r="AZ192" s="233">
        <v>0</v>
      </c>
      <c r="BA192" s="347"/>
      <c r="BB192" s="233"/>
      <c r="BC192" s="227"/>
      <c r="BD192" s="261"/>
      <c r="BE192" s="233">
        <v>0</v>
      </c>
      <c r="BF192" s="347"/>
      <c r="BG192" s="233"/>
      <c r="BH192" s="227"/>
      <c r="BI192" s="261"/>
      <c r="BJ192" s="233">
        <v>0</v>
      </c>
      <c r="BK192" s="347"/>
      <c r="BL192" s="233"/>
      <c r="BM192" s="227"/>
      <c r="BN192" s="261"/>
      <c r="BO192" s="233">
        <v>0</v>
      </c>
      <c r="BP192" s="347"/>
      <c r="BQ192" s="233"/>
      <c r="BR192" s="227"/>
      <c r="BS192" s="261"/>
      <c r="BT192" s="233">
        <f t="shared" si="0"/>
        <v>0</v>
      </c>
      <c r="BU192" s="347"/>
      <c r="BV192" s="233"/>
      <c r="BW192" s="233"/>
      <c r="BX192" s="254"/>
      <c r="CA192" s="268"/>
      <c r="CB192" s="268"/>
    </row>
    <row r="193" spans="1:80" hidden="1" x14ac:dyDescent="0.2">
      <c r="A193" s="244"/>
      <c r="B193" s="244"/>
      <c r="D193" s="254" t="s">
        <v>352</v>
      </c>
      <c r="F193" s="261"/>
      <c r="G193" s="233">
        <v>0</v>
      </c>
      <c r="H193" s="347"/>
      <c r="I193" s="233"/>
      <c r="J193" s="227"/>
      <c r="K193" s="261"/>
      <c r="L193" s="233">
        <v>0</v>
      </c>
      <c r="M193" s="347"/>
      <c r="N193" s="233"/>
      <c r="O193" s="227"/>
      <c r="P193" s="261"/>
      <c r="Q193" s="233">
        <v>0</v>
      </c>
      <c r="R193" s="347"/>
      <c r="S193" s="233"/>
      <c r="T193" s="227"/>
      <c r="U193" s="261"/>
      <c r="V193" s="233">
        <v>0</v>
      </c>
      <c r="W193" s="347"/>
      <c r="X193" s="233"/>
      <c r="Y193" s="227"/>
      <c r="Z193" s="261"/>
      <c r="AA193" s="233">
        <v>0</v>
      </c>
      <c r="AB193" s="347"/>
      <c r="AC193" s="233"/>
      <c r="AD193" s="227"/>
      <c r="AE193" s="261"/>
      <c r="AF193" s="233">
        <v>0</v>
      </c>
      <c r="AG193" s="347"/>
      <c r="AH193" s="233"/>
      <c r="AI193" s="227"/>
      <c r="AJ193" s="261"/>
      <c r="AK193" s="233">
        <v>0</v>
      </c>
      <c r="AL193" s="347"/>
      <c r="AM193" s="233"/>
      <c r="AN193" s="227"/>
      <c r="AO193" s="261"/>
      <c r="AP193" s="233">
        <v>0</v>
      </c>
      <c r="AQ193" s="347"/>
      <c r="AR193" s="233"/>
      <c r="AS193" s="227"/>
      <c r="AT193" s="261"/>
      <c r="AU193" s="233">
        <v>0</v>
      </c>
      <c r="AV193" s="347"/>
      <c r="AW193" s="233"/>
      <c r="AX193" s="227"/>
      <c r="AY193" s="261"/>
      <c r="AZ193" s="233">
        <v>0</v>
      </c>
      <c r="BA193" s="347"/>
      <c r="BB193" s="233"/>
      <c r="BC193" s="227"/>
      <c r="BD193" s="261"/>
      <c r="BE193" s="233">
        <v>0</v>
      </c>
      <c r="BF193" s="347"/>
      <c r="BG193" s="233"/>
      <c r="BH193" s="227"/>
      <c r="BI193" s="261"/>
      <c r="BJ193" s="233">
        <v>0</v>
      </c>
      <c r="BK193" s="347"/>
      <c r="BL193" s="233"/>
      <c r="BM193" s="227"/>
      <c r="BN193" s="261"/>
      <c r="BO193" s="233">
        <v>0</v>
      </c>
      <c r="BP193" s="347"/>
      <c r="BQ193" s="233"/>
      <c r="BR193" s="227"/>
      <c r="BS193" s="261"/>
      <c r="BT193" s="233">
        <f t="shared" si="0"/>
        <v>0</v>
      </c>
      <c r="BU193" s="347"/>
      <c r="BV193" s="233"/>
      <c r="BW193" s="233"/>
      <c r="BX193" s="254"/>
      <c r="CA193" s="268"/>
      <c r="CB193" s="268"/>
    </row>
    <row r="194" spans="1:80" hidden="1" x14ac:dyDescent="0.2">
      <c r="A194" s="244"/>
      <c r="B194" s="244"/>
      <c r="D194" s="254" t="s">
        <v>353</v>
      </c>
      <c r="F194" s="261"/>
      <c r="G194" s="233">
        <v>0</v>
      </c>
      <c r="H194" s="347"/>
      <c r="I194" s="233"/>
      <c r="J194" s="227"/>
      <c r="K194" s="261"/>
      <c r="L194" s="233">
        <v>0</v>
      </c>
      <c r="M194" s="347"/>
      <c r="N194" s="233"/>
      <c r="O194" s="227"/>
      <c r="P194" s="261"/>
      <c r="Q194" s="233">
        <v>0</v>
      </c>
      <c r="R194" s="347"/>
      <c r="S194" s="233"/>
      <c r="T194" s="227"/>
      <c r="U194" s="261"/>
      <c r="V194" s="233">
        <v>0</v>
      </c>
      <c r="W194" s="347"/>
      <c r="X194" s="233"/>
      <c r="Y194" s="227"/>
      <c r="Z194" s="261"/>
      <c r="AA194" s="233">
        <v>0</v>
      </c>
      <c r="AB194" s="347"/>
      <c r="AC194" s="233"/>
      <c r="AD194" s="227"/>
      <c r="AE194" s="261"/>
      <c r="AF194" s="233">
        <v>0</v>
      </c>
      <c r="AG194" s="347"/>
      <c r="AH194" s="233"/>
      <c r="AI194" s="227"/>
      <c r="AJ194" s="261"/>
      <c r="AK194" s="233">
        <v>0</v>
      </c>
      <c r="AL194" s="347"/>
      <c r="AM194" s="233"/>
      <c r="AN194" s="227"/>
      <c r="AO194" s="261"/>
      <c r="AP194" s="233">
        <v>0</v>
      </c>
      <c r="AQ194" s="347"/>
      <c r="AR194" s="233"/>
      <c r="AS194" s="227"/>
      <c r="AT194" s="261"/>
      <c r="AU194" s="233">
        <v>0</v>
      </c>
      <c r="AV194" s="347"/>
      <c r="AW194" s="233"/>
      <c r="AX194" s="227"/>
      <c r="AY194" s="261"/>
      <c r="AZ194" s="233">
        <v>0</v>
      </c>
      <c r="BA194" s="347"/>
      <c r="BB194" s="233"/>
      <c r="BC194" s="227"/>
      <c r="BD194" s="261"/>
      <c r="BE194" s="233">
        <v>0</v>
      </c>
      <c r="BF194" s="347"/>
      <c r="BG194" s="233"/>
      <c r="BH194" s="227"/>
      <c r="BI194" s="261"/>
      <c r="BJ194" s="233">
        <v>0</v>
      </c>
      <c r="BK194" s="347"/>
      <c r="BL194" s="233"/>
      <c r="BM194" s="227"/>
      <c r="BN194" s="261"/>
      <c r="BO194" s="233">
        <v>0</v>
      </c>
      <c r="BP194" s="347"/>
      <c r="BQ194" s="233"/>
      <c r="BR194" s="227"/>
      <c r="BS194" s="261"/>
      <c r="BT194" s="233">
        <f t="shared" si="0"/>
        <v>0</v>
      </c>
      <c r="BU194" s="347"/>
      <c r="BV194" s="233"/>
      <c r="BW194" s="233"/>
      <c r="BX194" s="254"/>
      <c r="CA194" s="268"/>
      <c r="CB194" s="268"/>
    </row>
    <row r="195" spans="1:80" hidden="1" x14ac:dyDescent="0.2">
      <c r="A195" s="244"/>
      <c r="B195" s="244"/>
      <c r="D195" s="254" t="s">
        <v>354</v>
      </c>
      <c r="F195" s="261"/>
      <c r="G195" s="233">
        <v>0</v>
      </c>
      <c r="H195" s="347"/>
      <c r="I195" s="233"/>
      <c r="J195" s="227"/>
      <c r="K195" s="261"/>
      <c r="L195" s="233">
        <v>0</v>
      </c>
      <c r="M195" s="347"/>
      <c r="N195" s="233"/>
      <c r="O195" s="227"/>
      <c r="P195" s="261"/>
      <c r="Q195" s="233">
        <v>0</v>
      </c>
      <c r="R195" s="347"/>
      <c r="S195" s="233"/>
      <c r="T195" s="227"/>
      <c r="U195" s="261"/>
      <c r="V195" s="233">
        <v>0</v>
      </c>
      <c r="W195" s="347"/>
      <c r="X195" s="233"/>
      <c r="Y195" s="227"/>
      <c r="Z195" s="261"/>
      <c r="AA195" s="233">
        <v>0</v>
      </c>
      <c r="AB195" s="347"/>
      <c r="AC195" s="233"/>
      <c r="AD195" s="227"/>
      <c r="AE195" s="261"/>
      <c r="AF195" s="233">
        <v>0</v>
      </c>
      <c r="AG195" s="347"/>
      <c r="AH195" s="233"/>
      <c r="AI195" s="227"/>
      <c r="AJ195" s="261"/>
      <c r="AK195" s="233">
        <v>0</v>
      </c>
      <c r="AL195" s="347"/>
      <c r="AM195" s="233"/>
      <c r="AN195" s="227"/>
      <c r="AO195" s="261"/>
      <c r="AP195" s="233">
        <v>0</v>
      </c>
      <c r="AQ195" s="347"/>
      <c r="AR195" s="233"/>
      <c r="AS195" s="227"/>
      <c r="AT195" s="261"/>
      <c r="AU195" s="233">
        <v>0</v>
      </c>
      <c r="AV195" s="347"/>
      <c r="AW195" s="233"/>
      <c r="AX195" s="227"/>
      <c r="AY195" s="261"/>
      <c r="AZ195" s="233">
        <v>0</v>
      </c>
      <c r="BA195" s="347"/>
      <c r="BB195" s="233"/>
      <c r="BC195" s="227"/>
      <c r="BD195" s="261"/>
      <c r="BE195" s="233">
        <v>0</v>
      </c>
      <c r="BF195" s="347"/>
      <c r="BG195" s="233"/>
      <c r="BH195" s="227"/>
      <c r="BI195" s="261"/>
      <c r="BJ195" s="233">
        <v>0</v>
      </c>
      <c r="BK195" s="347"/>
      <c r="BL195" s="233"/>
      <c r="BM195" s="227"/>
      <c r="BN195" s="261"/>
      <c r="BO195" s="233">
        <v>0</v>
      </c>
      <c r="BP195" s="347"/>
      <c r="BQ195" s="233"/>
      <c r="BR195" s="227"/>
      <c r="BS195" s="261"/>
      <c r="BT195" s="233">
        <f t="shared" si="0"/>
        <v>0</v>
      </c>
      <c r="BU195" s="347"/>
      <c r="BV195" s="233"/>
      <c r="BW195" s="233"/>
      <c r="BX195" s="254"/>
      <c r="CA195" s="268"/>
      <c r="CB195" s="268"/>
    </row>
    <row r="196" spans="1:80" x14ac:dyDescent="0.2">
      <c r="A196" s="244"/>
      <c r="B196" s="244"/>
      <c r="D196" s="254" t="s">
        <v>355</v>
      </c>
      <c r="F196" s="284"/>
      <c r="G196" s="355">
        <v>0</v>
      </c>
      <c r="H196" s="356"/>
      <c r="I196" s="233"/>
      <c r="J196" s="227"/>
      <c r="K196" s="284"/>
      <c r="L196" s="355">
        <v>0</v>
      </c>
      <c r="M196" s="356"/>
      <c r="N196" s="233"/>
      <c r="O196" s="227"/>
      <c r="P196" s="284"/>
      <c r="Q196" s="355">
        <v>0</v>
      </c>
      <c r="R196" s="356"/>
      <c r="S196" s="233"/>
      <c r="T196" s="227"/>
      <c r="U196" s="284"/>
      <c r="V196" s="355">
        <v>0</v>
      </c>
      <c r="W196" s="356"/>
      <c r="X196" s="233"/>
      <c r="Y196" s="227"/>
      <c r="Z196" s="284"/>
      <c r="AA196" s="355">
        <v>0</v>
      </c>
      <c r="AB196" s="356"/>
      <c r="AC196" s="233"/>
      <c r="AD196" s="227"/>
      <c r="AE196" s="284"/>
      <c r="AF196" s="355">
        <v>0</v>
      </c>
      <c r="AG196" s="356"/>
      <c r="AH196" s="233"/>
      <c r="AI196" s="227"/>
      <c r="AJ196" s="284"/>
      <c r="AK196" s="355">
        <v>10627</v>
      </c>
      <c r="AL196" s="356"/>
      <c r="AM196" s="233"/>
      <c r="AN196" s="227"/>
      <c r="AO196" s="284"/>
      <c r="AP196" s="355">
        <v>0</v>
      </c>
      <c r="AQ196" s="356"/>
      <c r="AR196" s="233"/>
      <c r="AS196" s="227"/>
      <c r="AT196" s="357"/>
      <c r="AU196" s="355">
        <v>0</v>
      </c>
      <c r="AV196" s="356"/>
      <c r="AW196" s="233"/>
      <c r="AX196" s="227"/>
      <c r="AY196" s="357"/>
      <c r="AZ196" s="355">
        <v>0</v>
      </c>
      <c r="BA196" s="356"/>
      <c r="BB196" s="233"/>
      <c r="BC196" s="227"/>
      <c r="BD196" s="284"/>
      <c r="BE196" s="355">
        <v>0</v>
      </c>
      <c r="BF196" s="356"/>
      <c r="BG196" s="233"/>
      <c r="BH196" s="227"/>
      <c r="BI196" s="357"/>
      <c r="BJ196" s="355">
        <v>0</v>
      </c>
      <c r="BK196" s="356"/>
      <c r="BL196" s="233"/>
      <c r="BM196" s="227"/>
      <c r="BN196" s="357"/>
      <c r="BO196" s="355">
        <v>0</v>
      </c>
      <c r="BP196" s="356"/>
      <c r="BQ196" s="233"/>
      <c r="BR196" s="227"/>
      <c r="BS196" s="284"/>
      <c r="BT196" s="355">
        <f>SUM(L196:BO196)</f>
        <v>10627</v>
      </c>
      <c r="BU196" s="356"/>
      <c r="BV196" s="233"/>
      <c r="BW196" s="233"/>
      <c r="BX196" s="254"/>
      <c r="CA196" s="268"/>
      <c r="CB196" s="268"/>
    </row>
    <row r="197" spans="1:80" ht="12.75" hidden="1" customHeight="1" x14ac:dyDescent="0.2">
      <c r="A197" s="244"/>
      <c r="B197" s="244"/>
      <c r="D197" s="254" t="s">
        <v>356</v>
      </c>
      <c r="F197" s="261"/>
      <c r="G197" s="233">
        <v>0</v>
      </c>
      <c r="H197" s="347"/>
      <c r="I197" s="233"/>
      <c r="J197" s="227"/>
      <c r="K197" s="261"/>
      <c r="L197" s="233">
        <v>0</v>
      </c>
      <c r="M197" s="347"/>
      <c r="N197" s="233"/>
      <c r="O197" s="227"/>
      <c r="P197" s="261"/>
      <c r="Q197" s="233">
        <v>0</v>
      </c>
      <c r="R197" s="347"/>
      <c r="S197" s="233"/>
      <c r="T197" s="227"/>
      <c r="U197" s="261"/>
      <c r="V197" s="233">
        <v>0</v>
      </c>
      <c r="W197" s="347"/>
      <c r="X197" s="233"/>
      <c r="Y197" s="227"/>
      <c r="Z197" s="261"/>
      <c r="AA197" s="233">
        <v>0</v>
      </c>
      <c r="AB197" s="347"/>
      <c r="AC197" s="233"/>
      <c r="AD197" s="227"/>
      <c r="AE197" s="261"/>
      <c r="AF197" s="233">
        <v>0</v>
      </c>
      <c r="AG197" s="347"/>
      <c r="AH197" s="233"/>
      <c r="AI197" s="227"/>
      <c r="AJ197" s="261"/>
      <c r="AK197" s="233">
        <v>0</v>
      </c>
      <c r="AL197" s="347"/>
      <c r="AM197" s="233"/>
      <c r="AN197" s="227"/>
      <c r="AO197" s="261"/>
      <c r="AP197" s="233">
        <v>0</v>
      </c>
      <c r="AQ197" s="347"/>
      <c r="AR197" s="233"/>
      <c r="AS197" s="227"/>
      <c r="AT197" s="261"/>
      <c r="AU197" s="233">
        <v>0</v>
      </c>
      <c r="AV197" s="347"/>
      <c r="AW197" s="233"/>
      <c r="AX197" s="227"/>
      <c r="AY197" s="261"/>
      <c r="AZ197" s="233">
        <v>0</v>
      </c>
      <c r="BA197" s="347"/>
      <c r="BB197" s="233"/>
      <c r="BC197" s="227"/>
      <c r="BD197" s="261"/>
      <c r="BE197" s="233">
        <v>0</v>
      </c>
      <c r="BF197" s="347"/>
      <c r="BG197" s="233"/>
      <c r="BH197" s="227"/>
      <c r="BI197" s="261"/>
      <c r="BJ197" s="233">
        <v>0</v>
      </c>
      <c r="BK197" s="347"/>
      <c r="BL197" s="233"/>
      <c r="BM197" s="227"/>
      <c r="BN197" s="261"/>
      <c r="BO197" s="233">
        <v>0</v>
      </c>
      <c r="BP197" s="347"/>
      <c r="BQ197" s="233"/>
      <c r="BR197" s="227"/>
      <c r="BS197" s="227"/>
      <c r="BT197" s="233">
        <f t="shared" si="0"/>
        <v>0</v>
      </c>
      <c r="BU197" s="347"/>
      <c r="BV197" s="233"/>
      <c r="BW197" s="233"/>
      <c r="BX197" s="254"/>
      <c r="CA197" s="268"/>
      <c r="CB197" s="268"/>
    </row>
    <row r="198" spans="1:80" ht="12.75" hidden="1" customHeight="1" x14ac:dyDescent="0.2">
      <c r="A198" s="244"/>
      <c r="B198" s="244"/>
      <c r="D198" s="254" t="s">
        <v>357</v>
      </c>
      <c r="F198" s="284"/>
      <c r="G198" s="355">
        <v>0</v>
      </c>
      <c r="H198" s="356"/>
      <c r="I198" s="233"/>
      <c r="J198" s="227"/>
      <c r="K198" s="284"/>
      <c r="L198" s="355">
        <v>0</v>
      </c>
      <c r="M198" s="356"/>
      <c r="N198" s="233"/>
      <c r="O198" s="227"/>
      <c r="P198" s="284"/>
      <c r="Q198" s="355">
        <v>0</v>
      </c>
      <c r="R198" s="356"/>
      <c r="S198" s="233"/>
      <c r="T198" s="227"/>
      <c r="U198" s="284"/>
      <c r="V198" s="355">
        <v>0</v>
      </c>
      <c r="W198" s="356"/>
      <c r="X198" s="233"/>
      <c r="Y198" s="227"/>
      <c r="Z198" s="284"/>
      <c r="AA198" s="355">
        <v>0</v>
      </c>
      <c r="AB198" s="356"/>
      <c r="AC198" s="233"/>
      <c r="AD198" s="227"/>
      <c r="AE198" s="284"/>
      <c r="AF198" s="355">
        <v>0</v>
      </c>
      <c r="AG198" s="356"/>
      <c r="AH198" s="233"/>
      <c r="AI198" s="227"/>
      <c r="AJ198" s="357"/>
      <c r="AK198" s="355">
        <v>0</v>
      </c>
      <c r="AL198" s="356"/>
      <c r="AM198" s="233"/>
      <c r="AN198" s="227"/>
      <c r="AO198" s="357"/>
      <c r="AP198" s="355">
        <v>0</v>
      </c>
      <c r="AQ198" s="356"/>
      <c r="AR198" s="233"/>
      <c r="AS198" s="227"/>
      <c r="AT198" s="357"/>
      <c r="AU198" s="355">
        <v>0</v>
      </c>
      <c r="AV198" s="356"/>
      <c r="AW198" s="233"/>
      <c r="AX198" s="227"/>
      <c r="AY198" s="357"/>
      <c r="AZ198" s="355">
        <v>0</v>
      </c>
      <c r="BA198" s="356"/>
      <c r="BB198" s="233"/>
      <c r="BC198" s="227"/>
      <c r="BD198" s="357"/>
      <c r="BE198" s="355">
        <v>0</v>
      </c>
      <c r="BF198" s="356"/>
      <c r="BG198" s="233"/>
      <c r="BH198" s="227"/>
      <c r="BI198" s="357"/>
      <c r="BJ198" s="355">
        <v>0</v>
      </c>
      <c r="BK198" s="356"/>
      <c r="BL198" s="233"/>
      <c r="BM198" s="227"/>
      <c r="BN198" s="357"/>
      <c r="BO198" s="355">
        <v>0</v>
      </c>
      <c r="BP198" s="356"/>
      <c r="BQ198" s="233"/>
      <c r="BR198" s="227"/>
      <c r="BS198" s="357"/>
      <c r="BT198" s="355">
        <f t="shared" si="0"/>
        <v>0</v>
      </c>
      <c r="BU198" s="356"/>
      <c r="BV198" s="233"/>
      <c r="BW198" s="233"/>
      <c r="BX198" s="254"/>
      <c r="CA198" s="268"/>
      <c r="CB198" s="268"/>
    </row>
    <row r="199" spans="1:80" hidden="1" x14ac:dyDescent="0.2">
      <c r="A199" s="244"/>
      <c r="B199" s="244"/>
      <c r="D199" s="254"/>
      <c r="F199" s="244"/>
      <c r="G199" s="233"/>
      <c r="H199" s="233"/>
      <c r="I199" s="233"/>
      <c r="J199" s="227"/>
      <c r="K199" s="233"/>
      <c r="L199" s="233"/>
      <c r="M199" s="233"/>
      <c r="N199" s="233"/>
      <c r="O199" s="227"/>
      <c r="P199" s="233"/>
      <c r="Q199" s="233"/>
      <c r="R199" s="233"/>
      <c r="S199" s="233"/>
      <c r="T199" s="227"/>
      <c r="U199" s="233"/>
      <c r="V199" s="233"/>
      <c r="W199" s="233"/>
      <c r="X199" s="233"/>
      <c r="Y199" s="227"/>
      <c r="Z199" s="233"/>
      <c r="AA199" s="233"/>
      <c r="AB199" s="233"/>
      <c r="AC199" s="233"/>
      <c r="AD199" s="227"/>
      <c r="AE199" s="233"/>
      <c r="AF199" s="233"/>
      <c r="AG199" s="233"/>
      <c r="AH199" s="233"/>
      <c r="AI199" s="227"/>
      <c r="AJ199" s="233"/>
      <c r="AK199" s="233"/>
      <c r="AL199" s="233"/>
      <c r="AM199" s="233"/>
      <c r="AN199" s="227"/>
      <c r="AO199" s="233"/>
      <c r="AP199" s="233"/>
      <c r="AQ199" s="233"/>
      <c r="AR199" s="233"/>
      <c r="AS199" s="227"/>
      <c r="AT199" s="233"/>
      <c r="AU199" s="233"/>
      <c r="AV199" s="233"/>
      <c r="AW199" s="233"/>
      <c r="AX199" s="227"/>
      <c r="AY199" s="233"/>
      <c r="AZ199" s="233"/>
      <c r="BA199" s="233"/>
      <c r="BB199" s="233"/>
      <c r="BC199" s="227"/>
      <c r="BD199" s="233"/>
      <c r="BE199" s="233"/>
      <c r="BF199" s="233"/>
      <c r="BG199" s="233"/>
      <c r="BH199" s="227"/>
      <c r="BI199" s="233"/>
      <c r="BJ199" s="233"/>
      <c r="BK199" s="233"/>
      <c r="BL199" s="233"/>
      <c r="BM199" s="227"/>
      <c r="BN199" s="233"/>
      <c r="BO199" s="233"/>
      <c r="BP199" s="233"/>
      <c r="BQ199" s="233"/>
      <c r="BR199" s="227"/>
      <c r="BS199" s="233"/>
      <c r="BT199" s="233"/>
      <c r="BU199" s="233"/>
      <c r="BV199" s="233"/>
      <c r="BW199" s="233"/>
      <c r="BX199" s="254"/>
      <c r="CA199" s="268"/>
      <c r="CB199" s="268"/>
    </row>
    <row r="200" spans="1:80" hidden="1" x14ac:dyDescent="0.2">
      <c r="A200" s="244"/>
      <c r="B200" s="244"/>
      <c r="D200" s="254" t="s">
        <v>358</v>
      </c>
      <c r="F200" s="244"/>
      <c r="G200" s="233">
        <f>SUM(G201:G207)</f>
        <v>0</v>
      </c>
      <c r="H200" s="233"/>
      <c r="I200" s="233"/>
      <c r="J200" s="227"/>
      <c r="K200" s="244"/>
      <c r="L200" s="233">
        <f>SUM(L201:L207)</f>
        <v>0</v>
      </c>
      <c r="M200" s="233"/>
      <c r="N200" s="233"/>
      <c r="O200" s="227"/>
      <c r="P200" s="244"/>
      <c r="Q200" s="233">
        <f>SUM(Q201:Q207)</f>
        <v>0</v>
      </c>
      <c r="R200" s="233"/>
      <c r="S200" s="233"/>
      <c r="T200" s="227"/>
      <c r="U200" s="244"/>
      <c r="V200" s="233">
        <f>SUM(V201:V207)</f>
        <v>0</v>
      </c>
      <c r="W200" s="233"/>
      <c r="X200" s="233"/>
      <c r="Y200" s="227"/>
      <c r="Z200" s="244"/>
      <c r="AA200" s="233">
        <f>SUM(AA201:AA207)</f>
        <v>0</v>
      </c>
      <c r="AB200" s="233"/>
      <c r="AC200" s="233"/>
      <c r="AD200" s="227"/>
      <c r="AE200" s="244"/>
      <c r="AF200" s="233">
        <f>SUM(AF201:AF207)</f>
        <v>0</v>
      </c>
      <c r="AG200" s="233"/>
      <c r="AH200" s="233"/>
      <c r="AI200" s="227"/>
      <c r="AJ200" s="244"/>
      <c r="AK200" s="233">
        <f>SUM(AK201:AK207)</f>
        <v>0</v>
      </c>
      <c r="AL200" s="233"/>
      <c r="AM200" s="233"/>
      <c r="AN200" s="227"/>
      <c r="AO200" s="244"/>
      <c r="AP200" s="233">
        <f>SUM(AP201:AP207)</f>
        <v>0</v>
      </c>
      <c r="AQ200" s="233"/>
      <c r="AR200" s="233"/>
      <c r="AS200" s="227"/>
      <c r="AT200" s="244"/>
      <c r="AU200" s="233">
        <f>SUM(AU201:AU207)</f>
        <v>0</v>
      </c>
      <c r="AV200" s="233"/>
      <c r="AW200" s="233"/>
      <c r="AX200" s="227"/>
      <c r="AY200" s="244"/>
      <c r="AZ200" s="233">
        <f>SUM(AZ201:AZ207)</f>
        <v>0</v>
      </c>
      <c r="BA200" s="233"/>
      <c r="BB200" s="233"/>
      <c r="BC200" s="227"/>
      <c r="BD200" s="244"/>
      <c r="BE200" s="233">
        <f>SUM(BE201:BE207)</f>
        <v>0</v>
      </c>
      <c r="BF200" s="233"/>
      <c r="BG200" s="233"/>
      <c r="BH200" s="227"/>
      <c r="BI200" s="244"/>
      <c r="BJ200" s="233">
        <f>SUM(BJ201:BJ207)</f>
        <v>0</v>
      </c>
      <c r="BK200" s="233"/>
      <c r="BL200" s="233"/>
      <c r="BM200" s="227"/>
      <c r="BN200" s="244"/>
      <c r="BO200" s="233">
        <f>SUM(BO201:BO207)</f>
        <v>0</v>
      </c>
      <c r="BP200" s="233"/>
      <c r="BQ200" s="233"/>
      <c r="BR200" s="227"/>
      <c r="BS200" s="244"/>
      <c r="BT200" s="233">
        <f>SUM(BT201:BT207)</f>
        <v>0</v>
      </c>
      <c r="BU200" s="233"/>
      <c r="BV200" s="233"/>
      <c r="BW200" s="233"/>
      <c r="BX200" s="254"/>
      <c r="CA200" s="268"/>
      <c r="CB200" s="268"/>
    </row>
    <row r="201" spans="1:80" hidden="1" x14ac:dyDescent="0.2">
      <c r="A201" s="244"/>
      <c r="B201" s="244"/>
      <c r="D201" s="254" t="s">
        <v>359</v>
      </c>
      <c r="F201" s="372"/>
      <c r="G201" s="343">
        <v>0</v>
      </c>
      <c r="H201" s="344"/>
      <c r="I201" s="233"/>
      <c r="J201" s="227"/>
      <c r="K201" s="372"/>
      <c r="L201" s="343">
        <v>0</v>
      </c>
      <c r="M201" s="344"/>
      <c r="N201" s="233"/>
      <c r="O201" s="227"/>
      <c r="P201" s="372"/>
      <c r="Q201" s="343">
        <v>0</v>
      </c>
      <c r="R201" s="344"/>
      <c r="S201" s="233"/>
      <c r="T201" s="227"/>
      <c r="U201" s="372"/>
      <c r="V201" s="343">
        <v>0</v>
      </c>
      <c r="W201" s="344"/>
      <c r="X201" s="233"/>
      <c r="Y201" s="227"/>
      <c r="Z201" s="372"/>
      <c r="AA201" s="343">
        <v>0</v>
      </c>
      <c r="AB201" s="344"/>
      <c r="AC201" s="233"/>
      <c r="AD201" s="227"/>
      <c r="AE201" s="269"/>
      <c r="AF201" s="373">
        <v>0</v>
      </c>
      <c r="AG201" s="344"/>
      <c r="AH201" s="233"/>
      <c r="AI201" s="227"/>
      <c r="AJ201" s="372"/>
      <c r="AK201" s="343">
        <v>0</v>
      </c>
      <c r="AL201" s="344"/>
      <c r="AM201" s="233"/>
      <c r="AN201" s="227"/>
      <c r="AO201" s="372"/>
      <c r="AP201" s="343">
        <v>0</v>
      </c>
      <c r="AQ201" s="344"/>
      <c r="AR201" s="233"/>
      <c r="AS201" s="227"/>
      <c r="AT201" s="372"/>
      <c r="AU201" s="343">
        <v>0</v>
      </c>
      <c r="AV201" s="344"/>
      <c r="AW201" s="233"/>
      <c r="AX201" s="227"/>
      <c r="AY201" s="372"/>
      <c r="AZ201" s="343">
        <v>0</v>
      </c>
      <c r="BA201" s="344"/>
      <c r="BB201" s="233"/>
      <c r="BC201" s="227"/>
      <c r="BD201" s="372"/>
      <c r="BE201" s="343">
        <v>0</v>
      </c>
      <c r="BF201" s="344"/>
      <c r="BG201" s="233"/>
      <c r="BH201" s="227"/>
      <c r="BI201" s="372"/>
      <c r="BJ201" s="343">
        <v>0</v>
      </c>
      <c r="BK201" s="344"/>
      <c r="BL201" s="233"/>
      <c r="BM201" s="227"/>
      <c r="BN201" s="372"/>
      <c r="BO201" s="343">
        <v>0</v>
      </c>
      <c r="BP201" s="344"/>
      <c r="BQ201" s="233"/>
      <c r="BR201" s="227"/>
      <c r="BS201" s="372"/>
      <c r="BT201" s="343">
        <f>SUM(L201:BO201)</f>
        <v>0</v>
      </c>
      <c r="BU201" s="344"/>
      <c r="BV201" s="233"/>
      <c r="BW201" s="233"/>
      <c r="BX201" s="254"/>
      <c r="CA201" s="268"/>
      <c r="CB201" s="268"/>
    </row>
    <row r="202" spans="1:80" hidden="1" x14ac:dyDescent="0.2">
      <c r="A202" s="244"/>
      <c r="B202" s="244"/>
      <c r="D202" s="254" t="s">
        <v>360</v>
      </c>
      <c r="F202" s="338"/>
      <c r="G202" s="233">
        <v>0</v>
      </c>
      <c r="H202" s="347"/>
      <c r="I202" s="233"/>
      <c r="J202" s="227"/>
      <c r="K202" s="338"/>
      <c r="L202" s="233">
        <v>0</v>
      </c>
      <c r="M202" s="347"/>
      <c r="N202" s="233"/>
      <c r="O202" s="227"/>
      <c r="P202" s="338"/>
      <c r="Q202" s="233">
        <v>0</v>
      </c>
      <c r="R202" s="347"/>
      <c r="S202" s="233"/>
      <c r="T202" s="227"/>
      <c r="U202" s="338"/>
      <c r="V202" s="233">
        <v>0</v>
      </c>
      <c r="W202" s="347"/>
      <c r="X202" s="233"/>
      <c r="Y202" s="227"/>
      <c r="Z202" s="338"/>
      <c r="AA202" s="233">
        <v>0</v>
      </c>
      <c r="AB202" s="347"/>
      <c r="AC202" s="233"/>
      <c r="AD202" s="227"/>
      <c r="AE202" s="261"/>
      <c r="AF202" s="91">
        <v>0</v>
      </c>
      <c r="AG202" s="347"/>
      <c r="AH202" s="233"/>
      <c r="AI202" s="227"/>
      <c r="AJ202" s="338"/>
      <c r="AK202" s="233">
        <v>0</v>
      </c>
      <c r="AL202" s="347"/>
      <c r="AM202" s="233"/>
      <c r="AN202" s="227"/>
      <c r="AO202" s="338"/>
      <c r="AP202" s="233">
        <v>0</v>
      </c>
      <c r="AQ202" s="347"/>
      <c r="AR202" s="233"/>
      <c r="AS202" s="227"/>
      <c r="AT202" s="338"/>
      <c r="AU202" s="233">
        <v>0</v>
      </c>
      <c r="AV202" s="347"/>
      <c r="AW202" s="233"/>
      <c r="AX202" s="227"/>
      <c r="AY202" s="338"/>
      <c r="AZ202" s="233">
        <v>0</v>
      </c>
      <c r="BA202" s="347"/>
      <c r="BB202" s="233"/>
      <c r="BC202" s="227"/>
      <c r="BD202" s="338"/>
      <c r="BE202" s="233">
        <v>0</v>
      </c>
      <c r="BF202" s="347"/>
      <c r="BG202" s="233"/>
      <c r="BH202" s="227"/>
      <c r="BI202" s="338"/>
      <c r="BJ202" s="233">
        <v>0</v>
      </c>
      <c r="BK202" s="347"/>
      <c r="BL202" s="233"/>
      <c r="BM202" s="227"/>
      <c r="BN202" s="338"/>
      <c r="BO202" s="233">
        <v>0</v>
      </c>
      <c r="BP202" s="347"/>
      <c r="BQ202" s="233"/>
      <c r="BR202" s="227"/>
      <c r="BS202" s="338"/>
      <c r="BT202" s="233">
        <f t="shared" ref="BT202:BT207" si="1">SUM(L202:BO202)</f>
        <v>0</v>
      </c>
      <c r="BU202" s="347"/>
      <c r="BV202" s="233"/>
      <c r="BW202" s="233"/>
      <c r="BX202" s="254"/>
      <c r="CA202" s="268"/>
      <c r="CB202" s="268"/>
    </row>
    <row r="203" spans="1:80" hidden="1" x14ac:dyDescent="0.2">
      <c r="A203" s="244"/>
      <c r="B203" s="244"/>
      <c r="D203" s="254" t="s">
        <v>361</v>
      </c>
      <c r="F203" s="338"/>
      <c r="G203" s="233">
        <v>0</v>
      </c>
      <c r="H203" s="347"/>
      <c r="I203" s="233"/>
      <c r="J203" s="227"/>
      <c r="K203" s="338"/>
      <c r="L203" s="233">
        <v>0</v>
      </c>
      <c r="M203" s="347"/>
      <c r="N203" s="233"/>
      <c r="O203" s="227"/>
      <c r="P203" s="338"/>
      <c r="Q203" s="233">
        <v>0</v>
      </c>
      <c r="R203" s="347"/>
      <c r="S203" s="233"/>
      <c r="T203" s="227"/>
      <c r="U203" s="338"/>
      <c r="V203" s="233">
        <v>0</v>
      </c>
      <c r="W203" s="347"/>
      <c r="X203" s="233"/>
      <c r="Y203" s="227"/>
      <c r="Z203" s="338"/>
      <c r="AA203" s="233">
        <v>0</v>
      </c>
      <c r="AB203" s="347"/>
      <c r="AC203" s="233"/>
      <c r="AD203" s="227"/>
      <c r="AE203" s="261"/>
      <c r="AF203" s="91">
        <v>0</v>
      </c>
      <c r="AG203" s="347"/>
      <c r="AH203" s="233"/>
      <c r="AI203" s="227"/>
      <c r="AJ203" s="338"/>
      <c r="AK203" s="233">
        <v>0</v>
      </c>
      <c r="AL203" s="347"/>
      <c r="AM203" s="233"/>
      <c r="AN203" s="227"/>
      <c r="AO203" s="338"/>
      <c r="AP203" s="233">
        <v>0</v>
      </c>
      <c r="AQ203" s="347"/>
      <c r="AR203" s="233"/>
      <c r="AS203" s="227"/>
      <c r="AT203" s="338"/>
      <c r="AU203" s="233">
        <v>0</v>
      </c>
      <c r="AV203" s="347"/>
      <c r="AW203" s="233"/>
      <c r="AX203" s="227"/>
      <c r="AY203" s="338"/>
      <c r="AZ203" s="233">
        <v>0</v>
      </c>
      <c r="BA203" s="347"/>
      <c r="BB203" s="233"/>
      <c r="BC203" s="227"/>
      <c r="BD203" s="338"/>
      <c r="BE203" s="233">
        <v>0</v>
      </c>
      <c r="BF203" s="347"/>
      <c r="BG203" s="233"/>
      <c r="BH203" s="227"/>
      <c r="BI203" s="338"/>
      <c r="BJ203" s="233">
        <v>0</v>
      </c>
      <c r="BK203" s="347"/>
      <c r="BL203" s="233"/>
      <c r="BM203" s="227"/>
      <c r="BN203" s="338"/>
      <c r="BO203" s="233">
        <v>0</v>
      </c>
      <c r="BP203" s="347"/>
      <c r="BQ203" s="233"/>
      <c r="BR203" s="227"/>
      <c r="BS203" s="338"/>
      <c r="BT203" s="233">
        <f t="shared" si="1"/>
        <v>0</v>
      </c>
      <c r="BU203" s="347"/>
      <c r="BV203" s="233"/>
      <c r="BW203" s="233"/>
      <c r="BX203" s="254"/>
      <c r="CA203" s="268"/>
      <c r="CB203" s="268"/>
    </row>
    <row r="204" spans="1:80" hidden="1" x14ac:dyDescent="0.2">
      <c r="A204" s="244"/>
      <c r="B204" s="244"/>
      <c r="D204" s="254" t="s">
        <v>362</v>
      </c>
      <c r="F204" s="374"/>
      <c r="G204" s="355">
        <v>0</v>
      </c>
      <c r="H204" s="356"/>
      <c r="I204" s="233"/>
      <c r="J204" s="227"/>
      <c r="K204" s="374"/>
      <c r="L204" s="355">
        <v>0</v>
      </c>
      <c r="M204" s="356"/>
      <c r="N204" s="233"/>
      <c r="O204" s="227"/>
      <c r="P204" s="374"/>
      <c r="Q204" s="355">
        <v>0</v>
      </c>
      <c r="R204" s="356"/>
      <c r="S204" s="233"/>
      <c r="T204" s="227"/>
      <c r="U204" s="374"/>
      <c r="V204" s="355">
        <v>0</v>
      </c>
      <c r="W204" s="356"/>
      <c r="X204" s="233"/>
      <c r="Y204" s="227"/>
      <c r="Z204" s="374"/>
      <c r="AA204" s="355">
        <v>0</v>
      </c>
      <c r="AB204" s="356"/>
      <c r="AC204" s="233"/>
      <c r="AD204" s="227"/>
      <c r="AE204" s="284"/>
      <c r="AF204" s="375">
        <v>0</v>
      </c>
      <c r="AG204" s="356"/>
      <c r="AH204" s="233"/>
      <c r="AI204" s="227"/>
      <c r="AJ204" s="374"/>
      <c r="AK204" s="355">
        <v>0</v>
      </c>
      <c r="AL204" s="356"/>
      <c r="AM204" s="233"/>
      <c r="AN204" s="227"/>
      <c r="AO204" s="374"/>
      <c r="AP204" s="355">
        <v>0</v>
      </c>
      <c r="AQ204" s="356"/>
      <c r="AR204" s="233"/>
      <c r="AS204" s="227"/>
      <c r="AT204" s="374"/>
      <c r="AU204" s="355">
        <v>0</v>
      </c>
      <c r="AV204" s="356"/>
      <c r="AW204" s="233"/>
      <c r="AX204" s="227"/>
      <c r="AY204" s="374"/>
      <c r="AZ204" s="355">
        <v>0</v>
      </c>
      <c r="BA204" s="356"/>
      <c r="BB204" s="233"/>
      <c r="BC204" s="227"/>
      <c r="BD204" s="374"/>
      <c r="BE204" s="355">
        <v>0</v>
      </c>
      <c r="BF204" s="356"/>
      <c r="BG204" s="233"/>
      <c r="BH204" s="227"/>
      <c r="BI204" s="374"/>
      <c r="BJ204" s="355">
        <v>0</v>
      </c>
      <c r="BK204" s="356"/>
      <c r="BL204" s="233"/>
      <c r="BM204" s="227"/>
      <c r="BN204" s="374"/>
      <c r="BO204" s="355">
        <v>0</v>
      </c>
      <c r="BP204" s="356"/>
      <c r="BQ204" s="233"/>
      <c r="BR204" s="227"/>
      <c r="BS204" s="374"/>
      <c r="BT204" s="355">
        <f t="shared" si="1"/>
        <v>0</v>
      </c>
      <c r="BU204" s="356"/>
      <c r="BV204" s="233"/>
      <c r="BW204" s="233"/>
      <c r="BX204" s="254"/>
      <c r="CA204" s="268"/>
      <c r="CB204" s="268"/>
    </row>
    <row r="205" spans="1:80" hidden="1" x14ac:dyDescent="0.2">
      <c r="A205" s="244"/>
      <c r="B205" s="244"/>
      <c r="D205" s="254" t="s">
        <v>363</v>
      </c>
      <c r="F205" s="261"/>
      <c r="G205" s="233">
        <v>0</v>
      </c>
      <c r="H205" s="347"/>
      <c r="I205" s="233"/>
      <c r="J205" s="227"/>
      <c r="K205" s="261"/>
      <c r="L205" s="233"/>
      <c r="M205" s="347"/>
      <c r="N205" s="233"/>
      <c r="O205" s="227"/>
      <c r="P205" s="261"/>
      <c r="Q205" s="233"/>
      <c r="R205" s="347"/>
      <c r="S205" s="233"/>
      <c r="T205" s="227"/>
      <c r="U205" s="261"/>
      <c r="V205" s="233"/>
      <c r="W205" s="347"/>
      <c r="X205" s="233"/>
      <c r="Y205" s="227"/>
      <c r="Z205" s="261"/>
      <c r="AA205" s="233"/>
      <c r="AB205" s="347"/>
      <c r="AC205" s="233"/>
      <c r="AD205" s="227"/>
      <c r="AE205" s="261"/>
      <c r="AF205" s="233"/>
      <c r="AG205" s="347"/>
      <c r="AH205" s="233"/>
      <c r="AI205" s="227"/>
      <c r="AJ205" s="261"/>
      <c r="AK205" s="233"/>
      <c r="AL205" s="347"/>
      <c r="AM205" s="233"/>
      <c r="AN205" s="227"/>
      <c r="AO205" s="261"/>
      <c r="AP205" s="233"/>
      <c r="AQ205" s="347"/>
      <c r="AR205" s="233"/>
      <c r="AS205" s="227"/>
      <c r="AT205" s="261"/>
      <c r="AU205" s="233"/>
      <c r="AV205" s="347"/>
      <c r="AW205" s="233"/>
      <c r="AX205" s="227"/>
      <c r="AY205" s="261"/>
      <c r="AZ205" s="233"/>
      <c r="BA205" s="347"/>
      <c r="BB205" s="233"/>
      <c r="BC205" s="227"/>
      <c r="BD205" s="261"/>
      <c r="BE205" s="233"/>
      <c r="BF205" s="347"/>
      <c r="BG205" s="233"/>
      <c r="BH205" s="227"/>
      <c r="BI205" s="261"/>
      <c r="BJ205" s="233">
        <v>0</v>
      </c>
      <c r="BK205" s="347"/>
      <c r="BL205" s="233"/>
      <c r="BM205" s="227"/>
      <c r="BN205" s="261"/>
      <c r="BO205" s="233">
        <v>0</v>
      </c>
      <c r="BP205" s="347"/>
      <c r="BQ205" s="233"/>
      <c r="BR205" s="227"/>
      <c r="BS205" s="261"/>
      <c r="BT205" s="233">
        <f t="shared" si="1"/>
        <v>0</v>
      </c>
      <c r="BU205" s="347"/>
      <c r="BV205" s="233"/>
      <c r="BW205" s="233"/>
      <c r="BX205" s="254"/>
      <c r="CA205" s="268"/>
      <c r="CB205" s="268"/>
    </row>
    <row r="206" spans="1:80" hidden="1" x14ac:dyDescent="0.2">
      <c r="A206" s="244"/>
      <c r="B206" s="244"/>
      <c r="D206" s="254" t="s">
        <v>364</v>
      </c>
      <c r="F206" s="261"/>
      <c r="G206" s="233">
        <v>0</v>
      </c>
      <c r="H206" s="347"/>
      <c r="I206" s="233"/>
      <c r="J206" s="227"/>
      <c r="K206" s="261"/>
      <c r="L206" s="233"/>
      <c r="M206" s="347"/>
      <c r="N206" s="233"/>
      <c r="O206" s="227"/>
      <c r="P206" s="261"/>
      <c r="Q206" s="233"/>
      <c r="R206" s="347"/>
      <c r="S206" s="233"/>
      <c r="T206" s="227"/>
      <c r="U206" s="261"/>
      <c r="V206" s="233"/>
      <c r="W206" s="347"/>
      <c r="X206" s="233"/>
      <c r="Y206" s="227"/>
      <c r="Z206" s="261"/>
      <c r="AA206" s="233"/>
      <c r="AB206" s="347"/>
      <c r="AC206" s="233"/>
      <c r="AD206" s="227"/>
      <c r="AE206" s="261"/>
      <c r="AF206" s="233"/>
      <c r="AG206" s="347"/>
      <c r="AH206" s="233"/>
      <c r="AI206" s="227"/>
      <c r="AJ206" s="261"/>
      <c r="AK206" s="233"/>
      <c r="AL206" s="347"/>
      <c r="AM206" s="233"/>
      <c r="AN206" s="227"/>
      <c r="AO206" s="261"/>
      <c r="AP206" s="233"/>
      <c r="AQ206" s="347"/>
      <c r="AR206" s="233"/>
      <c r="AS206" s="227"/>
      <c r="AT206" s="261"/>
      <c r="AU206" s="233"/>
      <c r="AV206" s="347"/>
      <c r="AW206" s="233"/>
      <c r="AX206" s="227"/>
      <c r="AY206" s="261"/>
      <c r="AZ206" s="233"/>
      <c r="BA206" s="347"/>
      <c r="BB206" s="233"/>
      <c r="BC206" s="227"/>
      <c r="BD206" s="261"/>
      <c r="BE206" s="233"/>
      <c r="BF206" s="347"/>
      <c r="BG206" s="233"/>
      <c r="BH206" s="227"/>
      <c r="BI206" s="261"/>
      <c r="BJ206" s="233">
        <v>0</v>
      </c>
      <c r="BK206" s="347"/>
      <c r="BL206" s="233"/>
      <c r="BM206" s="227"/>
      <c r="BN206" s="261"/>
      <c r="BO206" s="233">
        <v>0</v>
      </c>
      <c r="BP206" s="347"/>
      <c r="BQ206" s="233"/>
      <c r="BR206" s="227"/>
      <c r="BS206" s="261"/>
      <c r="BT206" s="233">
        <f t="shared" si="1"/>
        <v>0</v>
      </c>
      <c r="BU206" s="347"/>
      <c r="BV206" s="233"/>
      <c r="BW206" s="233"/>
      <c r="BX206" s="254"/>
      <c r="CA206" s="268"/>
      <c r="CB206" s="268"/>
    </row>
    <row r="207" spans="1:80" hidden="1" x14ac:dyDescent="0.2">
      <c r="A207" s="244"/>
      <c r="B207" s="244"/>
      <c r="D207" s="254" t="s">
        <v>365</v>
      </c>
      <c r="F207" s="284"/>
      <c r="G207" s="355">
        <v>0</v>
      </c>
      <c r="H207" s="356"/>
      <c r="I207" s="233"/>
      <c r="J207" s="227"/>
      <c r="K207" s="284"/>
      <c r="L207" s="355">
        <v>0</v>
      </c>
      <c r="M207" s="356"/>
      <c r="N207" s="233"/>
      <c r="O207" s="227"/>
      <c r="P207" s="284"/>
      <c r="Q207" s="355">
        <v>0</v>
      </c>
      <c r="R207" s="356"/>
      <c r="S207" s="233"/>
      <c r="T207" s="227"/>
      <c r="U207" s="284"/>
      <c r="V207" s="355">
        <v>0</v>
      </c>
      <c r="W207" s="356"/>
      <c r="X207" s="233"/>
      <c r="Y207" s="227"/>
      <c r="Z207" s="284"/>
      <c r="AA207" s="355">
        <v>0</v>
      </c>
      <c r="AB207" s="356"/>
      <c r="AC207" s="233"/>
      <c r="AD207" s="227"/>
      <c r="AE207" s="284"/>
      <c r="AF207" s="355">
        <v>0</v>
      </c>
      <c r="AG207" s="356"/>
      <c r="AH207" s="233"/>
      <c r="AI207" s="227"/>
      <c r="AJ207" s="284"/>
      <c r="AK207" s="355">
        <v>0</v>
      </c>
      <c r="AL207" s="356"/>
      <c r="AM207" s="233"/>
      <c r="AN207" s="227"/>
      <c r="AO207" s="284"/>
      <c r="AP207" s="355">
        <v>0</v>
      </c>
      <c r="AQ207" s="356"/>
      <c r="AR207" s="233"/>
      <c r="AS207" s="227"/>
      <c r="AT207" s="284"/>
      <c r="AU207" s="355">
        <v>0</v>
      </c>
      <c r="AV207" s="356"/>
      <c r="AW207" s="233"/>
      <c r="AX207" s="227"/>
      <c r="AY207" s="284"/>
      <c r="AZ207" s="355">
        <v>0</v>
      </c>
      <c r="BA207" s="356"/>
      <c r="BB207" s="233"/>
      <c r="BC207" s="227"/>
      <c r="BD207" s="284"/>
      <c r="BE207" s="355">
        <v>0</v>
      </c>
      <c r="BF207" s="356"/>
      <c r="BG207" s="233"/>
      <c r="BH207" s="227"/>
      <c r="BI207" s="284"/>
      <c r="BJ207" s="355">
        <v>0</v>
      </c>
      <c r="BK207" s="356"/>
      <c r="BL207" s="233"/>
      <c r="BM207" s="227"/>
      <c r="BN207" s="284"/>
      <c r="BO207" s="355">
        <v>0</v>
      </c>
      <c r="BP207" s="356"/>
      <c r="BQ207" s="233"/>
      <c r="BR207" s="227"/>
      <c r="BS207" s="284"/>
      <c r="BT207" s="355">
        <f t="shared" si="1"/>
        <v>0</v>
      </c>
      <c r="BU207" s="356"/>
      <c r="BV207" s="233"/>
      <c r="BW207" s="233"/>
      <c r="BX207" s="254"/>
      <c r="CA207" s="268"/>
      <c r="CB207" s="268"/>
    </row>
    <row r="208" spans="1:80" x14ac:dyDescent="0.2">
      <c r="A208" s="244"/>
      <c r="B208" s="244"/>
      <c r="D208" s="254"/>
      <c r="E208" s="371"/>
      <c r="F208" s="119"/>
      <c r="G208" s="233"/>
      <c r="H208" s="233"/>
      <c r="I208" s="233"/>
      <c r="J208" s="227"/>
      <c r="K208" s="119"/>
      <c r="L208" s="233"/>
      <c r="M208" s="233"/>
      <c r="N208" s="233"/>
      <c r="O208" s="227"/>
      <c r="P208" s="119"/>
      <c r="Q208" s="233"/>
      <c r="R208" s="233"/>
      <c r="S208" s="233"/>
      <c r="T208" s="227"/>
      <c r="U208" s="119"/>
      <c r="V208" s="233"/>
      <c r="W208" s="233"/>
      <c r="X208" s="233"/>
      <c r="Y208" s="227"/>
      <c r="Z208" s="119"/>
      <c r="AA208" s="233"/>
      <c r="AB208" s="233"/>
      <c r="AC208" s="233"/>
      <c r="AD208" s="227"/>
      <c r="AE208" s="119"/>
      <c r="AF208" s="233"/>
      <c r="AG208" s="233"/>
      <c r="AH208" s="233"/>
      <c r="AI208" s="227"/>
      <c r="AJ208" s="119"/>
      <c r="AK208" s="233"/>
      <c r="AL208" s="233"/>
      <c r="AM208" s="233"/>
      <c r="AN208" s="227"/>
      <c r="AO208" s="119"/>
      <c r="AP208" s="233"/>
      <c r="AQ208" s="233"/>
      <c r="AR208" s="233"/>
      <c r="AS208" s="227"/>
      <c r="AT208" s="119"/>
      <c r="AU208" s="233"/>
      <c r="AV208" s="233"/>
      <c r="AW208" s="233"/>
      <c r="AX208" s="227"/>
      <c r="AY208" s="119"/>
      <c r="AZ208" s="233"/>
      <c r="BA208" s="233"/>
      <c r="BB208" s="233"/>
      <c r="BC208" s="227"/>
      <c r="BD208" s="119"/>
      <c r="BE208" s="233"/>
      <c r="BF208" s="233"/>
      <c r="BG208" s="233"/>
      <c r="BH208" s="227"/>
      <c r="BI208" s="119"/>
      <c r="BJ208" s="233"/>
      <c r="BK208" s="233"/>
      <c r="BL208" s="233"/>
      <c r="BM208" s="227"/>
      <c r="BN208" s="119"/>
      <c r="BO208" s="233"/>
      <c r="BP208" s="233"/>
      <c r="BQ208" s="233"/>
      <c r="BR208" s="227"/>
      <c r="BS208" s="119"/>
      <c r="BT208" s="233"/>
      <c r="BU208" s="233"/>
      <c r="BV208" s="233"/>
      <c r="BW208" s="233"/>
      <c r="BX208" s="254"/>
      <c r="CA208" s="268"/>
      <c r="CB208" s="268"/>
    </row>
    <row r="209" spans="1:80" x14ac:dyDescent="0.2">
      <c r="A209" s="244"/>
      <c r="B209" s="244"/>
      <c r="D209" s="114" t="s">
        <v>302</v>
      </c>
      <c r="E209" s="371"/>
      <c r="F209" s="119"/>
      <c r="G209" s="340">
        <f>SUM(G210:G213)</f>
        <v>14152656</v>
      </c>
      <c r="H209" s="233"/>
      <c r="I209" s="233"/>
      <c r="J209" s="227"/>
      <c r="K209" s="119"/>
      <c r="L209" s="340">
        <f>SUM(L210:L213)</f>
        <v>0</v>
      </c>
      <c r="M209" s="233"/>
      <c r="N209" s="233"/>
      <c r="O209" s="227"/>
      <c r="P209" s="119"/>
      <c r="Q209" s="340">
        <f>SUM(Q210:Q213)</f>
        <v>14152656</v>
      </c>
      <c r="R209" s="233"/>
      <c r="S209" s="233"/>
      <c r="T209" s="227"/>
      <c r="U209" s="119"/>
      <c r="V209" s="340">
        <f>SUM(V210:V213)</f>
        <v>0</v>
      </c>
      <c r="W209" s="233"/>
      <c r="X209" s="233"/>
      <c r="Y209" s="227"/>
      <c r="Z209" s="119"/>
      <c r="AA209" s="340">
        <f>SUM(AA210:AA213)</f>
        <v>0</v>
      </c>
      <c r="AB209" s="233"/>
      <c r="AC209" s="233"/>
      <c r="AD209" s="227"/>
      <c r="AE209" s="119"/>
      <c r="AF209" s="340">
        <f>SUM(AF210:AF213)</f>
        <v>0</v>
      </c>
      <c r="AG209" s="233"/>
      <c r="AH209" s="233"/>
      <c r="AI209" s="227"/>
      <c r="AJ209" s="119"/>
      <c r="AK209" s="340">
        <f>SUM(AK210:AK213)</f>
        <v>0</v>
      </c>
      <c r="AL209" s="233"/>
      <c r="AM209" s="347"/>
      <c r="AN209" s="227"/>
      <c r="AO209" s="119"/>
      <c r="AP209" s="340">
        <f>SUM(AP210:AP213)</f>
        <v>0</v>
      </c>
      <c r="AQ209" s="233"/>
      <c r="AR209" s="233"/>
      <c r="AS209" s="227"/>
      <c r="AT209" s="119"/>
      <c r="AU209" s="340">
        <f>SUM(AU210:AU213)</f>
        <v>0</v>
      </c>
      <c r="AV209" s="233"/>
      <c r="AW209" s="233"/>
      <c r="AX209" s="227"/>
      <c r="AY209" s="119"/>
      <c r="AZ209" s="340">
        <f>SUM(AZ210:AZ213)</f>
        <v>0</v>
      </c>
      <c r="BA209" s="233"/>
      <c r="BB209" s="233"/>
      <c r="BC209" s="227"/>
      <c r="BD209" s="119"/>
      <c r="BE209" s="340">
        <f>SUM(BE210:BE213)</f>
        <v>0</v>
      </c>
      <c r="BF209" s="233"/>
      <c r="BG209" s="233"/>
      <c r="BH209" s="227"/>
      <c r="BI209" s="119"/>
      <c r="BJ209" s="340">
        <f>SUM(BJ210:BJ213)</f>
        <v>0</v>
      </c>
      <c r="BK209" s="233"/>
      <c r="BL209" s="233"/>
      <c r="BM209" s="227"/>
      <c r="BN209" s="119"/>
      <c r="BO209" s="340">
        <f>SUM(BO210:BO213)</f>
        <v>0</v>
      </c>
      <c r="BP209" s="233"/>
      <c r="BQ209" s="233"/>
      <c r="BR209" s="227"/>
      <c r="BS209" s="119"/>
      <c r="BT209" s="340">
        <f>SUM(BT210:BT213)</f>
        <v>14152656</v>
      </c>
      <c r="BU209" s="233"/>
      <c r="BV209" s="233"/>
      <c r="BW209" s="233"/>
      <c r="BX209" s="254"/>
      <c r="CA209" s="268"/>
      <c r="CB209" s="268"/>
    </row>
    <row r="210" spans="1:80" x14ac:dyDescent="0.2">
      <c r="A210" s="244"/>
      <c r="B210" s="244"/>
      <c r="D210" s="254" t="s">
        <v>310</v>
      </c>
      <c r="E210" s="371"/>
      <c r="F210" s="372"/>
      <c r="G210" s="343">
        <v>12883788</v>
      </c>
      <c r="H210" s="344"/>
      <c r="I210" s="233"/>
      <c r="J210" s="227"/>
      <c r="K210" s="372"/>
      <c r="L210" s="343">
        <f>L226+L253+L259+L221+L247+L232+L270+L216+L242+L237+L275+L265</f>
        <v>0</v>
      </c>
      <c r="M210" s="344"/>
      <c r="N210" s="233"/>
      <c r="O210" s="227"/>
      <c r="P210" s="372"/>
      <c r="Q210" s="343">
        <f>Q226+Q253+Q259+Q221+Q247+Q232+Q270+Q216+Q242+Q237+Q275+Q265</f>
        <v>12883788</v>
      </c>
      <c r="R210" s="344"/>
      <c r="S210" s="233"/>
      <c r="T210" s="227"/>
      <c r="U210" s="372"/>
      <c r="V210" s="343">
        <f>V226+V253+V259+V221+V247+V232+V270+V216+V242+V237+V275+V265</f>
        <v>0</v>
      </c>
      <c r="W210" s="344"/>
      <c r="X210" s="233"/>
      <c r="Y210" s="227"/>
      <c r="Z210" s="372"/>
      <c r="AA210" s="343">
        <f>AA226+AA253+AA259+AA221+AA247+AA232+AA270+AA216+AA242+AA237+AA275+AA265</f>
        <v>0</v>
      </c>
      <c r="AB210" s="344"/>
      <c r="AC210" s="233"/>
      <c r="AD210" s="227"/>
      <c r="AE210" s="372"/>
      <c r="AF210" s="343">
        <f>AF226+AF253+AF259+AF221+AF247+AF232+AF270+AF216+AF242+AF237+AF275+AF265</f>
        <v>0</v>
      </c>
      <c r="AG210" s="344"/>
      <c r="AH210" s="233"/>
      <c r="AI210" s="227"/>
      <c r="AJ210" s="372"/>
      <c r="AK210" s="343">
        <f>AK226+AK253+AK259+AK221+AK247+AK232+AK270+AK216+AK242+AK237+AK275+AK265</f>
        <v>0</v>
      </c>
      <c r="AL210" s="344"/>
      <c r="AM210" s="347"/>
      <c r="AN210" s="227"/>
      <c r="AO210" s="372"/>
      <c r="AP210" s="343">
        <f>AP226+AP253+AP259+AP221+AP247+AP232+AP270+AP216+AP242+AP237+AP275+AP265</f>
        <v>0</v>
      </c>
      <c r="AQ210" s="344"/>
      <c r="AR210" s="233"/>
      <c r="AS210" s="227"/>
      <c r="AT210" s="372"/>
      <c r="AU210" s="343">
        <f>AU226+AU253+AU259+AU221+AU247+AU232+AU270+AU216+AU242+AU237+AU275+AU265</f>
        <v>0</v>
      </c>
      <c r="AV210" s="344"/>
      <c r="AW210" s="233"/>
      <c r="AX210" s="227"/>
      <c r="AY210" s="372"/>
      <c r="AZ210" s="343">
        <f>AZ226+AZ253+AZ259+AZ221+AZ247+AZ232+AZ270+AZ216+AZ242+AZ237+AZ275+AZ265</f>
        <v>0</v>
      </c>
      <c r="BA210" s="344"/>
      <c r="BB210" s="233"/>
      <c r="BC210" s="227"/>
      <c r="BD210" s="372"/>
      <c r="BE210" s="343">
        <f>BE226+BE253+BE259+BE221+BE247+BE232+BE270+BE216+BE242+BE237+BE275+BE265</f>
        <v>0</v>
      </c>
      <c r="BF210" s="344"/>
      <c r="BG210" s="233"/>
      <c r="BH210" s="227"/>
      <c r="BI210" s="372"/>
      <c r="BJ210" s="343">
        <f>BJ226+BJ253+BJ259+BJ221+BJ247+BJ232+BJ270+BJ216+BJ242+BJ237+BJ275+BJ265</f>
        <v>0</v>
      </c>
      <c r="BK210" s="344"/>
      <c r="BL210" s="233"/>
      <c r="BM210" s="227"/>
      <c r="BN210" s="372"/>
      <c r="BO210" s="343">
        <f>BO226+BO253+BO259+BO221+BO247+BO232+BO270+BO216+BO242+BO237+BO275+BO265</f>
        <v>0</v>
      </c>
      <c r="BP210" s="344"/>
      <c r="BQ210" s="233"/>
      <c r="BR210" s="227"/>
      <c r="BS210" s="372"/>
      <c r="BT210" s="343">
        <f>BT226+BT253+BT259+BT221+BT247+BT232+BT270+BT216+BT242+BT237+BT275+BT265</f>
        <v>12883788</v>
      </c>
      <c r="BU210" s="344"/>
      <c r="BV210" s="233"/>
      <c r="BW210" s="233"/>
      <c r="BX210" s="254"/>
      <c r="CA210" s="268"/>
      <c r="CB210" s="268"/>
    </row>
    <row r="211" spans="1:80" x14ac:dyDescent="0.2">
      <c r="A211" s="244"/>
      <c r="B211" s="244"/>
      <c r="D211" s="254" t="s">
        <v>312</v>
      </c>
      <c r="E211" s="371"/>
      <c r="F211" s="338"/>
      <c r="G211" s="233">
        <v>1646946</v>
      </c>
      <c r="H211" s="347"/>
      <c r="I211" s="233"/>
      <c r="J211" s="227"/>
      <c r="K211" s="338"/>
      <c r="L211" s="233">
        <f>L227+L254+L260+L222+L248+L233+L271+L217+L243+L238+L276+L266</f>
        <v>0</v>
      </c>
      <c r="M211" s="347"/>
      <c r="N211" s="233"/>
      <c r="O211" s="227"/>
      <c r="P211" s="338"/>
      <c r="Q211" s="233">
        <f>Q227+Q254+Q260+Q222+Q248+Q233+Q271+Q217+Q243+Q238+Q276+Q266</f>
        <v>1646946</v>
      </c>
      <c r="R211" s="347"/>
      <c r="S211" s="233"/>
      <c r="T211" s="227"/>
      <c r="U211" s="338"/>
      <c r="V211" s="233">
        <f>V227+V254+V260+V222+V248+V233+V271+V217+V243+V238+V276+V266</f>
        <v>0</v>
      </c>
      <c r="W211" s="347"/>
      <c r="X211" s="233"/>
      <c r="Y211" s="227"/>
      <c r="Z211" s="338"/>
      <c r="AA211" s="233">
        <f>AA227+AA254+AA260+AA222+AA248+AA233+AA271+AA217+AA243+AA238+AA276+AA266</f>
        <v>0</v>
      </c>
      <c r="AB211" s="347"/>
      <c r="AC211" s="233"/>
      <c r="AD211" s="227"/>
      <c r="AE211" s="338"/>
      <c r="AF211" s="233">
        <f>AF227+AF254+AF260+AF222+AF248+AF233+AF271+AF217+AF243+AF238+AF276+AF266</f>
        <v>0</v>
      </c>
      <c r="AG211" s="347"/>
      <c r="AH211" s="233"/>
      <c r="AI211" s="227"/>
      <c r="AJ211" s="338"/>
      <c r="AK211" s="233">
        <f>AK227+AK254+AK260+AK222+AK248+AK233+AK271+AK217+AK243+AK238+AK276+AK266</f>
        <v>0</v>
      </c>
      <c r="AL211" s="347"/>
      <c r="AM211" s="233"/>
      <c r="AN211" s="227"/>
      <c r="AO211" s="338"/>
      <c r="AP211" s="233">
        <f>AP227+AP254+AP260+AP222+AP248+AP233+AP271+AP217+AP243+AP238+AP276+AP266</f>
        <v>0</v>
      </c>
      <c r="AQ211" s="347"/>
      <c r="AR211" s="233"/>
      <c r="AS211" s="227"/>
      <c r="AT211" s="338"/>
      <c r="AU211" s="233">
        <f>AU227+AU254+AU260+AU222+AU248+AU233+AU271+AU217+AU243+AU238+AU276+AU266</f>
        <v>0</v>
      </c>
      <c r="AV211" s="347"/>
      <c r="AW211" s="233"/>
      <c r="AX211" s="227"/>
      <c r="AY211" s="338"/>
      <c r="AZ211" s="233">
        <f>AZ227+AZ254+AZ260+AZ222+AZ248+AZ233+AZ271+AZ217+AZ243+AZ238+AZ276+AZ266</f>
        <v>0</v>
      </c>
      <c r="BA211" s="347"/>
      <c r="BB211" s="233"/>
      <c r="BC211" s="227"/>
      <c r="BD211" s="338"/>
      <c r="BE211" s="233">
        <f>BE227+BE254+BE260+BE222+BE248+BE233+BE271+BE217+BE243+BE238+BE276+BE266</f>
        <v>0</v>
      </c>
      <c r="BF211" s="347"/>
      <c r="BG211" s="233"/>
      <c r="BH211" s="227"/>
      <c r="BI211" s="338"/>
      <c r="BJ211" s="233">
        <f>BJ227+BJ254+BJ260+BJ222+BJ248+BJ233+BJ271+BJ217+BJ243+BJ238+BJ276+BJ266</f>
        <v>0</v>
      </c>
      <c r="BK211" s="347"/>
      <c r="BL211" s="233"/>
      <c r="BM211" s="227"/>
      <c r="BN211" s="338"/>
      <c r="BO211" s="233">
        <f>BO227+BO254+BO260+BO222+BO248+BO233+BO271+BO217+BO243+BO238+BO276+BO266</f>
        <v>0</v>
      </c>
      <c r="BP211" s="347"/>
      <c r="BQ211" s="233"/>
      <c r="BR211" s="227"/>
      <c r="BS211" s="338"/>
      <c r="BT211" s="233">
        <f>BT227+BT254+BT260+BT222+BT248+BT233+BT271+BT217+BT243+BT238+BT276+BT266</f>
        <v>1646946</v>
      </c>
      <c r="BU211" s="347"/>
      <c r="BV211" s="233"/>
      <c r="BW211" s="233"/>
      <c r="BX211" s="254"/>
      <c r="CA211" s="268"/>
      <c r="CB211" s="268"/>
    </row>
    <row r="212" spans="1:80" x14ac:dyDescent="0.2">
      <c r="A212" s="244"/>
      <c r="B212" s="244"/>
      <c r="D212" s="254" t="s">
        <v>320</v>
      </c>
      <c r="E212" s="371"/>
      <c r="F212" s="338"/>
      <c r="G212" s="233">
        <v>-378078</v>
      </c>
      <c r="H212" s="347"/>
      <c r="I212" s="233"/>
      <c r="J212" s="227"/>
      <c r="K212" s="338"/>
      <c r="L212" s="233">
        <f>L228+L255+L261+L223+L249+L234+L272+L218+L244+L239+L277+L267</f>
        <v>0</v>
      </c>
      <c r="M212" s="347"/>
      <c r="N212" s="233"/>
      <c r="O212" s="227"/>
      <c r="P212" s="338"/>
      <c r="Q212" s="233">
        <f>Q228+Q255+Q261+Q223+Q249+Q234+Q272+Q218+Q244+Q239+Q277+Q267</f>
        <v>-378078</v>
      </c>
      <c r="R212" s="347"/>
      <c r="S212" s="233"/>
      <c r="T212" s="227"/>
      <c r="U212" s="338"/>
      <c r="V212" s="233">
        <f>V228+V255+V261+V223+V249+V234+V272+V218+V244+V239+V277+V267</f>
        <v>0</v>
      </c>
      <c r="W212" s="347"/>
      <c r="X212" s="233"/>
      <c r="Y212" s="227"/>
      <c r="Z212" s="338"/>
      <c r="AA212" s="233">
        <f>AA228+AA255+AA261+AA223+AA249+AA234+AA272+AA218+AA244+AA239+AA277+AA267</f>
        <v>0</v>
      </c>
      <c r="AB212" s="347"/>
      <c r="AC212" s="233"/>
      <c r="AD212" s="227"/>
      <c r="AE212" s="338"/>
      <c r="AF212" s="233">
        <f>AF228+AF255+AF261+AF223+AF249+AF234+AF272+AF218+AF244+AF239+AF277+AF267</f>
        <v>0</v>
      </c>
      <c r="AG212" s="347"/>
      <c r="AH212" s="233"/>
      <c r="AI212" s="227"/>
      <c r="AJ212" s="338"/>
      <c r="AK212" s="233">
        <f>AK228+AK255+AK261+AK223+AK249+AK234+AK272+AK218+AK244+AK239+AK277+AK267</f>
        <v>0</v>
      </c>
      <c r="AL212" s="347"/>
      <c r="AM212" s="233"/>
      <c r="AN212" s="227"/>
      <c r="AO212" s="338"/>
      <c r="AP212" s="233">
        <f>AP228+AP255+AP261+AP223+AP249+AP234+AP272+AP218+AP244+AP239+AP277+AP267</f>
        <v>0</v>
      </c>
      <c r="AQ212" s="347"/>
      <c r="AR212" s="233"/>
      <c r="AS212" s="227"/>
      <c r="AT212" s="338"/>
      <c r="AU212" s="233">
        <f>AU228+AU255+AU261+AU223+AU249+AU234+AU272+AU218+AU244+AU239+AU277+AU267</f>
        <v>0</v>
      </c>
      <c r="AV212" s="347"/>
      <c r="AW212" s="233"/>
      <c r="AX212" s="227"/>
      <c r="AY212" s="338"/>
      <c r="AZ212" s="233">
        <f>AZ228+AZ255+AZ261+AZ223+AZ249+AZ234+AZ272+AZ218+AZ244+AZ239+AZ277+AZ267</f>
        <v>0</v>
      </c>
      <c r="BA212" s="347"/>
      <c r="BB212" s="233"/>
      <c r="BC212" s="227"/>
      <c r="BD212" s="338"/>
      <c r="BE212" s="233">
        <f>BE228+BE255+BE261+BE223+BE249+BE234+BE272+BE218+BE244+BE239+BE277+BE267</f>
        <v>0</v>
      </c>
      <c r="BF212" s="347"/>
      <c r="BG212" s="233"/>
      <c r="BH212" s="227"/>
      <c r="BI212" s="338"/>
      <c r="BJ212" s="233">
        <f>BJ228+BJ255+BJ261+BJ223+BJ249+BJ234+BJ272+BJ218+BJ244+BJ239+BJ277+BJ267</f>
        <v>0</v>
      </c>
      <c r="BK212" s="347"/>
      <c r="BL212" s="233"/>
      <c r="BM212" s="227"/>
      <c r="BN212" s="338"/>
      <c r="BO212" s="233">
        <f>BO228+BO255+BO261+BO223+BO249+BO234+BO272+BO218+BO244+BO239+BO277+BO267</f>
        <v>0</v>
      </c>
      <c r="BP212" s="347"/>
      <c r="BQ212" s="233"/>
      <c r="BR212" s="227"/>
      <c r="BS212" s="338"/>
      <c r="BT212" s="233">
        <f>BT228+BT255+BT261+BT223+BT249+BT234+BT272+BT218+BT244+BT239+BT277+BT267</f>
        <v>-378078</v>
      </c>
      <c r="BU212" s="347"/>
      <c r="BV212" s="233"/>
      <c r="BW212" s="233"/>
      <c r="BX212" s="254"/>
      <c r="CA212" s="268"/>
      <c r="CB212" s="268"/>
    </row>
    <row r="213" spans="1:80" x14ac:dyDescent="0.2">
      <c r="A213" s="244"/>
      <c r="B213" s="244"/>
      <c r="D213" s="254" t="s">
        <v>314</v>
      </c>
      <c r="E213" s="371"/>
      <c r="F213" s="374"/>
      <c r="G213" s="355">
        <v>0</v>
      </c>
      <c r="H213" s="356"/>
      <c r="I213" s="233"/>
      <c r="J213" s="227"/>
      <c r="K213" s="374"/>
      <c r="L213" s="355">
        <f>L229+L256+L262+L250</f>
        <v>0</v>
      </c>
      <c r="M213" s="356"/>
      <c r="N213" s="233"/>
      <c r="O213" s="227"/>
      <c r="P213" s="374"/>
      <c r="Q213" s="355">
        <f>Q229+Q256+Q262+Q250</f>
        <v>0</v>
      </c>
      <c r="R213" s="356"/>
      <c r="S213" s="233"/>
      <c r="T213" s="227"/>
      <c r="U213" s="374"/>
      <c r="V213" s="355">
        <f>V229+V256+V262+V250</f>
        <v>0</v>
      </c>
      <c r="W213" s="356"/>
      <c r="X213" s="233"/>
      <c r="Y213" s="227"/>
      <c r="Z213" s="374"/>
      <c r="AA213" s="355">
        <f>AA229+AA256+AA262+AA250</f>
        <v>0</v>
      </c>
      <c r="AB213" s="356"/>
      <c r="AC213" s="233"/>
      <c r="AD213" s="227"/>
      <c r="AE213" s="374"/>
      <c r="AF213" s="355">
        <f>AF229+AF256+AF262+AF250</f>
        <v>0</v>
      </c>
      <c r="AG213" s="356"/>
      <c r="AH213" s="233"/>
      <c r="AI213" s="227"/>
      <c r="AJ213" s="374"/>
      <c r="AK213" s="355">
        <f>AK229+AK256+AK262+AK250</f>
        <v>0</v>
      </c>
      <c r="AL213" s="356"/>
      <c r="AM213" s="233"/>
      <c r="AN213" s="227"/>
      <c r="AO213" s="374"/>
      <c r="AP213" s="355">
        <f>AP229+AP256+AP262+AP250</f>
        <v>0</v>
      </c>
      <c r="AQ213" s="356"/>
      <c r="AR213" s="233"/>
      <c r="AS213" s="227"/>
      <c r="AT213" s="374"/>
      <c r="AU213" s="355">
        <f>AU229+AU256+AU262+AU250</f>
        <v>0</v>
      </c>
      <c r="AV213" s="356"/>
      <c r="AW213" s="233"/>
      <c r="AX213" s="227"/>
      <c r="AY213" s="374"/>
      <c r="AZ213" s="355">
        <f>AZ229+AZ256+AZ262+AZ250</f>
        <v>0</v>
      </c>
      <c r="BA213" s="356"/>
      <c r="BB213" s="233"/>
      <c r="BC213" s="227"/>
      <c r="BD213" s="374"/>
      <c r="BE213" s="355">
        <f>BE229+BE256+BE262+BE250</f>
        <v>0</v>
      </c>
      <c r="BF213" s="356"/>
      <c r="BG213" s="233"/>
      <c r="BH213" s="227"/>
      <c r="BI213" s="374"/>
      <c r="BJ213" s="355">
        <f>BJ229+BJ256+BJ262+BJ250</f>
        <v>0</v>
      </c>
      <c r="BK213" s="356"/>
      <c r="BL213" s="233"/>
      <c r="BM213" s="227"/>
      <c r="BN213" s="374"/>
      <c r="BO213" s="355">
        <f>BO229+BO256+BO262+BO250</f>
        <v>0</v>
      </c>
      <c r="BP213" s="356"/>
      <c r="BQ213" s="233"/>
      <c r="BR213" s="227"/>
      <c r="BS213" s="374"/>
      <c r="BT213" s="355">
        <f>BT229+BT256+BT262+BT250</f>
        <v>0</v>
      </c>
      <c r="BU213" s="356"/>
      <c r="BV213" s="233"/>
      <c r="BW213" s="233"/>
      <c r="BX213" s="254"/>
      <c r="CA213" s="268"/>
      <c r="CB213" s="268"/>
    </row>
    <row r="214" spans="1:80" x14ac:dyDescent="0.2">
      <c r="A214" s="244"/>
      <c r="B214" s="244"/>
      <c r="D214" s="254"/>
      <c r="E214" s="371"/>
      <c r="F214" s="119"/>
      <c r="G214" s="233"/>
      <c r="H214" s="233"/>
      <c r="I214" s="233"/>
      <c r="J214" s="227"/>
      <c r="K214" s="119"/>
      <c r="L214" s="233"/>
      <c r="M214" s="233"/>
      <c r="N214" s="233"/>
      <c r="O214" s="227"/>
      <c r="P214" s="119"/>
      <c r="Q214" s="233"/>
      <c r="R214" s="233"/>
      <c r="S214" s="233"/>
      <c r="T214" s="227"/>
      <c r="U214" s="119"/>
      <c r="V214" s="233"/>
      <c r="W214" s="233"/>
      <c r="X214" s="233"/>
      <c r="Y214" s="227"/>
      <c r="Z214" s="119"/>
      <c r="AA214" s="233"/>
      <c r="AB214" s="233"/>
      <c r="AC214" s="233"/>
      <c r="AD214" s="227"/>
      <c r="AE214" s="119"/>
      <c r="AF214" s="233"/>
      <c r="AG214" s="233"/>
      <c r="AH214" s="233"/>
      <c r="AI214" s="227"/>
      <c r="AJ214" s="119"/>
      <c r="AK214" s="233"/>
      <c r="AL214" s="233"/>
      <c r="AM214" s="233"/>
      <c r="AN214" s="227"/>
      <c r="AO214" s="119"/>
      <c r="AP214" s="233"/>
      <c r="AQ214" s="233"/>
      <c r="AR214" s="233"/>
      <c r="AS214" s="227"/>
      <c r="AT214" s="119"/>
      <c r="AU214" s="233"/>
      <c r="AV214" s="233"/>
      <c r="AW214" s="233"/>
      <c r="AX214" s="227"/>
      <c r="AY214" s="119"/>
      <c r="AZ214" s="233"/>
      <c r="BA214" s="233"/>
      <c r="BB214" s="233"/>
      <c r="BC214" s="227"/>
      <c r="BD214" s="119"/>
      <c r="BE214" s="233"/>
      <c r="BF214" s="233"/>
      <c r="BG214" s="233"/>
      <c r="BH214" s="227"/>
      <c r="BI214" s="119"/>
      <c r="BJ214" s="233"/>
      <c r="BK214" s="233"/>
      <c r="BL214" s="233"/>
      <c r="BM214" s="227"/>
      <c r="BN214" s="119"/>
      <c r="BO214" s="233"/>
      <c r="BP214" s="233"/>
      <c r="BQ214" s="233"/>
      <c r="BR214" s="227"/>
      <c r="BS214" s="119"/>
      <c r="BT214" s="233"/>
      <c r="BU214" s="233"/>
      <c r="BV214" s="233"/>
      <c r="BW214" s="233"/>
      <c r="BX214" s="254"/>
      <c r="CA214" s="268"/>
      <c r="CB214" s="268"/>
    </row>
    <row r="215" spans="1:80" x14ac:dyDescent="0.2">
      <c r="A215" s="244"/>
      <c r="B215" s="244"/>
      <c r="D215" s="254" t="s">
        <v>366</v>
      </c>
      <c r="F215" s="244"/>
      <c r="G215" s="233">
        <f>SUM(G216:G218)</f>
        <v>0</v>
      </c>
      <c r="H215" s="233"/>
      <c r="I215" s="233"/>
      <c r="J215" s="227"/>
      <c r="K215" s="233"/>
      <c r="L215" s="233">
        <f>SUM(L216:L218)</f>
        <v>0</v>
      </c>
      <c r="M215" s="233"/>
      <c r="N215" s="233"/>
      <c r="O215" s="227"/>
      <c r="P215" s="233"/>
      <c r="Q215" s="233">
        <f>SUM(Q216:Q218)</f>
        <v>975324</v>
      </c>
      <c r="R215" s="233"/>
      <c r="S215" s="233"/>
      <c r="T215" s="227"/>
      <c r="U215" s="233"/>
      <c r="V215" s="233">
        <f>SUM(V216:V218)</f>
        <v>0</v>
      </c>
      <c r="W215" s="233"/>
      <c r="X215" s="233"/>
      <c r="Y215" s="227"/>
      <c r="Z215" s="233"/>
      <c r="AA215" s="233">
        <f>SUM(AA216:AA218)</f>
        <v>0</v>
      </c>
      <c r="AB215" s="233"/>
      <c r="AC215" s="233"/>
      <c r="AD215" s="227"/>
      <c r="AE215" s="233"/>
      <c r="AF215" s="233">
        <f>SUM(AF216:AF218)</f>
        <v>0</v>
      </c>
      <c r="AG215" s="233"/>
      <c r="AH215" s="233"/>
      <c r="AI215" s="227"/>
      <c r="AJ215" s="233"/>
      <c r="AK215" s="233">
        <f>SUM(AK216:AK218)</f>
        <v>0</v>
      </c>
      <c r="AL215" s="233"/>
      <c r="AM215" s="233"/>
      <c r="AN215" s="227"/>
      <c r="AO215" s="233"/>
      <c r="AP215" s="233">
        <f>SUM(AP216:AP218)</f>
        <v>0</v>
      </c>
      <c r="AQ215" s="233"/>
      <c r="AR215" s="233"/>
      <c r="AS215" s="227"/>
      <c r="AT215" s="233"/>
      <c r="AU215" s="233">
        <f>SUM(AU216:AU218)</f>
        <v>0</v>
      </c>
      <c r="AV215" s="233"/>
      <c r="AW215" s="233"/>
      <c r="AX215" s="227"/>
      <c r="AY215" s="233"/>
      <c r="AZ215" s="233">
        <f>SUM(AZ216:AZ218)</f>
        <v>0</v>
      </c>
      <c r="BA215" s="233"/>
      <c r="BB215" s="233"/>
      <c r="BC215" s="227"/>
      <c r="BD215" s="233"/>
      <c r="BE215" s="233">
        <f>SUM(BE216:BE218)</f>
        <v>0</v>
      </c>
      <c r="BF215" s="233"/>
      <c r="BG215" s="233"/>
      <c r="BH215" s="227"/>
      <c r="BI215" s="233"/>
      <c r="BJ215" s="233">
        <f>SUM(BJ216:BJ218)</f>
        <v>0</v>
      </c>
      <c r="BK215" s="233"/>
      <c r="BL215" s="233"/>
      <c r="BM215" s="227"/>
      <c r="BN215" s="233"/>
      <c r="BO215" s="233">
        <f>SUM(BO216:BO218)</f>
        <v>0</v>
      </c>
      <c r="BP215" s="233"/>
      <c r="BQ215" s="233"/>
      <c r="BR215" s="227"/>
      <c r="BS215" s="233"/>
      <c r="BT215" s="233">
        <f>SUM(BT216:BT218)</f>
        <v>975324</v>
      </c>
      <c r="BU215" s="233"/>
      <c r="BV215" s="233"/>
      <c r="BW215" s="233"/>
      <c r="BX215" s="254"/>
      <c r="CA215" s="268"/>
      <c r="CB215" s="268"/>
    </row>
    <row r="216" spans="1:80" x14ac:dyDescent="0.2">
      <c r="A216" s="244"/>
      <c r="B216" s="244"/>
      <c r="D216" s="254" t="s">
        <v>310</v>
      </c>
      <c r="F216" s="269"/>
      <c r="G216" s="343">
        <v>0</v>
      </c>
      <c r="H216" s="344"/>
      <c r="I216" s="233"/>
      <c r="J216" s="227"/>
      <c r="K216" s="345"/>
      <c r="L216" s="343">
        <v>0</v>
      </c>
      <c r="M216" s="344"/>
      <c r="N216" s="233"/>
      <c r="O216" s="227"/>
      <c r="P216" s="345"/>
      <c r="Q216" s="343">
        <f>975324-97268</f>
        <v>878056</v>
      </c>
      <c r="R216" s="344"/>
      <c r="S216" s="233"/>
      <c r="T216" s="227"/>
      <c r="U216" s="345"/>
      <c r="V216" s="343">
        <v>0</v>
      </c>
      <c r="W216" s="344"/>
      <c r="X216" s="233"/>
      <c r="Y216" s="227"/>
      <c r="Z216" s="345"/>
      <c r="AA216" s="343">
        <v>0</v>
      </c>
      <c r="AB216" s="344"/>
      <c r="AC216" s="233"/>
      <c r="AD216" s="227"/>
      <c r="AE216" s="345"/>
      <c r="AF216" s="343">
        <v>0</v>
      </c>
      <c r="AG216" s="344"/>
      <c r="AH216" s="233"/>
      <c r="AI216" s="227"/>
      <c r="AJ216" s="345"/>
      <c r="AK216" s="343">
        <v>0</v>
      </c>
      <c r="AL216" s="344"/>
      <c r="AM216" s="233"/>
      <c r="AN216" s="227"/>
      <c r="AO216" s="345"/>
      <c r="AP216" s="343">
        <v>0</v>
      </c>
      <c r="AQ216" s="344"/>
      <c r="AR216" s="233"/>
      <c r="AS216" s="227"/>
      <c r="AT216" s="345"/>
      <c r="AU216" s="343">
        <v>0</v>
      </c>
      <c r="AV216" s="344"/>
      <c r="AW216" s="233"/>
      <c r="AX216" s="227"/>
      <c r="AY216" s="345"/>
      <c r="AZ216" s="343">
        <v>0</v>
      </c>
      <c r="BA216" s="344"/>
      <c r="BB216" s="233"/>
      <c r="BC216" s="227"/>
      <c r="BD216" s="345"/>
      <c r="BE216" s="343">
        <v>0</v>
      </c>
      <c r="BF216" s="344"/>
      <c r="BG216" s="233"/>
      <c r="BH216" s="227"/>
      <c r="BI216" s="345"/>
      <c r="BJ216" s="343">
        <v>0</v>
      </c>
      <c r="BK216" s="344"/>
      <c r="BL216" s="233"/>
      <c r="BM216" s="227"/>
      <c r="BN216" s="345"/>
      <c r="BO216" s="343">
        <v>0</v>
      </c>
      <c r="BP216" s="344"/>
      <c r="BQ216" s="233"/>
      <c r="BR216" s="227"/>
      <c r="BS216" s="345"/>
      <c r="BT216" s="343">
        <f>SUM(L216:BO216)</f>
        <v>878056</v>
      </c>
      <c r="BU216" s="344"/>
      <c r="BV216" s="233"/>
      <c r="BW216" s="233"/>
      <c r="BX216" s="254"/>
      <c r="CA216" s="268"/>
      <c r="CB216" s="268"/>
    </row>
    <row r="217" spans="1:80" x14ac:dyDescent="0.2">
      <c r="A217" s="244"/>
      <c r="B217" s="244"/>
      <c r="D217" s="254" t="s">
        <v>312</v>
      </c>
      <c r="F217" s="261"/>
      <c r="G217" s="233">
        <v>0</v>
      </c>
      <c r="H217" s="347"/>
      <c r="I217" s="233"/>
      <c r="J217" s="227"/>
      <c r="K217" s="227"/>
      <c r="L217" s="233">
        <v>0</v>
      </c>
      <c r="M217" s="347"/>
      <c r="N217" s="233"/>
      <c r="O217" s="227"/>
      <c r="P217" s="227"/>
      <c r="Q217" s="233">
        <v>97268</v>
      </c>
      <c r="R217" s="347"/>
      <c r="S217" s="233"/>
      <c r="T217" s="227"/>
      <c r="U217" s="227"/>
      <c r="V217" s="233">
        <v>0</v>
      </c>
      <c r="W217" s="347"/>
      <c r="X217" s="233"/>
      <c r="Y217" s="227"/>
      <c r="Z217" s="227"/>
      <c r="AA217" s="233">
        <v>0</v>
      </c>
      <c r="AB217" s="347"/>
      <c r="AC217" s="233"/>
      <c r="AD217" s="227"/>
      <c r="AE217" s="227"/>
      <c r="AF217" s="233">
        <v>0</v>
      </c>
      <c r="AG217" s="347"/>
      <c r="AH217" s="233"/>
      <c r="AI217" s="227"/>
      <c r="AJ217" s="227"/>
      <c r="AK217" s="233">
        <v>0</v>
      </c>
      <c r="AL217" s="347"/>
      <c r="AM217" s="233"/>
      <c r="AN217" s="227"/>
      <c r="AO217" s="227"/>
      <c r="AP217" s="233">
        <v>0</v>
      </c>
      <c r="AQ217" s="347"/>
      <c r="AR217" s="233"/>
      <c r="AS217" s="227"/>
      <c r="AT217" s="227"/>
      <c r="AU217" s="233">
        <v>0</v>
      </c>
      <c r="AV217" s="347"/>
      <c r="AW217" s="233"/>
      <c r="AX217" s="227"/>
      <c r="AY217" s="227"/>
      <c r="AZ217" s="233">
        <v>0</v>
      </c>
      <c r="BA217" s="347"/>
      <c r="BB217" s="233"/>
      <c r="BC217" s="227"/>
      <c r="BD217" s="227"/>
      <c r="BE217" s="233">
        <v>0</v>
      </c>
      <c r="BF217" s="347"/>
      <c r="BG217" s="233"/>
      <c r="BH217" s="227"/>
      <c r="BI217" s="227"/>
      <c r="BJ217" s="233">
        <v>0</v>
      </c>
      <c r="BK217" s="347"/>
      <c r="BL217" s="233"/>
      <c r="BM217" s="227"/>
      <c r="BN217" s="227"/>
      <c r="BO217" s="233">
        <v>0</v>
      </c>
      <c r="BP217" s="347"/>
      <c r="BQ217" s="233"/>
      <c r="BR217" s="227"/>
      <c r="BS217" s="227"/>
      <c r="BT217" s="233">
        <f>SUM(L217:BO217)</f>
        <v>97268</v>
      </c>
      <c r="BU217" s="347"/>
      <c r="BV217" s="233"/>
      <c r="BW217" s="233"/>
      <c r="BX217" s="254"/>
      <c r="CA217" s="268"/>
      <c r="CB217" s="268"/>
    </row>
    <row r="218" spans="1:80" x14ac:dyDescent="0.2">
      <c r="A218" s="244"/>
      <c r="B218" s="244"/>
      <c r="D218" s="254" t="s">
        <v>320</v>
      </c>
      <c r="F218" s="284"/>
      <c r="G218" s="355">
        <v>0</v>
      </c>
      <c r="H218" s="356"/>
      <c r="I218" s="233"/>
      <c r="J218" s="227"/>
      <c r="K218" s="357"/>
      <c r="L218" s="355">
        <v>0</v>
      </c>
      <c r="M218" s="356"/>
      <c r="N218" s="233"/>
      <c r="O218" s="227"/>
      <c r="P218" s="357"/>
      <c r="Q218" s="355">
        <v>0</v>
      </c>
      <c r="R218" s="356"/>
      <c r="S218" s="233"/>
      <c r="T218" s="227"/>
      <c r="U218" s="357"/>
      <c r="V218" s="355">
        <v>0</v>
      </c>
      <c r="W218" s="356"/>
      <c r="X218" s="233"/>
      <c r="Y218" s="227"/>
      <c r="Z218" s="357"/>
      <c r="AA218" s="355">
        <v>0</v>
      </c>
      <c r="AB218" s="356"/>
      <c r="AC218" s="233"/>
      <c r="AD218" s="227"/>
      <c r="AE218" s="357"/>
      <c r="AF218" s="355">
        <v>0</v>
      </c>
      <c r="AG218" s="356"/>
      <c r="AH218" s="233"/>
      <c r="AI218" s="227"/>
      <c r="AJ218" s="357"/>
      <c r="AK218" s="355">
        <v>0</v>
      </c>
      <c r="AL218" s="356"/>
      <c r="AM218" s="233"/>
      <c r="AN218" s="227"/>
      <c r="AO218" s="357"/>
      <c r="AP218" s="355">
        <v>0</v>
      </c>
      <c r="AQ218" s="356"/>
      <c r="AR218" s="233"/>
      <c r="AS218" s="227"/>
      <c r="AT218" s="357"/>
      <c r="AU218" s="355">
        <v>0</v>
      </c>
      <c r="AV218" s="356"/>
      <c r="AW218" s="233"/>
      <c r="AX218" s="227"/>
      <c r="AY218" s="357"/>
      <c r="AZ218" s="355">
        <v>0</v>
      </c>
      <c r="BA218" s="356"/>
      <c r="BB218" s="233"/>
      <c r="BC218" s="227"/>
      <c r="BD218" s="357"/>
      <c r="BE218" s="355">
        <v>0</v>
      </c>
      <c r="BF218" s="356"/>
      <c r="BG218" s="233"/>
      <c r="BH218" s="227"/>
      <c r="BI218" s="357"/>
      <c r="BJ218" s="355">
        <v>0</v>
      </c>
      <c r="BK218" s="356"/>
      <c r="BL218" s="233"/>
      <c r="BM218" s="227"/>
      <c r="BN218" s="357"/>
      <c r="BO218" s="355">
        <v>0</v>
      </c>
      <c r="BP218" s="356"/>
      <c r="BQ218" s="233"/>
      <c r="BR218" s="227"/>
      <c r="BS218" s="357"/>
      <c r="BT218" s="355">
        <f>SUM(L218:BO218)</f>
        <v>0</v>
      </c>
      <c r="BU218" s="356"/>
      <c r="BV218" s="233"/>
      <c r="BW218" s="233"/>
      <c r="BX218" s="254"/>
      <c r="CA218" s="268"/>
      <c r="CB218" s="268"/>
    </row>
    <row r="219" spans="1:80" x14ac:dyDescent="0.2">
      <c r="A219" s="244"/>
      <c r="B219" s="244"/>
      <c r="D219" s="254"/>
      <c r="F219" s="244"/>
      <c r="G219" s="233"/>
      <c r="H219" s="233"/>
      <c r="I219" s="233"/>
      <c r="J219" s="227"/>
      <c r="K219" s="233"/>
      <c r="L219" s="233"/>
      <c r="M219" s="233"/>
      <c r="N219" s="233"/>
      <c r="O219" s="227"/>
      <c r="P219" s="233"/>
      <c r="Q219" s="233"/>
      <c r="R219" s="233"/>
      <c r="S219" s="233"/>
      <c r="T219" s="227"/>
      <c r="U219" s="233"/>
      <c r="V219" s="233"/>
      <c r="W219" s="233"/>
      <c r="X219" s="233"/>
      <c r="Y219" s="227"/>
      <c r="Z219" s="233"/>
      <c r="AA219" s="233"/>
      <c r="AB219" s="233"/>
      <c r="AC219" s="233"/>
      <c r="AD219" s="227"/>
      <c r="AE219" s="233"/>
      <c r="AF219" s="233"/>
      <c r="AG219" s="233"/>
      <c r="AH219" s="233"/>
      <c r="AI219" s="227"/>
      <c r="AJ219" s="233"/>
      <c r="AK219" s="233"/>
      <c r="AL219" s="233"/>
      <c r="AM219" s="233"/>
      <c r="AN219" s="227"/>
      <c r="AO219" s="233"/>
      <c r="AP219" s="233"/>
      <c r="AQ219" s="233"/>
      <c r="AR219" s="233"/>
      <c r="AS219" s="227"/>
      <c r="AT219" s="233"/>
      <c r="AU219" s="233"/>
      <c r="AV219" s="233"/>
      <c r="AW219" s="233"/>
      <c r="AX219" s="227"/>
      <c r="AY219" s="233"/>
      <c r="AZ219" s="233"/>
      <c r="BA219" s="233"/>
      <c r="BB219" s="233"/>
      <c r="BC219" s="227"/>
      <c r="BD219" s="233"/>
      <c r="BE219" s="233"/>
      <c r="BF219" s="233"/>
      <c r="BG219" s="233"/>
      <c r="BH219" s="227"/>
      <c r="BI219" s="233"/>
      <c r="BJ219" s="233"/>
      <c r="BK219" s="233"/>
      <c r="BL219" s="233"/>
      <c r="BM219" s="227"/>
      <c r="BN219" s="233"/>
      <c r="BO219" s="233"/>
      <c r="BP219" s="233"/>
      <c r="BQ219" s="233"/>
      <c r="BR219" s="227"/>
      <c r="BS219" s="233"/>
      <c r="BT219" s="233"/>
      <c r="BU219" s="233"/>
      <c r="BV219" s="233"/>
      <c r="BW219" s="233"/>
      <c r="BX219" s="254"/>
      <c r="CA219" s="268"/>
      <c r="CB219" s="268"/>
    </row>
    <row r="220" spans="1:80" x14ac:dyDescent="0.2">
      <c r="A220" s="244"/>
      <c r="B220" s="244"/>
      <c r="D220" s="254" t="s">
        <v>321</v>
      </c>
      <c r="F220" s="244"/>
      <c r="G220" s="233">
        <f>SUM(G221:G223)</f>
        <v>0</v>
      </c>
      <c r="H220" s="233"/>
      <c r="I220" s="233"/>
      <c r="J220" s="227"/>
      <c r="K220" s="233"/>
      <c r="L220" s="233">
        <f>SUM(L221:L223)</f>
        <v>0</v>
      </c>
      <c r="M220" s="233"/>
      <c r="N220" s="233"/>
      <c r="O220" s="227"/>
      <c r="P220" s="233"/>
      <c r="Q220" s="233">
        <f>SUM(Q221:Q223)</f>
        <v>3591635</v>
      </c>
      <c r="R220" s="233"/>
      <c r="S220" s="233"/>
      <c r="T220" s="227"/>
      <c r="U220" s="233"/>
      <c r="V220" s="233">
        <f>SUM(V221:V223)</f>
        <v>0</v>
      </c>
      <c r="W220" s="233"/>
      <c r="X220" s="233"/>
      <c r="Y220" s="227"/>
      <c r="Z220" s="233"/>
      <c r="AA220" s="233">
        <f>SUM(AA221:AA223)</f>
        <v>0</v>
      </c>
      <c r="AB220" s="233"/>
      <c r="AC220" s="233"/>
      <c r="AD220" s="227"/>
      <c r="AE220" s="233"/>
      <c r="AF220" s="233">
        <f>SUM(AF221:AF223)</f>
        <v>0</v>
      </c>
      <c r="AG220" s="233"/>
      <c r="AH220" s="233"/>
      <c r="AI220" s="227"/>
      <c r="AJ220" s="233"/>
      <c r="AK220" s="233">
        <f>SUM(AK221:AK223)</f>
        <v>0</v>
      </c>
      <c r="AL220" s="233"/>
      <c r="AM220" s="233"/>
      <c r="AN220" s="227"/>
      <c r="AO220" s="233"/>
      <c r="AP220" s="233">
        <f>SUM(AP221:AP223)</f>
        <v>0</v>
      </c>
      <c r="AQ220" s="233"/>
      <c r="AR220" s="233"/>
      <c r="AS220" s="227"/>
      <c r="AT220" s="233"/>
      <c r="AU220" s="233">
        <f>SUM(AU221:AU223)</f>
        <v>0</v>
      </c>
      <c r="AV220" s="233"/>
      <c r="AW220" s="233"/>
      <c r="AX220" s="227"/>
      <c r="AY220" s="233"/>
      <c r="AZ220" s="233">
        <f>SUM(AZ221:AZ223)</f>
        <v>0</v>
      </c>
      <c r="BA220" s="233"/>
      <c r="BB220" s="233"/>
      <c r="BC220" s="227"/>
      <c r="BD220" s="233"/>
      <c r="BE220" s="233">
        <f>SUM(BE221:BE223)</f>
        <v>0</v>
      </c>
      <c r="BF220" s="233"/>
      <c r="BG220" s="233"/>
      <c r="BH220" s="227"/>
      <c r="BI220" s="233"/>
      <c r="BJ220" s="233">
        <f>SUM(BJ221:BJ223)</f>
        <v>0</v>
      </c>
      <c r="BK220" s="233"/>
      <c r="BL220" s="233"/>
      <c r="BM220" s="227"/>
      <c r="BN220" s="233"/>
      <c r="BO220" s="233">
        <f>SUM(BO221:BO223)</f>
        <v>0</v>
      </c>
      <c r="BP220" s="233"/>
      <c r="BQ220" s="233"/>
      <c r="BR220" s="227"/>
      <c r="BS220" s="233"/>
      <c r="BT220" s="233">
        <f>SUM(BT221:BT223)</f>
        <v>3591635</v>
      </c>
      <c r="BU220" s="233"/>
      <c r="BV220" s="233"/>
      <c r="BW220" s="233"/>
      <c r="BX220" s="254"/>
      <c r="CA220" s="268"/>
      <c r="CB220" s="268"/>
    </row>
    <row r="221" spans="1:80" x14ac:dyDescent="0.2">
      <c r="A221" s="244"/>
      <c r="B221" s="244"/>
      <c r="D221" s="254" t="s">
        <v>310</v>
      </c>
      <c r="F221" s="269"/>
      <c r="G221" s="343">
        <v>0</v>
      </c>
      <c r="H221" s="344"/>
      <c r="I221" s="233"/>
      <c r="J221" s="227"/>
      <c r="K221" s="345"/>
      <c r="L221" s="343">
        <v>0</v>
      </c>
      <c r="M221" s="344"/>
      <c r="N221" s="233"/>
      <c r="O221" s="227"/>
      <c r="P221" s="345"/>
      <c r="Q221" s="343">
        <f>3591635+378078</f>
        <v>3969713</v>
      </c>
      <c r="R221" s="344"/>
      <c r="S221" s="233"/>
      <c r="T221" s="227"/>
      <c r="U221" s="345"/>
      <c r="V221" s="343">
        <v>0</v>
      </c>
      <c r="W221" s="344"/>
      <c r="X221" s="233"/>
      <c r="Y221" s="227"/>
      <c r="Z221" s="345"/>
      <c r="AA221" s="343">
        <v>0</v>
      </c>
      <c r="AB221" s="344"/>
      <c r="AC221" s="233"/>
      <c r="AD221" s="227"/>
      <c r="AE221" s="345"/>
      <c r="AF221" s="343">
        <v>0</v>
      </c>
      <c r="AG221" s="344"/>
      <c r="AH221" s="233"/>
      <c r="AI221" s="227"/>
      <c r="AJ221" s="345"/>
      <c r="AK221" s="343">
        <v>0</v>
      </c>
      <c r="AL221" s="344"/>
      <c r="AM221" s="233"/>
      <c r="AN221" s="227"/>
      <c r="AO221" s="345"/>
      <c r="AP221" s="343">
        <v>0</v>
      </c>
      <c r="AQ221" s="344"/>
      <c r="AR221" s="233"/>
      <c r="AS221" s="227"/>
      <c r="AT221" s="345"/>
      <c r="AU221" s="343">
        <v>0</v>
      </c>
      <c r="AV221" s="344"/>
      <c r="AW221" s="233"/>
      <c r="AX221" s="227"/>
      <c r="AY221" s="345"/>
      <c r="AZ221" s="343">
        <v>0</v>
      </c>
      <c r="BA221" s="344"/>
      <c r="BB221" s="233"/>
      <c r="BC221" s="227"/>
      <c r="BD221" s="345"/>
      <c r="BE221" s="343">
        <v>0</v>
      </c>
      <c r="BF221" s="344"/>
      <c r="BG221" s="233"/>
      <c r="BH221" s="227"/>
      <c r="BI221" s="345"/>
      <c r="BJ221" s="343">
        <v>0</v>
      </c>
      <c r="BK221" s="344"/>
      <c r="BL221" s="233"/>
      <c r="BM221" s="227"/>
      <c r="BN221" s="345"/>
      <c r="BO221" s="343">
        <v>0</v>
      </c>
      <c r="BP221" s="344"/>
      <c r="BQ221" s="233"/>
      <c r="BR221" s="227"/>
      <c r="BS221" s="345"/>
      <c r="BT221" s="343">
        <f>SUM(L221:BO221)</f>
        <v>3969713</v>
      </c>
      <c r="BU221" s="344"/>
      <c r="BV221" s="233"/>
      <c r="BW221" s="233"/>
      <c r="BX221" s="254"/>
      <c r="CA221" s="268"/>
      <c r="CB221" s="268"/>
    </row>
    <row r="222" spans="1:80" x14ac:dyDescent="0.2">
      <c r="A222" s="244"/>
      <c r="B222" s="244"/>
      <c r="D222" s="254" t="s">
        <v>312</v>
      </c>
      <c r="F222" s="261"/>
      <c r="G222" s="233">
        <v>0</v>
      </c>
      <c r="H222" s="347"/>
      <c r="I222" s="233"/>
      <c r="J222" s="227"/>
      <c r="K222" s="227"/>
      <c r="L222" s="233">
        <v>0</v>
      </c>
      <c r="M222" s="347"/>
      <c r="N222" s="233"/>
      <c r="O222" s="227"/>
      <c r="P222" s="227"/>
      <c r="Q222" s="233">
        <v>0</v>
      </c>
      <c r="R222" s="347"/>
      <c r="S222" s="233"/>
      <c r="T222" s="227"/>
      <c r="U222" s="227"/>
      <c r="V222" s="233">
        <v>0</v>
      </c>
      <c r="W222" s="347"/>
      <c r="X222" s="233"/>
      <c r="Y222" s="227"/>
      <c r="Z222" s="227"/>
      <c r="AA222" s="233">
        <v>0</v>
      </c>
      <c r="AB222" s="347"/>
      <c r="AC222" s="233"/>
      <c r="AD222" s="227"/>
      <c r="AE222" s="227"/>
      <c r="AF222" s="233">
        <v>0</v>
      </c>
      <c r="AG222" s="347"/>
      <c r="AH222" s="233"/>
      <c r="AI222" s="227"/>
      <c r="AJ222" s="227"/>
      <c r="AK222" s="233">
        <v>0</v>
      </c>
      <c r="AL222" s="347"/>
      <c r="AM222" s="233"/>
      <c r="AN222" s="227"/>
      <c r="AO222" s="227"/>
      <c r="AP222" s="233">
        <v>0</v>
      </c>
      <c r="AQ222" s="347"/>
      <c r="AR222" s="233"/>
      <c r="AS222" s="227"/>
      <c r="AT222" s="227"/>
      <c r="AU222" s="233">
        <v>0</v>
      </c>
      <c r="AV222" s="347"/>
      <c r="AW222" s="233"/>
      <c r="AX222" s="227"/>
      <c r="AY222" s="227"/>
      <c r="AZ222" s="233">
        <v>0</v>
      </c>
      <c r="BA222" s="347"/>
      <c r="BB222" s="233"/>
      <c r="BC222" s="227"/>
      <c r="BD222" s="227"/>
      <c r="BE222" s="233">
        <v>0</v>
      </c>
      <c r="BF222" s="347"/>
      <c r="BG222" s="233"/>
      <c r="BH222" s="227"/>
      <c r="BI222" s="227"/>
      <c r="BJ222" s="233">
        <v>0</v>
      </c>
      <c r="BK222" s="347"/>
      <c r="BL222" s="233"/>
      <c r="BM222" s="227"/>
      <c r="BN222" s="227"/>
      <c r="BO222" s="233">
        <v>0</v>
      </c>
      <c r="BP222" s="347"/>
      <c r="BQ222" s="233"/>
      <c r="BR222" s="227"/>
      <c r="BS222" s="227"/>
      <c r="BT222" s="233">
        <f>SUM(L222:BO222)</f>
        <v>0</v>
      </c>
      <c r="BU222" s="347"/>
      <c r="BV222" s="233"/>
      <c r="BW222" s="233"/>
      <c r="BX222" s="254"/>
      <c r="CA222" s="268"/>
      <c r="CB222" s="268"/>
    </row>
    <row r="223" spans="1:80" x14ac:dyDescent="0.2">
      <c r="A223" s="244"/>
      <c r="B223" s="244"/>
      <c r="D223" s="254" t="s">
        <v>320</v>
      </c>
      <c r="F223" s="284"/>
      <c r="G223" s="355">
        <v>0</v>
      </c>
      <c r="H223" s="356"/>
      <c r="I223" s="233"/>
      <c r="J223" s="227"/>
      <c r="K223" s="357"/>
      <c r="L223" s="355">
        <v>0</v>
      </c>
      <c r="M223" s="356"/>
      <c r="N223" s="233"/>
      <c r="O223" s="227"/>
      <c r="P223" s="357"/>
      <c r="Q223" s="355">
        <v>-378078</v>
      </c>
      <c r="R223" s="356"/>
      <c r="S223" s="233"/>
      <c r="T223" s="227"/>
      <c r="U223" s="357"/>
      <c r="V223" s="355">
        <v>0</v>
      </c>
      <c r="W223" s="356"/>
      <c r="X223" s="233"/>
      <c r="Y223" s="227"/>
      <c r="Z223" s="357"/>
      <c r="AA223" s="355">
        <v>0</v>
      </c>
      <c r="AB223" s="356"/>
      <c r="AC223" s="233"/>
      <c r="AD223" s="227"/>
      <c r="AE223" s="357"/>
      <c r="AF223" s="355">
        <v>0</v>
      </c>
      <c r="AG223" s="356"/>
      <c r="AH223" s="233"/>
      <c r="AI223" s="227"/>
      <c r="AJ223" s="357"/>
      <c r="AK223" s="355">
        <v>0</v>
      </c>
      <c r="AL223" s="356"/>
      <c r="AM223" s="233"/>
      <c r="AN223" s="227"/>
      <c r="AO223" s="357"/>
      <c r="AP223" s="355">
        <v>0</v>
      </c>
      <c r="AQ223" s="356"/>
      <c r="AR223" s="233"/>
      <c r="AS223" s="227"/>
      <c r="AT223" s="357"/>
      <c r="AU223" s="355">
        <v>0</v>
      </c>
      <c r="AV223" s="356"/>
      <c r="AW223" s="233"/>
      <c r="AX223" s="227"/>
      <c r="AY223" s="357"/>
      <c r="AZ223" s="355">
        <v>0</v>
      </c>
      <c r="BA223" s="356"/>
      <c r="BB223" s="233"/>
      <c r="BC223" s="227"/>
      <c r="BD223" s="357"/>
      <c r="BE223" s="355">
        <v>0</v>
      </c>
      <c r="BF223" s="356"/>
      <c r="BG223" s="233"/>
      <c r="BH223" s="227"/>
      <c r="BI223" s="357"/>
      <c r="BJ223" s="355">
        <v>0</v>
      </c>
      <c r="BK223" s="356"/>
      <c r="BL223" s="233"/>
      <c r="BM223" s="227"/>
      <c r="BN223" s="357"/>
      <c r="BO223" s="355">
        <v>0</v>
      </c>
      <c r="BP223" s="356"/>
      <c r="BQ223" s="233"/>
      <c r="BR223" s="227"/>
      <c r="BS223" s="357"/>
      <c r="BT223" s="355">
        <f>SUM(L223:BO223)</f>
        <v>-378078</v>
      </c>
      <c r="BU223" s="356"/>
      <c r="BV223" s="233"/>
      <c r="BW223" s="233"/>
      <c r="BX223" s="254"/>
      <c r="CA223" s="268"/>
      <c r="CB223" s="268"/>
    </row>
    <row r="224" spans="1:80" ht="12.75" customHeight="1" x14ac:dyDescent="0.2">
      <c r="A224" s="244"/>
      <c r="B224" s="244"/>
      <c r="D224" s="254"/>
      <c r="E224" s="371"/>
      <c r="F224" s="119"/>
      <c r="G224" s="233"/>
      <c r="H224" s="233"/>
      <c r="I224" s="233"/>
      <c r="J224" s="227"/>
      <c r="K224" s="119"/>
      <c r="L224" s="233"/>
      <c r="M224" s="233"/>
      <c r="N224" s="233"/>
      <c r="O224" s="227"/>
      <c r="P224" s="119"/>
      <c r="Q224" s="233"/>
      <c r="R224" s="233"/>
      <c r="S224" s="233"/>
      <c r="T224" s="227"/>
      <c r="U224" s="119"/>
      <c r="V224" s="233"/>
      <c r="W224" s="233"/>
      <c r="X224" s="233"/>
      <c r="Y224" s="227"/>
      <c r="Z224" s="119"/>
      <c r="AA224" s="233"/>
      <c r="AB224" s="233"/>
      <c r="AC224" s="233"/>
      <c r="AD224" s="227"/>
      <c r="AE224" s="119"/>
      <c r="AF224" s="233"/>
      <c r="AG224" s="233"/>
      <c r="AH224" s="233"/>
      <c r="AI224" s="227"/>
      <c r="AJ224" s="119"/>
      <c r="AK224" s="233"/>
      <c r="AL224" s="233"/>
      <c r="AM224" s="233"/>
      <c r="AN224" s="227"/>
      <c r="AO224" s="119"/>
      <c r="AP224" s="233"/>
      <c r="AQ224" s="233"/>
      <c r="AR224" s="233"/>
      <c r="AS224" s="227"/>
      <c r="AT224" s="119"/>
      <c r="AU224" s="233"/>
      <c r="AV224" s="233"/>
      <c r="AW224" s="233"/>
      <c r="AX224" s="227"/>
      <c r="AY224" s="119"/>
      <c r="AZ224" s="233"/>
      <c r="BA224" s="233"/>
      <c r="BB224" s="233"/>
      <c r="BC224" s="227"/>
      <c r="BD224" s="119"/>
      <c r="BE224" s="233"/>
      <c r="BF224" s="233"/>
      <c r="BG224" s="233"/>
      <c r="BH224" s="227"/>
      <c r="BI224" s="119"/>
      <c r="BJ224" s="233"/>
      <c r="BK224" s="233"/>
      <c r="BL224" s="233"/>
      <c r="BM224" s="227"/>
      <c r="BN224" s="119"/>
      <c r="BO224" s="233"/>
      <c r="BP224" s="233"/>
      <c r="BQ224" s="233"/>
      <c r="BR224" s="227"/>
      <c r="BS224" s="119"/>
      <c r="BT224" s="233"/>
      <c r="BU224" s="233"/>
      <c r="BV224" s="233"/>
      <c r="BW224" s="233"/>
      <c r="BX224" s="254"/>
      <c r="CA224" s="268"/>
      <c r="CB224" s="268"/>
    </row>
    <row r="225" spans="1:80" ht="12.75" customHeight="1" x14ac:dyDescent="0.2">
      <c r="A225" s="244"/>
      <c r="B225" s="244"/>
      <c r="D225" s="254" t="str">
        <f>D115</f>
        <v xml:space="preserve">  R2040 (9.00%  2040/09/11)</v>
      </c>
      <c r="E225" s="371"/>
      <c r="F225" s="119"/>
      <c r="G225" s="233">
        <v>0</v>
      </c>
      <c r="H225" s="233"/>
      <c r="I225" s="233"/>
      <c r="J225" s="227"/>
      <c r="K225" s="233"/>
      <c r="L225" s="233">
        <v>0</v>
      </c>
      <c r="M225" s="233"/>
      <c r="N225" s="233"/>
      <c r="O225" s="227"/>
      <c r="P225" s="119"/>
      <c r="Q225" s="233">
        <f>SUM(Q226:Q228)</f>
        <v>707823</v>
      </c>
      <c r="R225" s="233"/>
      <c r="S225" s="233"/>
      <c r="T225" s="227"/>
      <c r="U225" s="119"/>
      <c r="V225" s="233">
        <v>0</v>
      </c>
      <c r="W225" s="233"/>
      <c r="X225" s="233"/>
      <c r="Y225" s="227"/>
      <c r="Z225" s="119"/>
      <c r="AA225" s="233">
        <v>0</v>
      </c>
      <c r="AB225" s="233"/>
      <c r="AC225" s="233"/>
      <c r="AD225" s="227"/>
      <c r="AE225" s="119"/>
      <c r="AF225" s="233">
        <f>SUM(AF226:AF228)</f>
        <v>0</v>
      </c>
      <c r="AG225" s="233"/>
      <c r="AH225" s="233"/>
      <c r="AI225" s="227"/>
      <c r="AJ225" s="119"/>
      <c r="AK225" s="233">
        <f>SUM(AK226:AK228)</f>
        <v>0</v>
      </c>
      <c r="AL225" s="233"/>
      <c r="AM225" s="233"/>
      <c r="AN225" s="227"/>
      <c r="AO225" s="119"/>
      <c r="AP225" s="233">
        <v>0</v>
      </c>
      <c r="AQ225" s="233"/>
      <c r="AR225" s="233"/>
      <c r="AS225" s="227"/>
      <c r="AT225" s="119"/>
      <c r="AU225" s="233">
        <f>SUM(AU226:AU229)</f>
        <v>0</v>
      </c>
      <c r="AV225" s="233"/>
      <c r="AW225" s="233"/>
      <c r="AX225" s="227"/>
      <c r="AY225" s="119"/>
      <c r="AZ225" s="233">
        <f>SUM(AZ226:AZ228)</f>
        <v>0</v>
      </c>
      <c r="BA225" s="233"/>
      <c r="BB225" s="233"/>
      <c r="BC225" s="227"/>
      <c r="BD225" s="119"/>
      <c r="BE225" s="233">
        <v>0</v>
      </c>
      <c r="BF225" s="233"/>
      <c r="BG225" s="233"/>
      <c r="BH225" s="227"/>
      <c r="BI225" s="119"/>
      <c r="BJ225" s="233">
        <f>SUM(BJ226:BJ228)</f>
        <v>0</v>
      </c>
      <c r="BK225" s="233"/>
      <c r="BL225" s="233"/>
      <c r="BM225" s="227"/>
      <c r="BN225" s="119"/>
      <c r="BO225" s="233">
        <v>0</v>
      </c>
      <c r="BP225" s="233"/>
      <c r="BQ225" s="233"/>
      <c r="BR225" s="227"/>
      <c r="BS225" s="119"/>
      <c r="BT225" s="233">
        <f>SUM(BT226:BT229)</f>
        <v>707823</v>
      </c>
      <c r="BU225" s="233"/>
      <c r="BV225" s="233"/>
      <c r="BW225" s="233"/>
      <c r="BX225" s="254"/>
      <c r="CA225" s="268"/>
      <c r="CB225" s="268"/>
    </row>
    <row r="226" spans="1:80" ht="12.75" customHeight="1" x14ac:dyDescent="0.2">
      <c r="A226" s="244"/>
      <c r="B226" s="244"/>
      <c r="D226" s="254" t="s">
        <v>310</v>
      </c>
      <c r="E226" s="371"/>
      <c r="F226" s="269"/>
      <c r="G226" s="343">
        <v>0</v>
      </c>
      <c r="H226" s="344"/>
      <c r="I226" s="233"/>
      <c r="J226" s="227"/>
      <c r="K226" s="345"/>
      <c r="L226" s="343">
        <v>0</v>
      </c>
      <c r="M226" s="344"/>
      <c r="N226" s="233"/>
      <c r="O226" s="227"/>
      <c r="P226" s="345"/>
      <c r="Q226" s="343">
        <f>707823-50491</f>
        <v>657332</v>
      </c>
      <c r="R226" s="344"/>
      <c r="S226" s="233"/>
      <c r="T226" s="227"/>
      <c r="U226" s="372"/>
      <c r="V226" s="343">
        <v>0</v>
      </c>
      <c r="W226" s="344"/>
      <c r="X226" s="233"/>
      <c r="Y226" s="227"/>
      <c r="Z226" s="372"/>
      <c r="AA226" s="343">
        <v>0</v>
      </c>
      <c r="AB226" s="344"/>
      <c r="AC226" s="233"/>
      <c r="AD226" s="227"/>
      <c r="AE226" s="372"/>
      <c r="AF226" s="343">
        <v>0</v>
      </c>
      <c r="AG226" s="344"/>
      <c r="AH226" s="233"/>
      <c r="AI226" s="227"/>
      <c r="AJ226" s="372"/>
      <c r="AK226" s="343">
        <v>0</v>
      </c>
      <c r="AL226" s="344"/>
      <c r="AM226" s="233"/>
      <c r="AN226" s="227"/>
      <c r="AO226" s="372"/>
      <c r="AP226" s="343">
        <v>0</v>
      </c>
      <c r="AQ226" s="344"/>
      <c r="AR226" s="233"/>
      <c r="AS226" s="227"/>
      <c r="AT226" s="269"/>
      <c r="AU226" s="343">
        <v>0</v>
      </c>
      <c r="AV226" s="344"/>
      <c r="AW226" s="233"/>
      <c r="AX226" s="227"/>
      <c r="AY226" s="269"/>
      <c r="AZ226" s="343">
        <v>0</v>
      </c>
      <c r="BA226" s="344"/>
      <c r="BB226" s="233"/>
      <c r="BC226" s="227"/>
      <c r="BD226" s="269"/>
      <c r="BE226" s="343">
        <v>0</v>
      </c>
      <c r="BF226" s="344"/>
      <c r="BG226" s="233"/>
      <c r="BH226" s="227"/>
      <c r="BI226" s="269"/>
      <c r="BJ226" s="343">
        <v>0</v>
      </c>
      <c r="BK226" s="344"/>
      <c r="BL226" s="233"/>
      <c r="BM226" s="227"/>
      <c r="BN226" s="269"/>
      <c r="BO226" s="343">
        <v>0</v>
      </c>
      <c r="BP226" s="344"/>
      <c r="BQ226" s="233"/>
      <c r="BR226" s="227"/>
      <c r="BS226" s="269"/>
      <c r="BT226" s="343">
        <f>SUM(L226:BO226)</f>
        <v>657332</v>
      </c>
      <c r="BU226" s="344"/>
      <c r="BV226" s="233"/>
      <c r="BW226" s="233"/>
      <c r="BX226" s="254"/>
      <c r="CA226" s="268"/>
      <c r="CB226" s="268"/>
    </row>
    <row r="227" spans="1:80" ht="12.75" customHeight="1" x14ac:dyDescent="0.2">
      <c r="A227" s="244"/>
      <c r="B227" s="244"/>
      <c r="D227" s="254" t="s">
        <v>312</v>
      </c>
      <c r="E227" s="371"/>
      <c r="F227" s="261"/>
      <c r="G227" s="233">
        <v>0</v>
      </c>
      <c r="H227" s="347"/>
      <c r="I227" s="233"/>
      <c r="J227" s="227"/>
      <c r="K227" s="227"/>
      <c r="L227" s="233">
        <v>0</v>
      </c>
      <c r="M227" s="347"/>
      <c r="N227" s="233"/>
      <c r="O227" s="227"/>
      <c r="P227" s="227"/>
      <c r="Q227" s="233">
        <v>50491</v>
      </c>
      <c r="R227" s="347"/>
      <c r="S227" s="233"/>
      <c r="T227" s="227"/>
      <c r="U227" s="338"/>
      <c r="V227" s="233">
        <v>0</v>
      </c>
      <c r="W227" s="347"/>
      <c r="X227" s="233"/>
      <c r="Y227" s="227"/>
      <c r="Z227" s="338"/>
      <c r="AA227" s="233">
        <v>0</v>
      </c>
      <c r="AB227" s="347"/>
      <c r="AC227" s="233"/>
      <c r="AD227" s="227"/>
      <c r="AE227" s="338"/>
      <c r="AF227" s="233">
        <v>0</v>
      </c>
      <c r="AG227" s="347"/>
      <c r="AH227" s="233"/>
      <c r="AI227" s="227"/>
      <c r="AJ227" s="338"/>
      <c r="AK227" s="233">
        <v>0</v>
      </c>
      <c r="AL227" s="347"/>
      <c r="AM227" s="233"/>
      <c r="AN227" s="227"/>
      <c r="AO227" s="338"/>
      <c r="AP227" s="233">
        <v>0</v>
      </c>
      <c r="AQ227" s="347"/>
      <c r="AR227" s="233"/>
      <c r="AS227" s="227"/>
      <c r="AT227" s="261"/>
      <c r="AU227" s="233">
        <v>0</v>
      </c>
      <c r="AV227" s="347"/>
      <c r="AW227" s="233"/>
      <c r="AX227" s="227"/>
      <c r="AY227" s="261"/>
      <c r="AZ227" s="233">
        <v>0</v>
      </c>
      <c r="BA227" s="347"/>
      <c r="BB227" s="233"/>
      <c r="BC227" s="227"/>
      <c r="BD227" s="261"/>
      <c r="BE227" s="233">
        <v>0</v>
      </c>
      <c r="BF227" s="347"/>
      <c r="BG227" s="233"/>
      <c r="BH227" s="227"/>
      <c r="BI227" s="261"/>
      <c r="BJ227" s="233">
        <v>0</v>
      </c>
      <c r="BK227" s="347"/>
      <c r="BL227" s="233"/>
      <c r="BM227" s="227"/>
      <c r="BN227" s="261"/>
      <c r="BO227" s="233">
        <v>0</v>
      </c>
      <c r="BP227" s="347"/>
      <c r="BQ227" s="233"/>
      <c r="BR227" s="227"/>
      <c r="BS227" s="261"/>
      <c r="BT227" s="233">
        <f>SUM(L227:BO227)</f>
        <v>50491</v>
      </c>
      <c r="BU227" s="347"/>
      <c r="BV227" s="233"/>
      <c r="BW227" s="233"/>
      <c r="BX227" s="254"/>
      <c r="CA227" s="268"/>
      <c r="CB227" s="268"/>
    </row>
    <row r="228" spans="1:80" ht="12.75" customHeight="1" x14ac:dyDescent="0.2">
      <c r="A228" s="244"/>
      <c r="B228" s="244"/>
      <c r="D228" s="254" t="s">
        <v>320</v>
      </c>
      <c r="E228" s="371"/>
      <c r="F228" s="284"/>
      <c r="G228" s="355">
        <v>0</v>
      </c>
      <c r="H228" s="356"/>
      <c r="I228" s="233"/>
      <c r="J228" s="227"/>
      <c r="K228" s="357"/>
      <c r="L228" s="355">
        <v>0</v>
      </c>
      <c r="M228" s="356"/>
      <c r="N228" s="233"/>
      <c r="O228" s="227"/>
      <c r="P228" s="357"/>
      <c r="Q228" s="355">
        <v>0</v>
      </c>
      <c r="R228" s="356"/>
      <c r="S228" s="233"/>
      <c r="T228" s="227"/>
      <c r="U228" s="284"/>
      <c r="V228" s="355">
        <v>0</v>
      </c>
      <c r="W228" s="356"/>
      <c r="X228" s="233"/>
      <c r="Y228" s="227"/>
      <c r="Z228" s="284"/>
      <c r="AA228" s="355">
        <v>0</v>
      </c>
      <c r="AB228" s="356"/>
      <c r="AC228" s="233"/>
      <c r="AD228" s="227"/>
      <c r="AE228" s="284"/>
      <c r="AF228" s="355">
        <v>0</v>
      </c>
      <c r="AG228" s="356"/>
      <c r="AH228" s="233"/>
      <c r="AI228" s="227"/>
      <c r="AJ228" s="284"/>
      <c r="AK228" s="355">
        <v>0</v>
      </c>
      <c r="AL228" s="356"/>
      <c r="AM228" s="233"/>
      <c r="AN228" s="227"/>
      <c r="AO228" s="284"/>
      <c r="AP228" s="355">
        <v>0</v>
      </c>
      <c r="AQ228" s="356"/>
      <c r="AR228" s="233"/>
      <c r="AS228" s="227"/>
      <c r="AT228" s="284"/>
      <c r="AU228" s="355">
        <v>0</v>
      </c>
      <c r="AV228" s="356"/>
      <c r="AW228" s="233"/>
      <c r="AX228" s="227"/>
      <c r="AY228" s="284"/>
      <c r="AZ228" s="355">
        <v>0</v>
      </c>
      <c r="BA228" s="356"/>
      <c r="BB228" s="233"/>
      <c r="BC228" s="227"/>
      <c r="BD228" s="284"/>
      <c r="BE228" s="355">
        <v>0</v>
      </c>
      <c r="BF228" s="356"/>
      <c r="BG228" s="233"/>
      <c r="BH228" s="227"/>
      <c r="BI228" s="284"/>
      <c r="BJ228" s="355">
        <v>0</v>
      </c>
      <c r="BK228" s="356"/>
      <c r="BL228" s="233"/>
      <c r="BM228" s="227"/>
      <c r="BN228" s="284"/>
      <c r="BO228" s="355">
        <v>0</v>
      </c>
      <c r="BP228" s="356"/>
      <c r="BQ228" s="233"/>
      <c r="BR228" s="227"/>
      <c r="BS228" s="284"/>
      <c r="BT228" s="355">
        <f>SUM(L228:BO228)</f>
        <v>0</v>
      </c>
      <c r="BU228" s="356"/>
      <c r="BV228" s="233"/>
      <c r="BW228" s="233"/>
      <c r="BX228" s="254"/>
      <c r="CA228" s="268"/>
      <c r="CB228" s="268"/>
    </row>
    <row r="229" spans="1:80" ht="12.75" hidden="1" customHeight="1" x14ac:dyDescent="0.2">
      <c r="A229" s="244"/>
      <c r="B229" s="244"/>
      <c r="D229" s="254" t="s">
        <v>314</v>
      </c>
      <c r="E229" s="371"/>
      <c r="F229" s="374"/>
      <c r="G229" s="355">
        <v>0</v>
      </c>
      <c r="H229" s="356"/>
      <c r="I229" s="233"/>
      <c r="J229" s="227"/>
      <c r="K229" s="374"/>
      <c r="L229" s="355">
        <v>0</v>
      </c>
      <c r="M229" s="356"/>
      <c r="N229" s="233"/>
      <c r="O229" s="227"/>
      <c r="P229" s="374"/>
      <c r="Q229" s="355">
        <v>0</v>
      </c>
      <c r="R229" s="356"/>
      <c r="S229" s="233"/>
      <c r="T229" s="227"/>
      <c r="U229" s="374"/>
      <c r="V229" s="355">
        <v>0</v>
      </c>
      <c r="W229" s="356"/>
      <c r="X229" s="233"/>
      <c r="Y229" s="227"/>
      <c r="Z229" s="374"/>
      <c r="AA229" s="355">
        <v>0</v>
      </c>
      <c r="AB229" s="356"/>
      <c r="AC229" s="233"/>
      <c r="AD229" s="227"/>
      <c r="AE229" s="374"/>
      <c r="AF229" s="355">
        <v>0</v>
      </c>
      <c r="AG229" s="356"/>
      <c r="AH229" s="233"/>
      <c r="AI229" s="227"/>
      <c r="AJ229" s="374"/>
      <c r="AK229" s="355">
        <v>0</v>
      </c>
      <c r="AL229" s="356"/>
      <c r="AM229" s="233"/>
      <c r="AN229" s="227"/>
      <c r="AO229" s="374"/>
      <c r="AP229" s="355">
        <v>0</v>
      </c>
      <c r="AQ229" s="356"/>
      <c r="AR229" s="233"/>
      <c r="AS229" s="227"/>
      <c r="AT229" s="374"/>
      <c r="AU229" s="355">
        <v>0</v>
      </c>
      <c r="AV229" s="356"/>
      <c r="AW229" s="233"/>
      <c r="AX229" s="227"/>
      <c r="AY229" s="374"/>
      <c r="AZ229" s="355">
        <v>0</v>
      </c>
      <c r="BA229" s="356"/>
      <c r="BB229" s="233"/>
      <c r="BC229" s="227"/>
      <c r="BD229" s="374"/>
      <c r="BE229" s="355">
        <v>0</v>
      </c>
      <c r="BF229" s="356"/>
      <c r="BG229" s="233"/>
      <c r="BH229" s="227"/>
      <c r="BI229" s="374"/>
      <c r="BJ229" s="355">
        <v>0</v>
      </c>
      <c r="BK229" s="356"/>
      <c r="BL229" s="233"/>
      <c r="BM229" s="227"/>
      <c r="BN229" s="374"/>
      <c r="BO229" s="355">
        <v>0</v>
      </c>
      <c r="BP229" s="356"/>
      <c r="BQ229" s="233"/>
      <c r="BR229" s="227"/>
      <c r="BS229" s="374"/>
      <c r="BT229" s="355">
        <f>SUM(L229:BO229)</f>
        <v>0</v>
      </c>
      <c r="BU229" s="356"/>
      <c r="BV229" s="233"/>
      <c r="BW229" s="233"/>
      <c r="BX229" s="254"/>
      <c r="CA229" s="268"/>
      <c r="CB229" s="268"/>
    </row>
    <row r="230" spans="1:80" ht="12.75" customHeight="1" x14ac:dyDescent="0.2">
      <c r="A230" s="244"/>
      <c r="B230" s="244"/>
      <c r="D230" s="254"/>
      <c r="E230" s="371"/>
      <c r="F230" s="119"/>
      <c r="G230" s="233"/>
      <c r="H230" s="233"/>
      <c r="I230" s="233"/>
      <c r="J230" s="227"/>
      <c r="K230" s="119"/>
      <c r="L230" s="233"/>
      <c r="M230" s="233"/>
      <c r="N230" s="233"/>
      <c r="O230" s="227"/>
      <c r="P230" s="119"/>
      <c r="Q230" s="233"/>
      <c r="R230" s="233"/>
      <c r="S230" s="233"/>
      <c r="T230" s="227"/>
      <c r="U230" s="119"/>
      <c r="V230" s="233"/>
      <c r="W230" s="233"/>
      <c r="X230" s="233"/>
      <c r="Y230" s="227"/>
      <c r="Z230" s="119"/>
      <c r="AA230" s="233"/>
      <c r="AB230" s="233"/>
      <c r="AC230" s="233"/>
      <c r="AD230" s="227"/>
      <c r="AE230" s="119"/>
      <c r="AF230" s="233"/>
      <c r="AG230" s="233"/>
      <c r="AH230" s="233"/>
      <c r="AI230" s="227"/>
      <c r="AJ230" s="119"/>
      <c r="AK230" s="233"/>
      <c r="AL230" s="233"/>
      <c r="AM230" s="233"/>
      <c r="AN230" s="227"/>
      <c r="AO230" s="119"/>
      <c r="AP230" s="233"/>
      <c r="AQ230" s="233"/>
      <c r="AR230" s="233"/>
      <c r="AS230" s="227"/>
      <c r="AT230" s="119"/>
      <c r="AU230" s="233"/>
      <c r="AV230" s="233"/>
      <c r="AW230" s="233"/>
      <c r="AX230" s="227"/>
      <c r="AY230" s="119"/>
      <c r="AZ230" s="233"/>
      <c r="BA230" s="233"/>
      <c r="BB230" s="233"/>
      <c r="BC230" s="227"/>
      <c r="BD230" s="119"/>
      <c r="BE230" s="233"/>
      <c r="BF230" s="233"/>
      <c r="BG230" s="233"/>
      <c r="BH230" s="227"/>
      <c r="BI230" s="119"/>
      <c r="BJ230" s="233"/>
      <c r="BK230" s="233"/>
      <c r="BL230" s="233"/>
      <c r="BM230" s="227"/>
      <c r="BN230" s="119"/>
      <c r="BO230" s="233"/>
      <c r="BP230" s="233"/>
      <c r="BQ230" s="233"/>
      <c r="BR230" s="227"/>
      <c r="BS230" s="119"/>
      <c r="BT230" s="233"/>
      <c r="BU230" s="233"/>
      <c r="BV230" s="233"/>
      <c r="BW230" s="233"/>
      <c r="BX230" s="254"/>
      <c r="CA230" s="268"/>
      <c r="CB230" s="268"/>
    </row>
    <row r="231" spans="1:80" ht="12.75" customHeight="1" x14ac:dyDescent="0.2">
      <c r="A231" s="244"/>
      <c r="B231" s="244"/>
      <c r="D231" s="254" t="s">
        <v>341</v>
      </c>
      <c r="E231" s="371"/>
      <c r="F231" s="244"/>
      <c r="G231" s="233">
        <f>SUM(G232:G234)</f>
        <v>0</v>
      </c>
      <c r="H231" s="233"/>
      <c r="I231" s="233"/>
      <c r="J231" s="227"/>
      <c r="K231" s="244"/>
      <c r="L231" s="233">
        <f>SUM(L232:L234)</f>
        <v>0</v>
      </c>
      <c r="M231" s="233"/>
      <c r="N231" s="233"/>
      <c r="O231" s="227"/>
      <c r="P231" s="244"/>
      <c r="Q231" s="233">
        <f>SUM(Q232:Q234)</f>
        <v>145532</v>
      </c>
      <c r="R231" s="233"/>
      <c r="S231" s="233"/>
      <c r="T231" s="227"/>
      <c r="U231" s="244"/>
      <c r="V231" s="233">
        <f>SUM(V232:V234)</f>
        <v>0</v>
      </c>
      <c r="W231" s="233"/>
      <c r="X231" s="233"/>
      <c r="Y231" s="227"/>
      <c r="Z231" s="244"/>
      <c r="AA231" s="233">
        <f>SUM(AA232:AA234)</f>
        <v>0</v>
      </c>
      <c r="AB231" s="233"/>
      <c r="AC231" s="233"/>
      <c r="AD231" s="227"/>
      <c r="AE231" s="244"/>
      <c r="AF231" s="233">
        <f>SUM(AF232:AF234)</f>
        <v>0</v>
      </c>
      <c r="AG231" s="233"/>
      <c r="AH231" s="233"/>
      <c r="AI231" s="227"/>
      <c r="AJ231" s="244"/>
      <c r="AK231" s="233">
        <f>SUM(AK232:AK234)</f>
        <v>0</v>
      </c>
      <c r="AL231" s="233"/>
      <c r="AM231" s="233"/>
      <c r="AN231" s="227"/>
      <c r="AO231" s="244"/>
      <c r="AP231" s="233">
        <f>SUM(AP232:AP234)</f>
        <v>0</v>
      </c>
      <c r="AQ231" s="233"/>
      <c r="AR231" s="233"/>
      <c r="AS231" s="227"/>
      <c r="AT231" s="244"/>
      <c r="AU231" s="233">
        <f>SUM(AU232:AU234)</f>
        <v>0</v>
      </c>
      <c r="AV231" s="233"/>
      <c r="AW231" s="233"/>
      <c r="AX231" s="227"/>
      <c r="AY231" s="244"/>
      <c r="AZ231" s="233">
        <f>SUM(AZ232:AZ234)</f>
        <v>0</v>
      </c>
      <c r="BA231" s="233"/>
      <c r="BB231" s="233"/>
      <c r="BC231" s="227"/>
      <c r="BD231" s="244"/>
      <c r="BE231" s="233">
        <f>SUM(BE232:BE234)</f>
        <v>0</v>
      </c>
      <c r="BF231" s="233"/>
      <c r="BG231" s="233"/>
      <c r="BH231" s="227"/>
      <c r="BI231" s="244"/>
      <c r="BJ231" s="233">
        <f>SUM(BJ232:BJ234)</f>
        <v>0</v>
      </c>
      <c r="BK231" s="233"/>
      <c r="BL231" s="233"/>
      <c r="BM231" s="227"/>
      <c r="BN231" s="244"/>
      <c r="BO231" s="233">
        <f>SUM(BO232:BO234)</f>
        <v>0</v>
      </c>
      <c r="BP231" s="233"/>
      <c r="BQ231" s="233"/>
      <c r="BR231" s="227"/>
      <c r="BS231" s="244"/>
      <c r="BT231" s="233">
        <f>SUM(BT232:BT234)</f>
        <v>145532</v>
      </c>
      <c r="BU231" s="233"/>
      <c r="BV231" s="233"/>
      <c r="BW231" s="233"/>
      <c r="BX231" s="254"/>
      <c r="CA231" s="268"/>
      <c r="CB231" s="268"/>
    </row>
    <row r="232" spans="1:80" ht="12.75" customHeight="1" x14ac:dyDescent="0.2">
      <c r="A232" s="244"/>
      <c r="B232" s="244"/>
      <c r="D232" s="254" t="s">
        <v>310</v>
      </c>
      <c r="E232" s="371"/>
      <c r="F232" s="269"/>
      <c r="G232" s="343">
        <v>0</v>
      </c>
      <c r="H232" s="344"/>
      <c r="I232" s="233"/>
      <c r="J232" s="227"/>
      <c r="K232" s="269"/>
      <c r="L232" s="343">
        <v>0</v>
      </c>
      <c r="M232" s="344"/>
      <c r="N232" s="233"/>
      <c r="O232" s="227"/>
      <c r="P232" s="269"/>
      <c r="Q232" s="343">
        <f>145532-15001</f>
        <v>130531</v>
      </c>
      <c r="R232" s="344"/>
      <c r="S232" s="233"/>
      <c r="T232" s="227"/>
      <c r="U232" s="269"/>
      <c r="V232" s="343">
        <v>0</v>
      </c>
      <c r="W232" s="344"/>
      <c r="X232" s="233"/>
      <c r="Y232" s="227"/>
      <c r="Z232" s="269"/>
      <c r="AA232" s="343">
        <v>0</v>
      </c>
      <c r="AB232" s="344"/>
      <c r="AC232" s="233"/>
      <c r="AD232" s="227"/>
      <c r="AE232" s="269"/>
      <c r="AF232" s="343">
        <v>0</v>
      </c>
      <c r="AG232" s="344"/>
      <c r="AH232" s="233"/>
      <c r="AI232" s="227"/>
      <c r="AJ232" s="269"/>
      <c r="AK232" s="343">
        <v>0</v>
      </c>
      <c r="AL232" s="344"/>
      <c r="AM232" s="233"/>
      <c r="AN232" s="227"/>
      <c r="AO232" s="269"/>
      <c r="AP232" s="343">
        <v>0</v>
      </c>
      <c r="AQ232" s="344"/>
      <c r="AR232" s="233"/>
      <c r="AS232" s="227"/>
      <c r="AT232" s="269"/>
      <c r="AU232" s="343">
        <v>0</v>
      </c>
      <c r="AV232" s="344"/>
      <c r="AW232" s="233"/>
      <c r="AX232" s="227"/>
      <c r="AY232" s="269"/>
      <c r="AZ232" s="343">
        <v>0</v>
      </c>
      <c r="BA232" s="344"/>
      <c r="BB232" s="233"/>
      <c r="BC232" s="227"/>
      <c r="BD232" s="269"/>
      <c r="BE232" s="343">
        <v>0</v>
      </c>
      <c r="BF232" s="344"/>
      <c r="BG232" s="233"/>
      <c r="BH232" s="227"/>
      <c r="BI232" s="269"/>
      <c r="BJ232" s="343">
        <v>0</v>
      </c>
      <c r="BK232" s="344"/>
      <c r="BL232" s="233"/>
      <c r="BM232" s="227"/>
      <c r="BN232" s="269"/>
      <c r="BO232" s="343">
        <v>0</v>
      </c>
      <c r="BP232" s="344"/>
      <c r="BQ232" s="233"/>
      <c r="BR232" s="227"/>
      <c r="BS232" s="269"/>
      <c r="BT232" s="343">
        <f>SUM(L232:BO232)</f>
        <v>130531</v>
      </c>
      <c r="BU232" s="344"/>
      <c r="BV232" s="233"/>
      <c r="BW232" s="233"/>
      <c r="BX232" s="254"/>
      <c r="CA232" s="268"/>
      <c r="CB232" s="268"/>
    </row>
    <row r="233" spans="1:80" ht="12.75" customHeight="1" x14ac:dyDescent="0.2">
      <c r="A233" s="244"/>
      <c r="B233" s="244"/>
      <c r="D233" s="254" t="s">
        <v>312</v>
      </c>
      <c r="E233" s="371"/>
      <c r="F233" s="261"/>
      <c r="G233" s="233">
        <v>0</v>
      </c>
      <c r="H233" s="347"/>
      <c r="I233" s="233"/>
      <c r="J233" s="227"/>
      <c r="K233" s="261"/>
      <c r="L233" s="233">
        <v>0</v>
      </c>
      <c r="M233" s="347"/>
      <c r="N233" s="233"/>
      <c r="O233" s="227"/>
      <c r="P233" s="261"/>
      <c r="Q233" s="233">
        <v>15001</v>
      </c>
      <c r="R233" s="347"/>
      <c r="S233" s="233"/>
      <c r="T233" s="227"/>
      <c r="U233" s="261"/>
      <c r="V233" s="233">
        <v>0</v>
      </c>
      <c r="W233" s="347"/>
      <c r="X233" s="233"/>
      <c r="Y233" s="227"/>
      <c r="Z233" s="261"/>
      <c r="AA233" s="233">
        <v>0</v>
      </c>
      <c r="AB233" s="347"/>
      <c r="AC233" s="233"/>
      <c r="AD233" s="227"/>
      <c r="AE233" s="261"/>
      <c r="AF233" s="233">
        <v>0</v>
      </c>
      <c r="AG233" s="347"/>
      <c r="AH233" s="233"/>
      <c r="AI233" s="227"/>
      <c r="AJ233" s="261"/>
      <c r="AK233" s="233">
        <v>0</v>
      </c>
      <c r="AL233" s="347"/>
      <c r="AM233" s="233"/>
      <c r="AN233" s="227"/>
      <c r="AO233" s="261"/>
      <c r="AP233" s="233">
        <v>0</v>
      </c>
      <c r="AQ233" s="347"/>
      <c r="AR233" s="233"/>
      <c r="AS233" s="227"/>
      <c r="AT233" s="261"/>
      <c r="AU233" s="233">
        <v>0</v>
      </c>
      <c r="AV233" s="347"/>
      <c r="AW233" s="233"/>
      <c r="AX233" s="227"/>
      <c r="AY233" s="261"/>
      <c r="AZ233" s="233">
        <v>0</v>
      </c>
      <c r="BA233" s="347"/>
      <c r="BB233" s="233"/>
      <c r="BC233" s="227"/>
      <c r="BD233" s="261"/>
      <c r="BE233" s="233">
        <v>0</v>
      </c>
      <c r="BF233" s="347"/>
      <c r="BG233" s="233"/>
      <c r="BH233" s="227"/>
      <c r="BI233" s="261"/>
      <c r="BJ233" s="233">
        <v>0</v>
      </c>
      <c r="BK233" s="347"/>
      <c r="BL233" s="233"/>
      <c r="BM233" s="227"/>
      <c r="BN233" s="261"/>
      <c r="BO233" s="233">
        <v>0</v>
      </c>
      <c r="BP233" s="347"/>
      <c r="BQ233" s="233"/>
      <c r="BR233" s="227"/>
      <c r="BS233" s="261"/>
      <c r="BT233" s="233">
        <f>SUM(L233:BO233)</f>
        <v>15001</v>
      </c>
      <c r="BU233" s="347"/>
      <c r="BV233" s="233"/>
      <c r="BW233" s="233"/>
      <c r="BX233" s="254"/>
      <c r="CA233" s="268"/>
      <c r="CB233" s="268"/>
    </row>
    <row r="234" spans="1:80" ht="12.75" customHeight="1" x14ac:dyDescent="0.2">
      <c r="A234" s="244"/>
      <c r="B234" s="244"/>
      <c r="D234" s="254" t="s">
        <v>320</v>
      </c>
      <c r="E234" s="371"/>
      <c r="F234" s="284"/>
      <c r="G234" s="355">
        <v>0</v>
      </c>
      <c r="H234" s="356"/>
      <c r="I234" s="233"/>
      <c r="J234" s="227"/>
      <c r="K234" s="284"/>
      <c r="L234" s="355">
        <v>0</v>
      </c>
      <c r="M234" s="356"/>
      <c r="N234" s="233"/>
      <c r="O234" s="227"/>
      <c r="P234" s="284"/>
      <c r="Q234" s="355">
        <v>0</v>
      </c>
      <c r="R234" s="356"/>
      <c r="S234" s="233"/>
      <c r="T234" s="227"/>
      <c r="U234" s="284"/>
      <c r="V234" s="355">
        <v>0</v>
      </c>
      <c r="W234" s="356"/>
      <c r="X234" s="233"/>
      <c r="Y234" s="227"/>
      <c r="Z234" s="284"/>
      <c r="AA234" s="355">
        <v>0</v>
      </c>
      <c r="AB234" s="356"/>
      <c r="AC234" s="233"/>
      <c r="AD234" s="227"/>
      <c r="AE234" s="284"/>
      <c r="AF234" s="355">
        <v>0</v>
      </c>
      <c r="AG234" s="356"/>
      <c r="AH234" s="233"/>
      <c r="AI234" s="227"/>
      <c r="AJ234" s="284"/>
      <c r="AK234" s="355">
        <v>0</v>
      </c>
      <c r="AL234" s="356"/>
      <c r="AM234" s="233"/>
      <c r="AN234" s="227"/>
      <c r="AO234" s="284"/>
      <c r="AP234" s="355">
        <v>0</v>
      </c>
      <c r="AQ234" s="356"/>
      <c r="AR234" s="233"/>
      <c r="AS234" s="227"/>
      <c r="AT234" s="284"/>
      <c r="AU234" s="355">
        <v>0</v>
      </c>
      <c r="AV234" s="356"/>
      <c r="AW234" s="233"/>
      <c r="AX234" s="227"/>
      <c r="AY234" s="284"/>
      <c r="AZ234" s="355">
        <v>0</v>
      </c>
      <c r="BA234" s="356"/>
      <c r="BB234" s="233"/>
      <c r="BC234" s="227"/>
      <c r="BD234" s="284"/>
      <c r="BE234" s="355">
        <v>0</v>
      </c>
      <c r="BF234" s="356"/>
      <c r="BG234" s="233"/>
      <c r="BH234" s="227"/>
      <c r="BI234" s="284"/>
      <c r="BJ234" s="355">
        <v>0</v>
      </c>
      <c r="BK234" s="356"/>
      <c r="BL234" s="233"/>
      <c r="BM234" s="227"/>
      <c r="BN234" s="284"/>
      <c r="BO234" s="355">
        <v>0</v>
      </c>
      <c r="BP234" s="356"/>
      <c r="BQ234" s="233"/>
      <c r="BR234" s="227"/>
      <c r="BS234" s="284"/>
      <c r="BT234" s="355">
        <f>SUM(L234:BO234)</f>
        <v>0</v>
      </c>
      <c r="BU234" s="356"/>
      <c r="BV234" s="233"/>
      <c r="BW234" s="233"/>
      <c r="BX234" s="254"/>
      <c r="CA234" s="268"/>
      <c r="CB234" s="268"/>
    </row>
    <row r="235" spans="1:80" ht="12.75" customHeight="1" x14ac:dyDescent="0.2">
      <c r="A235" s="244"/>
      <c r="B235" s="244"/>
      <c r="D235" s="254"/>
      <c r="E235" s="371"/>
      <c r="F235" s="244"/>
      <c r="G235" s="233"/>
      <c r="H235" s="233"/>
      <c r="I235" s="233"/>
      <c r="J235" s="227"/>
      <c r="K235" s="244"/>
      <c r="L235" s="233"/>
      <c r="M235" s="233"/>
      <c r="N235" s="233"/>
      <c r="O235" s="227"/>
      <c r="P235" s="244"/>
      <c r="Q235" s="233"/>
      <c r="R235" s="233"/>
      <c r="S235" s="233"/>
      <c r="T235" s="227"/>
      <c r="U235" s="244"/>
      <c r="V235" s="233"/>
      <c r="W235" s="233"/>
      <c r="X235" s="233"/>
      <c r="Y235" s="227"/>
      <c r="Z235" s="244"/>
      <c r="AA235" s="233"/>
      <c r="AB235" s="233"/>
      <c r="AC235" s="233"/>
      <c r="AD235" s="227"/>
      <c r="AE235" s="244"/>
      <c r="AF235" s="233"/>
      <c r="AG235" s="233"/>
      <c r="AH235" s="233"/>
      <c r="AI235" s="227"/>
      <c r="AJ235" s="244"/>
      <c r="AK235" s="233"/>
      <c r="AL235" s="233"/>
      <c r="AM235" s="233"/>
      <c r="AN235" s="227"/>
      <c r="AO235" s="244"/>
      <c r="AP235" s="233"/>
      <c r="AQ235" s="233"/>
      <c r="AR235" s="233"/>
      <c r="AS235" s="227"/>
      <c r="AT235" s="244"/>
      <c r="AU235" s="233"/>
      <c r="AV235" s="233"/>
      <c r="AW235" s="233"/>
      <c r="AX235" s="227"/>
      <c r="AY235" s="244"/>
      <c r="AZ235" s="233"/>
      <c r="BA235" s="233"/>
      <c r="BB235" s="233"/>
      <c r="BC235" s="227"/>
      <c r="BD235" s="244"/>
      <c r="BE235" s="233"/>
      <c r="BF235" s="233"/>
      <c r="BG235" s="233"/>
      <c r="BH235" s="227"/>
      <c r="BI235" s="244"/>
      <c r="BJ235" s="233"/>
      <c r="BK235" s="233"/>
      <c r="BL235" s="233"/>
      <c r="BM235" s="227"/>
      <c r="BN235" s="244"/>
      <c r="BO235" s="233"/>
      <c r="BP235" s="233"/>
      <c r="BQ235" s="233"/>
      <c r="BR235" s="227"/>
      <c r="BS235" s="244"/>
      <c r="BT235" s="233"/>
      <c r="BU235" s="233"/>
      <c r="BV235" s="233"/>
      <c r="BW235" s="233"/>
      <c r="BX235" s="254"/>
      <c r="CA235" s="268"/>
      <c r="CB235" s="268"/>
    </row>
    <row r="236" spans="1:80" ht="12.75" customHeight="1" x14ac:dyDescent="0.2">
      <c r="A236" s="244"/>
      <c r="B236" s="244"/>
      <c r="D236" s="254" t="s">
        <v>319</v>
      </c>
      <c r="F236" s="244"/>
      <c r="G236" s="233">
        <f>SUM(G237:G239)</f>
        <v>0</v>
      </c>
      <c r="H236" s="233"/>
      <c r="I236" s="233"/>
      <c r="J236" s="227"/>
      <c r="K236" s="233"/>
      <c r="L236" s="233">
        <f>SUM(L237:L239)</f>
        <v>0</v>
      </c>
      <c r="M236" s="233"/>
      <c r="N236" s="233"/>
      <c r="O236" s="227"/>
      <c r="P236" s="233"/>
      <c r="Q236" s="233">
        <f>SUM(Q237:Q239)</f>
        <v>415012</v>
      </c>
      <c r="R236" s="233"/>
      <c r="S236" s="233"/>
      <c r="T236" s="227"/>
      <c r="U236" s="233"/>
      <c r="V236" s="233">
        <f>SUM(V237:V239)</f>
        <v>0</v>
      </c>
      <c r="W236" s="233"/>
      <c r="X236" s="233"/>
      <c r="Y236" s="227"/>
      <c r="Z236" s="233"/>
      <c r="AA236" s="233">
        <f>SUM(AA237:AA239)</f>
        <v>0</v>
      </c>
      <c r="AB236" s="233"/>
      <c r="AC236" s="233"/>
      <c r="AD236" s="227"/>
      <c r="AE236" s="233"/>
      <c r="AF236" s="233">
        <f>SUM(AF237:AF239)</f>
        <v>0</v>
      </c>
      <c r="AG236" s="233"/>
      <c r="AH236" s="233"/>
      <c r="AI236" s="227"/>
      <c r="AJ236" s="233"/>
      <c r="AK236" s="233">
        <f>SUM(AK237:AK239)</f>
        <v>0</v>
      </c>
      <c r="AL236" s="233"/>
      <c r="AM236" s="233"/>
      <c r="AN236" s="227"/>
      <c r="AO236" s="233"/>
      <c r="AP236" s="233">
        <f>SUM(AP237:AP239)</f>
        <v>0</v>
      </c>
      <c r="AQ236" s="233"/>
      <c r="AR236" s="233"/>
      <c r="AS236" s="227"/>
      <c r="AT236" s="233"/>
      <c r="AU236" s="233">
        <f>SUM(AU237:AU239)</f>
        <v>0</v>
      </c>
      <c r="AV236" s="233"/>
      <c r="AW236" s="233"/>
      <c r="AX236" s="227"/>
      <c r="AY236" s="233"/>
      <c r="AZ236" s="233">
        <f>SUM(AZ237:AZ239)</f>
        <v>0</v>
      </c>
      <c r="BA236" s="233"/>
      <c r="BB236" s="233"/>
      <c r="BC236" s="227"/>
      <c r="BD236" s="233"/>
      <c r="BE236" s="233">
        <f>SUM(BE237:BE239)</f>
        <v>0</v>
      </c>
      <c r="BF236" s="233"/>
      <c r="BG236" s="233"/>
      <c r="BH236" s="227"/>
      <c r="BI236" s="233"/>
      <c r="BJ236" s="233">
        <f>SUM(BJ237:BJ239)</f>
        <v>0</v>
      </c>
      <c r="BK236" s="233"/>
      <c r="BL236" s="233"/>
      <c r="BM236" s="227"/>
      <c r="BN236" s="233"/>
      <c r="BO236" s="233">
        <f>SUM(BO237:BO239)</f>
        <v>0</v>
      </c>
      <c r="BP236" s="233"/>
      <c r="BQ236" s="233"/>
      <c r="BR236" s="227"/>
      <c r="BS236" s="233"/>
      <c r="BT236" s="233">
        <f>SUM(BT237:BT239)</f>
        <v>415012</v>
      </c>
      <c r="BU236" s="233"/>
      <c r="BV236" s="233"/>
      <c r="BW236" s="233"/>
      <c r="BX236" s="254"/>
      <c r="CA236" s="268"/>
      <c r="CB236" s="268"/>
    </row>
    <row r="237" spans="1:80" ht="12.75" customHeight="1" x14ac:dyDescent="0.2">
      <c r="A237" s="244"/>
      <c r="B237" s="244"/>
      <c r="D237" s="254" t="s">
        <v>310</v>
      </c>
      <c r="F237" s="269"/>
      <c r="G237" s="343">
        <v>0</v>
      </c>
      <c r="H237" s="344"/>
      <c r="I237" s="233"/>
      <c r="J237" s="227"/>
      <c r="K237" s="345"/>
      <c r="L237" s="343">
        <v>0</v>
      </c>
      <c r="M237" s="344"/>
      <c r="N237" s="233"/>
      <c r="O237" s="227"/>
      <c r="P237" s="345"/>
      <c r="Q237" s="343">
        <f>415012-25663</f>
        <v>389349</v>
      </c>
      <c r="R237" s="344"/>
      <c r="S237" s="233"/>
      <c r="T237" s="227"/>
      <c r="U237" s="345"/>
      <c r="V237" s="343">
        <v>0</v>
      </c>
      <c r="W237" s="344"/>
      <c r="X237" s="233"/>
      <c r="Y237" s="227"/>
      <c r="Z237" s="345"/>
      <c r="AA237" s="343">
        <v>0</v>
      </c>
      <c r="AB237" s="344"/>
      <c r="AC237" s="233"/>
      <c r="AD237" s="227"/>
      <c r="AE237" s="345"/>
      <c r="AF237" s="343">
        <v>0</v>
      </c>
      <c r="AG237" s="344"/>
      <c r="AH237" s="233"/>
      <c r="AI237" s="227"/>
      <c r="AJ237" s="345"/>
      <c r="AK237" s="343">
        <v>0</v>
      </c>
      <c r="AL237" s="344"/>
      <c r="AM237" s="233"/>
      <c r="AN237" s="227"/>
      <c r="AO237" s="345"/>
      <c r="AP237" s="343">
        <v>0</v>
      </c>
      <c r="AQ237" s="344"/>
      <c r="AR237" s="233"/>
      <c r="AS237" s="227"/>
      <c r="AT237" s="345"/>
      <c r="AU237" s="343">
        <v>0</v>
      </c>
      <c r="AV237" s="344"/>
      <c r="AW237" s="233"/>
      <c r="AX237" s="227"/>
      <c r="AY237" s="345"/>
      <c r="AZ237" s="343">
        <v>0</v>
      </c>
      <c r="BA237" s="344"/>
      <c r="BB237" s="233"/>
      <c r="BC237" s="227"/>
      <c r="BD237" s="345"/>
      <c r="BE237" s="343">
        <v>0</v>
      </c>
      <c r="BF237" s="344"/>
      <c r="BG237" s="233"/>
      <c r="BH237" s="227"/>
      <c r="BI237" s="345"/>
      <c r="BJ237" s="343">
        <v>0</v>
      </c>
      <c r="BK237" s="344"/>
      <c r="BL237" s="233"/>
      <c r="BM237" s="227"/>
      <c r="BN237" s="345"/>
      <c r="BO237" s="343">
        <v>0</v>
      </c>
      <c r="BP237" s="344"/>
      <c r="BQ237" s="233"/>
      <c r="BR237" s="227"/>
      <c r="BS237" s="345"/>
      <c r="BT237" s="343">
        <f>SUM(L237:BO237)</f>
        <v>389349</v>
      </c>
      <c r="BU237" s="344"/>
      <c r="BV237" s="233"/>
      <c r="BW237" s="233"/>
      <c r="BX237" s="254"/>
      <c r="CA237" s="268"/>
      <c r="CB237" s="268"/>
    </row>
    <row r="238" spans="1:80" ht="12.75" customHeight="1" x14ac:dyDescent="0.2">
      <c r="A238" s="244"/>
      <c r="B238" s="244"/>
      <c r="D238" s="254" t="s">
        <v>312</v>
      </c>
      <c r="F238" s="261"/>
      <c r="G238" s="233">
        <v>0</v>
      </c>
      <c r="H238" s="347"/>
      <c r="I238" s="233"/>
      <c r="J238" s="227"/>
      <c r="K238" s="227"/>
      <c r="L238" s="233">
        <v>0</v>
      </c>
      <c r="M238" s="347"/>
      <c r="N238" s="233"/>
      <c r="O238" s="227"/>
      <c r="P238" s="227"/>
      <c r="Q238" s="233">
        <v>25663</v>
      </c>
      <c r="R238" s="347"/>
      <c r="S238" s="233"/>
      <c r="T238" s="227"/>
      <c r="U238" s="227"/>
      <c r="V238" s="233">
        <v>0</v>
      </c>
      <c r="W238" s="347"/>
      <c r="X238" s="233"/>
      <c r="Y238" s="227"/>
      <c r="Z238" s="227"/>
      <c r="AA238" s="233">
        <v>0</v>
      </c>
      <c r="AB238" s="347"/>
      <c r="AC238" s="233"/>
      <c r="AD238" s="227"/>
      <c r="AE238" s="227"/>
      <c r="AF238" s="233">
        <v>0</v>
      </c>
      <c r="AG238" s="347"/>
      <c r="AH238" s="233"/>
      <c r="AI238" s="227"/>
      <c r="AJ238" s="227"/>
      <c r="AK238" s="233">
        <v>0</v>
      </c>
      <c r="AL238" s="347"/>
      <c r="AM238" s="233"/>
      <c r="AN238" s="227"/>
      <c r="AO238" s="227"/>
      <c r="AP238" s="233">
        <v>0</v>
      </c>
      <c r="AQ238" s="347"/>
      <c r="AR238" s="233"/>
      <c r="AS238" s="227"/>
      <c r="AT238" s="227"/>
      <c r="AU238" s="233">
        <v>0</v>
      </c>
      <c r="AV238" s="347"/>
      <c r="AW238" s="233"/>
      <c r="AX238" s="227"/>
      <c r="AY238" s="227"/>
      <c r="AZ238" s="233">
        <v>0</v>
      </c>
      <c r="BA238" s="347"/>
      <c r="BB238" s="233"/>
      <c r="BC238" s="227"/>
      <c r="BD238" s="227"/>
      <c r="BE238" s="233">
        <v>0</v>
      </c>
      <c r="BF238" s="347"/>
      <c r="BG238" s="233"/>
      <c r="BH238" s="227"/>
      <c r="BI238" s="227"/>
      <c r="BJ238" s="233">
        <v>0</v>
      </c>
      <c r="BK238" s="347"/>
      <c r="BL238" s="233"/>
      <c r="BM238" s="227"/>
      <c r="BN238" s="227"/>
      <c r="BO238" s="233">
        <v>0</v>
      </c>
      <c r="BP238" s="347"/>
      <c r="BQ238" s="233"/>
      <c r="BR238" s="227"/>
      <c r="BS238" s="227"/>
      <c r="BT238" s="233">
        <f>SUM(L238:BO238)</f>
        <v>25663</v>
      </c>
      <c r="BU238" s="347"/>
      <c r="BV238" s="233"/>
      <c r="BW238" s="233"/>
      <c r="BX238" s="254"/>
      <c r="CA238" s="268"/>
      <c r="CB238" s="268"/>
    </row>
    <row r="239" spans="1:80" ht="12.75" customHeight="1" x14ac:dyDescent="0.2">
      <c r="A239" s="244"/>
      <c r="B239" s="244"/>
      <c r="D239" s="254" t="s">
        <v>320</v>
      </c>
      <c r="F239" s="284"/>
      <c r="G239" s="355">
        <v>0</v>
      </c>
      <c r="H239" s="356"/>
      <c r="I239" s="233"/>
      <c r="J239" s="227"/>
      <c r="K239" s="357"/>
      <c r="L239" s="355">
        <v>0</v>
      </c>
      <c r="M239" s="356"/>
      <c r="N239" s="233"/>
      <c r="O239" s="227"/>
      <c r="P239" s="357"/>
      <c r="Q239" s="355">
        <v>0</v>
      </c>
      <c r="R239" s="356"/>
      <c r="S239" s="233"/>
      <c r="T239" s="227"/>
      <c r="U239" s="357"/>
      <c r="V239" s="355">
        <v>0</v>
      </c>
      <c r="W239" s="356"/>
      <c r="X239" s="233"/>
      <c r="Y239" s="227"/>
      <c r="Z239" s="357"/>
      <c r="AA239" s="355">
        <v>0</v>
      </c>
      <c r="AB239" s="356"/>
      <c r="AC239" s="233"/>
      <c r="AD239" s="227"/>
      <c r="AE239" s="357"/>
      <c r="AF239" s="355">
        <v>0</v>
      </c>
      <c r="AG239" s="356"/>
      <c r="AH239" s="233"/>
      <c r="AI239" s="227"/>
      <c r="AJ239" s="357"/>
      <c r="AK239" s="355">
        <v>0</v>
      </c>
      <c r="AL239" s="356"/>
      <c r="AM239" s="233"/>
      <c r="AN239" s="227"/>
      <c r="AO239" s="357"/>
      <c r="AP239" s="355">
        <v>0</v>
      </c>
      <c r="AQ239" s="356"/>
      <c r="AR239" s="233"/>
      <c r="AS239" s="227"/>
      <c r="AT239" s="357"/>
      <c r="AU239" s="355">
        <v>0</v>
      </c>
      <c r="AV239" s="356"/>
      <c r="AW239" s="233"/>
      <c r="AX239" s="227"/>
      <c r="AY239" s="357"/>
      <c r="AZ239" s="355">
        <v>0</v>
      </c>
      <c r="BA239" s="356"/>
      <c r="BB239" s="233"/>
      <c r="BC239" s="227"/>
      <c r="BD239" s="357"/>
      <c r="BE239" s="355">
        <v>0</v>
      </c>
      <c r="BF239" s="356"/>
      <c r="BG239" s="233"/>
      <c r="BH239" s="227"/>
      <c r="BI239" s="357"/>
      <c r="BJ239" s="355">
        <v>0</v>
      </c>
      <c r="BK239" s="356"/>
      <c r="BL239" s="233"/>
      <c r="BM239" s="227"/>
      <c r="BN239" s="357"/>
      <c r="BO239" s="355">
        <v>0</v>
      </c>
      <c r="BP239" s="356"/>
      <c r="BQ239" s="233"/>
      <c r="BR239" s="227"/>
      <c r="BS239" s="357"/>
      <c r="BT239" s="355">
        <f>SUM(L239:BO239)</f>
        <v>0</v>
      </c>
      <c r="BU239" s="356"/>
      <c r="BV239" s="233"/>
      <c r="BW239" s="233"/>
      <c r="BX239" s="254"/>
      <c r="CA239" s="268"/>
      <c r="CB239" s="268"/>
    </row>
    <row r="240" spans="1:80" ht="12.75" hidden="1" customHeight="1" x14ac:dyDescent="0.2">
      <c r="A240" s="244"/>
      <c r="B240" s="244"/>
      <c r="D240" s="254"/>
      <c r="E240" s="371"/>
      <c r="F240" s="244"/>
      <c r="G240" s="233"/>
      <c r="H240" s="233"/>
      <c r="I240" s="233"/>
      <c r="J240" s="227"/>
      <c r="K240" s="244"/>
      <c r="L240" s="233"/>
      <c r="M240" s="233"/>
      <c r="N240" s="233"/>
      <c r="O240" s="227"/>
      <c r="P240" s="244"/>
      <c r="Q240" s="233"/>
      <c r="R240" s="233"/>
      <c r="S240" s="233"/>
      <c r="T240" s="227"/>
      <c r="U240" s="244"/>
      <c r="V240" s="233"/>
      <c r="W240" s="233"/>
      <c r="X240" s="233"/>
      <c r="Y240" s="227"/>
      <c r="Z240" s="244"/>
      <c r="AA240" s="233"/>
      <c r="AB240" s="233"/>
      <c r="AC240" s="233"/>
      <c r="AD240" s="227"/>
      <c r="AE240" s="244"/>
      <c r="AF240" s="233"/>
      <c r="AG240" s="233"/>
      <c r="AH240" s="233"/>
      <c r="AI240" s="227"/>
      <c r="AJ240" s="244"/>
      <c r="AK240" s="233"/>
      <c r="AL240" s="233"/>
      <c r="AM240" s="233"/>
      <c r="AN240" s="227"/>
      <c r="AO240" s="244"/>
      <c r="AP240" s="233"/>
      <c r="AQ240" s="233"/>
      <c r="AR240" s="233"/>
      <c r="AS240" s="227"/>
      <c r="AT240" s="244"/>
      <c r="AU240" s="233"/>
      <c r="AV240" s="233"/>
      <c r="AW240" s="233"/>
      <c r="AX240" s="227"/>
      <c r="AY240" s="244"/>
      <c r="AZ240" s="233"/>
      <c r="BA240" s="233"/>
      <c r="BB240" s="233"/>
      <c r="BC240" s="227"/>
      <c r="BD240" s="244"/>
      <c r="BE240" s="233"/>
      <c r="BF240" s="233"/>
      <c r="BG240" s="233"/>
      <c r="BH240" s="227"/>
      <c r="BI240" s="244"/>
      <c r="BJ240" s="233"/>
      <c r="BK240" s="233"/>
      <c r="BL240" s="233"/>
      <c r="BM240" s="227"/>
      <c r="BN240" s="244"/>
      <c r="BO240" s="233"/>
      <c r="BP240" s="233"/>
      <c r="BQ240" s="233"/>
      <c r="BR240" s="227"/>
      <c r="BS240" s="244"/>
      <c r="BT240" s="233"/>
      <c r="BU240" s="233"/>
      <c r="BV240" s="233"/>
      <c r="BW240" s="233"/>
      <c r="BX240" s="254"/>
      <c r="CA240" s="268"/>
      <c r="CB240" s="268"/>
    </row>
    <row r="241" spans="1:80" ht="12.75" hidden="1" customHeight="1" x14ac:dyDescent="0.2">
      <c r="A241" s="244"/>
      <c r="B241" s="244"/>
      <c r="D241" s="254" t="s">
        <v>336</v>
      </c>
      <c r="F241" s="244"/>
      <c r="G241" s="233">
        <f>SUM(G242:G244)</f>
        <v>0</v>
      </c>
      <c r="H241" s="233"/>
      <c r="I241" s="233"/>
      <c r="J241" s="227"/>
      <c r="K241" s="233"/>
      <c r="L241" s="233">
        <f>SUM(L242:L244)</f>
        <v>0</v>
      </c>
      <c r="M241" s="233"/>
      <c r="N241" s="233"/>
      <c r="O241" s="227"/>
      <c r="P241" s="233"/>
      <c r="Q241" s="233">
        <f>SUM(Q242:Q244)</f>
        <v>0</v>
      </c>
      <c r="R241" s="233"/>
      <c r="S241" s="233"/>
      <c r="T241" s="227"/>
      <c r="U241" s="233"/>
      <c r="V241" s="233">
        <f>SUM(V242:V244)</f>
        <v>0</v>
      </c>
      <c r="W241" s="233"/>
      <c r="X241" s="233"/>
      <c r="Y241" s="227"/>
      <c r="Z241" s="233"/>
      <c r="AA241" s="233">
        <f>SUM(AA242:AA244)</f>
        <v>0</v>
      </c>
      <c r="AB241" s="233"/>
      <c r="AC241" s="233"/>
      <c r="AD241" s="227"/>
      <c r="AE241" s="233"/>
      <c r="AF241" s="233">
        <f>SUM(AF242:AF244)</f>
        <v>0</v>
      </c>
      <c r="AG241" s="233"/>
      <c r="AH241" s="233"/>
      <c r="AI241" s="227"/>
      <c r="AJ241" s="233"/>
      <c r="AK241" s="233">
        <f>SUM(AK242:AK244)</f>
        <v>0</v>
      </c>
      <c r="AL241" s="233"/>
      <c r="AM241" s="233"/>
      <c r="AN241" s="227"/>
      <c r="AO241" s="233"/>
      <c r="AP241" s="233">
        <f>SUM(AP242:AP244)</f>
        <v>0</v>
      </c>
      <c r="AQ241" s="233"/>
      <c r="AR241" s="233"/>
      <c r="AS241" s="227"/>
      <c r="AT241" s="233"/>
      <c r="AU241" s="233">
        <f>SUM(AU242:AU244)</f>
        <v>0</v>
      </c>
      <c r="AV241" s="233"/>
      <c r="AW241" s="233"/>
      <c r="AX241" s="227"/>
      <c r="AY241" s="233"/>
      <c r="AZ241" s="233">
        <f>SUM(AZ242:AZ244)</f>
        <v>0</v>
      </c>
      <c r="BA241" s="233"/>
      <c r="BB241" s="233"/>
      <c r="BC241" s="227"/>
      <c r="BD241" s="233"/>
      <c r="BE241" s="233">
        <f>SUM(BE242:BE244)</f>
        <v>0</v>
      </c>
      <c r="BF241" s="233"/>
      <c r="BG241" s="233"/>
      <c r="BH241" s="227"/>
      <c r="BI241" s="233"/>
      <c r="BJ241" s="233">
        <f>SUM(BJ242:BJ244)</f>
        <v>0</v>
      </c>
      <c r="BK241" s="233"/>
      <c r="BL241" s="233"/>
      <c r="BM241" s="227"/>
      <c r="BN241" s="233"/>
      <c r="BO241" s="233">
        <f>SUM(BO242:BO244)</f>
        <v>0</v>
      </c>
      <c r="BP241" s="233"/>
      <c r="BQ241" s="233"/>
      <c r="BR241" s="227"/>
      <c r="BS241" s="233"/>
      <c r="BT241" s="233">
        <f>SUM(BT242:BT244)</f>
        <v>0</v>
      </c>
      <c r="BU241" s="233"/>
      <c r="BV241" s="233"/>
      <c r="BW241" s="233"/>
      <c r="BX241" s="254"/>
      <c r="CA241" s="268"/>
      <c r="CB241" s="268"/>
    </row>
    <row r="242" spans="1:80" ht="12.75" hidden="1" customHeight="1" x14ac:dyDescent="0.2">
      <c r="A242" s="244"/>
      <c r="B242" s="244"/>
      <c r="D242" s="254" t="s">
        <v>310</v>
      </c>
      <c r="F242" s="269"/>
      <c r="G242" s="343">
        <v>0</v>
      </c>
      <c r="H242" s="344"/>
      <c r="I242" s="233"/>
      <c r="J242" s="227"/>
      <c r="K242" s="345"/>
      <c r="L242" s="343">
        <v>0</v>
      </c>
      <c r="M242" s="344"/>
      <c r="N242" s="233"/>
      <c r="O242" s="227"/>
      <c r="P242" s="345"/>
      <c r="Q242" s="343">
        <v>0</v>
      </c>
      <c r="R242" s="344"/>
      <c r="S242" s="233"/>
      <c r="T242" s="227"/>
      <c r="U242" s="345"/>
      <c r="V242" s="343">
        <v>0</v>
      </c>
      <c r="W242" s="344"/>
      <c r="X242" s="233"/>
      <c r="Y242" s="227"/>
      <c r="Z242" s="345"/>
      <c r="AA242" s="343">
        <v>0</v>
      </c>
      <c r="AB242" s="344"/>
      <c r="AC242" s="233"/>
      <c r="AD242" s="227"/>
      <c r="AE242" s="345"/>
      <c r="AF242" s="343">
        <v>0</v>
      </c>
      <c r="AG242" s="344"/>
      <c r="AH242" s="233"/>
      <c r="AI242" s="227"/>
      <c r="AJ242" s="345"/>
      <c r="AK242" s="343">
        <v>0</v>
      </c>
      <c r="AL242" s="344"/>
      <c r="AM242" s="233"/>
      <c r="AN242" s="227"/>
      <c r="AO242" s="345"/>
      <c r="AP242" s="343">
        <v>0</v>
      </c>
      <c r="AQ242" s="344"/>
      <c r="AR242" s="233"/>
      <c r="AS242" s="227"/>
      <c r="AT242" s="345"/>
      <c r="AU242" s="343">
        <v>0</v>
      </c>
      <c r="AV242" s="344"/>
      <c r="AW242" s="233"/>
      <c r="AX242" s="227"/>
      <c r="AY242" s="345"/>
      <c r="AZ242" s="343">
        <v>0</v>
      </c>
      <c r="BA242" s="344"/>
      <c r="BB242" s="233"/>
      <c r="BC242" s="227"/>
      <c r="BD242" s="345"/>
      <c r="BE242" s="343">
        <v>0</v>
      </c>
      <c r="BF242" s="344"/>
      <c r="BG242" s="233"/>
      <c r="BH242" s="227"/>
      <c r="BI242" s="345"/>
      <c r="BJ242" s="343">
        <v>0</v>
      </c>
      <c r="BK242" s="344"/>
      <c r="BL242" s="233"/>
      <c r="BM242" s="227"/>
      <c r="BN242" s="345"/>
      <c r="BO242" s="343">
        <v>0</v>
      </c>
      <c r="BP242" s="344"/>
      <c r="BQ242" s="233"/>
      <c r="BR242" s="227"/>
      <c r="BS242" s="345"/>
      <c r="BT242" s="343">
        <f>SUM(L242:BO242)</f>
        <v>0</v>
      </c>
      <c r="BU242" s="344"/>
      <c r="BV242" s="233"/>
      <c r="BW242" s="233"/>
      <c r="BX242" s="254"/>
      <c r="CA242" s="268"/>
      <c r="CB242" s="268"/>
    </row>
    <row r="243" spans="1:80" ht="12.75" hidden="1" customHeight="1" x14ac:dyDescent="0.2">
      <c r="A243" s="244"/>
      <c r="B243" s="244"/>
      <c r="D243" s="254" t="s">
        <v>312</v>
      </c>
      <c r="F243" s="261"/>
      <c r="G243" s="233">
        <v>0</v>
      </c>
      <c r="H243" s="347"/>
      <c r="I243" s="233"/>
      <c r="J243" s="227"/>
      <c r="K243" s="227"/>
      <c r="L243" s="233">
        <v>0</v>
      </c>
      <c r="M243" s="347"/>
      <c r="N243" s="233"/>
      <c r="O243" s="227"/>
      <c r="P243" s="227"/>
      <c r="Q243" s="233">
        <v>0</v>
      </c>
      <c r="R243" s="347"/>
      <c r="S243" s="233"/>
      <c r="T243" s="227"/>
      <c r="U243" s="227"/>
      <c r="V243" s="233">
        <v>0</v>
      </c>
      <c r="W243" s="347"/>
      <c r="X243" s="233"/>
      <c r="Y243" s="227"/>
      <c r="Z243" s="227"/>
      <c r="AA243" s="233">
        <v>0</v>
      </c>
      <c r="AB243" s="347"/>
      <c r="AC243" s="233"/>
      <c r="AD243" s="227"/>
      <c r="AE243" s="227"/>
      <c r="AF243" s="233">
        <v>0</v>
      </c>
      <c r="AG243" s="347"/>
      <c r="AH243" s="233"/>
      <c r="AI243" s="227"/>
      <c r="AJ243" s="227"/>
      <c r="AK243" s="233">
        <v>0</v>
      </c>
      <c r="AL243" s="347"/>
      <c r="AM243" s="233"/>
      <c r="AN243" s="227"/>
      <c r="AO243" s="227"/>
      <c r="AP243" s="233">
        <v>0</v>
      </c>
      <c r="AQ243" s="347"/>
      <c r="AR243" s="233"/>
      <c r="AS243" s="227"/>
      <c r="AT243" s="227"/>
      <c r="AU243" s="233">
        <v>0</v>
      </c>
      <c r="AV243" s="347"/>
      <c r="AW243" s="233"/>
      <c r="AX243" s="227"/>
      <c r="AY243" s="227"/>
      <c r="AZ243" s="233">
        <v>0</v>
      </c>
      <c r="BA243" s="347"/>
      <c r="BB243" s="233"/>
      <c r="BC243" s="227"/>
      <c r="BD243" s="227"/>
      <c r="BE243" s="233">
        <v>0</v>
      </c>
      <c r="BF243" s="347"/>
      <c r="BG243" s="233"/>
      <c r="BH243" s="227"/>
      <c r="BI243" s="227"/>
      <c r="BJ243" s="233">
        <v>0</v>
      </c>
      <c r="BK243" s="347"/>
      <c r="BL243" s="233"/>
      <c r="BM243" s="227"/>
      <c r="BN243" s="227"/>
      <c r="BO243" s="233">
        <v>0</v>
      </c>
      <c r="BP243" s="347"/>
      <c r="BQ243" s="233"/>
      <c r="BR243" s="227"/>
      <c r="BS243" s="227"/>
      <c r="BT243" s="233">
        <f>SUM(L243:BO243)</f>
        <v>0</v>
      </c>
      <c r="BU243" s="347"/>
      <c r="BV243" s="233"/>
      <c r="BW243" s="233"/>
      <c r="BX243" s="254"/>
      <c r="CA243" s="268"/>
      <c r="CB243" s="268"/>
    </row>
    <row r="244" spans="1:80" ht="12.75" hidden="1" customHeight="1" x14ac:dyDescent="0.2">
      <c r="A244" s="244"/>
      <c r="B244" s="244"/>
      <c r="D244" s="254" t="s">
        <v>320</v>
      </c>
      <c r="F244" s="284"/>
      <c r="G244" s="355">
        <v>0</v>
      </c>
      <c r="H244" s="356"/>
      <c r="I244" s="233"/>
      <c r="J244" s="227"/>
      <c r="K244" s="357"/>
      <c r="L244" s="355">
        <v>0</v>
      </c>
      <c r="M244" s="356"/>
      <c r="N244" s="233"/>
      <c r="O244" s="227"/>
      <c r="P244" s="357"/>
      <c r="Q244" s="355">
        <v>0</v>
      </c>
      <c r="R244" s="356"/>
      <c r="S244" s="233"/>
      <c r="T244" s="227"/>
      <c r="U244" s="357"/>
      <c r="V244" s="355">
        <v>0</v>
      </c>
      <c r="W244" s="356"/>
      <c r="X244" s="233"/>
      <c r="Y244" s="227"/>
      <c r="Z244" s="357"/>
      <c r="AA244" s="355">
        <v>0</v>
      </c>
      <c r="AB244" s="356"/>
      <c r="AC244" s="233"/>
      <c r="AD244" s="227"/>
      <c r="AE244" s="357"/>
      <c r="AF244" s="355">
        <v>0</v>
      </c>
      <c r="AG244" s="356"/>
      <c r="AH244" s="233"/>
      <c r="AI244" s="227"/>
      <c r="AJ244" s="357"/>
      <c r="AK244" s="355">
        <v>0</v>
      </c>
      <c r="AL244" s="356"/>
      <c r="AM244" s="233"/>
      <c r="AN244" s="227"/>
      <c r="AO244" s="357"/>
      <c r="AP244" s="355">
        <v>0</v>
      </c>
      <c r="AQ244" s="356"/>
      <c r="AR244" s="233"/>
      <c r="AS244" s="227"/>
      <c r="AT244" s="357"/>
      <c r="AU244" s="355">
        <v>0</v>
      </c>
      <c r="AV244" s="356"/>
      <c r="AW244" s="233"/>
      <c r="AX244" s="227"/>
      <c r="AY244" s="357"/>
      <c r="AZ244" s="355">
        <v>0</v>
      </c>
      <c r="BA244" s="356"/>
      <c r="BB244" s="233"/>
      <c r="BC244" s="227"/>
      <c r="BD244" s="357"/>
      <c r="BE244" s="355">
        <v>0</v>
      </c>
      <c r="BF244" s="356"/>
      <c r="BG244" s="233"/>
      <c r="BH244" s="227"/>
      <c r="BI244" s="357"/>
      <c r="BJ244" s="355">
        <v>0</v>
      </c>
      <c r="BK244" s="356"/>
      <c r="BL244" s="233"/>
      <c r="BM244" s="227"/>
      <c r="BN244" s="357"/>
      <c r="BO244" s="355">
        <v>0</v>
      </c>
      <c r="BP244" s="356"/>
      <c r="BQ244" s="233"/>
      <c r="BR244" s="227"/>
      <c r="BS244" s="357"/>
      <c r="BT244" s="355">
        <f>SUM(L244:BO244)</f>
        <v>0</v>
      </c>
      <c r="BU244" s="356"/>
      <c r="BV244" s="233"/>
      <c r="BW244" s="233"/>
      <c r="BX244" s="254"/>
      <c r="CA244" s="268"/>
      <c r="CB244" s="268"/>
    </row>
    <row r="245" spans="1:80" ht="12.75" hidden="1" customHeight="1" x14ac:dyDescent="0.2">
      <c r="A245" s="244"/>
      <c r="B245" s="244"/>
      <c r="D245" s="254"/>
      <c r="E245" s="371"/>
      <c r="F245" s="119"/>
      <c r="G245" s="233"/>
      <c r="H245" s="233"/>
      <c r="I245" s="233"/>
      <c r="J245" s="227"/>
      <c r="K245" s="119"/>
      <c r="L245" s="233"/>
      <c r="M245" s="233"/>
      <c r="N245" s="233"/>
      <c r="O245" s="227"/>
      <c r="P245" s="119"/>
      <c r="Q245" s="233"/>
      <c r="R245" s="233"/>
      <c r="S245" s="233"/>
      <c r="T245" s="227"/>
      <c r="U245" s="119"/>
      <c r="V245" s="233"/>
      <c r="W245" s="233"/>
      <c r="X245" s="233"/>
      <c r="Y245" s="227"/>
      <c r="Z245" s="119"/>
      <c r="AA245" s="233"/>
      <c r="AB245" s="233"/>
      <c r="AC245" s="233"/>
      <c r="AD245" s="227"/>
      <c r="AE245" s="119"/>
      <c r="AF245" s="233"/>
      <c r="AG245" s="233"/>
      <c r="AH245" s="233"/>
      <c r="AI245" s="227"/>
      <c r="AJ245" s="119"/>
      <c r="AK245" s="233"/>
      <c r="AL245" s="233"/>
      <c r="AM245" s="233"/>
      <c r="AN245" s="227"/>
      <c r="AO245" s="119"/>
      <c r="AP245" s="233"/>
      <c r="AQ245" s="233"/>
      <c r="AR245" s="233"/>
      <c r="AS245" s="227"/>
      <c r="AT245" s="119"/>
      <c r="AU245" s="233"/>
      <c r="AV245" s="233"/>
      <c r="AW245" s="233"/>
      <c r="AX245" s="227"/>
      <c r="AY245" s="119"/>
      <c r="AZ245" s="233"/>
      <c r="BA245" s="233"/>
      <c r="BB245" s="233"/>
      <c r="BC245" s="227"/>
      <c r="BD245" s="119"/>
      <c r="BE245" s="233"/>
      <c r="BF245" s="233"/>
      <c r="BG245" s="233"/>
      <c r="BH245" s="227"/>
      <c r="BI245" s="119"/>
      <c r="BJ245" s="233"/>
      <c r="BK245" s="233"/>
      <c r="BL245" s="233"/>
      <c r="BM245" s="227"/>
      <c r="BN245" s="119"/>
      <c r="BO245" s="233"/>
      <c r="BP245" s="233"/>
      <c r="BQ245" s="233"/>
      <c r="BR245" s="227"/>
      <c r="BS245" s="119"/>
      <c r="BT245" s="233"/>
      <c r="BU245" s="233"/>
      <c r="BV245" s="233"/>
      <c r="BW245" s="233"/>
      <c r="BX245" s="254"/>
      <c r="CA245" s="268"/>
      <c r="CB245" s="268"/>
    </row>
    <row r="246" spans="1:80" ht="12.75" customHeight="1" x14ac:dyDescent="0.2">
      <c r="A246" s="244"/>
      <c r="B246" s="244"/>
      <c r="D246" s="254" t="s">
        <v>338</v>
      </c>
      <c r="E246" s="371"/>
      <c r="F246" s="119"/>
      <c r="G246" s="233">
        <v>0</v>
      </c>
      <c r="H246" s="233"/>
      <c r="I246" s="233"/>
      <c r="J246" s="227"/>
      <c r="K246" s="119"/>
      <c r="L246" s="233">
        <v>0</v>
      </c>
      <c r="M246" s="233"/>
      <c r="N246" s="233"/>
      <c r="O246" s="227"/>
      <c r="P246" s="119"/>
      <c r="Q246" s="233">
        <f>SUM(Q247:Q249)</f>
        <v>1000908</v>
      </c>
      <c r="R246" s="233"/>
      <c r="S246" s="233"/>
      <c r="T246" s="227"/>
      <c r="U246" s="119"/>
      <c r="V246" s="233">
        <f>SUM(V247:V249)</f>
        <v>0</v>
      </c>
      <c r="W246" s="233"/>
      <c r="X246" s="233"/>
      <c r="Y246" s="227"/>
      <c r="Z246" s="119"/>
      <c r="AA246" s="233">
        <v>0</v>
      </c>
      <c r="AB246" s="233"/>
      <c r="AC246" s="233"/>
      <c r="AD246" s="227"/>
      <c r="AE246" s="119"/>
      <c r="AF246" s="233">
        <f>SUM(AF247:AF249)</f>
        <v>0</v>
      </c>
      <c r="AG246" s="233"/>
      <c r="AH246" s="233"/>
      <c r="AI246" s="227"/>
      <c r="AJ246" s="119"/>
      <c r="AK246" s="233">
        <v>0</v>
      </c>
      <c r="AL246" s="233"/>
      <c r="AM246" s="233"/>
      <c r="AN246" s="227"/>
      <c r="AO246" s="119"/>
      <c r="AP246" s="233">
        <f>SUM(AP247:AP249)</f>
        <v>0</v>
      </c>
      <c r="AQ246" s="233"/>
      <c r="AR246" s="233"/>
      <c r="AS246" s="227"/>
      <c r="AT246" s="119"/>
      <c r="AU246" s="233">
        <v>0</v>
      </c>
      <c r="AV246" s="233"/>
      <c r="AW246" s="233"/>
      <c r="AX246" s="227"/>
      <c r="AY246" s="119"/>
      <c r="AZ246" s="233">
        <v>0</v>
      </c>
      <c r="BA246" s="233"/>
      <c r="BB246" s="233"/>
      <c r="BC246" s="227"/>
      <c r="BD246" s="119"/>
      <c r="BE246" s="233">
        <v>0</v>
      </c>
      <c r="BF246" s="233"/>
      <c r="BG246" s="233"/>
      <c r="BH246" s="227"/>
      <c r="BI246" s="119"/>
      <c r="BJ246" s="233">
        <v>0</v>
      </c>
      <c r="BK246" s="233"/>
      <c r="BL246" s="233"/>
      <c r="BM246" s="227"/>
      <c r="BN246" s="119"/>
      <c r="BO246" s="233">
        <v>0</v>
      </c>
      <c r="BP246" s="233"/>
      <c r="BQ246" s="233"/>
      <c r="BR246" s="227"/>
      <c r="BS246" s="119"/>
      <c r="BT246" s="233">
        <f>SUM(BT247:BT250)</f>
        <v>1000908</v>
      </c>
      <c r="BU246" s="233"/>
      <c r="BV246" s="233"/>
      <c r="BW246" s="233"/>
      <c r="BX246" s="254"/>
      <c r="CA246" s="268"/>
      <c r="CB246" s="268"/>
    </row>
    <row r="247" spans="1:80" ht="12.75" customHeight="1" x14ac:dyDescent="0.2">
      <c r="A247" s="244"/>
      <c r="B247" s="244"/>
      <c r="D247" s="254" t="s">
        <v>310</v>
      </c>
      <c r="E247" s="371"/>
      <c r="F247" s="372"/>
      <c r="G247" s="343">
        <v>0</v>
      </c>
      <c r="H247" s="344"/>
      <c r="I247" s="233"/>
      <c r="J247" s="227"/>
      <c r="K247" s="372"/>
      <c r="L247" s="343">
        <v>0</v>
      </c>
      <c r="M247" s="344"/>
      <c r="N247" s="233"/>
      <c r="O247" s="227"/>
      <c r="P247" s="345"/>
      <c r="Q247" s="343">
        <f>1000908-1905</f>
        <v>999003</v>
      </c>
      <c r="R247" s="344"/>
      <c r="S247" s="233"/>
      <c r="T247" s="227"/>
      <c r="U247" s="345"/>
      <c r="V247" s="343">
        <v>0</v>
      </c>
      <c r="W247" s="344"/>
      <c r="X247" s="233"/>
      <c r="Y247" s="227"/>
      <c r="Z247" s="345"/>
      <c r="AA247" s="343">
        <v>0</v>
      </c>
      <c r="AB247" s="344"/>
      <c r="AC247" s="233"/>
      <c r="AD247" s="227"/>
      <c r="AE247" s="345"/>
      <c r="AF247" s="343">
        <v>0</v>
      </c>
      <c r="AG247" s="344"/>
      <c r="AH247" s="233"/>
      <c r="AI247" s="227"/>
      <c r="AJ247" s="345"/>
      <c r="AK247" s="343">
        <v>0</v>
      </c>
      <c r="AL247" s="344"/>
      <c r="AM247" s="233"/>
      <c r="AN247" s="227"/>
      <c r="AO247" s="345"/>
      <c r="AP247" s="343">
        <v>0</v>
      </c>
      <c r="AQ247" s="344"/>
      <c r="AR247" s="233"/>
      <c r="AS247" s="227"/>
      <c r="AT247" s="345"/>
      <c r="AU247" s="343">
        <v>0</v>
      </c>
      <c r="AV247" s="344"/>
      <c r="AW247" s="233"/>
      <c r="AX247" s="227"/>
      <c r="AY247" s="345"/>
      <c r="AZ247" s="343">
        <v>0</v>
      </c>
      <c r="BA247" s="344"/>
      <c r="BB247" s="233"/>
      <c r="BC247" s="227"/>
      <c r="BD247" s="345"/>
      <c r="BE247" s="343">
        <v>0</v>
      </c>
      <c r="BF247" s="344"/>
      <c r="BG247" s="233"/>
      <c r="BH247" s="227"/>
      <c r="BI247" s="345"/>
      <c r="BJ247" s="343">
        <v>0</v>
      </c>
      <c r="BK247" s="344"/>
      <c r="BL247" s="233"/>
      <c r="BM247" s="227"/>
      <c r="BN247" s="345"/>
      <c r="BO247" s="343">
        <v>0</v>
      </c>
      <c r="BP247" s="344"/>
      <c r="BQ247" s="233"/>
      <c r="BR247" s="227"/>
      <c r="BS247" s="345"/>
      <c r="BT247" s="343">
        <f>SUM(L247:BO247)</f>
        <v>999003</v>
      </c>
      <c r="BU247" s="344"/>
      <c r="BV247" s="233"/>
      <c r="BW247" s="233"/>
      <c r="BX247" s="254"/>
      <c r="CA247" s="268"/>
      <c r="CB247" s="268"/>
    </row>
    <row r="248" spans="1:80" ht="12.75" customHeight="1" x14ac:dyDescent="0.2">
      <c r="A248" s="244"/>
      <c r="B248" s="244"/>
      <c r="D248" s="254" t="s">
        <v>312</v>
      </c>
      <c r="E248" s="371"/>
      <c r="F248" s="338"/>
      <c r="G248" s="233">
        <v>0</v>
      </c>
      <c r="H248" s="347"/>
      <c r="I248" s="233"/>
      <c r="J248" s="227"/>
      <c r="K248" s="338"/>
      <c r="L248" s="233">
        <v>0</v>
      </c>
      <c r="M248" s="347"/>
      <c r="N248" s="233"/>
      <c r="O248" s="227"/>
      <c r="P248" s="227"/>
      <c r="Q248" s="233">
        <v>1905</v>
      </c>
      <c r="R248" s="347"/>
      <c r="S248" s="233"/>
      <c r="T248" s="227"/>
      <c r="U248" s="227"/>
      <c r="V248" s="233">
        <v>0</v>
      </c>
      <c r="W248" s="347"/>
      <c r="X248" s="233"/>
      <c r="Y248" s="227"/>
      <c r="Z248" s="227"/>
      <c r="AA248" s="233">
        <v>0</v>
      </c>
      <c r="AB248" s="347"/>
      <c r="AC248" s="233"/>
      <c r="AD248" s="227"/>
      <c r="AE248" s="227"/>
      <c r="AF248" s="233">
        <v>0</v>
      </c>
      <c r="AG248" s="347"/>
      <c r="AH248" s="233"/>
      <c r="AI248" s="227"/>
      <c r="AJ248" s="227"/>
      <c r="AK248" s="233">
        <v>0</v>
      </c>
      <c r="AL248" s="347"/>
      <c r="AM248" s="233"/>
      <c r="AN248" s="227"/>
      <c r="AO248" s="227"/>
      <c r="AP248" s="233">
        <v>0</v>
      </c>
      <c r="AQ248" s="347"/>
      <c r="AR248" s="233"/>
      <c r="AS248" s="227"/>
      <c r="AT248" s="227"/>
      <c r="AU248" s="233">
        <v>0</v>
      </c>
      <c r="AV248" s="347"/>
      <c r="AW248" s="233"/>
      <c r="AX248" s="227"/>
      <c r="AY248" s="227"/>
      <c r="AZ248" s="233">
        <v>0</v>
      </c>
      <c r="BA248" s="347"/>
      <c r="BB248" s="233"/>
      <c r="BC248" s="227"/>
      <c r="BD248" s="227"/>
      <c r="BE248" s="233">
        <v>0</v>
      </c>
      <c r="BF248" s="347"/>
      <c r="BG248" s="233"/>
      <c r="BH248" s="227"/>
      <c r="BI248" s="227"/>
      <c r="BJ248" s="233">
        <v>0</v>
      </c>
      <c r="BK248" s="347"/>
      <c r="BL248" s="233"/>
      <c r="BM248" s="227"/>
      <c r="BN248" s="227"/>
      <c r="BO248" s="233">
        <v>0</v>
      </c>
      <c r="BP248" s="347"/>
      <c r="BQ248" s="233"/>
      <c r="BR248" s="227"/>
      <c r="BS248" s="227"/>
      <c r="BT248" s="233">
        <f>SUM(L248:BO248)</f>
        <v>1905</v>
      </c>
      <c r="BU248" s="347"/>
      <c r="BV248" s="233"/>
      <c r="BW248" s="233"/>
      <c r="BX248" s="254"/>
      <c r="CA248" s="268"/>
      <c r="CB248" s="268"/>
    </row>
    <row r="249" spans="1:80" ht="12.75" customHeight="1" x14ac:dyDescent="0.2">
      <c r="A249" s="244"/>
      <c r="B249" s="244"/>
      <c r="D249" s="254" t="s">
        <v>320</v>
      </c>
      <c r="E249" s="371"/>
      <c r="F249" s="339"/>
      <c r="G249" s="355">
        <v>0</v>
      </c>
      <c r="H249" s="356"/>
      <c r="I249" s="233"/>
      <c r="J249" s="227"/>
      <c r="K249" s="339"/>
      <c r="L249" s="355">
        <v>0</v>
      </c>
      <c r="M249" s="356"/>
      <c r="N249" s="233"/>
      <c r="O249" s="227"/>
      <c r="P249" s="357"/>
      <c r="Q249" s="355">
        <v>0</v>
      </c>
      <c r="R249" s="356"/>
      <c r="S249" s="233"/>
      <c r="T249" s="227"/>
      <c r="U249" s="357"/>
      <c r="V249" s="355">
        <v>0</v>
      </c>
      <c r="W249" s="356"/>
      <c r="X249" s="233"/>
      <c r="Y249" s="227"/>
      <c r="Z249" s="357"/>
      <c r="AA249" s="355">
        <v>0</v>
      </c>
      <c r="AB249" s="356"/>
      <c r="AC249" s="233"/>
      <c r="AD249" s="227"/>
      <c r="AE249" s="357"/>
      <c r="AF249" s="355">
        <v>0</v>
      </c>
      <c r="AG249" s="356"/>
      <c r="AH249" s="233"/>
      <c r="AI249" s="227"/>
      <c r="AJ249" s="357"/>
      <c r="AK249" s="355">
        <v>0</v>
      </c>
      <c r="AL249" s="356"/>
      <c r="AM249" s="233"/>
      <c r="AN249" s="227"/>
      <c r="AO249" s="357"/>
      <c r="AP249" s="355">
        <v>0</v>
      </c>
      <c r="AQ249" s="356"/>
      <c r="AR249" s="233"/>
      <c r="AS249" s="227"/>
      <c r="AT249" s="357"/>
      <c r="AU249" s="355">
        <v>0</v>
      </c>
      <c r="AV249" s="356"/>
      <c r="AW249" s="233"/>
      <c r="AX249" s="227"/>
      <c r="AY249" s="357"/>
      <c r="AZ249" s="355">
        <v>0</v>
      </c>
      <c r="BA249" s="356"/>
      <c r="BB249" s="233"/>
      <c r="BC249" s="227"/>
      <c r="BD249" s="357"/>
      <c r="BE249" s="355">
        <v>0</v>
      </c>
      <c r="BF249" s="356"/>
      <c r="BG249" s="233"/>
      <c r="BH249" s="227"/>
      <c r="BI249" s="357"/>
      <c r="BJ249" s="355">
        <v>0</v>
      </c>
      <c r="BK249" s="356"/>
      <c r="BL249" s="233"/>
      <c r="BM249" s="227"/>
      <c r="BN249" s="357"/>
      <c r="BO249" s="355">
        <v>0</v>
      </c>
      <c r="BP249" s="356"/>
      <c r="BQ249" s="233"/>
      <c r="BR249" s="227"/>
      <c r="BS249" s="357"/>
      <c r="BT249" s="355">
        <f>SUM(L249:BO249)</f>
        <v>0</v>
      </c>
      <c r="BU249" s="356"/>
      <c r="BV249" s="233"/>
      <c r="BW249" s="233"/>
      <c r="BX249" s="254"/>
      <c r="CA249" s="268"/>
      <c r="CB249" s="268"/>
    </row>
    <row r="250" spans="1:80" ht="12.75" hidden="1" customHeight="1" x14ac:dyDescent="0.2">
      <c r="A250" s="244"/>
      <c r="B250" s="244"/>
      <c r="D250" s="254" t="s">
        <v>314</v>
      </c>
      <c r="E250" s="371"/>
      <c r="F250" s="374"/>
      <c r="G250" s="355">
        <v>0</v>
      </c>
      <c r="H250" s="356"/>
      <c r="I250" s="233"/>
      <c r="J250" s="227"/>
      <c r="K250" s="374"/>
      <c r="L250" s="355">
        <v>0</v>
      </c>
      <c r="M250" s="356"/>
      <c r="N250" s="233"/>
      <c r="O250" s="227"/>
      <c r="P250" s="374"/>
      <c r="Q250" s="355">
        <v>0</v>
      </c>
      <c r="R250" s="356"/>
      <c r="S250" s="233"/>
      <c r="T250" s="227"/>
      <c r="U250" s="374"/>
      <c r="V250" s="355">
        <v>0</v>
      </c>
      <c r="W250" s="356"/>
      <c r="X250" s="233"/>
      <c r="Y250" s="227"/>
      <c r="Z250" s="374"/>
      <c r="AA250" s="355">
        <v>0</v>
      </c>
      <c r="AB250" s="356"/>
      <c r="AC250" s="233"/>
      <c r="AD250" s="227"/>
      <c r="AE250" s="374"/>
      <c r="AF250" s="355">
        <v>0</v>
      </c>
      <c r="AG250" s="356"/>
      <c r="AH250" s="233"/>
      <c r="AI250" s="227"/>
      <c r="AJ250" s="374"/>
      <c r="AK250" s="355">
        <v>0</v>
      </c>
      <c r="AL250" s="356"/>
      <c r="AM250" s="233"/>
      <c r="AN250" s="227"/>
      <c r="AO250" s="374"/>
      <c r="AP250" s="355">
        <v>0</v>
      </c>
      <c r="AQ250" s="356"/>
      <c r="AR250" s="233"/>
      <c r="AS250" s="227"/>
      <c r="AT250" s="374"/>
      <c r="AU250" s="355">
        <v>0</v>
      </c>
      <c r="AV250" s="356"/>
      <c r="AW250" s="233"/>
      <c r="AX250" s="227"/>
      <c r="AY250" s="374"/>
      <c r="AZ250" s="355">
        <v>0</v>
      </c>
      <c r="BA250" s="356"/>
      <c r="BB250" s="233"/>
      <c r="BC250" s="227"/>
      <c r="BD250" s="374"/>
      <c r="BE250" s="355">
        <v>0</v>
      </c>
      <c r="BF250" s="356"/>
      <c r="BG250" s="233"/>
      <c r="BH250" s="227"/>
      <c r="BI250" s="374"/>
      <c r="BJ250" s="355">
        <v>0</v>
      </c>
      <c r="BK250" s="356"/>
      <c r="BL250" s="233"/>
      <c r="BM250" s="227"/>
      <c r="BN250" s="374"/>
      <c r="BO250" s="355">
        <v>0</v>
      </c>
      <c r="BP250" s="356"/>
      <c r="BQ250" s="233"/>
      <c r="BR250" s="227"/>
      <c r="BS250" s="374"/>
      <c r="BT250" s="355">
        <f>SUM(L250:BO250)</f>
        <v>0</v>
      </c>
      <c r="BU250" s="356"/>
      <c r="BV250" s="233"/>
      <c r="BW250" s="233"/>
      <c r="BX250" s="254"/>
      <c r="CA250" s="268"/>
      <c r="CB250" s="268"/>
    </row>
    <row r="251" spans="1:80" ht="12.75" customHeight="1" x14ac:dyDescent="0.2">
      <c r="A251" s="244"/>
      <c r="B251" s="244"/>
      <c r="D251" s="254"/>
      <c r="E251" s="371"/>
      <c r="F251" s="119"/>
      <c r="G251" s="233"/>
      <c r="H251" s="233"/>
      <c r="I251" s="233"/>
      <c r="J251" s="227"/>
      <c r="K251" s="119"/>
      <c r="L251" s="233"/>
      <c r="M251" s="233"/>
      <c r="N251" s="233"/>
      <c r="O251" s="227"/>
      <c r="P251" s="119"/>
      <c r="Q251" s="233"/>
      <c r="R251" s="233"/>
      <c r="S251" s="233"/>
      <c r="T251" s="227"/>
      <c r="U251" s="119"/>
      <c r="V251" s="233"/>
      <c r="W251" s="233"/>
      <c r="X251" s="233"/>
      <c r="Y251" s="227"/>
      <c r="Z251" s="119"/>
      <c r="AA251" s="233"/>
      <c r="AB251" s="233"/>
      <c r="AC251" s="233"/>
      <c r="AD251" s="227"/>
      <c r="AE251" s="119"/>
      <c r="AF251" s="233"/>
      <c r="AG251" s="233"/>
      <c r="AH251" s="233"/>
      <c r="AI251" s="227"/>
      <c r="AJ251" s="119"/>
      <c r="AK251" s="233"/>
      <c r="AL251" s="233"/>
      <c r="AM251" s="233"/>
      <c r="AN251" s="227"/>
      <c r="AO251" s="119"/>
      <c r="AP251" s="233"/>
      <c r="AQ251" s="233"/>
      <c r="AR251" s="233"/>
      <c r="AS251" s="227"/>
      <c r="AT251" s="119"/>
      <c r="AU251" s="233"/>
      <c r="AV251" s="233"/>
      <c r="AW251" s="233"/>
      <c r="AX251" s="227"/>
      <c r="AY251" s="119"/>
      <c r="AZ251" s="233"/>
      <c r="BA251" s="233"/>
      <c r="BB251" s="233"/>
      <c r="BC251" s="227"/>
      <c r="BD251" s="119"/>
      <c r="BE251" s="233"/>
      <c r="BF251" s="233"/>
      <c r="BG251" s="233"/>
      <c r="BH251" s="227"/>
      <c r="BI251" s="119"/>
      <c r="BJ251" s="233"/>
      <c r="BK251" s="233"/>
      <c r="BL251" s="233"/>
      <c r="BM251" s="227"/>
      <c r="BN251" s="119"/>
      <c r="BO251" s="233"/>
      <c r="BP251" s="233"/>
      <c r="BQ251" s="233"/>
      <c r="BR251" s="227"/>
      <c r="BS251" s="119"/>
      <c r="BT251" s="233"/>
      <c r="BU251" s="233"/>
      <c r="BV251" s="233"/>
      <c r="BW251" s="233"/>
      <c r="BX251" s="254"/>
      <c r="CA251" s="268"/>
      <c r="CB251" s="268"/>
    </row>
    <row r="252" spans="1:80" ht="12.75" customHeight="1" x14ac:dyDescent="0.2">
      <c r="A252" s="244"/>
      <c r="B252" s="244"/>
      <c r="D252" s="254" t="s">
        <v>337</v>
      </c>
      <c r="E252" s="371"/>
      <c r="F252" s="119"/>
      <c r="G252" s="233">
        <v>0</v>
      </c>
      <c r="H252" s="233"/>
      <c r="I252" s="233"/>
      <c r="J252" s="227"/>
      <c r="K252" s="119"/>
      <c r="L252" s="233">
        <f>SUM(L253:L256)</f>
        <v>0</v>
      </c>
      <c r="M252" s="233"/>
      <c r="N252" s="233"/>
      <c r="O252" s="227"/>
      <c r="P252" s="119"/>
      <c r="Q252" s="233">
        <f>SUM(Q253:Q256)</f>
        <v>1147408</v>
      </c>
      <c r="R252" s="233"/>
      <c r="S252" s="233"/>
      <c r="T252" s="227"/>
      <c r="U252" s="119"/>
      <c r="V252" s="233">
        <f>SUM(V253:V256)</f>
        <v>0</v>
      </c>
      <c r="W252" s="233"/>
      <c r="X252" s="233"/>
      <c r="Y252" s="227"/>
      <c r="Z252" s="119"/>
      <c r="AA252" s="233">
        <f>SUM(AA253:AA256)</f>
        <v>0</v>
      </c>
      <c r="AB252" s="233"/>
      <c r="AC252" s="233"/>
      <c r="AD252" s="227"/>
      <c r="AE252" s="119"/>
      <c r="AF252" s="233">
        <f>SUM(AF253:AF256)</f>
        <v>0</v>
      </c>
      <c r="AG252" s="233"/>
      <c r="AH252" s="233"/>
      <c r="AI252" s="227"/>
      <c r="AJ252" s="119"/>
      <c r="AK252" s="233">
        <f>SUM(AK253:AK256)</f>
        <v>0</v>
      </c>
      <c r="AL252" s="233"/>
      <c r="AM252" s="233"/>
      <c r="AN252" s="227"/>
      <c r="AO252" s="119"/>
      <c r="AP252" s="233">
        <f>SUM(AP253:AP256)</f>
        <v>0</v>
      </c>
      <c r="AQ252" s="233"/>
      <c r="AR252" s="233"/>
      <c r="AS252" s="227"/>
      <c r="AT252" s="119"/>
      <c r="AU252" s="233">
        <f>SUM(AU253:AU256)</f>
        <v>0</v>
      </c>
      <c r="AV252" s="233"/>
      <c r="AW252" s="233"/>
      <c r="AX252" s="227"/>
      <c r="AY252" s="119"/>
      <c r="AZ252" s="233">
        <f>SUM(AZ253:AZ256)</f>
        <v>0</v>
      </c>
      <c r="BA252" s="233"/>
      <c r="BB252" s="233"/>
      <c r="BC252" s="227"/>
      <c r="BD252" s="119"/>
      <c r="BE252" s="233">
        <f>SUM(BE253:BE256)</f>
        <v>0</v>
      </c>
      <c r="BF252" s="233"/>
      <c r="BG252" s="233"/>
      <c r="BH252" s="227"/>
      <c r="BI252" s="119"/>
      <c r="BJ252" s="233">
        <f>SUM(BJ253:BJ256)</f>
        <v>0</v>
      </c>
      <c r="BK252" s="233"/>
      <c r="BL252" s="233"/>
      <c r="BM252" s="227"/>
      <c r="BN252" s="119"/>
      <c r="BO252" s="233">
        <f>SUM(BO253:BO256)</f>
        <v>0</v>
      </c>
      <c r="BP252" s="233"/>
      <c r="BQ252" s="233"/>
      <c r="BR252" s="227"/>
      <c r="BS252" s="119"/>
      <c r="BT252" s="233">
        <f>SUM(BT253:BT256)</f>
        <v>1147408</v>
      </c>
      <c r="BU252" s="233"/>
      <c r="BV252" s="233"/>
      <c r="BW252" s="233"/>
      <c r="BX252" s="254"/>
      <c r="CA252" s="268"/>
      <c r="CB252" s="268"/>
    </row>
    <row r="253" spans="1:80" ht="12.75" customHeight="1" x14ac:dyDescent="0.2">
      <c r="A253" s="244"/>
      <c r="B253" s="244"/>
      <c r="D253" s="254" t="s">
        <v>310</v>
      </c>
      <c r="F253" s="269"/>
      <c r="G253" s="343">
        <v>0</v>
      </c>
      <c r="H253" s="344"/>
      <c r="I253" s="233"/>
      <c r="J253" s="227"/>
      <c r="K253" s="345"/>
      <c r="L253" s="343">
        <v>0</v>
      </c>
      <c r="M253" s="344"/>
      <c r="N253" s="233"/>
      <c r="O253" s="227"/>
      <c r="P253" s="345"/>
      <c r="Q253" s="343">
        <f>1147408-338034</f>
        <v>809374</v>
      </c>
      <c r="R253" s="344"/>
      <c r="S253" s="233"/>
      <c r="T253" s="227"/>
      <c r="U253" s="345"/>
      <c r="V253" s="343">
        <v>0</v>
      </c>
      <c r="W253" s="344"/>
      <c r="X253" s="233"/>
      <c r="Y253" s="227"/>
      <c r="Z253" s="345"/>
      <c r="AA253" s="343">
        <v>0</v>
      </c>
      <c r="AB253" s="344"/>
      <c r="AC253" s="233"/>
      <c r="AD253" s="227"/>
      <c r="AE253" s="345"/>
      <c r="AF253" s="343">
        <v>0</v>
      </c>
      <c r="AG253" s="344"/>
      <c r="AH253" s="233"/>
      <c r="AI253" s="227"/>
      <c r="AJ253" s="345"/>
      <c r="AK253" s="343">
        <v>0</v>
      </c>
      <c r="AL253" s="344"/>
      <c r="AM253" s="233"/>
      <c r="AN253" s="227"/>
      <c r="AO253" s="345"/>
      <c r="AP253" s="343">
        <v>0</v>
      </c>
      <c r="AQ253" s="344"/>
      <c r="AR253" s="233"/>
      <c r="AS253" s="227"/>
      <c r="AT253" s="345"/>
      <c r="AU253" s="343">
        <v>0</v>
      </c>
      <c r="AV253" s="344"/>
      <c r="AW253" s="233"/>
      <c r="AX253" s="227"/>
      <c r="AY253" s="345"/>
      <c r="AZ253" s="343">
        <v>0</v>
      </c>
      <c r="BA253" s="344"/>
      <c r="BB253" s="233"/>
      <c r="BC253" s="227"/>
      <c r="BD253" s="345"/>
      <c r="BE253" s="343">
        <v>0</v>
      </c>
      <c r="BF253" s="344"/>
      <c r="BG253" s="233"/>
      <c r="BH253" s="227"/>
      <c r="BI253" s="345"/>
      <c r="BJ253" s="343">
        <v>0</v>
      </c>
      <c r="BK253" s="344"/>
      <c r="BL253" s="233"/>
      <c r="BM253" s="227"/>
      <c r="BN253" s="345"/>
      <c r="BO253" s="343">
        <v>0</v>
      </c>
      <c r="BP253" s="344"/>
      <c r="BQ253" s="233"/>
      <c r="BR253" s="227"/>
      <c r="BS253" s="345"/>
      <c r="BT253" s="343">
        <f>SUM(L253:BO253)</f>
        <v>809374</v>
      </c>
      <c r="BU253" s="344"/>
      <c r="BV253" s="233"/>
      <c r="BW253" s="233"/>
      <c r="BX253" s="254"/>
      <c r="CA253" s="268"/>
      <c r="CB253" s="268"/>
    </row>
    <row r="254" spans="1:80" ht="12.75" customHeight="1" x14ac:dyDescent="0.2">
      <c r="A254" s="244"/>
      <c r="B254" s="244"/>
      <c r="D254" s="254" t="s">
        <v>312</v>
      </c>
      <c r="E254" s="371"/>
      <c r="F254" s="261"/>
      <c r="G254" s="233">
        <v>0</v>
      </c>
      <c r="H254" s="347"/>
      <c r="I254" s="233"/>
      <c r="J254" s="227"/>
      <c r="K254" s="227"/>
      <c r="L254" s="233">
        <v>0</v>
      </c>
      <c r="M254" s="347"/>
      <c r="N254" s="233"/>
      <c r="O254" s="227"/>
      <c r="P254" s="227"/>
      <c r="Q254" s="233">
        <v>338034</v>
      </c>
      <c r="R254" s="347"/>
      <c r="S254" s="233"/>
      <c r="T254" s="227"/>
      <c r="U254" s="227"/>
      <c r="V254" s="233">
        <v>0</v>
      </c>
      <c r="W254" s="347"/>
      <c r="X254" s="233"/>
      <c r="Y254" s="227"/>
      <c r="Z254" s="227"/>
      <c r="AA254" s="233">
        <v>0</v>
      </c>
      <c r="AB254" s="347"/>
      <c r="AC254" s="233"/>
      <c r="AD254" s="227"/>
      <c r="AE254" s="227"/>
      <c r="AF254" s="233">
        <v>0</v>
      </c>
      <c r="AG254" s="347"/>
      <c r="AH254" s="233"/>
      <c r="AI254" s="227"/>
      <c r="AJ254" s="227"/>
      <c r="AK254" s="233">
        <v>0</v>
      </c>
      <c r="AL254" s="347"/>
      <c r="AM254" s="233"/>
      <c r="AN254" s="227"/>
      <c r="AO254" s="227"/>
      <c r="AP254" s="233">
        <v>0</v>
      </c>
      <c r="AQ254" s="347"/>
      <c r="AR254" s="233"/>
      <c r="AS254" s="227"/>
      <c r="AT254" s="227"/>
      <c r="AU254" s="233">
        <v>0</v>
      </c>
      <c r="AV254" s="347"/>
      <c r="AW254" s="233"/>
      <c r="AX254" s="227"/>
      <c r="AY254" s="227"/>
      <c r="AZ254" s="233">
        <v>0</v>
      </c>
      <c r="BA254" s="347"/>
      <c r="BB254" s="233"/>
      <c r="BC254" s="227"/>
      <c r="BD254" s="227"/>
      <c r="BE254" s="233">
        <v>0</v>
      </c>
      <c r="BF254" s="347"/>
      <c r="BG254" s="233"/>
      <c r="BH254" s="227"/>
      <c r="BI254" s="227"/>
      <c r="BJ254" s="233">
        <v>0</v>
      </c>
      <c r="BK254" s="347"/>
      <c r="BL254" s="233"/>
      <c r="BM254" s="227"/>
      <c r="BN254" s="227"/>
      <c r="BO254" s="233">
        <v>0</v>
      </c>
      <c r="BP254" s="347"/>
      <c r="BQ254" s="233"/>
      <c r="BR254" s="227"/>
      <c r="BS254" s="227"/>
      <c r="BT254" s="233">
        <f>SUM(L254:BO254)</f>
        <v>338034</v>
      </c>
      <c r="BU254" s="347"/>
      <c r="BV254" s="233"/>
      <c r="BW254" s="233"/>
      <c r="BX254" s="254"/>
      <c r="CA254" s="268"/>
      <c r="CB254" s="268"/>
    </row>
    <row r="255" spans="1:80" ht="12.75" customHeight="1" x14ac:dyDescent="0.2">
      <c r="A255" s="244"/>
      <c r="B255" s="244"/>
      <c r="D255" s="254" t="s">
        <v>320</v>
      </c>
      <c r="E255" s="371"/>
      <c r="F255" s="284"/>
      <c r="G255" s="355">
        <v>0</v>
      </c>
      <c r="H255" s="356"/>
      <c r="I255" s="233"/>
      <c r="J255" s="227"/>
      <c r="K255" s="357"/>
      <c r="L255" s="355">
        <v>0</v>
      </c>
      <c r="M255" s="356"/>
      <c r="N255" s="233"/>
      <c r="O255" s="227"/>
      <c r="P255" s="357"/>
      <c r="Q255" s="355">
        <v>0</v>
      </c>
      <c r="R255" s="356"/>
      <c r="S255" s="233"/>
      <c r="T255" s="227"/>
      <c r="U255" s="357"/>
      <c r="V255" s="355">
        <v>0</v>
      </c>
      <c r="W255" s="356"/>
      <c r="X255" s="233"/>
      <c r="Y255" s="227"/>
      <c r="Z255" s="357"/>
      <c r="AA255" s="355">
        <v>0</v>
      </c>
      <c r="AB255" s="356"/>
      <c r="AC255" s="233"/>
      <c r="AD255" s="227"/>
      <c r="AE255" s="357"/>
      <c r="AF255" s="355">
        <v>0</v>
      </c>
      <c r="AG255" s="356"/>
      <c r="AH255" s="233"/>
      <c r="AI255" s="227"/>
      <c r="AJ255" s="357"/>
      <c r="AK255" s="355">
        <v>0</v>
      </c>
      <c r="AL255" s="356"/>
      <c r="AM255" s="233"/>
      <c r="AN255" s="227"/>
      <c r="AO255" s="357"/>
      <c r="AP255" s="355">
        <v>0</v>
      </c>
      <c r="AQ255" s="356"/>
      <c r="AR255" s="233"/>
      <c r="AS255" s="227"/>
      <c r="AT255" s="357"/>
      <c r="AU255" s="355">
        <v>0</v>
      </c>
      <c r="AV255" s="356"/>
      <c r="AW255" s="233"/>
      <c r="AX255" s="227"/>
      <c r="AY255" s="357"/>
      <c r="AZ255" s="355">
        <v>0</v>
      </c>
      <c r="BA255" s="356"/>
      <c r="BB255" s="233"/>
      <c r="BC255" s="227"/>
      <c r="BD255" s="357"/>
      <c r="BE255" s="355">
        <v>0</v>
      </c>
      <c r="BF255" s="356"/>
      <c r="BG255" s="233"/>
      <c r="BH255" s="227"/>
      <c r="BI255" s="357"/>
      <c r="BJ255" s="355">
        <v>0</v>
      </c>
      <c r="BK255" s="356"/>
      <c r="BL255" s="233"/>
      <c r="BM255" s="227"/>
      <c r="BN255" s="357"/>
      <c r="BO255" s="355">
        <v>0</v>
      </c>
      <c r="BP255" s="356"/>
      <c r="BQ255" s="233"/>
      <c r="BR255" s="227"/>
      <c r="BS255" s="357"/>
      <c r="BT255" s="355">
        <f>SUM(L255:BO255)</f>
        <v>0</v>
      </c>
      <c r="BU255" s="356"/>
      <c r="BV255" s="233"/>
      <c r="BW255" s="233"/>
      <c r="BX255" s="254"/>
      <c r="CA255" s="268"/>
      <c r="CB255" s="268"/>
    </row>
    <row r="256" spans="1:80" ht="12.75" hidden="1" customHeight="1" x14ac:dyDescent="0.2">
      <c r="A256" s="244"/>
      <c r="B256" s="244"/>
      <c r="D256" s="254" t="s">
        <v>314</v>
      </c>
      <c r="E256" s="371"/>
      <c r="F256" s="374"/>
      <c r="G256" s="355">
        <v>0</v>
      </c>
      <c r="H256" s="356"/>
      <c r="I256" s="233"/>
      <c r="J256" s="227"/>
      <c r="K256" s="374"/>
      <c r="L256" s="355">
        <v>0</v>
      </c>
      <c r="M256" s="356"/>
      <c r="N256" s="233"/>
      <c r="O256" s="227"/>
      <c r="P256" s="374"/>
      <c r="Q256" s="355">
        <v>0</v>
      </c>
      <c r="R256" s="356"/>
      <c r="S256" s="233"/>
      <c r="T256" s="227"/>
      <c r="U256" s="374"/>
      <c r="V256" s="355">
        <v>0</v>
      </c>
      <c r="W256" s="356"/>
      <c r="X256" s="233"/>
      <c r="Y256" s="227"/>
      <c r="Z256" s="374"/>
      <c r="AA256" s="355">
        <v>0</v>
      </c>
      <c r="AB256" s="356"/>
      <c r="AC256" s="233"/>
      <c r="AD256" s="227"/>
      <c r="AE256" s="374"/>
      <c r="AF256" s="355">
        <v>0</v>
      </c>
      <c r="AG256" s="356"/>
      <c r="AH256" s="233"/>
      <c r="AI256" s="227"/>
      <c r="AJ256" s="374"/>
      <c r="AK256" s="355">
        <v>0</v>
      </c>
      <c r="AL256" s="356"/>
      <c r="AM256" s="233"/>
      <c r="AN256" s="227"/>
      <c r="AO256" s="374"/>
      <c r="AP256" s="355">
        <v>0</v>
      </c>
      <c r="AQ256" s="356"/>
      <c r="AR256" s="233"/>
      <c r="AS256" s="227"/>
      <c r="AT256" s="374"/>
      <c r="AU256" s="355">
        <v>0</v>
      </c>
      <c r="AV256" s="356"/>
      <c r="AW256" s="233"/>
      <c r="AX256" s="227"/>
      <c r="AY256" s="374"/>
      <c r="AZ256" s="355">
        <v>0</v>
      </c>
      <c r="BA256" s="356"/>
      <c r="BB256" s="233"/>
      <c r="BC256" s="227"/>
      <c r="BD256" s="374"/>
      <c r="BE256" s="355">
        <v>0</v>
      </c>
      <c r="BF256" s="356"/>
      <c r="BG256" s="233"/>
      <c r="BH256" s="227"/>
      <c r="BI256" s="374"/>
      <c r="BJ256" s="355">
        <v>0</v>
      </c>
      <c r="BK256" s="356"/>
      <c r="BL256" s="233"/>
      <c r="BM256" s="227"/>
      <c r="BN256" s="374"/>
      <c r="BO256" s="355">
        <v>0</v>
      </c>
      <c r="BP256" s="356"/>
      <c r="BQ256" s="233"/>
      <c r="BR256" s="227"/>
      <c r="BS256" s="374"/>
      <c r="BT256" s="355">
        <f>SUM(L256:BO256)</f>
        <v>0</v>
      </c>
      <c r="BU256" s="356"/>
      <c r="BV256" s="233"/>
      <c r="BW256" s="233"/>
      <c r="BX256" s="254"/>
      <c r="CA256" s="268"/>
      <c r="CB256" s="268"/>
    </row>
    <row r="257" spans="1:80" ht="12.75" customHeight="1" x14ac:dyDescent="0.2">
      <c r="A257" s="244"/>
      <c r="B257" s="244"/>
      <c r="D257" s="254"/>
      <c r="E257" s="371"/>
      <c r="F257" s="119"/>
      <c r="G257" s="233"/>
      <c r="H257" s="233"/>
      <c r="I257" s="233"/>
      <c r="J257" s="227"/>
      <c r="K257" s="119"/>
      <c r="L257" s="233"/>
      <c r="M257" s="233"/>
      <c r="N257" s="233"/>
      <c r="O257" s="227"/>
      <c r="P257" s="119"/>
      <c r="Q257" s="233"/>
      <c r="R257" s="233"/>
      <c r="S257" s="233"/>
      <c r="T257" s="227"/>
      <c r="U257" s="119"/>
      <c r="V257" s="233"/>
      <c r="W257" s="233"/>
      <c r="X257" s="233"/>
      <c r="Y257" s="227"/>
      <c r="Z257" s="119"/>
      <c r="AA257" s="233"/>
      <c r="AB257" s="233"/>
      <c r="AC257" s="233"/>
      <c r="AD257" s="227"/>
      <c r="AE257" s="119"/>
      <c r="AF257" s="233"/>
      <c r="AG257" s="233"/>
      <c r="AH257" s="233"/>
      <c r="AI257" s="227"/>
      <c r="AJ257" s="119"/>
      <c r="AK257" s="233"/>
      <c r="AL257" s="233"/>
      <c r="AM257" s="233"/>
      <c r="AN257" s="227"/>
      <c r="AO257" s="119"/>
      <c r="AP257" s="233"/>
      <c r="AQ257" s="233"/>
      <c r="AR257" s="233"/>
      <c r="AS257" s="227"/>
      <c r="AT257" s="119"/>
      <c r="AU257" s="233"/>
      <c r="AV257" s="233"/>
      <c r="AW257" s="233"/>
      <c r="AX257" s="227"/>
      <c r="AY257" s="119"/>
      <c r="AZ257" s="233"/>
      <c r="BA257" s="233"/>
      <c r="BB257" s="233"/>
      <c r="BC257" s="227"/>
      <c r="BD257" s="119"/>
      <c r="BE257" s="233"/>
      <c r="BF257" s="233"/>
      <c r="BG257" s="233"/>
      <c r="BH257" s="227"/>
      <c r="BI257" s="119"/>
      <c r="BJ257" s="233"/>
      <c r="BK257" s="233"/>
      <c r="BL257" s="233"/>
      <c r="BM257" s="227"/>
      <c r="BN257" s="119"/>
      <c r="BO257" s="233"/>
      <c r="BP257" s="233"/>
      <c r="BQ257" s="233"/>
      <c r="BR257" s="227"/>
      <c r="BS257" s="119"/>
      <c r="BT257" s="233"/>
      <c r="BU257" s="233"/>
      <c r="BV257" s="233"/>
      <c r="BW257" s="233"/>
      <c r="BX257" s="254"/>
      <c r="CA257" s="268"/>
      <c r="CB257" s="268"/>
    </row>
    <row r="258" spans="1:80" ht="12.75" customHeight="1" x14ac:dyDescent="0.2">
      <c r="A258" s="244"/>
      <c r="B258" s="244"/>
      <c r="D258" s="254" t="s">
        <v>343</v>
      </c>
      <c r="E258" s="371"/>
      <c r="F258" s="119"/>
      <c r="G258" s="233">
        <v>0</v>
      </c>
      <c r="H258" s="233"/>
      <c r="I258" s="233"/>
      <c r="J258" s="227"/>
      <c r="K258" s="119"/>
      <c r="L258" s="233">
        <f>SUM(L259:L262)</f>
        <v>0</v>
      </c>
      <c r="M258" s="233"/>
      <c r="N258" s="233"/>
      <c r="O258" s="227"/>
      <c r="P258" s="119"/>
      <c r="Q258" s="233">
        <f>SUM(Q259:Q262)</f>
        <v>1877366</v>
      </c>
      <c r="R258" s="233"/>
      <c r="S258" s="233"/>
      <c r="T258" s="227"/>
      <c r="U258" s="119"/>
      <c r="V258" s="233">
        <f>SUM(V259:V262)</f>
        <v>0</v>
      </c>
      <c r="W258" s="233"/>
      <c r="X258" s="233"/>
      <c r="Y258" s="227"/>
      <c r="Z258" s="119"/>
      <c r="AA258" s="233">
        <f>SUM(AA259:AA262)</f>
        <v>0</v>
      </c>
      <c r="AB258" s="233"/>
      <c r="AC258" s="233"/>
      <c r="AD258" s="227"/>
      <c r="AE258" s="119"/>
      <c r="AF258" s="233">
        <f>SUM(AF259:AF262)</f>
        <v>0</v>
      </c>
      <c r="AG258" s="233"/>
      <c r="AH258" s="233"/>
      <c r="AI258" s="227"/>
      <c r="AJ258" s="119"/>
      <c r="AK258" s="233">
        <f>SUM(AK259:AK262)</f>
        <v>0</v>
      </c>
      <c r="AL258" s="233"/>
      <c r="AM258" s="233"/>
      <c r="AN258" s="227"/>
      <c r="AO258" s="119"/>
      <c r="AP258" s="233">
        <f>SUM(AP259:AP262)</f>
        <v>0</v>
      </c>
      <c r="AQ258" s="233"/>
      <c r="AR258" s="233"/>
      <c r="AS258" s="227"/>
      <c r="AT258" s="119"/>
      <c r="AU258" s="233">
        <f>SUM(AU259:AU262)</f>
        <v>0</v>
      </c>
      <c r="AV258" s="233"/>
      <c r="AW258" s="233"/>
      <c r="AX258" s="227"/>
      <c r="AY258" s="119"/>
      <c r="AZ258" s="233">
        <f>SUM(AZ259:AZ262)</f>
        <v>0</v>
      </c>
      <c r="BA258" s="233"/>
      <c r="BB258" s="233"/>
      <c r="BC258" s="227"/>
      <c r="BD258" s="119"/>
      <c r="BE258" s="233">
        <f>SUM(BE259:BE262)</f>
        <v>0</v>
      </c>
      <c r="BF258" s="233"/>
      <c r="BG258" s="233"/>
      <c r="BH258" s="227"/>
      <c r="BI258" s="119"/>
      <c r="BJ258" s="233">
        <f>SUM(BJ259:BJ262)</f>
        <v>0</v>
      </c>
      <c r="BK258" s="233"/>
      <c r="BL258" s="233"/>
      <c r="BM258" s="227"/>
      <c r="BN258" s="119"/>
      <c r="BO258" s="233">
        <f>SUM(BO259:BO262)</f>
        <v>0</v>
      </c>
      <c r="BP258" s="233"/>
      <c r="BQ258" s="233"/>
      <c r="BR258" s="227"/>
      <c r="BS258" s="119"/>
      <c r="BT258" s="233">
        <f>SUM(BT259:BT262)</f>
        <v>1877366</v>
      </c>
      <c r="BU258" s="233"/>
      <c r="BV258" s="233"/>
      <c r="BW258" s="233"/>
      <c r="BX258" s="254"/>
      <c r="CA258" s="268"/>
      <c r="CB258" s="268"/>
    </row>
    <row r="259" spans="1:80" ht="12.75" customHeight="1" x14ac:dyDescent="0.2">
      <c r="A259" s="244"/>
      <c r="B259" s="244"/>
      <c r="D259" s="254" t="s">
        <v>310</v>
      </c>
      <c r="E259" s="371"/>
      <c r="F259" s="372"/>
      <c r="G259" s="343">
        <v>0</v>
      </c>
      <c r="H259" s="344"/>
      <c r="I259" s="233"/>
      <c r="J259" s="227"/>
      <c r="K259" s="372"/>
      <c r="L259" s="343">
        <v>0</v>
      </c>
      <c r="M259" s="344"/>
      <c r="N259" s="233"/>
      <c r="O259" s="227"/>
      <c r="P259" s="372"/>
      <c r="Q259" s="343">
        <f>1877366-184140</f>
        <v>1693226</v>
      </c>
      <c r="R259" s="344"/>
      <c r="S259" s="233"/>
      <c r="T259" s="227"/>
      <c r="U259" s="372"/>
      <c r="V259" s="343">
        <v>0</v>
      </c>
      <c r="W259" s="344"/>
      <c r="X259" s="233"/>
      <c r="Y259" s="227"/>
      <c r="Z259" s="372"/>
      <c r="AA259" s="343">
        <v>0</v>
      </c>
      <c r="AB259" s="344"/>
      <c r="AC259" s="233"/>
      <c r="AD259" s="227"/>
      <c r="AE259" s="372"/>
      <c r="AF259" s="343">
        <v>0</v>
      </c>
      <c r="AG259" s="344"/>
      <c r="AH259" s="233"/>
      <c r="AI259" s="227"/>
      <c r="AJ259" s="372"/>
      <c r="AK259" s="343">
        <v>0</v>
      </c>
      <c r="AL259" s="344"/>
      <c r="AM259" s="233"/>
      <c r="AN259" s="227"/>
      <c r="AO259" s="372"/>
      <c r="AP259" s="343">
        <v>0</v>
      </c>
      <c r="AQ259" s="344"/>
      <c r="AR259" s="233"/>
      <c r="AS259" s="227"/>
      <c r="AT259" s="372"/>
      <c r="AU259" s="343">
        <v>0</v>
      </c>
      <c r="AV259" s="344"/>
      <c r="AW259" s="233"/>
      <c r="AX259" s="227"/>
      <c r="AY259" s="372"/>
      <c r="AZ259" s="343">
        <v>0</v>
      </c>
      <c r="BA259" s="344"/>
      <c r="BB259" s="233"/>
      <c r="BC259" s="227"/>
      <c r="BD259" s="372"/>
      <c r="BE259" s="343">
        <v>0</v>
      </c>
      <c r="BF259" s="344"/>
      <c r="BG259" s="233"/>
      <c r="BH259" s="227"/>
      <c r="BI259" s="372"/>
      <c r="BJ259" s="343">
        <v>0</v>
      </c>
      <c r="BK259" s="344"/>
      <c r="BL259" s="233"/>
      <c r="BM259" s="227"/>
      <c r="BN259" s="372"/>
      <c r="BO259" s="343">
        <v>0</v>
      </c>
      <c r="BP259" s="344"/>
      <c r="BQ259" s="233"/>
      <c r="BR259" s="227"/>
      <c r="BS259" s="372"/>
      <c r="BT259" s="343">
        <f>SUM(L259:BO259)</f>
        <v>1693226</v>
      </c>
      <c r="BU259" s="344"/>
      <c r="BV259" s="233"/>
      <c r="BW259" s="233"/>
      <c r="BX259" s="254"/>
      <c r="CA259" s="268"/>
      <c r="CB259" s="268"/>
    </row>
    <row r="260" spans="1:80" ht="12.75" customHeight="1" x14ac:dyDescent="0.2">
      <c r="A260" s="244"/>
      <c r="B260" s="244"/>
      <c r="D260" s="254" t="s">
        <v>312</v>
      </c>
      <c r="E260" s="371"/>
      <c r="F260" s="338"/>
      <c r="G260" s="233">
        <v>0</v>
      </c>
      <c r="H260" s="347"/>
      <c r="I260" s="233"/>
      <c r="J260" s="227"/>
      <c r="K260" s="338"/>
      <c r="L260" s="233">
        <v>0</v>
      </c>
      <c r="M260" s="347"/>
      <c r="N260" s="233"/>
      <c r="O260" s="227"/>
      <c r="P260" s="338"/>
      <c r="Q260" s="233">
        <v>184140</v>
      </c>
      <c r="R260" s="347"/>
      <c r="S260" s="233"/>
      <c r="T260" s="227"/>
      <c r="U260" s="338"/>
      <c r="V260" s="233">
        <v>0</v>
      </c>
      <c r="W260" s="347"/>
      <c r="X260" s="233"/>
      <c r="Y260" s="227"/>
      <c r="Z260" s="338"/>
      <c r="AA260" s="233">
        <v>0</v>
      </c>
      <c r="AB260" s="347"/>
      <c r="AC260" s="233"/>
      <c r="AD260" s="227"/>
      <c r="AE260" s="338"/>
      <c r="AF260" s="233">
        <v>0</v>
      </c>
      <c r="AG260" s="347"/>
      <c r="AH260" s="233"/>
      <c r="AI260" s="227"/>
      <c r="AJ260" s="338"/>
      <c r="AK260" s="233">
        <v>0</v>
      </c>
      <c r="AL260" s="347"/>
      <c r="AM260" s="233"/>
      <c r="AN260" s="227"/>
      <c r="AO260" s="338"/>
      <c r="AP260" s="233">
        <v>0</v>
      </c>
      <c r="AQ260" s="347"/>
      <c r="AR260" s="233"/>
      <c r="AS260" s="227"/>
      <c r="AT260" s="338"/>
      <c r="AU260" s="233">
        <v>0</v>
      </c>
      <c r="AV260" s="347"/>
      <c r="AW260" s="233"/>
      <c r="AX260" s="227"/>
      <c r="AY260" s="338"/>
      <c r="AZ260" s="233">
        <v>0</v>
      </c>
      <c r="BA260" s="347"/>
      <c r="BB260" s="233"/>
      <c r="BC260" s="227"/>
      <c r="BD260" s="338"/>
      <c r="BE260" s="233">
        <v>0</v>
      </c>
      <c r="BF260" s="347"/>
      <c r="BG260" s="233"/>
      <c r="BH260" s="227"/>
      <c r="BI260" s="338"/>
      <c r="BJ260" s="233">
        <v>0</v>
      </c>
      <c r="BK260" s="347"/>
      <c r="BL260" s="233"/>
      <c r="BM260" s="227"/>
      <c r="BN260" s="338"/>
      <c r="BO260" s="233">
        <v>0</v>
      </c>
      <c r="BP260" s="347"/>
      <c r="BQ260" s="233"/>
      <c r="BR260" s="227"/>
      <c r="BS260" s="338"/>
      <c r="BT260" s="233">
        <f>SUM(L260:BO260)</f>
        <v>184140</v>
      </c>
      <c r="BU260" s="347"/>
      <c r="BV260" s="233"/>
      <c r="BW260" s="233"/>
      <c r="BX260" s="254"/>
      <c r="CA260" s="268"/>
      <c r="CB260" s="268"/>
    </row>
    <row r="261" spans="1:80" ht="12.75" customHeight="1" x14ac:dyDescent="0.2">
      <c r="A261" s="244"/>
      <c r="B261" s="244"/>
      <c r="D261" s="254" t="s">
        <v>320</v>
      </c>
      <c r="E261" s="371"/>
      <c r="F261" s="284"/>
      <c r="G261" s="355">
        <v>0</v>
      </c>
      <c r="H261" s="356"/>
      <c r="I261" s="233"/>
      <c r="J261" s="227"/>
      <c r="K261" s="284"/>
      <c r="L261" s="355">
        <v>0</v>
      </c>
      <c r="M261" s="356"/>
      <c r="N261" s="233"/>
      <c r="O261" s="227"/>
      <c r="P261" s="284"/>
      <c r="Q261" s="355">
        <v>0</v>
      </c>
      <c r="R261" s="356"/>
      <c r="S261" s="233"/>
      <c r="T261" s="227"/>
      <c r="U261" s="284"/>
      <c r="V261" s="355">
        <v>0</v>
      </c>
      <c r="W261" s="356"/>
      <c r="X261" s="233"/>
      <c r="Y261" s="227"/>
      <c r="Z261" s="284"/>
      <c r="AA261" s="355">
        <v>0</v>
      </c>
      <c r="AB261" s="356"/>
      <c r="AC261" s="233"/>
      <c r="AD261" s="227"/>
      <c r="AE261" s="284"/>
      <c r="AF261" s="355">
        <v>0</v>
      </c>
      <c r="AG261" s="356"/>
      <c r="AH261" s="233"/>
      <c r="AI261" s="227"/>
      <c r="AJ261" s="284"/>
      <c r="AK261" s="355">
        <v>0</v>
      </c>
      <c r="AL261" s="356"/>
      <c r="AM261" s="233"/>
      <c r="AN261" s="227"/>
      <c r="AO261" s="284"/>
      <c r="AP261" s="355">
        <v>0</v>
      </c>
      <c r="AQ261" s="356"/>
      <c r="AR261" s="233"/>
      <c r="AS261" s="227"/>
      <c r="AT261" s="357"/>
      <c r="AU261" s="355">
        <v>0</v>
      </c>
      <c r="AV261" s="356"/>
      <c r="AW261" s="233"/>
      <c r="AX261" s="227"/>
      <c r="AY261" s="357"/>
      <c r="AZ261" s="355">
        <v>0</v>
      </c>
      <c r="BA261" s="356"/>
      <c r="BB261" s="233"/>
      <c r="BC261" s="227"/>
      <c r="BD261" s="357"/>
      <c r="BE261" s="355">
        <v>0</v>
      </c>
      <c r="BF261" s="356"/>
      <c r="BG261" s="233"/>
      <c r="BH261" s="227"/>
      <c r="BI261" s="357"/>
      <c r="BJ261" s="355">
        <v>0</v>
      </c>
      <c r="BK261" s="356"/>
      <c r="BL261" s="233"/>
      <c r="BM261" s="227"/>
      <c r="BN261" s="357"/>
      <c r="BO261" s="355">
        <v>0</v>
      </c>
      <c r="BP261" s="356"/>
      <c r="BQ261" s="233"/>
      <c r="BR261" s="227"/>
      <c r="BS261" s="357"/>
      <c r="BT261" s="355">
        <f>SUM(L261:BO261)</f>
        <v>0</v>
      </c>
      <c r="BU261" s="356"/>
      <c r="BV261" s="233"/>
      <c r="BW261" s="233"/>
      <c r="BX261" s="254"/>
      <c r="CA261" s="268"/>
      <c r="CB261" s="268"/>
    </row>
    <row r="262" spans="1:80" ht="12.75" hidden="1" customHeight="1" x14ac:dyDescent="0.2">
      <c r="A262" s="244"/>
      <c r="B262" s="244"/>
      <c r="D262" s="254" t="s">
        <v>314</v>
      </c>
      <c r="E262" s="371"/>
      <c r="F262" s="374"/>
      <c r="G262" s="355">
        <v>0</v>
      </c>
      <c r="H262" s="356"/>
      <c r="I262" s="233"/>
      <c r="J262" s="227"/>
      <c r="K262" s="374"/>
      <c r="L262" s="355">
        <v>0</v>
      </c>
      <c r="M262" s="356"/>
      <c r="N262" s="233"/>
      <c r="O262" s="227"/>
      <c r="P262" s="374"/>
      <c r="Q262" s="355">
        <v>0</v>
      </c>
      <c r="R262" s="356"/>
      <c r="S262" s="233"/>
      <c r="T262" s="227"/>
      <c r="U262" s="374"/>
      <c r="V262" s="355">
        <v>0</v>
      </c>
      <c r="W262" s="356"/>
      <c r="X262" s="233"/>
      <c r="Y262" s="227"/>
      <c r="Z262" s="374"/>
      <c r="AA262" s="355">
        <v>0</v>
      </c>
      <c r="AB262" s="356"/>
      <c r="AC262" s="233"/>
      <c r="AD262" s="227"/>
      <c r="AE262" s="374"/>
      <c r="AF262" s="355">
        <v>0</v>
      </c>
      <c r="AG262" s="356"/>
      <c r="AH262" s="233"/>
      <c r="AI262" s="227"/>
      <c r="AJ262" s="374"/>
      <c r="AK262" s="355">
        <v>0</v>
      </c>
      <c r="AL262" s="356"/>
      <c r="AM262" s="233"/>
      <c r="AN262" s="227"/>
      <c r="AO262" s="374"/>
      <c r="AP262" s="355">
        <v>0</v>
      </c>
      <c r="AQ262" s="356"/>
      <c r="AR262" s="233"/>
      <c r="AS262" s="227"/>
      <c r="AT262" s="374"/>
      <c r="AU262" s="355">
        <v>0</v>
      </c>
      <c r="AV262" s="356"/>
      <c r="AW262" s="233"/>
      <c r="AX262" s="227"/>
      <c r="AY262" s="374"/>
      <c r="AZ262" s="355">
        <v>0</v>
      </c>
      <c r="BA262" s="356"/>
      <c r="BB262" s="233"/>
      <c r="BC262" s="227"/>
      <c r="BD262" s="374"/>
      <c r="BE262" s="355">
        <v>0</v>
      </c>
      <c r="BF262" s="356"/>
      <c r="BG262" s="233"/>
      <c r="BH262" s="227"/>
      <c r="BI262" s="374"/>
      <c r="BJ262" s="355">
        <v>0</v>
      </c>
      <c r="BK262" s="356"/>
      <c r="BL262" s="233"/>
      <c r="BM262" s="227"/>
      <c r="BN262" s="374"/>
      <c r="BO262" s="355">
        <v>0</v>
      </c>
      <c r="BP262" s="356"/>
      <c r="BQ262" s="233"/>
      <c r="BR262" s="227"/>
      <c r="BS262" s="374"/>
      <c r="BT262" s="355">
        <f>SUM(L262:BO262)</f>
        <v>0</v>
      </c>
      <c r="BU262" s="356"/>
      <c r="BV262" s="233"/>
      <c r="BW262" s="233"/>
      <c r="BX262" s="254"/>
      <c r="CA262" s="268"/>
      <c r="CB262" s="268"/>
    </row>
    <row r="263" spans="1:80" ht="12.75" customHeight="1" x14ac:dyDescent="0.2">
      <c r="A263" s="244"/>
      <c r="B263" s="244"/>
      <c r="D263" s="254"/>
      <c r="E263" s="371"/>
      <c r="F263" s="119"/>
      <c r="G263" s="233"/>
      <c r="H263" s="233"/>
      <c r="I263" s="233"/>
      <c r="J263" s="227"/>
      <c r="K263" s="119"/>
      <c r="L263" s="233"/>
      <c r="M263" s="233"/>
      <c r="N263" s="233"/>
      <c r="O263" s="227"/>
      <c r="P263" s="119"/>
      <c r="Q263" s="233"/>
      <c r="R263" s="233"/>
      <c r="S263" s="233"/>
      <c r="T263" s="227"/>
      <c r="U263" s="119"/>
      <c r="V263" s="233"/>
      <c r="W263" s="233"/>
      <c r="X263" s="233"/>
      <c r="Y263" s="227"/>
      <c r="Z263" s="119"/>
      <c r="AA263" s="233"/>
      <c r="AB263" s="233"/>
      <c r="AC263" s="233"/>
      <c r="AD263" s="227"/>
      <c r="AE263" s="119"/>
      <c r="AF263" s="233"/>
      <c r="AG263" s="233"/>
      <c r="AH263" s="233"/>
      <c r="AI263" s="227"/>
      <c r="AJ263" s="119"/>
      <c r="AK263" s="233"/>
      <c r="AL263" s="233"/>
      <c r="AM263" s="233"/>
      <c r="AN263" s="227"/>
      <c r="AO263" s="119"/>
      <c r="AP263" s="233"/>
      <c r="AQ263" s="233"/>
      <c r="AR263" s="233"/>
      <c r="AS263" s="227"/>
      <c r="AT263" s="119"/>
      <c r="AU263" s="233"/>
      <c r="AV263" s="233"/>
      <c r="AW263" s="233"/>
      <c r="AX263" s="227"/>
      <c r="AY263" s="119"/>
      <c r="AZ263" s="233"/>
      <c r="BA263" s="233"/>
      <c r="BB263" s="233"/>
      <c r="BC263" s="227"/>
      <c r="BD263" s="119"/>
      <c r="BE263" s="233"/>
      <c r="BF263" s="233"/>
      <c r="BG263" s="233"/>
      <c r="BH263" s="227"/>
      <c r="BI263" s="119"/>
      <c r="BJ263" s="233"/>
      <c r="BK263" s="233"/>
      <c r="BL263" s="233"/>
      <c r="BM263" s="227"/>
      <c r="BN263" s="119"/>
      <c r="BO263" s="233"/>
      <c r="BP263" s="233"/>
      <c r="BQ263" s="233"/>
      <c r="BR263" s="227"/>
      <c r="BS263" s="119"/>
      <c r="BT263" s="233"/>
      <c r="BU263" s="233"/>
      <c r="BV263" s="233"/>
      <c r="BW263" s="233"/>
      <c r="BX263" s="254"/>
      <c r="CA263" s="268"/>
      <c r="CB263" s="268"/>
    </row>
    <row r="264" spans="1:80" ht="12.75" customHeight="1" x14ac:dyDescent="0.2">
      <c r="A264" s="244"/>
      <c r="B264" s="244"/>
      <c r="D264" s="254" t="s">
        <v>367</v>
      </c>
      <c r="F264" s="244"/>
      <c r="G264" s="233">
        <f>SUM(G265:G267)</f>
        <v>0</v>
      </c>
      <c r="H264" s="233"/>
      <c r="I264" s="233"/>
      <c r="J264" s="227"/>
      <c r="K264" s="233"/>
      <c r="L264" s="233">
        <f>SUM(L265:L267)</f>
        <v>0</v>
      </c>
      <c r="M264" s="233"/>
      <c r="N264" s="233"/>
      <c r="O264" s="227"/>
      <c r="P264" s="233"/>
      <c r="Q264" s="233">
        <f>SUM(Q265:Q267)</f>
        <v>284188</v>
      </c>
      <c r="R264" s="233"/>
      <c r="S264" s="233"/>
      <c r="T264" s="227"/>
      <c r="U264" s="233"/>
      <c r="V264" s="233">
        <f>SUM(V265:V267)</f>
        <v>0</v>
      </c>
      <c r="W264" s="233"/>
      <c r="X264" s="233"/>
      <c r="Y264" s="227"/>
      <c r="Z264" s="233"/>
      <c r="AA264" s="233">
        <f>SUM(AA265:AA267)</f>
        <v>0</v>
      </c>
      <c r="AB264" s="233"/>
      <c r="AC264" s="233"/>
      <c r="AD264" s="227"/>
      <c r="AE264" s="233"/>
      <c r="AF264" s="233">
        <f>SUM(AF265:AF267)</f>
        <v>0</v>
      </c>
      <c r="AG264" s="233"/>
      <c r="AH264" s="233"/>
      <c r="AI264" s="227"/>
      <c r="AJ264" s="233"/>
      <c r="AK264" s="233">
        <f>SUM(AK265:AK267)</f>
        <v>0</v>
      </c>
      <c r="AL264" s="233"/>
      <c r="AM264" s="233"/>
      <c r="AN264" s="227"/>
      <c r="AO264" s="233"/>
      <c r="AP264" s="233">
        <f>SUM(AP265:AP267)</f>
        <v>0</v>
      </c>
      <c r="AQ264" s="233"/>
      <c r="AR264" s="233"/>
      <c r="AS264" s="227"/>
      <c r="AT264" s="233"/>
      <c r="AU264" s="233">
        <f>SUM(AU265:AU267)</f>
        <v>0</v>
      </c>
      <c r="AV264" s="233"/>
      <c r="AW264" s="233"/>
      <c r="AX264" s="227"/>
      <c r="AY264" s="233"/>
      <c r="AZ264" s="233">
        <f>SUM(AZ265:AZ267)</f>
        <v>0</v>
      </c>
      <c r="BA264" s="233"/>
      <c r="BB264" s="233"/>
      <c r="BC264" s="227"/>
      <c r="BD264" s="233"/>
      <c r="BE264" s="233">
        <f>SUM(BE265:BE267)</f>
        <v>0</v>
      </c>
      <c r="BF264" s="233"/>
      <c r="BG264" s="233"/>
      <c r="BH264" s="227"/>
      <c r="BI264" s="233"/>
      <c r="BJ264" s="233">
        <f>SUM(BJ265:BJ267)</f>
        <v>0</v>
      </c>
      <c r="BK264" s="233"/>
      <c r="BL264" s="233"/>
      <c r="BM264" s="227"/>
      <c r="BN264" s="233"/>
      <c r="BO264" s="233">
        <f>SUM(BO265:BO267)</f>
        <v>0</v>
      </c>
      <c r="BP264" s="233"/>
      <c r="BQ264" s="233"/>
      <c r="BR264" s="227"/>
      <c r="BS264" s="233"/>
      <c r="BT264" s="233">
        <f>SUM(BT265:BT267)</f>
        <v>284188</v>
      </c>
      <c r="BU264" s="233"/>
      <c r="BV264" s="233"/>
      <c r="BW264" s="233"/>
      <c r="BX264" s="254"/>
      <c r="CA264" s="268"/>
      <c r="CB264" s="268"/>
    </row>
    <row r="265" spans="1:80" ht="12.75" customHeight="1" x14ac:dyDescent="0.2">
      <c r="A265" s="244"/>
      <c r="B265" s="244"/>
      <c r="D265" s="254" t="s">
        <v>310</v>
      </c>
      <c r="F265" s="269"/>
      <c r="G265" s="343">
        <v>0</v>
      </c>
      <c r="H265" s="344"/>
      <c r="I265" s="233"/>
      <c r="J265" s="227"/>
      <c r="K265" s="269"/>
      <c r="L265" s="343">
        <v>0</v>
      </c>
      <c r="M265" s="344"/>
      <c r="N265" s="233"/>
      <c r="O265" s="227"/>
      <c r="P265" s="269"/>
      <c r="Q265" s="343">
        <f>284188-22625</f>
        <v>261563</v>
      </c>
      <c r="R265" s="344"/>
      <c r="S265" s="233"/>
      <c r="T265" s="227"/>
      <c r="U265" s="269"/>
      <c r="V265" s="343">
        <v>0</v>
      </c>
      <c r="W265" s="344"/>
      <c r="X265" s="233"/>
      <c r="Y265" s="227"/>
      <c r="Z265" s="269"/>
      <c r="AA265" s="343">
        <v>0</v>
      </c>
      <c r="AB265" s="344"/>
      <c r="AC265" s="233"/>
      <c r="AD265" s="227"/>
      <c r="AE265" s="269"/>
      <c r="AF265" s="343">
        <v>0</v>
      </c>
      <c r="AG265" s="344"/>
      <c r="AH265" s="233"/>
      <c r="AI265" s="227"/>
      <c r="AJ265" s="269"/>
      <c r="AK265" s="343">
        <v>0</v>
      </c>
      <c r="AL265" s="344"/>
      <c r="AM265" s="233"/>
      <c r="AN265" s="227"/>
      <c r="AO265" s="269"/>
      <c r="AP265" s="343">
        <v>0</v>
      </c>
      <c r="AQ265" s="344"/>
      <c r="AR265" s="233"/>
      <c r="AS265" s="227"/>
      <c r="AT265" s="345"/>
      <c r="AU265" s="343">
        <v>0</v>
      </c>
      <c r="AV265" s="344"/>
      <c r="AW265" s="233"/>
      <c r="AX265" s="227"/>
      <c r="AY265" s="345"/>
      <c r="AZ265" s="343">
        <v>0</v>
      </c>
      <c r="BA265" s="344"/>
      <c r="BB265" s="233"/>
      <c r="BC265" s="227"/>
      <c r="BD265" s="345"/>
      <c r="BE265" s="343">
        <v>0</v>
      </c>
      <c r="BF265" s="344"/>
      <c r="BG265" s="233"/>
      <c r="BH265" s="227"/>
      <c r="BI265" s="345"/>
      <c r="BJ265" s="343">
        <v>0</v>
      </c>
      <c r="BK265" s="344"/>
      <c r="BL265" s="233"/>
      <c r="BM265" s="227"/>
      <c r="BN265" s="345"/>
      <c r="BO265" s="343">
        <v>0</v>
      </c>
      <c r="BP265" s="344"/>
      <c r="BQ265" s="233"/>
      <c r="BR265" s="227"/>
      <c r="BS265" s="345"/>
      <c r="BT265" s="343">
        <f>SUM(L265:BO265)</f>
        <v>261563</v>
      </c>
      <c r="BU265" s="344"/>
      <c r="BV265" s="233"/>
      <c r="BW265" s="233"/>
      <c r="BX265" s="254"/>
      <c r="CA265" s="268"/>
      <c r="CB265" s="268"/>
    </row>
    <row r="266" spans="1:80" ht="12.75" customHeight="1" x14ac:dyDescent="0.2">
      <c r="A266" s="244"/>
      <c r="B266" s="244"/>
      <c r="D266" s="254" t="s">
        <v>312</v>
      </c>
      <c r="F266" s="261"/>
      <c r="G266" s="233">
        <v>0</v>
      </c>
      <c r="H266" s="347"/>
      <c r="I266" s="233"/>
      <c r="J266" s="227"/>
      <c r="K266" s="261"/>
      <c r="L266" s="233">
        <v>0</v>
      </c>
      <c r="M266" s="347"/>
      <c r="N266" s="233"/>
      <c r="O266" s="227"/>
      <c r="P266" s="261"/>
      <c r="Q266" s="233">
        <v>22625</v>
      </c>
      <c r="R266" s="347"/>
      <c r="S266" s="233"/>
      <c r="T266" s="227"/>
      <c r="U266" s="261"/>
      <c r="V266" s="233">
        <v>0</v>
      </c>
      <c r="W266" s="347"/>
      <c r="X266" s="233"/>
      <c r="Y266" s="227"/>
      <c r="Z266" s="261"/>
      <c r="AA266" s="233">
        <v>0</v>
      </c>
      <c r="AB266" s="347"/>
      <c r="AC266" s="233"/>
      <c r="AD266" s="227"/>
      <c r="AE266" s="261"/>
      <c r="AF266" s="233">
        <v>0</v>
      </c>
      <c r="AG266" s="347"/>
      <c r="AH266" s="233"/>
      <c r="AI266" s="227"/>
      <c r="AJ266" s="261"/>
      <c r="AK266" s="233">
        <v>0</v>
      </c>
      <c r="AL266" s="347"/>
      <c r="AM266" s="233"/>
      <c r="AN266" s="227"/>
      <c r="AO266" s="261"/>
      <c r="AP266" s="233">
        <v>0</v>
      </c>
      <c r="AQ266" s="347"/>
      <c r="AR266" s="233"/>
      <c r="AS266" s="227"/>
      <c r="AT266" s="227"/>
      <c r="AU266" s="233">
        <v>0</v>
      </c>
      <c r="AV266" s="347"/>
      <c r="AW266" s="233"/>
      <c r="AX266" s="227"/>
      <c r="AY266" s="227"/>
      <c r="AZ266" s="233">
        <v>0</v>
      </c>
      <c r="BA266" s="347"/>
      <c r="BB266" s="233"/>
      <c r="BC266" s="227"/>
      <c r="BD266" s="227"/>
      <c r="BE266" s="233">
        <v>0</v>
      </c>
      <c r="BF266" s="347"/>
      <c r="BG266" s="233"/>
      <c r="BH266" s="227"/>
      <c r="BI266" s="227"/>
      <c r="BJ266" s="233">
        <v>0</v>
      </c>
      <c r="BK266" s="347"/>
      <c r="BL266" s="233"/>
      <c r="BM266" s="227"/>
      <c r="BN266" s="227"/>
      <c r="BO266" s="233">
        <v>0</v>
      </c>
      <c r="BP266" s="347"/>
      <c r="BQ266" s="233"/>
      <c r="BR266" s="227"/>
      <c r="BS266" s="227"/>
      <c r="BT266" s="233">
        <f>SUM(L266:BO266)</f>
        <v>22625</v>
      </c>
      <c r="BU266" s="347"/>
      <c r="BV266" s="233"/>
      <c r="BW266" s="233"/>
      <c r="BX266" s="254"/>
      <c r="CA266" s="268"/>
      <c r="CB266" s="268"/>
    </row>
    <row r="267" spans="1:80" ht="12.75" customHeight="1" x14ac:dyDescent="0.2">
      <c r="A267" s="244"/>
      <c r="B267" s="244"/>
      <c r="D267" s="254" t="s">
        <v>313</v>
      </c>
      <c r="F267" s="284"/>
      <c r="G267" s="355">
        <v>0</v>
      </c>
      <c r="H267" s="356"/>
      <c r="I267" s="233"/>
      <c r="J267" s="227"/>
      <c r="K267" s="284"/>
      <c r="L267" s="355">
        <v>0</v>
      </c>
      <c r="M267" s="356"/>
      <c r="N267" s="233"/>
      <c r="O267" s="227"/>
      <c r="P267" s="284"/>
      <c r="Q267" s="355">
        <v>0</v>
      </c>
      <c r="R267" s="356"/>
      <c r="S267" s="233"/>
      <c r="T267" s="227"/>
      <c r="U267" s="284"/>
      <c r="V267" s="355">
        <v>0</v>
      </c>
      <c r="W267" s="356"/>
      <c r="X267" s="233"/>
      <c r="Y267" s="227"/>
      <c r="Z267" s="284"/>
      <c r="AA267" s="355">
        <v>0</v>
      </c>
      <c r="AB267" s="356"/>
      <c r="AC267" s="233"/>
      <c r="AD267" s="227"/>
      <c r="AE267" s="284"/>
      <c r="AF267" s="355">
        <v>0</v>
      </c>
      <c r="AG267" s="356"/>
      <c r="AH267" s="233"/>
      <c r="AI267" s="227"/>
      <c r="AJ267" s="284"/>
      <c r="AK267" s="355">
        <v>0</v>
      </c>
      <c r="AL267" s="356"/>
      <c r="AM267" s="233"/>
      <c r="AN267" s="227"/>
      <c r="AO267" s="284"/>
      <c r="AP267" s="355">
        <v>0</v>
      </c>
      <c r="AQ267" s="356"/>
      <c r="AR267" s="233"/>
      <c r="AS267" s="227"/>
      <c r="AT267" s="357"/>
      <c r="AU267" s="355">
        <v>0</v>
      </c>
      <c r="AV267" s="356"/>
      <c r="AW267" s="233"/>
      <c r="AX267" s="227"/>
      <c r="AY267" s="357"/>
      <c r="AZ267" s="355">
        <v>0</v>
      </c>
      <c r="BA267" s="356"/>
      <c r="BB267" s="233"/>
      <c r="BC267" s="227"/>
      <c r="BD267" s="357"/>
      <c r="BE267" s="355">
        <v>0</v>
      </c>
      <c r="BF267" s="356"/>
      <c r="BG267" s="233"/>
      <c r="BH267" s="227"/>
      <c r="BI267" s="357"/>
      <c r="BJ267" s="355">
        <v>0</v>
      </c>
      <c r="BK267" s="356"/>
      <c r="BL267" s="233"/>
      <c r="BM267" s="227"/>
      <c r="BN267" s="357"/>
      <c r="BO267" s="355">
        <v>0</v>
      </c>
      <c r="BP267" s="356"/>
      <c r="BQ267" s="233"/>
      <c r="BR267" s="227"/>
      <c r="BS267" s="357"/>
      <c r="BT267" s="355">
        <f>SUM(L267:BO267)</f>
        <v>0</v>
      </c>
      <c r="BU267" s="356"/>
      <c r="BV267" s="233"/>
      <c r="BW267" s="233"/>
      <c r="BX267" s="254"/>
      <c r="CA267" s="268"/>
      <c r="CB267" s="268"/>
    </row>
    <row r="268" spans="1:80" ht="12.75" customHeight="1" x14ac:dyDescent="0.2">
      <c r="A268" s="244"/>
      <c r="B268" s="244"/>
      <c r="D268" s="254"/>
      <c r="F268" s="244"/>
      <c r="G268" s="233"/>
      <c r="H268" s="233"/>
      <c r="I268" s="233"/>
      <c r="J268" s="227"/>
      <c r="K268" s="244"/>
      <c r="L268" s="233"/>
      <c r="M268" s="233"/>
      <c r="N268" s="233"/>
      <c r="O268" s="227"/>
      <c r="P268" s="244"/>
      <c r="Q268" s="233"/>
      <c r="R268" s="233"/>
      <c r="S268" s="233"/>
      <c r="T268" s="227"/>
      <c r="U268" s="244"/>
      <c r="V268" s="233"/>
      <c r="W268" s="233"/>
      <c r="X268" s="233"/>
      <c r="Y268" s="227"/>
      <c r="Z268" s="244"/>
      <c r="AA268" s="233"/>
      <c r="AB268" s="233"/>
      <c r="AC268" s="233"/>
      <c r="AD268" s="227"/>
      <c r="AE268" s="244"/>
      <c r="AF268" s="233"/>
      <c r="AG268" s="233"/>
      <c r="AH268" s="233"/>
      <c r="AI268" s="227"/>
      <c r="AJ268" s="244"/>
      <c r="AK268" s="233"/>
      <c r="AL268" s="233"/>
      <c r="AM268" s="233"/>
      <c r="AN268" s="227"/>
      <c r="AO268" s="244"/>
      <c r="AP268" s="233"/>
      <c r="AQ268" s="233"/>
      <c r="AR268" s="233"/>
      <c r="AS268" s="227"/>
      <c r="AT268" s="233"/>
      <c r="AU268" s="233"/>
      <c r="AV268" s="233"/>
      <c r="AW268" s="233"/>
      <c r="AX268" s="227"/>
      <c r="AY268" s="233"/>
      <c r="AZ268" s="233"/>
      <c r="BA268" s="233"/>
      <c r="BB268" s="233"/>
      <c r="BC268" s="227"/>
      <c r="BD268" s="233"/>
      <c r="BE268" s="233"/>
      <c r="BF268" s="233"/>
      <c r="BG268" s="233"/>
      <c r="BH268" s="227"/>
      <c r="BI268" s="233"/>
      <c r="BJ268" s="233"/>
      <c r="BK268" s="233"/>
      <c r="BL268" s="233"/>
      <c r="BM268" s="227"/>
      <c r="BN268" s="233"/>
      <c r="BO268" s="233"/>
      <c r="BP268" s="233"/>
      <c r="BQ268" s="233"/>
      <c r="BR268" s="227"/>
      <c r="BS268" s="233"/>
      <c r="BT268" s="233"/>
      <c r="BU268" s="233"/>
      <c r="BV268" s="233"/>
      <c r="BW268" s="233"/>
      <c r="BX268" s="254"/>
      <c r="CA268" s="268"/>
      <c r="CB268" s="268"/>
    </row>
    <row r="269" spans="1:80" ht="12.75" customHeight="1" x14ac:dyDescent="0.2">
      <c r="A269" s="244"/>
      <c r="B269" s="244"/>
      <c r="D269" s="254" t="s">
        <v>368</v>
      </c>
      <c r="E269" s="371"/>
      <c r="F269" s="244"/>
      <c r="G269" s="233">
        <f>SUM(G270:G272)</f>
        <v>0</v>
      </c>
      <c r="H269" s="233"/>
      <c r="I269" s="233"/>
      <c r="J269" s="227"/>
      <c r="K269" s="244"/>
      <c r="L269" s="233">
        <f>SUM(L270:L272)</f>
        <v>0</v>
      </c>
      <c r="M269" s="233"/>
      <c r="N269" s="233"/>
      <c r="O269" s="227"/>
      <c r="P269" s="244"/>
      <c r="Q269" s="233">
        <f>SUM(Q270:Q272)</f>
        <v>1026241</v>
      </c>
      <c r="R269" s="233"/>
      <c r="S269" s="233"/>
      <c r="T269" s="227"/>
      <c r="U269" s="244"/>
      <c r="V269" s="233">
        <f>SUM(V270:V272)</f>
        <v>0</v>
      </c>
      <c r="W269" s="233"/>
      <c r="X269" s="233"/>
      <c r="Y269" s="227"/>
      <c r="Z269" s="244"/>
      <c r="AA269" s="233">
        <f>SUM(AA270:AA272)</f>
        <v>0</v>
      </c>
      <c r="AB269" s="233"/>
      <c r="AC269" s="233"/>
      <c r="AD269" s="227"/>
      <c r="AE269" s="244"/>
      <c r="AF269" s="233">
        <f>SUM(AF270:AF272)</f>
        <v>0</v>
      </c>
      <c r="AG269" s="233"/>
      <c r="AH269" s="233"/>
      <c r="AI269" s="227"/>
      <c r="AJ269" s="244"/>
      <c r="AK269" s="233">
        <f>SUM(AK270:AK272)</f>
        <v>0</v>
      </c>
      <c r="AL269" s="233"/>
      <c r="AM269" s="233"/>
      <c r="AN269" s="227"/>
      <c r="AO269" s="244"/>
      <c r="AP269" s="233">
        <f>SUM(AP270:AP272)</f>
        <v>0</v>
      </c>
      <c r="AQ269" s="233"/>
      <c r="AR269" s="233"/>
      <c r="AS269" s="227"/>
      <c r="AT269" s="244"/>
      <c r="AU269" s="233">
        <f>SUM(AU270:AU272)</f>
        <v>0</v>
      </c>
      <c r="AV269" s="233"/>
      <c r="AW269" s="233"/>
      <c r="AX269" s="227"/>
      <c r="AY269" s="244"/>
      <c r="AZ269" s="233">
        <f>SUM(AZ270:AZ272)</f>
        <v>0</v>
      </c>
      <c r="BA269" s="233"/>
      <c r="BB269" s="233"/>
      <c r="BC269" s="227"/>
      <c r="BD269" s="244"/>
      <c r="BE269" s="233">
        <f>SUM(BE270:BE272)</f>
        <v>0</v>
      </c>
      <c r="BF269" s="233"/>
      <c r="BG269" s="233"/>
      <c r="BH269" s="227"/>
      <c r="BI269" s="244"/>
      <c r="BJ269" s="233">
        <f>SUM(BJ270:BJ272)</f>
        <v>0</v>
      </c>
      <c r="BK269" s="233"/>
      <c r="BL269" s="233"/>
      <c r="BM269" s="227"/>
      <c r="BN269" s="244"/>
      <c r="BO269" s="233">
        <f>SUM(BO270:BO272)</f>
        <v>0</v>
      </c>
      <c r="BP269" s="233"/>
      <c r="BQ269" s="233"/>
      <c r="BR269" s="227"/>
      <c r="BS269" s="244"/>
      <c r="BT269" s="233">
        <f>SUM(BT270:BT272)</f>
        <v>1026241</v>
      </c>
      <c r="BU269" s="233"/>
      <c r="BV269" s="233"/>
      <c r="BW269" s="233"/>
      <c r="BX269" s="254"/>
      <c r="CA269" s="268"/>
      <c r="CB269" s="268"/>
    </row>
    <row r="270" spans="1:80" ht="12.75" customHeight="1" x14ac:dyDescent="0.2">
      <c r="A270" s="244"/>
      <c r="B270" s="244"/>
      <c r="D270" s="254" t="s">
        <v>310</v>
      </c>
      <c r="E270" s="371"/>
      <c r="F270" s="269"/>
      <c r="G270" s="343">
        <v>0</v>
      </c>
      <c r="H270" s="344"/>
      <c r="I270" s="233"/>
      <c r="J270" s="227"/>
      <c r="K270" s="269"/>
      <c r="L270" s="343">
        <v>0</v>
      </c>
      <c r="M270" s="344"/>
      <c r="N270" s="233"/>
      <c r="O270" s="227"/>
      <c r="P270" s="269"/>
      <c r="Q270" s="343">
        <f>1026241-88080</f>
        <v>938161</v>
      </c>
      <c r="R270" s="344"/>
      <c r="S270" s="233"/>
      <c r="T270" s="227"/>
      <c r="U270" s="269"/>
      <c r="V270" s="343">
        <v>0</v>
      </c>
      <c r="W270" s="344"/>
      <c r="X270" s="233"/>
      <c r="Y270" s="227"/>
      <c r="Z270" s="269"/>
      <c r="AA270" s="343">
        <v>0</v>
      </c>
      <c r="AB270" s="344"/>
      <c r="AC270" s="233"/>
      <c r="AD270" s="227"/>
      <c r="AE270" s="269"/>
      <c r="AF270" s="343">
        <v>0</v>
      </c>
      <c r="AG270" s="344"/>
      <c r="AH270" s="233"/>
      <c r="AI270" s="227"/>
      <c r="AJ270" s="269"/>
      <c r="AK270" s="343">
        <v>0</v>
      </c>
      <c r="AL270" s="344"/>
      <c r="AM270" s="233"/>
      <c r="AN270" s="227"/>
      <c r="AO270" s="269"/>
      <c r="AP270" s="343">
        <v>0</v>
      </c>
      <c r="AQ270" s="344"/>
      <c r="AR270" s="233"/>
      <c r="AS270" s="227"/>
      <c r="AT270" s="269"/>
      <c r="AU270" s="343">
        <v>0</v>
      </c>
      <c r="AV270" s="344"/>
      <c r="AW270" s="233"/>
      <c r="AX270" s="227"/>
      <c r="AY270" s="269"/>
      <c r="AZ270" s="343">
        <v>0</v>
      </c>
      <c r="BA270" s="344"/>
      <c r="BB270" s="233"/>
      <c r="BC270" s="227"/>
      <c r="BD270" s="269"/>
      <c r="BE270" s="343">
        <v>0</v>
      </c>
      <c r="BF270" s="344"/>
      <c r="BG270" s="233"/>
      <c r="BH270" s="227"/>
      <c r="BI270" s="269"/>
      <c r="BJ270" s="343">
        <v>0</v>
      </c>
      <c r="BK270" s="344"/>
      <c r="BL270" s="233"/>
      <c r="BM270" s="227"/>
      <c r="BN270" s="269"/>
      <c r="BO270" s="343">
        <v>0</v>
      </c>
      <c r="BP270" s="344"/>
      <c r="BQ270" s="233"/>
      <c r="BR270" s="227"/>
      <c r="BS270" s="269"/>
      <c r="BT270" s="343">
        <f>SUM(L270:BO270)</f>
        <v>938161</v>
      </c>
      <c r="BU270" s="344"/>
      <c r="BV270" s="233"/>
      <c r="BW270" s="233"/>
      <c r="BX270" s="254"/>
      <c r="CA270" s="268"/>
      <c r="CB270" s="268"/>
    </row>
    <row r="271" spans="1:80" ht="12.75" customHeight="1" x14ac:dyDescent="0.2">
      <c r="A271" s="244"/>
      <c r="B271" s="244"/>
      <c r="D271" s="254" t="s">
        <v>312</v>
      </c>
      <c r="E271" s="371"/>
      <c r="F271" s="261"/>
      <c r="G271" s="233">
        <v>0</v>
      </c>
      <c r="H271" s="347"/>
      <c r="I271" s="233"/>
      <c r="J271" s="227"/>
      <c r="K271" s="261"/>
      <c r="L271" s="233">
        <v>0</v>
      </c>
      <c r="M271" s="347"/>
      <c r="N271" s="233"/>
      <c r="O271" s="227"/>
      <c r="P271" s="261"/>
      <c r="Q271" s="233">
        <v>88080</v>
      </c>
      <c r="R271" s="347"/>
      <c r="S271" s="233"/>
      <c r="T271" s="227"/>
      <c r="U271" s="261"/>
      <c r="V271" s="233">
        <v>0</v>
      </c>
      <c r="W271" s="347"/>
      <c r="X271" s="233"/>
      <c r="Y271" s="227"/>
      <c r="Z271" s="261"/>
      <c r="AA271" s="233">
        <v>0</v>
      </c>
      <c r="AB271" s="347"/>
      <c r="AC271" s="233"/>
      <c r="AD271" s="227"/>
      <c r="AE271" s="261"/>
      <c r="AF271" s="233">
        <v>0</v>
      </c>
      <c r="AG271" s="347"/>
      <c r="AH271" s="233"/>
      <c r="AI271" s="227"/>
      <c r="AJ271" s="261"/>
      <c r="AK271" s="233">
        <v>0</v>
      </c>
      <c r="AL271" s="347"/>
      <c r="AM271" s="233"/>
      <c r="AN271" s="227"/>
      <c r="AO271" s="261"/>
      <c r="AP271" s="233">
        <v>0</v>
      </c>
      <c r="AQ271" s="347"/>
      <c r="AR271" s="233"/>
      <c r="AS271" s="227"/>
      <c r="AT271" s="261"/>
      <c r="AU271" s="233">
        <v>0</v>
      </c>
      <c r="AV271" s="347"/>
      <c r="AW271" s="233"/>
      <c r="AX271" s="227"/>
      <c r="AY271" s="261"/>
      <c r="AZ271" s="233">
        <v>0</v>
      </c>
      <c r="BA271" s="347"/>
      <c r="BB271" s="233"/>
      <c r="BC271" s="227"/>
      <c r="BD271" s="261"/>
      <c r="BE271" s="233">
        <v>0</v>
      </c>
      <c r="BF271" s="347"/>
      <c r="BG271" s="233"/>
      <c r="BH271" s="227"/>
      <c r="BI271" s="261"/>
      <c r="BJ271" s="233">
        <v>0</v>
      </c>
      <c r="BK271" s="347"/>
      <c r="BL271" s="233"/>
      <c r="BM271" s="227"/>
      <c r="BN271" s="261"/>
      <c r="BO271" s="233">
        <v>0</v>
      </c>
      <c r="BP271" s="347"/>
      <c r="BQ271" s="233"/>
      <c r="BR271" s="227"/>
      <c r="BS271" s="261"/>
      <c r="BT271" s="233">
        <f>SUM(L271:BO271)</f>
        <v>88080</v>
      </c>
      <c r="BU271" s="347"/>
      <c r="BV271" s="233"/>
      <c r="BW271" s="233"/>
      <c r="BX271" s="254"/>
      <c r="CA271" s="268"/>
      <c r="CB271" s="268"/>
    </row>
    <row r="272" spans="1:80" ht="12.75" customHeight="1" x14ac:dyDescent="0.2">
      <c r="A272" s="244"/>
      <c r="B272" s="244"/>
      <c r="D272" s="254" t="s">
        <v>313</v>
      </c>
      <c r="E272" s="371"/>
      <c r="F272" s="284"/>
      <c r="G272" s="355">
        <v>0</v>
      </c>
      <c r="H272" s="356"/>
      <c r="I272" s="233"/>
      <c r="J272" s="227"/>
      <c r="K272" s="284"/>
      <c r="L272" s="355">
        <v>0</v>
      </c>
      <c r="M272" s="356"/>
      <c r="N272" s="233"/>
      <c r="O272" s="227"/>
      <c r="P272" s="284"/>
      <c r="Q272" s="355">
        <v>0</v>
      </c>
      <c r="R272" s="356"/>
      <c r="S272" s="233"/>
      <c r="T272" s="227"/>
      <c r="U272" s="284"/>
      <c r="V272" s="355">
        <v>0</v>
      </c>
      <c r="W272" s="356"/>
      <c r="X272" s="233"/>
      <c r="Y272" s="227"/>
      <c r="Z272" s="284"/>
      <c r="AA272" s="355">
        <v>0</v>
      </c>
      <c r="AB272" s="356"/>
      <c r="AC272" s="233"/>
      <c r="AD272" s="227"/>
      <c r="AE272" s="284"/>
      <c r="AF272" s="355">
        <v>0</v>
      </c>
      <c r="AG272" s="356"/>
      <c r="AH272" s="233"/>
      <c r="AI272" s="227"/>
      <c r="AJ272" s="284"/>
      <c r="AK272" s="355">
        <v>0</v>
      </c>
      <c r="AL272" s="356"/>
      <c r="AM272" s="233"/>
      <c r="AN272" s="227"/>
      <c r="AO272" s="284"/>
      <c r="AP272" s="355">
        <v>0</v>
      </c>
      <c r="AQ272" s="356"/>
      <c r="AR272" s="233"/>
      <c r="AS272" s="227"/>
      <c r="AT272" s="284"/>
      <c r="AU272" s="355">
        <v>0</v>
      </c>
      <c r="AV272" s="356"/>
      <c r="AW272" s="233"/>
      <c r="AX272" s="227"/>
      <c r="AY272" s="284"/>
      <c r="AZ272" s="355">
        <v>0</v>
      </c>
      <c r="BA272" s="356"/>
      <c r="BB272" s="233"/>
      <c r="BC272" s="227"/>
      <c r="BD272" s="284"/>
      <c r="BE272" s="355">
        <v>0</v>
      </c>
      <c r="BF272" s="356"/>
      <c r="BG272" s="233"/>
      <c r="BH272" s="227"/>
      <c r="BI272" s="284"/>
      <c r="BJ272" s="355">
        <v>0</v>
      </c>
      <c r="BK272" s="356"/>
      <c r="BL272" s="233"/>
      <c r="BM272" s="227"/>
      <c r="BN272" s="284"/>
      <c r="BO272" s="355">
        <v>0</v>
      </c>
      <c r="BP272" s="356"/>
      <c r="BQ272" s="233"/>
      <c r="BR272" s="227"/>
      <c r="BS272" s="284"/>
      <c r="BT272" s="355">
        <f>SUM(L272:BO272)</f>
        <v>0</v>
      </c>
      <c r="BU272" s="356"/>
      <c r="BV272" s="233"/>
      <c r="BW272" s="233"/>
      <c r="BX272" s="254"/>
      <c r="CA272" s="268"/>
      <c r="CB272" s="268"/>
    </row>
    <row r="273" spans="1:80" ht="12.75" customHeight="1" x14ac:dyDescent="0.2">
      <c r="A273" s="244"/>
      <c r="B273" s="244"/>
      <c r="D273" s="254"/>
      <c r="E273" s="371"/>
      <c r="F273" s="244"/>
      <c r="G273" s="233"/>
      <c r="H273" s="233"/>
      <c r="I273" s="233"/>
      <c r="J273" s="227"/>
      <c r="K273" s="244"/>
      <c r="L273" s="233"/>
      <c r="M273" s="233"/>
      <c r="N273" s="233"/>
      <c r="O273" s="227"/>
      <c r="P273" s="244"/>
      <c r="Q273" s="233"/>
      <c r="R273" s="233"/>
      <c r="S273" s="233"/>
      <c r="T273" s="227"/>
      <c r="U273" s="244"/>
      <c r="V273" s="233"/>
      <c r="W273" s="233"/>
      <c r="X273" s="233"/>
      <c r="Y273" s="227"/>
      <c r="Z273" s="244"/>
      <c r="AA273" s="233"/>
      <c r="AB273" s="233"/>
      <c r="AC273" s="233"/>
      <c r="AD273" s="227"/>
      <c r="AE273" s="244"/>
      <c r="AF273" s="233"/>
      <c r="AG273" s="233"/>
      <c r="AH273" s="233"/>
      <c r="AI273" s="227"/>
      <c r="AJ273" s="244"/>
      <c r="AK273" s="233"/>
      <c r="AL273" s="233"/>
      <c r="AM273" s="233"/>
      <c r="AN273" s="227"/>
      <c r="AO273" s="244"/>
      <c r="AP273" s="233"/>
      <c r="AQ273" s="233"/>
      <c r="AR273" s="233"/>
      <c r="AS273" s="227"/>
      <c r="AT273" s="244"/>
      <c r="AU273" s="233"/>
      <c r="AV273" s="233"/>
      <c r="AW273" s="233"/>
      <c r="AX273" s="227"/>
      <c r="AY273" s="244"/>
      <c r="AZ273" s="233"/>
      <c r="BA273" s="233"/>
      <c r="BB273" s="233"/>
      <c r="BC273" s="227"/>
      <c r="BD273" s="244"/>
      <c r="BE273" s="233"/>
      <c r="BF273" s="233"/>
      <c r="BG273" s="233"/>
      <c r="BH273" s="227"/>
      <c r="BI273" s="244"/>
      <c r="BJ273" s="233"/>
      <c r="BK273" s="233"/>
      <c r="BL273" s="233"/>
      <c r="BM273" s="227"/>
      <c r="BN273" s="244"/>
      <c r="BO273" s="233"/>
      <c r="BP273" s="233"/>
      <c r="BQ273" s="233"/>
      <c r="BR273" s="227"/>
      <c r="BS273" s="244"/>
      <c r="BT273" s="233"/>
      <c r="BU273" s="233"/>
      <c r="BV273" s="233"/>
      <c r="BW273" s="233"/>
      <c r="BX273" s="254"/>
      <c r="CA273" s="268"/>
      <c r="CB273" s="268"/>
    </row>
    <row r="274" spans="1:80" ht="12.75" customHeight="1" x14ac:dyDescent="0.2">
      <c r="A274" s="244"/>
      <c r="B274" s="244"/>
      <c r="D274" s="254" t="s">
        <v>369</v>
      </c>
      <c r="F274" s="244"/>
      <c r="G274" s="233">
        <f>SUM(G275:G277)</f>
        <v>0</v>
      </c>
      <c r="H274" s="233"/>
      <c r="I274" s="233"/>
      <c r="J274" s="227"/>
      <c r="K274" s="233"/>
      <c r="L274" s="233">
        <f>SUM(L275:L277)</f>
        <v>0</v>
      </c>
      <c r="M274" s="233"/>
      <c r="N274" s="233"/>
      <c r="O274" s="227"/>
      <c r="P274" s="233"/>
      <c r="Q274" s="233">
        <f>SUM(Q275:Q277)</f>
        <v>2981219</v>
      </c>
      <c r="R274" s="233"/>
      <c r="S274" s="233"/>
      <c r="T274" s="227"/>
      <c r="U274" s="233"/>
      <c r="V274" s="233">
        <f>SUM(V275:V277)</f>
        <v>0</v>
      </c>
      <c r="W274" s="233"/>
      <c r="X274" s="233"/>
      <c r="Y274" s="227"/>
      <c r="Z274" s="233"/>
      <c r="AA274" s="233">
        <f>SUM(AA275:AA277)</f>
        <v>0</v>
      </c>
      <c r="AB274" s="233"/>
      <c r="AC274" s="233"/>
      <c r="AD274" s="227"/>
      <c r="AE274" s="233"/>
      <c r="AF274" s="233">
        <f>SUM(AF275:AF277)</f>
        <v>0</v>
      </c>
      <c r="AG274" s="233"/>
      <c r="AH274" s="233"/>
      <c r="AI274" s="227"/>
      <c r="AJ274" s="233"/>
      <c r="AK274" s="233">
        <f>SUM(AK275:AK277)</f>
        <v>0</v>
      </c>
      <c r="AL274" s="233"/>
      <c r="AM274" s="233"/>
      <c r="AN274" s="227"/>
      <c r="AO274" s="233"/>
      <c r="AP274" s="233">
        <f>SUM(AP275:AP277)</f>
        <v>0</v>
      </c>
      <c r="AQ274" s="233"/>
      <c r="AR274" s="233"/>
      <c r="AS274" s="227"/>
      <c r="AT274" s="233"/>
      <c r="AU274" s="233">
        <f>SUM(AU275:AU277)</f>
        <v>0</v>
      </c>
      <c r="AV274" s="233"/>
      <c r="AW274" s="233"/>
      <c r="AX274" s="227"/>
      <c r="AY274" s="233"/>
      <c r="AZ274" s="233">
        <f>SUM(AZ275:AZ277)</f>
        <v>0</v>
      </c>
      <c r="BA274" s="233"/>
      <c r="BB274" s="233"/>
      <c r="BC274" s="227"/>
      <c r="BD274" s="233"/>
      <c r="BE274" s="233">
        <f>SUM(BE275:BE277)</f>
        <v>0</v>
      </c>
      <c r="BF274" s="233"/>
      <c r="BG274" s="233"/>
      <c r="BH274" s="227"/>
      <c r="BI274" s="233"/>
      <c r="BJ274" s="233">
        <f>SUM(BJ275:BJ277)</f>
        <v>0</v>
      </c>
      <c r="BK274" s="233"/>
      <c r="BL274" s="233"/>
      <c r="BM274" s="227"/>
      <c r="BN274" s="233"/>
      <c r="BO274" s="233">
        <f>SUM(BO275:BO277)</f>
        <v>0</v>
      </c>
      <c r="BP274" s="233"/>
      <c r="BQ274" s="233"/>
      <c r="BR274" s="227"/>
      <c r="BS274" s="233"/>
      <c r="BT274" s="233">
        <f>SUM(BT275:BT277)</f>
        <v>2981219</v>
      </c>
      <c r="BU274" s="233"/>
      <c r="BV274" s="233"/>
      <c r="BW274" s="233"/>
      <c r="BX274" s="254"/>
      <c r="CA274" s="268"/>
      <c r="CB274" s="268"/>
    </row>
    <row r="275" spans="1:80" ht="12.75" customHeight="1" x14ac:dyDescent="0.2">
      <c r="A275" s="244"/>
      <c r="B275" s="244"/>
      <c r="D275" s="254" t="s">
        <v>310</v>
      </c>
      <c r="F275" s="269"/>
      <c r="G275" s="343">
        <v>0</v>
      </c>
      <c r="H275" s="344"/>
      <c r="I275" s="233"/>
      <c r="J275" s="227"/>
      <c r="K275" s="345"/>
      <c r="L275" s="343">
        <v>0</v>
      </c>
      <c r="M275" s="344"/>
      <c r="N275" s="233"/>
      <c r="O275" s="227"/>
      <c r="P275" s="345"/>
      <c r="Q275" s="343">
        <f>2981219-823739</f>
        <v>2157480</v>
      </c>
      <c r="R275" s="344"/>
      <c r="S275" s="233"/>
      <c r="T275" s="227"/>
      <c r="U275" s="345"/>
      <c r="V275" s="343">
        <v>0</v>
      </c>
      <c r="W275" s="344"/>
      <c r="X275" s="233"/>
      <c r="Y275" s="227"/>
      <c r="Z275" s="345"/>
      <c r="AA275" s="343">
        <v>0</v>
      </c>
      <c r="AB275" s="344"/>
      <c r="AC275" s="233"/>
      <c r="AD275" s="227"/>
      <c r="AE275" s="345"/>
      <c r="AF275" s="343">
        <v>0</v>
      </c>
      <c r="AG275" s="344"/>
      <c r="AH275" s="233"/>
      <c r="AI275" s="227"/>
      <c r="AJ275" s="345"/>
      <c r="AK275" s="343">
        <v>0</v>
      </c>
      <c r="AL275" s="344"/>
      <c r="AM275" s="233"/>
      <c r="AN275" s="227"/>
      <c r="AO275" s="345"/>
      <c r="AP275" s="343">
        <v>0</v>
      </c>
      <c r="AQ275" s="344"/>
      <c r="AR275" s="233"/>
      <c r="AS275" s="227"/>
      <c r="AT275" s="345"/>
      <c r="AU275" s="343">
        <v>0</v>
      </c>
      <c r="AV275" s="344"/>
      <c r="AW275" s="233"/>
      <c r="AX275" s="227"/>
      <c r="AY275" s="345"/>
      <c r="AZ275" s="343">
        <v>0</v>
      </c>
      <c r="BA275" s="344"/>
      <c r="BB275" s="233"/>
      <c r="BC275" s="227"/>
      <c r="BD275" s="345"/>
      <c r="BE275" s="343">
        <v>0</v>
      </c>
      <c r="BF275" s="344"/>
      <c r="BG275" s="233"/>
      <c r="BH275" s="227"/>
      <c r="BI275" s="345"/>
      <c r="BJ275" s="343">
        <v>0</v>
      </c>
      <c r="BK275" s="344"/>
      <c r="BL275" s="233"/>
      <c r="BM275" s="227"/>
      <c r="BN275" s="345"/>
      <c r="BO275" s="343">
        <v>0</v>
      </c>
      <c r="BP275" s="344"/>
      <c r="BQ275" s="233"/>
      <c r="BR275" s="227"/>
      <c r="BS275" s="345"/>
      <c r="BT275" s="343">
        <f>SUM(L275:BO275)</f>
        <v>2157480</v>
      </c>
      <c r="BU275" s="344"/>
      <c r="BV275" s="233"/>
      <c r="BW275" s="233"/>
      <c r="BX275" s="254"/>
      <c r="CA275" s="268"/>
      <c r="CB275" s="268"/>
    </row>
    <row r="276" spans="1:80" ht="12.75" customHeight="1" x14ac:dyDescent="0.2">
      <c r="A276" s="244"/>
      <c r="B276" s="244"/>
      <c r="D276" s="254" t="s">
        <v>312</v>
      </c>
      <c r="F276" s="261"/>
      <c r="G276" s="233">
        <v>0</v>
      </c>
      <c r="H276" s="347"/>
      <c r="I276" s="233"/>
      <c r="J276" s="227"/>
      <c r="K276" s="227"/>
      <c r="L276" s="233">
        <v>0</v>
      </c>
      <c r="M276" s="347"/>
      <c r="N276" s="233"/>
      <c r="O276" s="227"/>
      <c r="P276" s="227"/>
      <c r="Q276" s="233">
        <v>823739</v>
      </c>
      <c r="R276" s="347"/>
      <c r="S276" s="233"/>
      <c r="T276" s="227"/>
      <c r="U276" s="227"/>
      <c r="V276" s="233">
        <v>0</v>
      </c>
      <c r="W276" s="347"/>
      <c r="X276" s="233"/>
      <c r="Y276" s="227"/>
      <c r="Z276" s="227"/>
      <c r="AA276" s="233">
        <v>0</v>
      </c>
      <c r="AB276" s="347"/>
      <c r="AC276" s="233"/>
      <c r="AD276" s="227"/>
      <c r="AE276" s="227"/>
      <c r="AF276" s="233">
        <v>0</v>
      </c>
      <c r="AG276" s="347"/>
      <c r="AH276" s="233"/>
      <c r="AI276" s="227"/>
      <c r="AJ276" s="227"/>
      <c r="AK276" s="233">
        <v>0</v>
      </c>
      <c r="AL276" s="347"/>
      <c r="AM276" s="233"/>
      <c r="AN276" s="227"/>
      <c r="AO276" s="227"/>
      <c r="AP276" s="233">
        <v>0</v>
      </c>
      <c r="AQ276" s="347"/>
      <c r="AR276" s="233"/>
      <c r="AS276" s="227"/>
      <c r="AT276" s="227"/>
      <c r="AU276" s="233">
        <v>0</v>
      </c>
      <c r="AV276" s="347"/>
      <c r="AW276" s="233"/>
      <c r="AX276" s="227"/>
      <c r="AY276" s="227"/>
      <c r="AZ276" s="233">
        <v>0</v>
      </c>
      <c r="BA276" s="347"/>
      <c r="BB276" s="233"/>
      <c r="BC276" s="227"/>
      <c r="BD276" s="227"/>
      <c r="BE276" s="233">
        <v>0</v>
      </c>
      <c r="BF276" s="347"/>
      <c r="BG276" s="233"/>
      <c r="BH276" s="227"/>
      <c r="BI276" s="227"/>
      <c r="BJ276" s="233">
        <v>0</v>
      </c>
      <c r="BK276" s="347"/>
      <c r="BL276" s="233"/>
      <c r="BM276" s="227"/>
      <c r="BN276" s="227"/>
      <c r="BO276" s="233">
        <v>0</v>
      </c>
      <c r="BP276" s="347"/>
      <c r="BQ276" s="233"/>
      <c r="BR276" s="227"/>
      <c r="BS276" s="227"/>
      <c r="BT276" s="233">
        <f>SUM(L276:BO276)</f>
        <v>823739</v>
      </c>
      <c r="BU276" s="347"/>
      <c r="BV276" s="233"/>
      <c r="BW276" s="233"/>
      <c r="BX276" s="254"/>
      <c r="CA276" s="268"/>
      <c r="CB276" s="268"/>
    </row>
    <row r="277" spans="1:80" ht="12.75" customHeight="1" x14ac:dyDescent="0.2">
      <c r="A277" s="244"/>
      <c r="B277" s="244"/>
      <c r="D277" s="254" t="s">
        <v>313</v>
      </c>
      <c r="F277" s="284"/>
      <c r="G277" s="355">
        <v>0</v>
      </c>
      <c r="H277" s="356"/>
      <c r="I277" s="233"/>
      <c r="J277" s="227"/>
      <c r="K277" s="357"/>
      <c r="L277" s="355">
        <v>0</v>
      </c>
      <c r="M277" s="356"/>
      <c r="N277" s="233"/>
      <c r="O277" s="227"/>
      <c r="P277" s="357"/>
      <c r="Q277" s="355">
        <v>0</v>
      </c>
      <c r="R277" s="356"/>
      <c r="S277" s="233"/>
      <c r="T277" s="227"/>
      <c r="U277" s="357"/>
      <c r="V277" s="355">
        <v>0</v>
      </c>
      <c r="W277" s="356"/>
      <c r="X277" s="233"/>
      <c r="Y277" s="227"/>
      <c r="Z277" s="357"/>
      <c r="AA277" s="355">
        <v>0</v>
      </c>
      <c r="AB277" s="356"/>
      <c r="AC277" s="233"/>
      <c r="AD277" s="227"/>
      <c r="AE277" s="357"/>
      <c r="AF277" s="355">
        <v>0</v>
      </c>
      <c r="AG277" s="356"/>
      <c r="AH277" s="233"/>
      <c r="AI277" s="227"/>
      <c r="AJ277" s="357"/>
      <c r="AK277" s="355">
        <v>0</v>
      </c>
      <c r="AL277" s="356"/>
      <c r="AM277" s="233"/>
      <c r="AN277" s="227"/>
      <c r="AO277" s="357"/>
      <c r="AP277" s="355">
        <v>0</v>
      </c>
      <c r="AQ277" s="356"/>
      <c r="AR277" s="233"/>
      <c r="AS277" s="227"/>
      <c r="AT277" s="357"/>
      <c r="AU277" s="355">
        <v>0</v>
      </c>
      <c r="AV277" s="356"/>
      <c r="AW277" s="233"/>
      <c r="AX277" s="227"/>
      <c r="AY277" s="357"/>
      <c r="AZ277" s="355">
        <v>0</v>
      </c>
      <c r="BA277" s="356"/>
      <c r="BB277" s="233"/>
      <c r="BC277" s="227"/>
      <c r="BD277" s="357"/>
      <c r="BE277" s="355">
        <v>0</v>
      </c>
      <c r="BF277" s="356"/>
      <c r="BG277" s="233"/>
      <c r="BH277" s="227"/>
      <c r="BI277" s="357"/>
      <c r="BJ277" s="355">
        <v>0</v>
      </c>
      <c r="BK277" s="356"/>
      <c r="BL277" s="233"/>
      <c r="BM277" s="227"/>
      <c r="BN277" s="357"/>
      <c r="BO277" s="355">
        <v>0</v>
      </c>
      <c r="BP277" s="356"/>
      <c r="BQ277" s="233"/>
      <c r="BR277" s="227"/>
      <c r="BS277" s="357"/>
      <c r="BT277" s="355">
        <f>SUM(L277:BO277)</f>
        <v>0</v>
      </c>
      <c r="BU277" s="356"/>
      <c r="BV277" s="233"/>
      <c r="BW277" s="233"/>
      <c r="BX277" s="254"/>
      <c r="CA277" s="268"/>
      <c r="CB277" s="268"/>
    </row>
    <row r="278" spans="1:80" x14ac:dyDescent="0.2">
      <c r="A278" s="244"/>
      <c r="B278" s="244"/>
      <c r="D278" s="254"/>
      <c r="E278" s="371"/>
      <c r="F278" s="244"/>
      <c r="G278" s="233"/>
      <c r="H278" s="233"/>
      <c r="I278" s="233"/>
      <c r="J278" s="227"/>
      <c r="K278" s="244"/>
      <c r="L278" s="233"/>
      <c r="M278" s="233"/>
      <c r="N278" s="233"/>
      <c r="O278" s="227"/>
      <c r="P278" s="244"/>
      <c r="Q278" s="233"/>
      <c r="R278" s="233"/>
      <c r="S278" s="233"/>
      <c r="T278" s="227"/>
      <c r="U278" s="244"/>
      <c r="V278" s="233"/>
      <c r="W278" s="233"/>
      <c r="X278" s="233"/>
      <c r="Y278" s="227"/>
      <c r="Z278" s="244"/>
      <c r="AA278" s="233"/>
      <c r="AB278" s="233"/>
      <c r="AC278" s="233"/>
      <c r="AD278" s="227"/>
      <c r="AE278" s="244"/>
      <c r="AF278" s="233"/>
      <c r="AG278" s="233"/>
      <c r="AH278" s="233"/>
      <c r="AI278" s="227"/>
      <c r="AJ278" s="244"/>
      <c r="AK278" s="233"/>
      <c r="AL278" s="233"/>
      <c r="AM278" s="233"/>
      <c r="AN278" s="227"/>
      <c r="AO278" s="244"/>
      <c r="AP278" s="233"/>
      <c r="AQ278" s="233"/>
      <c r="AR278" s="233"/>
      <c r="AS278" s="227"/>
      <c r="AT278" s="244"/>
      <c r="AU278" s="233"/>
      <c r="AV278" s="233"/>
      <c r="AW278" s="233"/>
      <c r="AX278" s="227"/>
      <c r="AY278" s="244"/>
      <c r="AZ278" s="233"/>
      <c r="BA278" s="233"/>
      <c r="BB278" s="233"/>
      <c r="BC278" s="227"/>
      <c r="BD278" s="244"/>
      <c r="BE278" s="233"/>
      <c r="BF278" s="233"/>
      <c r="BG278" s="233"/>
      <c r="BH278" s="227"/>
      <c r="BI278" s="244"/>
      <c r="BJ278" s="233"/>
      <c r="BK278" s="233"/>
      <c r="BL278" s="233"/>
      <c r="BM278" s="227"/>
      <c r="BN278" s="244"/>
      <c r="BO278" s="233"/>
      <c r="BP278" s="233"/>
      <c r="BQ278" s="233"/>
      <c r="BR278" s="227"/>
      <c r="BS278" s="244"/>
      <c r="BT278" s="233"/>
      <c r="BU278" s="233"/>
      <c r="BV278" s="233"/>
      <c r="BW278" s="233"/>
      <c r="BX278" s="254"/>
      <c r="CA278" s="268"/>
      <c r="CB278" s="268"/>
    </row>
    <row r="279" spans="1:80" s="268" customFormat="1" x14ac:dyDescent="0.2">
      <c r="A279" s="245"/>
      <c r="B279" s="245"/>
      <c r="D279" s="114" t="s">
        <v>303</v>
      </c>
      <c r="E279" s="376"/>
      <c r="F279" s="115"/>
      <c r="G279" s="340">
        <f>SUM(G280:G280)</f>
        <v>3633916</v>
      </c>
      <c r="H279" s="340"/>
      <c r="I279" s="340"/>
      <c r="J279" s="341"/>
      <c r="K279" s="340"/>
      <c r="L279" s="340">
        <f>SUM(L280:L280)</f>
        <v>3109689</v>
      </c>
      <c r="M279" s="340"/>
      <c r="N279" s="340"/>
      <c r="O279" s="341"/>
      <c r="P279" s="340"/>
      <c r="Q279" s="340">
        <f>SUM(Q280:Q280)</f>
        <v>0</v>
      </c>
      <c r="R279" s="340"/>
      <c r="S279" s="340"/>
      <c r="T279" s="341"/>
      <c r="U279" s="340"/>
      <c r="V279" s="340">
        <f>SUM(V280:V280)</f>
        <v>0</v>
      </c>
      <c r="W279" s="340"/>
      <c r="X279" s="340"/>
      <c r="Y279" s="341"/>
      <c r="Z279" s="340"/>
      <c r="AA279" s="340">
        <f>SUM(AA280:AA280)</f>
        <v>0</v>
      </c>
      <c r="AB279" s="340"/>
      <c r="AC279" s="340"/>
      <c r="AD279" s="341"/>
      <c r="AE279" s="340"/>
      <c r="AF279" s="340">
        <f>SUM(AF280:AF280)</f>
        <v>289217</v>
      </c>
      <c r="AG279" s="340"/>
      <c r="AH279" s="340"/>
      <c r="AI279" s="341"/>
      <c r="AJ279" s="340"/>
      <c r="AK279" s="340">
        <f>SUM(AK280:AK280)</f>
        <v>235010</v>
      </c>
      <c r="AL279" s="340"/>
      <c r="AM279" s="340"/>
      <c r="AN279" s="341"/>
      <c r="AO279" s="119"/>
      <c r="AP279" s="340">
        <f>SUM(AP280:AP280)</f>
        <v>0</v>
      </c>
      <c r="AQ279" s="233"/>
      <c r="AR279" s="340"/>
      <c r="AS279" s="341"/>
      <c r="AT279" s="340"/>
      <c r="AU279" s="340">
        <f>SUM(AU280:AU280)</f>
        <v>64127</v>
      </c>
      <c r="AV279" s="340"/>
      <c r="AW279" s="340"/>
      <c r="AX279" s="341"/>
      <c r="AY279" s="340"/>
      <c r="AZ279" s="340">
        <f>SUM(AZ280:AZ280)</f>
        <v>0</v>
      </c>
      <c r="BA279" s="340"/>
      <c r="BB279" s="340"/>
      <c r="BC279" s="341"/>
      <c r="BD279" s="340"/>
      <c r="BE279" s="340">
        <f>SUM(BE280:BE280)</f>
        <v>0</v>
      </c>
      <c r="BF279" s="340"/>
      <c r="BG279" s="340"/>
      <c r="BH279" s="341"/>
      <c r="BI279" s="340"/>
      <c r="BJ279" s="340">
        <f>SUM(BJ280:BJ280)</f>
        <v>0</v>
      </c>
      <c r="BK279" s="340"/>
      <c r="BL279" s="340"/>
      <c r="BM279" s="341"/>
      <c r="BN279" s="340"/>
      <c r="BO279" s="340">
        <f>SUM(BO280:BO280)</f>
        <v>663239</v>
      </c>
      <c r="BP279" s="340"/>
      <c r="BQ279" s="340"/>
      <c r="BR279" s="341"/>
      <c r="BS279" s="340"/>
      <c r="BT279" s="340">
        <f>SUM(BT280:BT280)</f>
        <v>4361282</v>
      </c>
      <c r="BU279" s="340"/>
      <c r="BV279" s="340"/>
      <c r="BW279" s="340"/>
      <c r="BX279" s="262"/>
    </row>
    <row r="280" spans="1:80" x14ac:dyDescent="0.2">
      <c r="A280" s="244"/>
      <c r="B280" s="244"/>
      <c r="D280" s="254" t="s">
        <v>310</v>
      </c>
      <c r="E280" s="371"/>
      <c r="F280" s="377"/>
      <c r="G280" s="349">
        <f>G286+G289+G321+G292+G298+G301+G304+G307+G309+G318+G324+G327+G330+G333+G336+G339+G342+G283+G314+G295</f>
        <v>3633916</v>
      </c>
      <c r="H280" s="350"/>
      <c r="I280" s="233"/>
      <c r="J280" s="227"/>
      <c r="K280" s="351"/>
      <c r="L280" s="349">
        <f>L286+L289+L321+L292+L298+L301+L304+L307+L309+L318+L324+L327+L330+L333+L336+L339+L342+L283+L314+L295</f>
        <v>3109689</v>
      </c>
      <c r="M280" s="350"/>
      <c r="N280" s="233"/>
      <c r="O280" s="227"/>
      <c r="P280" s="351"/>
      <c r="Q280" s="349">
        <f>Q286+Q289+Q321+Q292+Q298+Q301+Q304+Q307+Q309+Q318+Q324+Q327+Q330+Q333+Q336+Q339+Q342+Q283+Q314+Q295</f>
        <v>0</v>
      </c>
      <c r="R280" s="350"/>
      <c r="S280" s="233"/>
      <c r="T280" s="227"/>
      <c r="U280" s="351"/>
      <c r="V280" s="349">
        <f>V286+V289+V321+V292+V298+V301+V304+V307+V309+V318+V324+V327+V330+V333+V336+V339+V342+V283+V314+V295</f>
        <v>0</v>
      </c>
      <c r="W280" s="350"/>
      <c r="X280" s="233"/>
      <c r="Y280" s="227"/>
      <c r="Z280" s="351"/>
      <c r="AA280" s="349">
        <f>AA286+AA289+AA321+AA292+AA298+AA301+AA304+AA307+AA309+AA318+AA324+AA327+AA330+AA333+AA336+AA339+AA342+AA283+AA314+AA295</f>
        <v>0</v>
      </c>
      <c r="AB280" s="350"/>
      <c r="AC280" s="233"/>
      <c r="AD280" s="227"/>
      <c r="AE280" s="351"/>
      <c r="AF280" s="349">
        <f>AF286+AF289+AF321+AF292+AF298+AF301+AF304+AF307+AF309+AF318+AF324+AF327+AF330+AF333+AF336+AF339+AF342+AF283+AF314+AF295</f>
        <v>289217</v>
      </c>
      <c r="AG280" s="350"/>
      <c r="AH280" s="233"/>
      <c r="AI280" s="227"/>
      <c r="AJ280" s="351"/>
      <c r="AK280" s="349">
        <f>AK286+AK289+AK321+AK292+AK298+AK301+AK304+AK307+AK309+AK318+AK324+AK327+AK330+AK333+AK336+AK339+AK342+AK283+AK314+AK295</f>
        <v>235010</v>
      </c>
      <c r="AL280" s="350"/>
      <c r="AM280" s="233"/>
      <c r="AN280" s="227"/>
      <c r="AO280" s="351"/>
      <c r="AP280" s="349">
        <f>AP286+AP289+AP321+AP292+AP298+AP301+AP304+AP307+AP309+AP318+AP324+AP327+AP330+AP333+AP336+AP339+AP342+AP283+AP314+AP295</f>
        <v>0</v>
      </c>
      <c r="AQ280" s="350"/>
      <c r="AR280" s="233"/>
      <c r="AS280" s="227"/>
      <c r="AT280" s="351"/>
      <c r="AU280" s="349">
        <f>AU286+AU289+AU321+AU292+AU298+AU301+AU304+AU307+AU309+AU318+AU324+AU327+AU330+AU333+AU336+AU339+AU342+AU283+AU314+AU295</f>
        <v>64127</v>
      </c>
      <c r="AV280" s="350"/>
      <c r="AW280" s="233"/>
      <c r="AX280" s="227"/>
      <c r="AY280" s="351"/>
      <c r="AZ280" s="349">
        <v>0</v>
      </c>
      <c r="BA280" s="350"/>
      <c r="BB280" s="233"/>
      <c r="BC280" s="227"/>
      <c r="BD280" s="351"/>
      <c r="BE280" s="349">
        <v>0</v>
      </c>
      <c r="BF280" s="350"/>
      <c r="BG280" s="233"/>
      <c r="BH280" s="227"/>
      <c r="BI280" s="351"/>
      <c r="BJ280" s="349">
        <v>0</v>
      </c>
      <c r="BK280" s="350"/>
      <c r="BL280" s="233"/>
      <c r="BM280" s="227"/>
      <c r="BN280" s="351"/>
      <c r="BO280" s="349">
        <f>BO286+BO289+BO321+BO292+BO298+BO301+BO304+BO307+BO309+BO318+BO324+BO327+BO330+BO333+BO336+BO339+BO342+BO283+BO314+BO295</f>
        <v>663239</v>
      </c>
      <c r="BP280" s="350"/>
      <c r="BQ280" s="233"/>
      <c r="BR280" s="227"/>
      <c r="BS280" s="351"/>
      <c r="BT280" s="378">
        <f>BT286+BT289+BT321+BT292+BT298+BT301+BT304+BT307+BT309+BT318+BT324+BT327+BT330+BT333+BT336+BT339+BT342+BT283+BT314+BT295</f>
        <v>4361282</v>
      </c>
      <c r="BU280" s="350"/>
      <c r="BV280" s="233"/>
      <c r="BW280" s="233"/>
      <c r="BX280" s="254"/>
      <c r="CA280" s="268"/>
      <c r="CB280" s="268"/>
    </row>
    <row r="281" spans="1:80" x14ac:dyDescent="0.2">
      <c r="A281" s="244"/>
      <c r="B281" s="244"/>
      <c r="D281" s="254"/>
      <c r="E281" s="371"/>
      <c r="F281" s="119"/>
      <c r="G281" s="233"/>
      <c r="H281" s="233"/>
      <c r="I281" s="233"/>
      <c r="J281" s="227"/>
      <c r="K281" s="233"/>
      <c r="L281" s="233"/>
      <c r="M281" s="233"/>
      <c r="N281" s="233"/>
      <c r="O281" s="227"/>
      <c r="P281" s="233"/>
      <c r="Q281" s="233"/>
      <c r="R281" s="233"/>
      <c r="S281" s="233"/>
      <c r="T281" s="227"/>
      <c r="U281" s="233"/>
      <c r="V281" s="233"/>
      <c r="W281" s="233"/>
      <c r="X281" s="233"/>
      <c r="Y281" s="227"/>
      <c r="Z281" s="233"/>
      <c r="AA281" s="233"/>
      <c r="AB281" s="233"/>
      <c r="AC281" s="233"/>
      <c r="AD281" s="227"/>
      <c r="AE281" s="233"/>
      <c r="AF281" s="233"/>
      <c r="AG281" s="233"/>
      <c r="AH281" s="233"/>
      <c r="AI281" s="227"/>
      <c r="AJ281" s="233"/>
      <c r="AK281" s="233"/>
      <c r="AL281" s="233"/>
      <c r="AM281" s="233"/>
      <c r="AN281" s="227"/>
      <c r="AO281" s="233"/>
      <c r="AP281" s="233"/>
      <c r="AQ281" s="233"/>
      <c r="AR281" s="233"/>
      <c r="AS281" s="227"/>
      <c r="AT281" s="233"/>
      <c r="AU281" s="233"/>
      <c r="AV281" s="233"/>
      <c r="AW281" s="233"/>
      <c r="AX281" s="227"/>
      <c r="AY281" s="233"/>
      <c r="AZ281" s="233"/>
      <c r="BA281" s="233"/>
      <c r="BB281" s="233"/>
      <c r="BC281" s="227"/>
      <c r="BD281" s="233"/>
      <c r="BE281" s="233"/>
      <c r="BF281" s="233"/>
      <c r="BG281" s="233"/>
      <c r="BH281" s="227"/>
      <c r="BI281" s="233"/>
      <c r="BJ281" s="233"/>
      <c r="BK281" s="233"/>
      <c r="BL281" s="233"/>
      <c r="BM281" s="227"/>
      <c r="BN281" s="233"/>
      <c r="BO281" s="233"/>
      <c r="BP281" s="233"/>
      <c r="BQ281" s="233"/>
      <c r="BR281" s="227"/>
      <c r="BS281" s="233"/>
      <c r="BT281" s="233"/>
      <c r="BU281" s="233"/>
      <c r="BV281" s="233"/>
      <c r="BW281" s="233"/>
      <c r="BX281" s="254"/>
      <c r="CA281" s="268"/>
      <c r="CB281" s="268"/>
    </row>
    <row r="282" spans="1:80" ht="12.75" hidden="1" customHeight="1" x14ac:dyDescent="0.2">
      <c r="A282" s="244"/>
      <c r="B282" s="244"/>
      <c r="D282" s="254" t="s">
        <v>370</v>
      </c>
      <c r="F282" s="244"/>
      <c r="G282" s="233">
        <v>0</v>
      </c>
      <c r="H282" s="233"/>
      <c r="I282" s="233"/>
      <c r="J282" s="227"/>
      <c r="K282" s="233"/>
      <c r="L282" s="233">
        <f>SUM(L283:L283)</f>
        <v>0</v>
      </c>
      <c r="M282" s="233"/>
      <c r="N282" s="233"/>
      <c r="O282" s="227"/>
      <c r="P282" s="233"/>
      <c r="Q282" s="233">
        <f>SUM(Q283:Q283)</f>
        <v>0</v>
      </c>
      <c r="R282" s="233"/>
      <c r="S282" s="233"/>
      <c r="T282" s="227"/>
      <c r="U282" s="233"/>
      <c r="V282" s="233">
        <f>SUM(V283:V283)</f>
        <v>0</v>
      </c>
      <c r="W282" s="233"/>
      <c r="X282" s="233"/>
      <c r="Y282" s="227"/>
      <c r="Z282" s="233"/>
      <c r="AA282" s="233">
        <f>SUM(AA283:AA283)</f>
        <v>0</v>
      </c>
      <c r="AB282" s="233"/>
      <c r="AC282" s="233"/>
      <c r="AD282" s="227"/>
      <c r="AE282" s="233"/>
      <c r="AF282" s="233">
        <f>SUM(AF283:AF283)</f>
        <v>0</v>
      </c>
      <c r="AG282" s="233"/>
      <c r="AH282" s="233"/>
      <c r="AI282" s="227"/>
      <c r="AJ282" s="233"/>
      <c r="AK282" s="233">
        <f>SUM(AK283:AK283)</f>
        <v>0</v>
      </c>
      <c r="AL282" s="233"/>
      <c r="AM282" s="233"/>
      <c r="AN282" s="227"/>
      <c r="AO282" s="233"/>
      <c r="AP282" s="233">
        <f>SUM(AP283:AP283)</f>
        <v>0</v>
      </c>
      <c r="AQ282" s="233"/>
      <c r="AR282" s="233"/>
      <c r="AS282" s="227"/>
      <c r="AT282" s="233"/>
      <c r="AU282" s="233">
        <f>SUM(AU283:AU283)</f>
        <v>0</v>
      </c>
      <c r="AV282" s="233"/>
      <c r="AW282" s="233"/>
      <c r="AX282" s="227"/>
      <c r="AY282" s="233"/>
      <c r="AZ282" s="233">
        <f>SUM(AZ283:AZ283)</f>
        <v>0</v>
      </c>
      <c r="BA282" s="233"/>
      <c r="BB282" s="233"/>
      <c r="BC282" s="227"/>
      <c r="BD282" s="233"/>
      <c r="BE282" s="233">
        <f>SUM(BE283:BE283)</f>
        <v>0</v>
      </c>
      <c r="BF282" s="233"/>
      <c r="BG282" s="233"/>
      <c r="BH282" s="227"/>
      <c r="BI282" s="233"/>
      <c r="BJ282" s="233">
        <f>SUM(BJ283:BJ283)</f>
        <v>0</v>
      </c>
      <c r="BK282" s="233"/>
      <c r="BL282" s="233"/>
      <c r="BM282" s="227"/>
      <c r="BN282" s="233"/>
      <c r="BO282" s="233">
        <f>SUM(BO283:BO283)</f>
        <v>0</v>
      </c>
      <c r="BP282" s="233"/>
      <c r="BQ282" s="233"/>
      <c r="BR282" s="227"/>
      <c r="BS282" s="233"/>
      <c r="BT282" s="233">
        <f>SUM(BT283:BT283)</f>
        <v>0</v>
      </c>
      <c r="BU282" s="233"/>
      <c r="BV282" s="233"/>
      <c r="BW282" s="233"/>
      <c r="BX282" s="254"/>
      <c r="CA282" s="268"/>
      <c r="CB282" s="268"/>
    </row>
    <row r="283" spans="1:80" ht="12.75" hidden="1" customHeight="1" x14ac:dyDescent="0.2">
      <c r="A283" s="244"/>
      <c r="B283" s="244"/>
      <c r="D283" s="254" t="s">
        <v>310</v>
      </c>
      <c r="F283" s="348"/>
      <c r="G283" s="349">
        <v>0</v>
      </c>
      <c r="H283" s="350"/>
      <c r="I283" s="233"/>
      <c r="J283" s="227"/>
      <c r="K283" s="351"/>
      <c r="L283" s="349">
        <v>0</v>
      </c>
      <c r="M283" s="350"/>
      <c r="N283" s="233"/>
      <c r="O283" s="227"/>
      <c r="P283" s="351"/>
      <c r="Q283" s="349">
        <v>0</v>
      </c>
      <c r="R283" s="350"/>
      <c r="S283" s="233"/>
      <c r="T283" s="227"/>
      <c r="U283" s="351"/>
      <c r="V283" s="349">
        <v>0</v>
      </c>
      <c r="W283" s="350"/>
      <c r="X283" s="233"/>
      <c r="Y283" s="227"/>
      <c r="Z283" s="351"/>
      <c r="AA283" s="349">
        <v>0</v>
      </c>
      <c r="AB283" s="350"/>
      <c r="AC283" s="233"/>
      <c r="AD283" s="227"/>
      <c r="AE283" s="351"/>
      <c r="AF283" s="349">
        <v>0</v>
      </c>
      <c r="AG283" s="350"/>
      <c r="AH283" s="233"/>
      <c r="AI283" s="227"/>
      <c r="AJ283" s="351"/>
      <c r="AK283" s="349">
        <v>0</v>
      </c>
      <c r="AL283" s="350"/>
      <c r="AM283" s="233"/>
      <c r="AN283" s="227"/>
      <c r="AO283" s="351"/>
      <c r="AP283" s="349">
        <v>0</v>
      </c>
      <c r="AQ283" s="350"/>
      <c r="AR283" s="233"/>
      <c r="AS283" s="227"/>
      <c r="AT283" s="351"/>
      <c r="AU283" s="349">
        <v>0</v>
      </c>
      <c r="AV283" s="350"/>
      <c r="AW283" s="233"/>
      <c r="AX283" s="227"/>
      <c r="AY283" s="351"/>
      <c r="AZ283" s="349">
        <v>0</v>
      </c>
      <c r="BA283" s="350"/>
      <c r="BB283" s="233"/>
      <c r="BC283" s="227"/>
      <c r="BD283" s="351"/>
      <c r="BE283" s="349">
        <v>0</v>
      </c>
      <c r="BF283" s="350"/>
      <c r="BG283" s="233"/>
      <c r="BH283" s="227"/>
      <c r="BI283" s="351"/>
      <c r="BJ283" s="349">
        <v>0</v>
      </c>
      <c r="BK283" s="350"/>
      <c r="BL283" s="233"/>
      <c r="BM283" s="227"/>
      <c r="BN283" s="351"/>
      <c r="BO283" s="349">
        <v>0</v>
      </c>
      <c r="BP283" s="350"/>
      <c r="BQ283" s="233"/>
      <c r="BR283" s="227"/>
      <c r="BS283" s="351"/>
      <c r="BT283" s="349">
        <f>SUM(L283:BO283)</f>
        <v>0</v>
      </c>
      <c r="BU283" s="350"/>
      <c r="BV283" s="233"/>
      <c r="BW283" s="233"/>
      <c r="BX283" s="254"/>
      <c r="CA283" s="268"/>
      <c r="CB283" s="268"/>
    </row>
    <row r="284" spans="1:80" ht="12.75" hidden="1" customHeight="1" x14ac:dyDescent="0.2">
      <c r="A284" s="244"/>
      <c r="B284" s="244"/>
      <c r="D284" s="254"/>
      <c r="E284" s="371"/>
      <c r="F284" s="119"/>
      <c r="G284" s="233"/>
      <c r="H284" s="233"/>
      <c r="I284" s="233"/>
      <c r="J284" s="227"/>
      <c r="K284" s="233"/>
      <c r="L284" s="233"/>
      <c r="M284" s="233"/>
      <c r="N284" s="233"/>
      <c r="O284" s="227"/>
      <c r="P284" s="233"/>
      <c r="Q284" s="233"/>
      <c r="R284" s="233"/>
      <c r="S284" s="233"/>
      <c r="T284" s="227"/>
      <c r="U284" s="233"/>
      <c r="V284" s="233"/>
      <c r="W284" s="233"/>
      <c r="X284" s="233"/>
      <c r="Y284" s="227"/>
      <c r="Z284" s="233"/>
      <c r="AA284" s="233"/>
      <c r="AB284" s="233"/>
      <c r="AC284" s="233"/>
      <c r="AD284" s="227"/>
      <c r="AE284" s="233"/>
      <c r="AF284" s="233"/>
      <c r="AG284" s="233"/>
      <c r="AH284" s="233"/>
      <c r="AI284" s="227"/>
      <c r="AJ284" s="233"/>
      <c r="AK284" s="233"/>
      <c r="AL284" s="233"/>
      <c r="AM284" s="233"/>
      <c r="AN284" s="227"/>
      <c r="AO284" s="233"/>
      <c r="AP284" s="233"/>
      <c r="AQ284" s="233"/>
      <c r="AR284" s="233"/>
      <c r="AS284" s="227"/>
      <c r="AT284" s="233"/>
      <c r="AU284" s="233"/>
      <c r="AV284" s="233"/>
      <c r="AW284" s="233"/>
      <c r="AX284" s="227"/>
      <c r="AY284" s="233"/>
      <c r="AZ284" s="233"/>
      <c r="BA284" s="233"/>
      <c r="BB284" s="233"/>
      <c r="BC284" s="227"/>
      <c r="BD284" s="233"/>
      <c r="BE284" s="233"/>
      <c r="BF284" s="233"/>
      <c r="BG284" s="233"/>
      <c r="BH284" s="227"/>
      <c r="BI284" s="233"/>
      <c r="BJ284" s="233"/>
      <c r="BK284" s="233"/>
      <c r="BL284" s="233"/>
      <c r="BM284" s="227"/>
      <c r="BN284" s="233"/>
      <c r="BO284" s="233"/>
      <c r="BP284" s="233"/>
      <c r="BQ284" s="233"/>
      <c r="BR284" s="227"/>
      <c r="BS284" s="233"/>
      <c r="BT284" s="233"/>
      <c r="BU284" s="233"/>
      <c r="BV284" s="233"/>
      <c r="BW284" s="233"/>
      <c r="BX284" s="254"/>
      <c r="CA284" s="268"/>
      <c r="CB284" s="268"/>
    </row>
    <row r="285" spans="1:80" x14ac:dyDescent="0.2">
      <c r="A285" s="244"/>
      <c r="B285" s="244"/>
      <c r="D285" s="254" t="s">
        <v>337</v>
      </c>
      <c r="F285" s="244"/>
      <c r="G285" s="233">
        <f>SUM(G286:G286)</f>
        <v>0</v>
      </c>
      <c r="H285" s="233"/>
      <c r="I285" s="233"/>
      <c r="J285" s="227"/>
      <c r="K285" s="233"/>
      <c r="L285" s="233">
        <f>SUM(L286:L286)</f>
        <v>0</v>
      </c>
      <c r="M285" s="233"/>
      <c r="N285" s="233"/>
      <c r="O285" s="227"/>
      <c r="P285" s="233"/>
      <c r="Q285" s="233">
        <f>SUM(Q286:Q286)</f>
        <v>0</v>
      </c>
      <c r="R285" s="233"/>
      <c r="S285" s="233"/>
      <c r="T285" s="227"/>
      <c r="U285" s="233"/>
      <c r="V285" s="233">
        <f>SUM(V286:V286)</f>
        <v>0</v>
      </c>
      <c r="W285" s="233"/>
      <c r="X285" s="233"/>
      <c r="Y285" s="227"/>
      <c r="Z285" s="233"/>
      <c r="AA285" s="233">
        <f>SUM(AA286:AA286)</f>
        <v>0</v>
      </c>
      <c r="AB285" s="233"/>
      <c r="AC285" s="233"/>
      <c r="AD285" s="227"/>
      <c r="AE285" s="233"/>
      <c r="AF285" s="233">
        <f>SUM(AF286:AF286)</f>
        <v>0</v>
      </c>
      <c r="AG285" s="233"/>
      <c r="AH285" s="233"/>
      <c r="AI285" s="227"/>
      <c r="AJ285" s="233"/>
      <c r="AK285" s="233">
        <f>SUM(AK286:AK286)</f>
        <v>0</v>
      </c>
      <c r="AL285" s="233"/>
      <c r="AM285" s="233"/>
      <c r="AN285" s="227"/>
      <c r="AO285" s="233"/>
      <c r="AP285" s="233">
        <f>SUM(AP286:AP286)</f>
        <v>0</v>
      </c>
      <c r="AQ285" s="233"/>
      <c r="AR285" s="233"/>
      <c r="AS285" s="227"/>
      <c r="AT285" s="233"/>
      <c r="AU285" s="233">
        <f>SUM(AU286:AU286)</f>
        <v>0</v>
      </c>
      <c r="AV285" s="233"/>
      <c r="AW285" s="233"/>
      <c r="AX285" s="227"/>
      <c r="AY285" s="233"/>
      <c r="AZ285" s="233">
        <f>SUM(AZ286:AZ286)</f>
        <v>0</v>
      </c>
      <c r="BA285" s="233"/>
      <c r="BB285" s="233"/>
      <c r="BC285" s="227"/>
      <c r="BD285" s="233"/>
      <c r="BE285" s="233">
        <f>SUM(BE286:BE286)</f>
        <v>0</v>
      </c>
      <c r="BF285" s="233"/>
      <c r="BG285" s="233"/>
      <c r="BH285" s="227"/>
      <c r="BI285" s="233"/>
      <c r="BJ285" s="233">
        <f>SUM(BJ286:BJ286)</f>
        <v>0</v>
      </c>
      <c r="BK285" s="233"/>
      <c r="BL285" s="233"/>
      <c r="BM285" s="227"/>
      <c r="BN285" s="233"/>
      <c r="BO285" s="233">
        <f>SUM(BO286:BO286)</f>
        <v>89569</v>
      </c>
      <c r="BP285" s="233"/>
      <c r="BQ285" s="233"/>
      <c r="BR285" s="227"/>
      <c r="BS285" s="233"/>
      <c r="BT285" s="233">
        <f>SUM(BT286:BT286)</f>
        <v>89569</v>
      </c>
      <c r="BU285" s="233"/>
      <c r="BV285" s="233"/>
      <c r="BW285" s="233"/>
      <c r="BX285" s="254"/>
      <c r="CA285" s="268"/>
      <c r="CB285" s="268"/>
    </row>
    <row r="286" spans="1:80" x14ac:dyDescent="0.2">
      <c r="A286" s="244"/>
      <c r="B286" s="244"/>
      <c r="D286" s="254" t="s">
        <v>310</v>
      </c>
      <c r="F286" s="348"/>
      <c r="G286" s="349">
        <v>0</v>
      </c>
      <c r="H286" s="350"/>
      <c r="I286" s="233"/>
      <c r="J286" s="227"/>
      <c r="K286" s="351"/>
      <c r="L286" s="349">
        <v>0</v>
      </c>
      <c r="M286" s="350"/>
      <c r="N286" s="233"/>
      <c r="O286" s="227"/>
      <c r="P286" s="351"/>
      <c r="Q286" s="349">
        <v>0</v>
      </c>
      <c r="R286" s="350"/>
      <c r="S286" s="233"/>
      <c r="T286" s="227"/>
      <c r="U286" s="351"/>
      <c r="V286" s="349">
        <v>0</v>
      </c>
      <c r="W286" s="350"/>
      <c r="X286" s="233"/>
      <c r="Y286" s="227"/>
      <c r="Z286" s="351"/>
      <c r="AA286" s="349">
        <v>0</v>
      </c>
      <c r="AB286" s="350"/>
      <c r="AC286" s="233"/>
      <c r="AD286" s="227"/>
      <c r="AE286" s="351"/>
      <c r="AF286" s="349">
        <v>0</v>
      </c>
      <c r="AG286" s="350"/>
      <c r="AH286" s="233"/>
      <c r="AI286" s="227"/>
      <c r="AJ286" s="351"/>
      <c r="AK286" s="349">
        <v>0</v>
      </c>
      <c r="AL286" s="350"/>
      <c r="AM286" s="233"/>
      <c r="AN286" s="227"/>
      <c r="AO286" s="351"/>
      <c r="AP286" s="349">
        <v>0</v>
      </c>
      <c r="AQ286" s="350"/>
      <c r="AR286" s="233"/>
      <c r="AS286" s="227"/>
      <c r="AT286" s="351"/>
      <c r="AU286" s="349">
        <v>0</v>
      </c>
      <c r="AV286" s="350"/>
      <c r="AW286" s="233"/>
      <c r="AX286" s="227"/>
      <c r="AY286" s="351"/>
      <c r="AZ286" s="349">
        <v>0</v>
      </c>
      <c r="BA286" s="350"/>
      <c r="BB286" s="233"/>
      <c r="BC286" s="227"/>
      <c r="BD286" s="351"/>
      <c r="BE286" s="349">
        <v>0</v>
      </c>
      <c r="BF286" s="350"/>
      <c r="BG286" s="233"/>
      <c r="BH286" s="227"/>
      <c r="BI286" s="351"/>
      <c r="BJ286" s="349">
        <v>0</v>
      </c>
      <c r="BK286" s="350"/>
      <c r="BL286" s="233"/>
      <c r="BM286" s="227"/>
      <c r="BN286" s="351"/>
      <c r="BO286" s="349">
        <v>89569</v>
      </c>
      <c r="BP286" s="350"/>
      <c r="BQ286" s="233"/>
      <c r="BR286" s="227"/>
      <c r="BS286" s="351"/>
      <c r="BT286" s="349">
        <f>SUM(L286:BO286)</f>
        <v>89569</v>
      </c>
      <c r="BU286" s="350"/>
      <c r="BV286" s="233"/>
      <c r="BW286" s="233"/>
      <c r="BX286" s="254"/>
      <c r="CA286" s="268"/>
      <c r="CB286" s="268"/>
    </row>
    <row r="287" spans="1:80" hidden="1" x14ac:dyDescent="0.2">
      <c r="A287" s="244"/>
      <c r="B287" s="244"/>
      <c r="D287" s="254"/>
      <c r="F287" s="244"/>
      <c r="G287" s="233"/>
      <c r="H287" s="233"/>
      <c r="I287" s="233"/>
      <c r="J287" s="227"/>
      <c r="K287" s="233"/>
      <c r="L287" s="233"/>
      <c r="M287" s="233"/>
      <c r="N287" s="233"/>
      <c r="O287" s="227"/>
      <c r="P287" s="233"/>
      <c r="Q287" s="233"/>
      <c r="R287" s="233"/>
      <c r="S287" s="233"/>
      <c r="T287" s="227"/>
      <c r="U287" s="233"/>
      <c r="V287" s="233"/>
      <c r="W287" s="233"/>
      <c r="X287" s="233"/>
      <c r="Y287" s="227"/>
      <c r="Z287" s="233"/>
      <c r="AA287" s="233"/>
      <c r="AB287" s="233"/>
      <c r="AC287" s="233"/>
      <c r="AD287" s="227"/>
      <c r="AE287" s="233"/>
      <c r="AF287" s="233"/>
      <c r="AG287" s="233"/>
      <c r="AH287" s="233"/>
      <c r="AI287" s="227"/>
      <c r="AJ287" s="233"/>
      <c r="AK287" s="233"/>
      <c r="AL287" s="233"/>
      <c r="AM287" s="233"/>
      <c r="AN287" s="227"/>
      <c r="AO287" s="233"/>
      <c r="AP287" s="233"/>
      <c r="AQ287" s="233"/>
      <c r="AR287" s="233"/>
      <c r="AS287" s="227"/>
      <c r="AT287" s="233"/>
      <c r="AU287" s="233"/>
      <c r="AV287" s="233"/>
      <c r="AW287" s="233"/>
      <c r="AX287" s="227"/>
      <c r="AY287" s="233"/>
      <c r="AZ287" s="233"/>
      <c r="BA287" s="233"/>
      <c r="BB287" s="233"/>
      <c r="BC287" s="227"/>
      <c r="BD287" s="233"/>
      <c r="BE287" s="233"/>
      <c r="BF287" s="233"/>
      <c r="BG287" s="233"/>
      <c r="BH287" s="227"/>
      <c r="BI287" s="233"/>
      <c r="BJ287" s="233"/>
      <c r="BK287" s="233"/>
      <c r="BL287" s="233"/>
      <c r="BM287" s="227"/>
      <c r="BN287" s="233"/>
      <c r="BO287" s="233"/>
      <c r="BP287" s="233"/>
      <c r="BQ287" s="233"/>
      <c r="BR287" s="227"/>
      <c r="BS287" s="233"/>
      <c r="BT287" s="233"/>
      <c r="BU287" s="233"/>
      <c r="BV287" s="233"/>
      <c r="BW287" s="233"/>
      <c r="BX287" s="254"/>
      <c r="CA287" s="268"/>
      <c r="CB287" s="268"/>
    </row>
    <row r="288" spans="1:80" ht="12.75" hidden="1" customHeight="1" x14ac:dyDescent="0.2">
      <c r="A288" s="244"/>
      <c r="B288" s="244"/>
      <c r="D288" s="254" t="s">
        <v>371</v>
      </c>
      <c r="F288" s="244"/>
      <c r="G288" s="233">
        <f>SUM(G289:G289)</f>
        <v>0</v>
      </c>
      <c r="H288" s="233"/>
      <c r="I288" s="233"/>
      <c r="J288" s="227"/>
      <c r="K288" s="233"/>
      <c r="L288" s="233">
        <f>SUM(L289:L289)</f>
        <v>0</v>
      </c>
      <c r="M288" s="233"/>
      <c r="N288" s="233"/>
      <c r="O288" s="227"/>
      <c r="P288" s="233"/>
      <c r="Q288" s="233">
        <f>SUM(Q289:Q289)</f>
        <v>0</v>
      </c>
      <c r="R288" s="233"/>
      <c r="S288" s="233"/>
      <c r="T288" s="227"/>
      <c r="U288" s="233"/>
      <c r="V288" s="233">
        <f>SUM(V289:V289)</f>
        <v>0</v>
      </c>
      <c r="W288" s="233"/>
      <c r="X288" s="233"/>
      <c r="Y288" s="227"/>
      <c r="Z288" s="233"/>
      <c r="AA288" s="233">
        <f>SUM(AA289:AA289)</f>
        <v>0</v>
      </c>
      <c r="AB288" s="233"/>
      <c r="AC288" s="233"/>
      <c r="AD288" s="227"/>
      <c r="AE288" s="233"/>
      <c r="AF288" s="233">
        <f>SUM(AF289:AF289)</f>
        <v>0</v>
      </c>
      <c r="AG288" s="233"/>
      <c r="AH288" s="233"/>
      <c r="AI288" s="227"/>
      <c r="AJ288" s="233"/>
      <c r="AK288" s="233">
        <f>SUM(AK289:AK289)</f>
        <v>0</v>
      </c>
      <c r="AL288" s="233"/>
      <c r="AM288" s="233"/>
      <c r="AN288" s="227"/>
      <c r="AO288" s="233"/>
      <c r="AP288" s="233">
        <f>SUM(AP289:AP289)</f>
        <v>0</v>
      </c>
      <c r="AQ288" s="233"/>
      <c r="AR288" s="233"/>
      <c r="AS288" s="227"/>
      <c r="AT288" s="233"/>
      <c r="AU288" s="233">
        <f>SUM(AU289:AU289)</f>
        <v>0</v>
      </c>
      <c r="AV288" s="233"/>
      <c r="AW288" s="233"/>
      <c r="AX288" s="227"/>
      <c r="AY288" s="233"/>
      <c r="AZ288" s="233">
        <f>SUM(AZ289:AZ289)</f>
        <v>0</v>
      </c>
      <c r="BA288" s="233"/>
      <c r="BB288" s="233"/>
      <c r="BC288" s="227"/>
      <c r="BD288" s="233"/>
      <c r="BE288" s="233">
        <f>SUM(BE289:BE289)</f>
        <v>0</v>
      </c>
      <c r="BF288" s="233"/>
      <c r="BG288" s="233"/>
      <c r="BH288" s="227"/>
      <c r="BI288" s="233"/>
      <c r="BJ288" s="233">
        <f>SUM(BJ289:BJ289)</f>
        <v>0</v>
      </c>
      <c r="BK288" s="233"/>
      <c r="BL288" s="233"/>
      <c r="BM288" s="227"/>
      <c r="BN288" s="233"/>
      <c r="BO288" s="233">
        <f>SUM(BO289:BO289)</f>
        <v>0</v>
      </c>
      <c r="BP288" s="233"/>
      <c r="BQ288" s="233"/>
      <c r="BR288" s="227"/>
      <c r="BS288" s="233"/>
      <c r="BT288" s="233">
        <f>SUM(BT289:BT289)</f>
        <v>0</v>
      </c>
      <c r="BU288" s="233"/>
      <c r="BV288" s="233"/>
      <c r="BW288" s="233"/>
      <c r="BX288" s="254"/>
      <c r="CA288" s="268"/>
      <c r="CB288" s="268"/>
    </row>
    <row r="289" spans="1:80" ht="12.75" hidden="1" customHeight="1" x14ac:dyDescent="0.2">
      <c r="A289" s="244"/>
      <c r="B289" s="244"/>
      <c r="D289" s="254" t="s">
        <v>310</v>
      </c>
      <c r="F289" s="348"/>
      <c r="G289" s="349">
        <v>0</v>
      </c>
      <c r="H289" s="350"/>
      <c r="I289" s="233"/>
      <c r="J289" s="227"/>
      <c r="K289" s="351"/>
      <c r="L289" s="349">
        <v>0</v>
      </c>
      <c r="M289" s="350"/>
      <c r="N289" s="233"/>
      <c r="O289" s="227"/>
      <c r="P289" s="351"/>
      <c r="Q289" s="349">
        <v>0</v>
      </c>
      <c r="R289" s="350"/>
      <c r="S289" s="233"/>
      <c r="T289" s="227"/>
      <c r="U289" s="351"/>
      <c r="V289" s="349">
        <v>0</v>
      </c>
      <c r="W289" s="350"/>
      <c r="X289" s="233"/>
      <c r="Y289" s="227"/>
      <c r="Z289" s="351"/>
      <c r="AA289" s="349">
        <v>0</v>
      </c>
      <c r="AB289" s="350"/>
      <c r="AC289" s="233"/>
      <c r="AD289" s="227"/>
      <c r="AE289" s="351"/>
      <c r="AF289" s="349">
        <v>0</v>
      </c>
      <c r="AG289" s="350"/>
      <c r="AH289" s="233"/>
      <c r="AI289" s="227"/>
      <c r="AJ289" s="351"/>
      <c r="AK289" s="349">
        <v>0</v>
      </c>
      <c r="AL289" s="350"/>
      <c r="AM289" s="233"/>
      <c r="AN289" s="227"/>
      <c r="AO289" s="351"/>
      <c r="AP289" s="349">
        <v>0</v>
      </c>
      <c r="AQ289" s="350"/>
      <c r="AR289" s="233"/>
      <c r="AS289" s="227"/>
      <c r="AT289" s="351"/>
      <c r="AU289" s="349">
        <v>0</v>
      </c>
      <c r="AV289" s="350"/>
      <c r="AW289" s="233"/>
      <c r="AX289" s="227"/>
      <c r="AY289" s="351"/>
      <c r="AZ289" s="349">
        <v>0</v>
      </c>
      <c r="BA289" s="350"/>
      <c r="BB289" s="233"/>
      <c r="BC289" s="227"/>
      <c r="BD289" s="351"/>
      <c r="BE289" s="349">
        <v>0</v>
      </c>
      <c r="BF289" s="350"/>
      <c r="BG289" s="233"/>
      <c r="BH289" s="227"/>
      <c r="BI289" s="351"/>
      <c r="BJ289" s="349">
        <v>0</v>
      </c>
      <c r="BK289" s="350"/>
      <c r="BL289" s="233"/>
      <c r="BM289" s="227"/>
      <c r="BN289" s="351"/>
      <c r="BO289" s="349">
        <v>0</v>
      </c>
      <c r="BP289" s="350"/>
      <c r="BQ289" s="233"/>
      <c r="BR289" s="227"/>
      <c r="BS289" s="351"/>
      <c r="BT289" s="349">
        <f>SUM(L289:BO289)</f>
        <v>0</v>
      </c>
      <c r="BU289" s="350"/>
      <c r="BV289" s="233"/>
      <c r="BW289" s="233"/>
      <c r="BX289" s="254"/>
      <c r="CA289" s="268"/>
      <c r="CB289" s="268"/>
    </row>
    <row r="290" spans="1:80" ht="12.75" customHeight="1" x14ac:dyDescent="0.2">
      <c r="A290" s="244"/>
      <c r="B290" s="244"/>
      <c r="D290" s="254"/>
      <c r="F290" s="244"/>
      <c r="G290" s="233"/>
      <c r="H290" s="233"/>
      <c r="I290" s="233"/>
      <c r="J290" s="227"/>
      <c r="K290" s="233"/>
      <c r="L290" s="233"/>
      <c r="M290" s="233"/>
      <c r="N290" s="233"/>
      <c r="O290" s="227"/>
      <c r="P290" s="233"/>
      <c r="Q290" s="233"/>
      <c r="R290" s="233"/>
      <c r="S290" s="233"/>
      <c r="T290" s="227"/>
      <c r="U290" s="233"/>
      <c r="V290" s="233"/>
      <c r="W290" s="233"/>
      <c r="X290" s="233"/>
      <c r="Y290" s="227"/>
      <c r="Z290" s="233"/>
      <c r="AA290" s="233"/>
      <c r="AB290" s="233"/>
      <c r="AC290" s="233"/>
      <c r="AD290" s="227"/>
      <c r="AE290" s="233"/>
      <c r="AF290" s="233"/>
      <c r="AG290" s="233"/>
      <c r="AH290" s="233"/>
      <c r="AI290" s="227"/>
      <c r="AJ290" s="233"/>
      <c r="AK290" s="233"/>
      <c r="AL290" s="233"/>
      <c r="AM290" s="233"/>
      <c r="AN290" s="227"/>
      <c r="AO290" s="233"/>
      <c r="AP290" s="233"/>
      <c r="AQ290" s="233"/>
      <c r="AR290" s="233"/>
      <c r="AS290" s="227"/>
      <c r="AT290" s="233"/>
      <c r="AU290" s="233"/>
      <c r="AV290" s="233"/>
      <c r="AW290" s="233"/>
      <c r="AX290" s="227"/>
      <c r="AY290" s="233"/>
      <c r="AZ290" s="233"/>
      <c r="BA290" s="233"/>
      <c r="BB290" s="233"/>
      <c r="BC290" s="227"/>
      <c r="BD290" s="233"/>
      <c r="BE290" s="233"/>
      <c r="BF290" s="233"/>
      <c r="BG290" s="233"/>
      <c r="BH290" s="227"/>
      <c r="BI290" s="233"/>
      <c r="BJ290" s="233"/>
      <c r="BK290" s="233"/>
      <c r="BL290" s="233"/>
      <c r="BM290" s="227"/>
      <c r="BN290" s="233"/>
      <c r="BO290" s="233"/>
      <c r="BP290" s="233"/>
      <c r="BQ290" s="233"/>
      <c r="BR290" s="227"/>
      <c r="BS290" s="233"/>
      <c r="BT290" s="233"/>
      <c r="BU290" s="233"/>
      <c r="BV290" s="233"/>
      <c r="BW290" s="233"/>
      <c r="BX290" s="254"/>
      <c r="CA290" s="268"/>
      <c r="CB290" s="268"/>
    </row>
    <row r="291" spans="1:80" x14ac:dyDescent="0.2">
      <c r="A291" s="244"/>
      <c r="B291" s="244"/>
      <c r="D291" s="254" t="s">
        <v>321</v>
      </c>
      <c r="F291" s="244"/>
      <c r="G291" s="233">
        <f>SUM(G292:G292)</f>
        <v>3225244</v>
      </c>
      <c r="H291" s="233"/>
      <c r="I291" s="233"/>
      <c r="J291" s="227"/>
      <c r="K291" s="233"/>
      <c r="L291" s="233">
        <f>SUM(L292:L292)</f>
        <v>3109689</v>
      </c>
      <c r="M291" s="233"/>
      <c r="N291" s="233"/>
      <c r="O291" s="227"/>
      <c r="P291" s="233"/>
      <c r="Q291" s="233">
        <f>SUM(Q292:Q292)</f>
        <v>0</v>
      </c>
      <c r="R291" s="233"/>
      <c r="S291" s="233"/>
      <c r="T291" s="227"/>
      <c r="U291" s="233"/>
      <c r="V291" s="233">
        <f>SUM(V292:V292)</f>
        <v>0</v>
      </c>
      <c r="W291" s="233"/>
      <c r="X291" s="233"/>
      <c r="Y291" s="227"/>
      <c r="Z291" s="233"/>
      <c r="AA291" s="233">
        <f>SUM(AA292:AA292)</f>
        <v>0</v>
      </c>
      <c r="AB291" s="233"/>
      <c r="AC291" s="233"/>
      <c r="AD291" s="227"/>
      <c r="AE291" s="233"/>
      <c r="AF291" s="233">
        <f>SUM(AF292:AF292)</f>
        <v>0</v>
      </c>
      <c r="AG291" s="233"/>
      <c r="AH291" s="233"/>
      <c r="AI291" s="227"/>
      <c r="AJ291" s="233"/>
      <c r="AK291" s="233">
        <f>SUM(AK292:AK292)</f>
        <v>115555</v>
      </c>
      <c r="AL291" s="233"/>
      <c r="AM291" s="233"/>
      <c r="AN291" s="227"/>
      <c r="AO291" s="233"/>
      <c r="AP291" s="233">
        <f>SUM(AP292:AP292)</f>
        <v>0</v>
      </c>
      <c r="AQ291" s="233"/>
      <c r="AR291" s="233"/>
      <c r="AS291" s="227"/>
      <c r="AT291" s="233"/>
      <c r="AU291" s="233">
        <f>SUM(AU292:AU292)</f>
        <v>0</v>
      </c>
      <c r="AV291" s="233"/>
      <c r="AW291" s="233"/>
      <c r="AX291" s="227"/>
      <c r="AY291" s="233"/>
      <c r="AZ291" s="233">
        <f>SUM(AZ292:AZ292)</f>
        <v>0</v>
      </c>
      <c r="BA291" s="233"/>
      <c r="BB291" s="233"/>
      <c r="BC291" s="227"/>
      <c r="BD291" s="233"/>
      <c r="BE291" s="233">
        <f>SUM(BE292:BE292)</f>
        <v>0</v>
      </c>
      <c r="BF291" s="233"/>
      <c r="BG291" s="233"/>
      <c r="BH291" s="227"/>
      <c r="BI291" s="233"/>
      <c r="BJ291" s="233">
        <f>SUM(BJ292:BJ292)</f>
        <v>0</v>
      </c>
      <c r="BK291" s="233"/>
      <c r="BL291" s="233"/>
      <c r="BM291" s="227"/>
      <c r="BN291" s="233"/>
      <c r="BO291" s="233">
        <f>SUM(BO292:BO292)</f>
        <v>0</v>
      </c>
      <c r="BP291" s="233"/>
      <c r="BQ291" s="233"/>
      <c r="BR291" s="227"/>
      <c r="BS291" s="233"/>
      <c r="BT291" s="233">
        <f>SUM(BT292:BT292)</f>
        <v>3225244</v>
      </c>
      <c r="BU291" s="233"/>
      <c r="BV291" s="233"/>
      <c r="BW291" s="233"/>
      <c r="BX291" s="254"/>
      <c r="CA291" s="268"/>
      <c r="CB291" s="268"/>
    </row>
    <row r="292" spans="1:80" x14ac:dyDescent="0.2">
      <c r="A292" s="244"/>
      <c r="B292" s="244"/>
      <c r="D292" s="254" t="s">
        <v>310</v>
      </c>
      <c r="F292" s="348"/>
      <c r="G292" s="349">
        <v>3225244</v>
      </c>
      <c r="H292" s="350"/>
      <c r="I292" s="233"/>
      <c r="J292" s="227"/>
      <c r="K292" s="351"/>
      <c r="L292" s="349">
        <v>3109689</v>
      </c>
      <c r="M292" s="350"/>
      <c r="N292" s="233"/>
      <c r="O292" s="227"/>
      <c r="P292" s="351"/>
      <c r="Q292" s="349">
        <v>0</v>
      </c>
      <c r="R292" s="350"/>
      <c r="S292" s="233"/>
      <c r="T292" s="227"/>
      <c r="U292" s="351"/>
      <c r="V292" s="349">
        <v>0</v>
      </c>
      <c r="W292" s="350"/>
      <c r="X292" s="233"/>
      <c r="Y292" s="227"/>
      <c r="Z292" s="351"/>
      <c r="AA292" s="349">
        <v>0</v>
      </c>
      <c r="AB292" s="350"/>
      <c r="AC292" s="233"/>
      <c r="AD292" s="227"/>
      <c r="AE292" s="351"/>
      <c r="AF292" s="349">
        <v>0</v>
      </c>
      <c r="AG292" s="350"/>
      <c r="AH292" s="233"/>
      <c r="AI292" s="227"/>
      <c r="AJ292" s="351"/>
      <c r="AK292" s="349">
        <v>115555</v>
      </c>
      <c r="AL292" s="350"/>
      <c r="AM292" s="233"/>
      <c r="AN292" s="227"/>
      <c r="AO292" s="351"/>
      <c r="AP292" s="349">
        <v>0</v>
      </c>
      <c r="AQ292" s="350"/>
      <c r="AR292" s="233"/>
      <c r="AS292" s="227"/>
      <c r="AT292" s="351"/>
      <c r="AU292" s="349">
        <v>0</v>
      </c>
      <c r="AV292" s="350"/>
      <c r="AW292" s="233"/>
      <c r="AX292" s="227"/>
      <c r="AY292" s="351"/>
      <c r="AZ292" s="349">
        <v>0</v>
      </c>
      <c r="BA292" s="350"/>
      <c r="BB292" s="233"/>
      <c r="BC292" s="227"/>
      <c r="BD292" s="351"/>
      <c r="BE292" s="349">
        <v>0</v>
      </c>
      <c r="BF292" s="350"/>
      <c r="BG292" s="233"/>
      <c r="BH292" s="227"/>
      <c r="BI292" s="351"/>
      <c r="BJ292" s="349">
        <v>0</v>
      </c>
      <c r="BK292" s="350"/>
      <c r="BL292" s="233"/>
      <c r="BM292" s="227"/>
      <c r="BN292" s="351"/>
      <c r="BO292" s="349">
        <v>0</v>
      </c>
      <c r="BP292" s="350"/>
      <c r="BQ292" s="233"/>
      <c r="BR292" s="227"/>
      <c r="BS292" s="351"/>
      <c r="BT292" s="349">
        <f>SUM(L292:BO292)</f>
        <v>3225244</v>
      </c>
      <c r="BU292" s="350"/>
      <c r="BV292" s="233"/>
      <c r="BW292" s="233"/>
      <c r="BX292" s="254"/>
      <c r="CA292" s="268"/>
      <c r="CB292" s="268"/>
    </row>
    <row r="293" spans="1:80" x14ac:dyDescent="0.2">
      <c r="A293" s="244"/>
      <c r="B293" s="244"/>
      <c r="D293" s="254"/>
      <c r="F293" s="244"/>
      <c r="G293" s="233"/>
      <c r="H293" s="233"/>
      <c r="I293" s="233"/>
      <c r="J293" s="227"/>
      <c r="K293" s="233"/>
      <c r="L293" s="233"/>
      <c r="M293" s="233"/>
      <c r="N293" s="233"/>
      <c r="O293" s="227"/>
      <c r="P293" s="233"/>
      <c r="Q293" s="233"/>
      <c r="R293" s="233"/>
      <c r="S293" s="233"/>
      <c r="T293" s="227"/>
      <c r="U293" s="233"/>
      <c r="V293" s="233"/>
      <c r="W293" s="233"/>
      <c r="X293" s="233"/>
      <c r="Y293" s="227"/>
      <c r="Z293" s="233"/>
      <c r="AA293" s="233"/>
      <c r="AB293" s="233"/>
      <c r="AC293" s="233"/>
      <c r="AD293" s="227"/>
      <c r="AE293" s="233"/>
      <c r="AF293" s="233"/>
      <c r="AG293" s="233"/>
      <c r="AH293" s="233"/>
      <c r="AI293" s="227"/>
      <c r="AJ293" s="233"/>
      <c r="AK293" s="233"/>
      <c r="AL293" s="233"/>
      <c r="AM293" s="233"/>
      <c r="AN293" s="227"/>
      <c r="AO293" s="233"/>
      <c r="AP293" s="233"/>
      <c r="AQ293" s="233"/>
      <c r="AR293" s="233"/>
      <c r="AS293" s="227"/>
      <c r="AT293" s="233"/>
      <c r="AU293" s="233"/>
      <c r="AV293" s="233"/>
      <c r="AW293" s="233"/>
      <c r="AX293" s="227"/>
      <c r="AY293" s="233"/>
      <c r="AZ293" s="233"/>
      <c r="BA293" s="233"/>
      <c r="BB293" s="233"/>
      <c r="BC293" s="227"/>
      <c r="BD293" s="233"/>
      <c r="BE293" s="233"/>
      <c r="BF293" s="233"/>
      <c r="BG293" s="233"/>
      <c r="BH293" s="227"/>
      <c r="BI293" s="233"/>
      <c r="BJ293" s="233"/>
      <c r="BK293" s="233"/>
      <c r="BL293" s="233"/>
      <c r="BM293" s="227"/>
      <c r="BN293" s="233"/>
      <c r="BO293" s="233"/>
      <c r="BP293" s="233"/>
      <c r="BQ293" s="233"/>
      <c r="BR293" s="227"/>
      <c r="BS293" s="233"/>
      <c r="BT293" s="233"/>
      <c r="BU293" s="233"/>
      <c r="BV293" s="233"/>
      <c r="BW293" s="233"/>
      <c r="BX293" s="254"/>
      <c r="CA293" s="268"/>
      <c r="CB293" s="268"/>
    </row>
    <row r="294" spans="1:80" ht="12.75" hidden="1" customHeight="1" x14ac:dyDescent="0.2">
      <c r="A294" s="244"/>
      <c r="B294" s="244"/>
      <c r="D294" s="254" t="s">
        <v>336</v>
      </c>
      <c r="F294" s="244"/>
      <c r="G294" s="233">
        <f>SUM(G295:G295)</f>
        <v>0</v>
      </c>
      <c r="H294" s="233"/>
      <c r="I294" s="233"/>
      <c r="J294" s="227"/>
      <c r="K294" s="233"/>
      <c r="L294" s="233">
        <f>SUM(L295:L295)</f>
        <v>0</v>
      </c>
      <c r="M294" s="233"/>
      <c r="N294" s="233"/>
      <c r="O294" s="227"/>
      <c r="P294" s="233"/>
      <c r="Q294" s="233">
        <f>SUM(Q295:Q295)</f>
        <v>0</v>
      </c>
      <c r="R294" s="233"/>
      <c r="S294" s="233"/>
      <c r="T294" s="227"/>
      <c r="U294" s="233"/>
      <c r="V294" s="233"/>
      <c r="W294" s="233"/>
      <c r="X294" s="233"/>
      <c r="Y294" s="227"/>
      <c r="Z294" s="233"/>
      <c r="AA294" s="233">
        <f>+AA295</f>
        <v>0</v>
      </c>
      <c r="AB294" s="233"/>
      <c r="AC294" s="233"/>
      <c r="AD294" s="227"/>
      <c r="AE294" s="233"/>
      <c r="AF294" s="233"/>
      <c r="AG294" s="233"/>
      <c r="AH294" s="233"/>
      <c r="AI294" s="227"/>
      <c r="AJ294" s="233"/>
      <c r="AK294" s="233">
        <f>SUM(AK295:AK295)</f>
        <v>0</v>
      </c>
      <c r="AL294" s="233"/>
      <c r="AM294" s="233"/>
      <c r="AN294" s="227"/>
      <c r="AO294" s="233"/>
      <c r="AP294" s="233"/>
      <c r="AQ294" s="233"/>
      <c r="AR294" s="233"/>
      <c r="AS294" s="227"/>
      <c r="AT294" s="233"/>
      <c r="AU294" s="233"/>
      <c r="AV294" s="233"/>
      <c r="AW294" s="233"/>
      <c r="AX294" s="227"/>
      <c r="AY294" s="233"/>
      <c r="AZ294" s="233"/>
      <c r="BA294" s="233"/>
      <c r="BB294" s="233"/>
      <c r="BC294" s="227"/>
      <c r="BD294" s="233"/>
      <c r="BE294" s="233">
        <f>SUM(BE295:BE295)</f>
        <v>0</v>
      </c>
      <c r="BF294" s="233"/>
      <c r="BG294" s="233"/>
      <c r="BH294" s="227"/>
      <c r="BI294" s="233"/>
      <c r="BJ294" s="233">
        <f>SUM(BJ295:BJ295)</f>
        <v>0</v>
      </c>
      <c r="BK294" s="233"/>
      <c r="BL294" s="233"/>
      <c r="BM294" s="227"/>
      <c r="BN294" s="233"/>
      <c r="BO294" s="233">
        <f>SUM(BO295:BO295)</f>
        <v>0</v>
      </c>
      <c r="BP294" s="233"/>
      <c r="BQ294" s="233"/>
      <c r="BR294" s="227"/>
      <c r="BS294" s="233"/>
      <c r="BT294" s="233">
        <f>SUM(BT295:BT295)</f>
        <v>0</v>
      </c>
      <c r="BU294" s="233"/>
      <c r="BV294" s="233"/>
      <c r="BW294" s="233"/>
      <c r="BX294" s="254"/>
      <c r="CA294" s="268"/>
      <c r="CB294" s="268"/>
    </row>
    <row r="295" spans="1:80" ht="12.75" hidden="1" customHeight="1" x14ac:dyDescent="0.2">
      <c r="A295" s="244"/>
      <c r="B295" s="244"/>
      <c r="D295" s="254" t="s">
        <v>310</v>
      </c>
      <c r="F295" s="348"/>
      <c r="G295" s="349">
        <v>0</v>
      </c>
      <c r="H295" s="350"/>
      <c r="I295" s="233"/>
      <c r="J295" s="227"/>
      <c r="K295" s="351"/>
      <c r="L295" s="379">
        <v>0</v>
      </c>
      <c r="M295" s="350"/>
      <c r="N295" s="233"/>
      <c r="O295" s="227"/>
      <c r="P295" s="351"/>
      <c r="Q295" s="379">
        <v>0</v>
      </c>
      <c r="R295" s="350"/>
      <c r="S295" s="233"/>
      <c r="T295" s="227"/>
      <c r="U295" s="351"/>
      <c r="V295" s="379">
        <v>0</v>
      </c>
      <c r="W295" s="350"/>
      <c r="X295" s="347"/>
      <c r="Y295" s="227"/>
      <c r="Z295" s="351"/>
      <c r="AA295" s="379">
        <v>0</v>
      </c>
      <c r="AB295" s="350"/>
      <c r="AC295" s="354"/>
      <c r="AD295" s="227"/>
      <c r="AE295" s="351"/>
      <c r="AF295" s="379">
        <v>0</v>
      </c>
      <c r="AG295" s="350"/>
      <c r="AH295" s="233"/>
      <c r="AI295" s="227"/>
      <c r="AJ295" s="351"/>
      <c r="AK295" s="379">
        <v>0</v>
      </c>
      <c r="AL295" s="350"/>
      <c r="AM295" s="233"/>
      <c r="AN295" s="227"/>
      <c r="AO295" s="351"/>
      <c r="AP295" s="379">
        <v>0</v>
      </c>
      <c r="AQ295" s="350"/>
      <c r="AR295" s="233"/>
      <c r="AS295" s="227"/>
      <c r="AT295" s="351"/>
      <c r="AU295" s="379">
        <v>0</v>
      </c>
      <c r="AV295" s="350"/>
      <c r="AW295" s="233"/>
      <c r="AX295" s="227"/>
      <c r="AY295" s="351"/>
      <c r="AZ295" s="379">
        <v>0</v>
      </c>
      <c r="BA295" s="350"/>
      <c r="BB295" s="233"/>
      <c r="BC295" s="227"/>
      <c r="BD295" s="351"/>
      <c r="BE295" s="379">
        <v>0</v>
      </c>
      <c r="BF295" s="350"/>
      <c r="BG295" s="233"/>
      <c r="BH295" s="227"/>
      <c r="BI295" s="351"/>
      <c r="BJ295" s="379">
        <v>0</v>
      </c>
      <c r="BK295" s="350"/>
      <c r="BL295" s="233"/>
      <c r="BM295" s="227"/>
      <c r="BN295" s="351"/>
      <c r="BO295" s="379">
        <v>0</v>
      </c>
      <c r="BP295" s="350"/>
      <c r="BQ295" s="233"/>
      <c r="BR295" s="227"/>
      <c r="BS295" s="348"/>
      <c r="BT295" s="379">
        <f>SUM(L295:BO295)</f>
        <v>0</v>
      </c>
      <c r="BU295" s="350"/>
      <c r="BV295" s="233"/>
      <c r="BW295" s="380"/>
      <c r="BX295" s="254"/>
      <c r="CA295" s="268"/>
      <c r="CB295" s="268"/>
    </row>
    <row r="296" spans="1:80" ht="12.75" hidden="1" customHeight="1" x14ac:dyDescent="0.2">
      <c r="A296" s="244"/>
      <c r="B296" s="244"/>
      <c r="D296" s="254"/>
      <c r="F296" s="244"/>
      <c r="G296" s="233"/>
      <c r="H296" s="233"/>
      <c r="I296" s="233"/>
      <c r="J296" s="227"/>
      <c r="K296" s="233"/>
      <c r="L296" s="233"/>
      <c r="M296" s="233"/>
      <c r="N296" s="233"/>
      <c r="O296" s="227"/>
      <c r="P296" s="233"/>
      <c r="Q296" s="233"/>
      <c r="R296" s="233"/>
      <c r="S296" s="233"/>
      <c r="T296" s="227"/>
      <c r="U296" s="233"/>
      <c r="V296" s="233"/>
      <c r="W296" s="233"/>
      <c r="X296" s="233"/>
      <c r="Y296" s="227"/>
      <c r="Z296" s="233"/>
      <c r="AA296" s="233"/>
      <c r="AB296" s="233"/>
      <c r="AC296" s="233"/>
      <c r="AD296" s="227"/>
      <c r="AE296" s="233"/>
      <c r="AF296" s="233"/>
      <c r="AG296" s="233"/>
      <c r="AH296" s="233"/>
      <c r="AI296" s="227"/>
      <c r="AJ296" s="233"/>
      <c r="AK296" s="233"/>
      <c r="AL296" s="233"/>
      <c r="AM296" s="233"/>
      <c r="AN296" s="227"/>
      <c r="AO296" s="233"/>
      <c r="AP296" s="233"/>
      <c r="AQ296" s="233"/>
      <c r="AR296" s="233"/>
      <c r="AS296" s="227"/>
      <c r="AT296" s="233"/>
      <c r="AU296" s="233"/>
      <c r="AV296" s="233"/>
      <c r="AW296" s="233"/>
      <c r="AX296" s="227"/>
      <c r="AY296" s="233"/>
      <c r="AZ296" s="233"/>
      <c r="BA296" s="233"/>
      <c r="BB296" s="233"/>
      <c r="BC296" s="227"/>
      <c r="BD296" s="233"/>
      <c r="BE296" s="233"/>
      <c r="BF296" s="233"/>
      <c r="BG296" s="233"/>
      <c r="BH296" s="227"/>
      <c r="BI296" s="233"/>
      <c r="BJ296" s="233"/>
      <c r="BK296" s="233"/>
      <c r="BL296" s="233"/>
      <c r="BM296" s="227"/>
      <c r="BN296" s="233"/>
      <c r="BO296" s="233"/>
      <c r="BP296" s="233"/>
      <c r="BQ296" s="233"/>
      <c r="BR296" s="227"/>
      <c r="BS296" s="233"/>
      <c r="BT296" s="233"/>
      <c r="BU296" s="233"/>
      <c r="BV296" s="233"/>
      <c r="BW296" s="233"/>
      <c r="BX296" s="254"/>
      <c r="CA296" s="268"/>
      <c r="CB296" s="268"/>
    </row>
    <row r="297" spans="1:80" x14ac:dyDescent="0.2">
      <c r="A297" s="244"/>
      <c r="B297" s="244"/>
      <c r="D297" s="254" t="s">
        <v>343</v>
      </c>
      <c r="F297" s="244"/>
      <c r="G297" s="233">
        <f>SUM(G298:G298)</f>
        <v>0</v>
      </c>
      <c r="H297" s="233"/>
      <c r="I297" s="233"/>
      <c r="J297" s="227"/>
      <c r="K297" s="233"/>
      <c r="L297" s="233">
        <f>SUM(L298:L298)</f>
        <v>0</v>
      </c>
      <c r="M297" s="233"/>
      <c r="N297" s="233"/>
      <c r="O297" s="227"/>
      <c r="P297" s="233"/>
      <c r="Q297" s="233">
        <f>SUM(Q298:Q298)</f>
        <v>0</v>
      </c>
      <c r="R297" s="233"/>
      <c r="S297" s="233"/>
      <c r="T297" s="227"/>
      <c r="U297" s="233"/>
      <c r="V297" s="233">
        <f>SUM(V298:V298)</f>
        <v>0</v>
      </c>
      <c r="W297" s="233"/>
      <c r="X297" s="233"/>
      <c r="Y297" s="227"/>
      <c r="Z297" s="233"/>
      <c r="AA297" s="233">
        <f>SUM(AA298:AA298)</f>
        <v>0</v>
      </c>
      <c r="AB297" s="233"/>
      <c r="AC297" s="233"/>
      <c r="AD297" s="227"/>
      <c r="AE297" s="233"/>
      <c r="AF297" s="233">
        <f>SUM(AF298:AF298)</f>
        <v>0</v>
      </c>
      <c r="AG297" s="233"/>
      <c r="AH297" s="233"/>
      <c r="AI297" s="227"/>
      <c r="AJ297" s="233"/>
      <c r="AK297" s="233">
        <f>SUM(AK298:AK298)</f>
        <v>0</v>
      </c>
      <c r="AL297" s="233"/>
      <c r="AM297" s="233"/>
      <c r="AN297" s="227"/>
      <c r="AO297" s="233"/>
      <c r="AP297" s="233">
        <f>SUM(AP298:AP298)</f>
        <v>0</v>
      </c>
      <c r="AQ297" s="233"/>
      <c r="AR297" s="233"/>
      <c r="AS297" s="227"/>
      <c r="AT297" s="233"/>
      <c r="AU297" s="233">
        <f>SUM(AU298:AU298)</f>
        <v>0</v>
      </c>
      <c r="AV297" s="233"/>
      <c r="AW297" s="233"/>
      <c r="AX297" s="227"/>
      <c r="AY297" s="233"/>
      <c r="AZ297" s="233">
        <f>SUM(AZ298:AZ298)</f>
        <v>0</v>
      </c>
      <c r="BA297" s="233"/>
      <c r="BB297" s="233"/>
      <c r="BC297" s="227"/>
      <c r="BD297" s="233"/>
      <c r="BE297" s="233">
        <f>SUM(BE298:BE298)</f>
        <v>0</v>
      </c>
      <c r="BF297" s="233"/>
      <c r="BG297" s="233"/>
      <c r="BH297" s="227"/>
      <c r="BI297" s="233"/>
      <c r="BJ297" s="233">
        <f>SUM(BJ298:BJ298)</f>
        <v>0</v>
      </c>
      <c r="BK297" s="233"/>
      <c r="BL297" s="233"/>
      <c r="BM297" s="227"/>
      <c r="BN297" s="233"/>
      <c r="BO297" s="233">
        <f>SUM(BO298:BO298)</f>
        <v>54098</v>
      </c>
      <c r="BP297" s="233"/>
      <c r="BQ297" s="233"/>
      <c r="BR297" s="227"/>
      <c r="BS297" s="233"/>
      <c r="BT297" s="233">
        <f>SUM(BT298:BT298)</f>
        <v>54098</v>
      </c>
      <c r="BU297" s="233"/>
      <c r="BV297" s="233"/>
      <c r="BW297" s="233"/>
      <c r="BX297" s="254"/>
      <c r="CA297" s="268"/>
      <c r="CB297" s="268"/>
    </row>
    <row r="298" spans="1:80" x14ac:dyDescent="0.2">
      <c r="A298" s="244"/>
      <c r="B298" s="244"/>
      <c r="D298" s="254" t="s">
        <v>310</v>
      </c>
      <c r="F298" s="348"/>
      <c r="G298" s="349">
        <v>0</v>
      </c>
      <c r="H298" s="350"/>
      <c r="I298" s="233"/>
      <c r="J298" s="227"/>
      <c r="K298" s="351"/>
      <c r="L298" s="379">
        <v>0</v>
      </c>
      <c r="M298" s="350"/>
      <c r="N298" s="233"/>
      <c r="O298" s="227"/>
      <c r="P298" s="351"/>
      <c r="Q298" s="379">
        <v>0</v>
      </c>
      <c r="R298" s="350"/>
      <c r="S298" s="233"/>
      <c r="T298" s="227"/>
      <c r="U298" s="351"/>
      <c r="V298" s="379">
        <v>0</v>
      </c>
      <c r="W298" s="350"/>
      <c r="X298" s="347"/>
      <c r="Y298" s="227"/>
      <c r="Z298" s="351"/>
      <c r="AA298" s="379">
        <v>0</v>
      </c>
      <c r="AB298" s="350"/>
      <c r="AC298" s="354"/>
      <c r="AD298" s="227"/>
      <c r="AE298" s="351"/>
      <c r="AF298" s="379">
        <v>0</v>
      </c>
      <c r="AG298" s="350"/>
      <c r="AH298" s="233"/>
      <c r="AI298" s="227"/>
      <c r="AJ298" s="351"/>
      <c r="AK298" s="379">
        <v>0</v>
      </c>
      <c r="AL298" s="350"/>
      <c r="AM298" s="233"/>
      <c r="AN298" s="227"/>
      <c r="AO298" s="351"/>
      <c r="AP298" s="379">
        <v>0</v>
      </c>
      <c r="AQ298" s="350"/>
      <c r="AR298" s="233"/>
      <c r="AS298" s="227"/>
      <c r="AT298" s="351"/>
      <c r="AU298" s="379">
        <v>0</v>
      </c>
      <c r="AV298" s="350"/>
      <c r="AW298" s="233"/>
      <c r="AX298" s="227"/>
      <c r="AY298" s="351"/>
      <c r="AZ298" s="379">
        <v>0</v>
      </c>
      <c r="BA298" s="350"/>
      <c r="BB298" s="233"/>
      <c r="BC298" s="227"/>
      <c r="BD298" s="351"/>
      <c r="BE298" s="379">
        <v>0</v>
      </c>
      <c r="BF298" s="350"/>
      <c r="BG298" s="233"/>
      <c r="BH298" s="227"/>
      <c r="BI298" s="351"/>
      <c r="BJ298" s="379">
        <v>0</v>
      </c>
      <c r="BK298" s="350"/>
      <c r="BL298" s="233"/>
      <c r="BM298" s="227"/>
      <c r="BN298" s="351"/>
      <c r="BO298" s="379">
        <v>54098</v>
      </c>
      <c r="BP298" s="350">
        <v>0</v>
      </c>
      <c r="BQ298" s="233"/>
      <c r="BR298" s="227"/>
      <c r="BS298" s="348">
        <v>54207</v>
      </c>
      <c r="BT298" s="379">
        <f>SUM(L298:BO298)</f>
        <v>54098</v>
      </c>
      <c r="BU298" s="350">
        <v>0</v>
      </c>
      <c r="BV298" s="233"/>
      <c r="BW298" s="380"/>
      <c r="BX298" s="254"/>
      <c r="CA298" s="268"/>
      <c r="CB298" s="268"/>
    </row>
    <row r="299" spans="1:80" x14ac:dyDescent="0.2">
      <c r="A299" s="244"/>
      <c r="B299" s="244"/>
      <c r="D299" s="254"/>
      <c r="F299" s="244"/>
      <c r="G299" s="233"/>
      <c r="H299" s="233"/>
      <c r="I299" s="233"/>
      <c r="J299" s="227"/>
      <c r="K299" s="233"/>
      <c r="L299" s="233"/>
      <c r="M299" s="233"/>
      <c r="N299" s="233"/>
      <c r="O299" s="227"/>
      <c r="P299" s="233"/>
      <c r="Q299" s="233"/>
      <c r="R299" s="233"/>
      <c r="S299" s="233"/>
      <c r="T299" s="227"/>
      <c r="U299" s="233"/>
      <c r="V299" s="233"/>
      <c r="W299" s="233"/>
      <c r="X299" s="233"/>
      <c r="Y299" s="227"/>
      <c r="Z299" s="233"/>
      <c r="AA299" s="233"/>
      <c r="AB299" s="233"/>
      <c r="AC299" s="233"/>
      <c r="AD299" s="227"/>
      <c r="AE299" s="233"/>
      <c r="AF299" s="233"/>
      <c r="AG299" s="233"/>
      <c r="AH299" s="233"/>
      <c r="AI299" s="227"/>
      <c r="AJ299" s="233"/>
      <c r="AK299" s="233"/>
      <c r="AL299" s="233"/>
      <c r="AM299" s="233"/>
      <c r="AN299" s="227"/>
      <c r="AO299" s="233"/>
      <c r="AP299" s="233"/>
      <c r="AQ299" s="233"/>
      <c r="AR299" s="233"/>
      <c r="AS299" s="227"/>
      <c r="AT299" s="233"/>
      <c r="AU299" s="233"/>
      <c r="AV299" s="233"/>
      <c r="AW299" s="233"/>
      <c r="AX299" s="227"/>
      <c r="AY299" s="233"/>
      <c r="AZ299" s="233"/>
      <c r="BA299" s="233"/>
      <c r="BB299" s="233"/>
      <c r="BC299" s="227"/>
      <c r="BD299" s="233"/>
      <c r="BE299" s="233"/>
      <c r="BF299" s="233"/>
      <c r="BG299" s="233"/>
      <c r="BH299" s="227"/>
      <c r="BI299" s="233"/>
      <c r="BJ299" s="233"/>
      <c r="BK299" s="233"/>
      <c r="BL299" s="233"/>
      <c r="BM299" s="227"/>
      <c r="BN299" s="233"/>
      <c r="BO299" s="233"/>
      <c r="BP299" s="233"/>
      <c r="BQ299" s="233"/>
      <c r="BR299" s="227"/>
      <c r="BS299" s="233"/>
      <c r="BT299" s="233"/>
      <c r="BU299" s="233"/>
      <c r="BV299" s="233"/>
      <c r="BW299" s="233"/>
      <c r="BX299" s="254"/>
      <c r="CA299" s="268"/>
      <c r="CB299" s="268"/>
    </row>
    <row r="300" spans="1:80" ht="12.75" customHeight="1" x14ac:dyDescent="0.2">
      <c r="A300" s="244"/>
      <c r="B300" s="244"/>
      <c r="D300" s="254" t="s">
        <v>323</v>
      </c>
      <c r="F300" s="244"/>
      <c r="G300" s="233">
        <f>SUM(G301)</f>
        <v>119455</v>
      </c>
      <c r="H300" s="233"/>
      <c r="I300" s="233"/>
      <c r="J300" s="227"/>
      <c r="K300" s="233"/>
      <c r="L300" s="233">
        <f>SUM(L301:L301)</f>
        <v>0</v>
      </c>
      <c r="M300" s="233"/>
      <c r="N300" s="233"/>
      <c r="O300" s="227"/>
      <c r="P300" s="233"/>
      <c r="Q300" s="233">
        <f>SUM(Q301:Q301)</f>
        <v>0</v>
      </c>
      <c r="R300" s="233"/>
      <c r="S300" s="233"/>
      <c r="T300" s="227"/>
      <c r="U300" s="233"/>
      <c r="V300" s="233">
        <f>SUM(V301:V301)</f>
        <v>0</v>
      </c>
      <c r="W300" s="233"/>
      <c r="X300" s="233"/>
      <c r="Y300" s="227"/>
      <c r="Z300" s="233"/>
      <c r="AA300" s="233">
        <f>SUM(AA301:AA301)</f>
        <v>0</v>
      </c>
      <c r="AB300" s="233"/>
      <c r="AC300" s="233"/>
      <c r="AD300" s="227"/>
      <c r="AE300" s="233"/>
      <c r="AF300" s="233">
        <f>SUM(AF301:AF301)</f>
        <v>0</v>
      </c>
      <c r="AG300" s="233"/>
      <c r="AH300" s="233"/>
      <c r="AI300" s="227"/>
      <c r="AJ300" s="233"/>
      <c r="AK300" s="233">
        <f>SUM(AK301:AK301)</f>
        <v>119455</v>
      </c>
      <c r="AL300" s="233"/>
      <c r="AM300" s="233"/>
      <c r="AN300" s="227"/>
      <c r="AO300" s="233"/>
      <c r="AP300" s="233">
        <f>SUM(AP301:AP301)</f>
        <v>0</v>
      </c>
      <c r="AQ300" s="233"/>
      <c r="AR300" s="233"/>
      <c r="AS300" s="227"/>
      <c r="AT300" s="233"/>
      <c r="AU300" s="233">
        <f>SUM(AU301:AU301)</f>
        <v>64127</v>
      </c>
      <c r="AV300" s="233"/>
      <c r="AW300" s="233"/>
      <c r="AX300" s="227"/>
      <c r="AY300" s="233"/>
      <c r="AZ300" s="233">
        <f>SUM(AZ301:AZ301)</f>
        <v>0</v>
      </c>
      <c r="BA300" s="233"/>
      <c r="BB300" s="233"/>
      <c r="BC300" s="227"/>
      <c r="BD300" s="233"/>
      <c r="BE300" s="233">
        <f>SUM(BE301:BE301)</f>
        <v>0</v>
      </c>
      <c r="BF300" s="233"/>
      <c r="BG300" s="233"/>
      <c r="BH300" s="227"/>
      <c r="BI300" s="233"/>
      <c r="BJ300" s="233">
        <f>SUM(BJ301:BJ301)</f>
        <v>0</v>
      </c>
      <c r="BK300" s="233"/>
      <c r="BL300" s="233"/>
      <c r="BM300" s="227"/>
      <c r="BN300" s="233"/>
      <c r="BO300" s="233">
        <f>SUM(BO301:BO301)</f>
        <v>0</v>
      </c>
      <c r="BP300" s="233"/>
      <c r="BQ300" s="233"/>
      <c r="BR300" s="227"/>
      <c r="BS300" s="233"/>
      <c r="BT300" s="233">
        <f>SUM(BT301:BT301)</f>
        <v>183582</v>
      </c>
      <c r="BU300" s="233"/>
      <c r="BV300" s="233"/>
      <c r="BW300" s="233"/>
      <c r="BX300" s="254"/>
      <c r="CA300" s="268"/>
      <c r="CB300" s="268"/>
    </row>
    <row r="301" spans="1:80" ht="12.75" customHeight="1" x14ac:dyDescent="0.2">
      <c r="A301" s="244"/>
      <c r="B301" s="244"/>
      <c r="D301" s="254" t="s">
        <v>310</v>
      </c>
      <c r="F301" s="348"/>
      <c r="G301" s="349">
        <v>119455</v>
      </c>
      <c r="H301" s="350"/>
      <c r="I301" s="233"/>
      <c r="J301" s="227"/>
      <c r="K301" s="351"/>
      <c r="L301" s="349">
        <v>0</v>
      </c>
      <c r="M301" s="350"/>
      <c r="N301" s="233"/>
      <c r="O301" s="227"/>
      <c r="P301" s="351"/>
      <c r="Q301" s="349">
        <v>0</v>
      </c>
      <c r="R301" s="350"/>
      <c r="S301" s="233"/>
      <c r="T301" s="227"/>
      <c r="U301" s="351"/>
      <c r="V301" s="349">
        <v>0</v>
      </c>
      <c r="W301" s="350"/>
      <c r="X301" s="233"/>
      <c r="Y301" s="227"/>
      <c r="Z301" s="351"/>
      <c r="AA301" s="349">
        <v>0</v>
      </c>
      <c r="AB301" s="350"/>
      <c r="AC301" s="233"/>
      <c r="AD301" s="227"/>
      <c r="AE301" s="351"/>
      <c r="AF301" s="349">
        <v>0</v>
      </c>
      <c r="AG301" s="350"/>
      <c r="AH301" s="233"/>
      <c r="AI301" s="227"/>
      <c r="AJ301" s="351"/>
      <c r="AK301" s="349">
        <v>119455</v>
      </c>
      <c r="AL301" s="350"/>
      <c r="AM301" s="233"/>
      <c r="AN301" s="227"/>
      <c r="AO301" s="351"/>
      <c r="AP301" s="349">
        <v>0</v>
      </c>
      <c r="AQ301" s="350"/>
      <c r="AR301" s="233"/>
      <c r="AS301" s="227"/>
      <c r="AT301" s="351"/>
      <c r="AU301" s="349">
        <v>64127</v>
      </c>
      <c r="AV301" s="350"/>
      <c r="AW301" s="233"/>
      <c r="AX301" s="227"/>
      <c r="AY301" s="351"/>
      <c r="AZ301" s="349">
        <v>0</v>
      </c>
      <c r="BA301" s="350"/>
      <c r="BB301" s="233"/>
      <c r="BC301" s="227"/>
      <c r="BD301" s="351"/>
      <c r="BE301" s="349">
        <v>0</v>
      </c>
      <c r="BF301" s="350"/>
      <c r="BG301" s="233"/>
      <c r="BH301" s="227"/>
      <c r="BI301" s="351"/>
      <c r="BJ301" s="349">
        <v>0</v>
      </c>
      <c r="BK301" s="350"/>
      <c r="BL301" s="233"/>
      <c r="BM301" s="227"/>
      <c r="BN301" s="351"/>
      <c r="BO301" s="349">
        <v>0</v>
      </c>
      <c r="BP301" s="350"/>
      <c r="BQ301" s="233"/>
      <c r="BR301" s="227"/>
      <c r="BS301" s="351"/>
      <c r="BT301" s="349">
        <f>SUM(L301:BO301)</f>
        <v>183582</v>
      </c>
      <c r="BU301" s="350"/>
      <c r="BV301" s="233"/>
      <c r="BW301" s="233"/>
      <c r="BX301" s="254"/>
      <c r="CA301" s="268"/>
      <c r="CB301" s="268"/>
    </row>
    <row r="302" spans="1:80" ht="12.75" hidden="1" customHeight="1" x14ac:dyDescent="0.2">
      <c r="A302" s="244"/>
      <c r="B302" s="244"/>
      <c r="D302" s="254"/>
      <c r="F302" s="244"/>
      <c r="G302" s="233"/>
      <c r="H302" s="233"/>
      <c r="I302" s="233"/>
      <c r="J302" s="227"/>
      <c r="K302" s="233"/>
      <c r="L302" s="233"/>
      <c r="M302" s="233"/>
      <c r="N302" s="233"/>
      <c r="O302" s="227"/>
      <c r="P302" s="233"/>
      <c r="Q302" s="233"/>
      <c r="R302" s="233"/>
      <c r="S302" s="233"/>
      <c r="T302" s="227"/>
      <c r="U302" s="233"/>
      <c r="V302" s="233"/>
      <c r="W302" s="233"/>
      <c r="X302" s="233"/>
      <c r="Y302" s="227"/>
      <c r="Z302" s="233"/>
      <c r="AA302" s="233"/>
      <c r="AB302" s="233"/>
      <c r="AC302" s="233"/>
      <c r="AD302" s="227"/>
      <c r="AE302" s="233"/>
      <c r="AF302" s="233"/>
      <c r="AG302" s="233"/>
      <c r="AH302" s="233"/>
      <c r="AI302" s="227"/>
      <c r="AJ302" s="233"/>
      <c r="AK302" s="233"/>
      <c r="AL302" s="233"/>
      <c r="AM302" s="233"/>
      <c r="AN302" s="227"/>
      <c r="AO302" s="233"/>
      <c r="AP302" s="233"/>
      <c r="AQ302" s="233"/>
      <c r="AR302" s="233"/>
      <c r="AS302" s="227"/>
      <c r="AT302" s="233"/>
      <c r="AU302" s="233"/>
      <c r="AV302" s="233"/>
      <c r="AW302" s="233"/>
      <c r="AX302" s="227"/>
      <c r="AY302" s="233"/>
      <c r="AZ302" s="233"/>
      <c r="BA302" s="233"/>
      <c r="BB302" s="233"/>
      <c r="BC302" s="227"/>
      <c r="BD302" s="233"/>
      <c r="BE302" s="233"/>
      <c r="BF302" s="233"/>
      <c r="BG302" s="233"/>
      <c r="BH302" s="227"/>
      <c r="BI302" s="233"/>
      <c r="BJ302" s="233"/>
      <c r="BK302" s="233"/>
      <c r="BL302" s="233"/>
      <c r="BM302" s="227"/>
      <c r="BN302" s="233"/>
      <c r="BO302" s="233"/>
      <c r="BP302" s="233"/>
      <c r="BQ302" s="233"/>
      <c r="BR302" s="227"/>
      <c r="BS302" s="233"/>
      <c r="BT302" s="233"/>
      <c r="BU302" s="233"/>
      <c r="BV302" s="233"/>
      <c r="BW302" s="233"/>
      <c r="BX302" s="254"/>
      <c r="CA302" s="268"/>
      <c r="CB302" s="268"/>
    </row>
    <row r="303" spans="1:80" hidden="1" x14ac:dyDescent="0.2">
      <c r="A303" s="244"/>
      <c r="B303" s="244"/>
      <c r="D303" s="254" t="s">
        <v>372</v>
      </c>
      <c r="F303" s="244"/>
      <c r="G303" s="233">
        <v>0</v>
      </c>
      <c r="H303" s="233"/>
      <c r="I303" s="233"/>
      <c r="J303" s="227"/>
      <c r="K303" s="244"/>
      <c r="L303" s="233">
        <f>SUM(L304)</f>
        <v>0</v>
      </c>
      <c r="M303" s="233"/>
      <c r="N303" s="233"/>
      <c r="O303" s="227"/>
      <c r="P303" s="244"/>
      <c r="Q303" s="233">
        <f>SUM(Q304)</f>
        <v>0</v>
      </c>
      <c r="R303" s="233"/>
      <c r="S303" s="233"/>
      <c r="T303" s="227"/>
      <c r="U303" s="244"/>
      <c r="V303" s="233">
        <f>SUM(V304)</f>
        <v>0</v>
      </c>
      <c r="W303" s="233"/>
      <c r="X303" s="233"/>
      <c r="Y303" s="227"/>
      <c r="Z303" s="244"/>
      <c r="AA303" s="233">
        <f>SUM(AA304)</f>
        <v>0</v>
      </c>
      <c r="AB303" s="233"/>
      <c r="AC303" s="233"/>
      <c r="AD303" s="227"/>
      <c r="AE303" s="244"/>
      <c r="AF303" s="233">
        <f>SUM(AF304)</f>
        <v>0</v>
      </c>
      <c r="AG303" s="233"/>
      <c r="AH303" s="233"/>
      <c r="AI303" s="227"/>
      <c r="AJ303" s="244"/>
      <c r="AK303" s="233">
        <f>SUM(AK304)</f>
        <v>0</v>
      </c>
      <c r="AL303" s="233"/>
      <c r="AM303" s="233"/>
      <c r="AN303" s="227"/>
      <c r="AO303" s="244"/>
      <c r="AP303" s="233">
        <f>SUM(AP304)</f>
        <v>0</v>
      </c>
      <c r="AQ303" s="233"/>
      <c r="AR303" s="233"/>
      <c r="AS303" s="227"/>
      <c r="AT303" s="244"/>
      <c r="AU303" s="233">
        <f>SUM(AU304)</f>
        <v>0</v>
      </c>
      <c r="AV303" s="233"/>
      <c r="AW303" s="233"/>
      <c r="AX303" s="227"/>
      <c r="AY303" s="244"/>
      <c r="AZ303" s="233">
        <f>SUM(AZ304)</f>
        <v>0</v>
      </c>
      <c r="BA303" s="233"/>
      <c r="BB303" s="233"/>
      <c r="BC303" s="227"/>
      <c r="BD303" s="244"/>
      <c r="BE303" s="233">
        <f>SUM(BE304)</f>
        <v>0</v>
      </c>
      <c r="BF303" s="233"/>
      <c r="BG303" s="233"/>
      <c r="BH303" s="227"/>
      <c r="BI303" s="244"/>
      <c r="BJ303" s="233">
        <f>SUM(BJ304)</f>
        <v>0</v>
      </c>
      <c r="BK303" s="233"/>
      <c r="BL303" s="233"/>
      <c r="BM303" s="227"/>
      <c r="BN303" s="244"/>
      <c r="BO303" s="233">
        <f>SUM(BO304)</f>
        <v>0</v>
      </c>
      <c r="BP303" s="233"/>
      <c r="BQ303" s="233"/>
      <c r="BR303" s="227"/>
      <c r="BS303" s="244"/>
      <c r="BT303" s="233">
        <f>SUM(BT304:BT304)</f>
        <v>0</v>
      </c>
      <c r="BU303" s="233"/>
      <c r="BV303" s="233"/>
      <c r="BW303" s="233"/>
      <c r="BX303" s="254"/>
      <c r="CA303" s="268"/>
      <c r="CB303" s="268"/>
    </row>
    <row r="304" spans="1:80" hidden="1" x14ac:dyDescent="0.2">
      <c r="A304" s="244"/>
      <c r="B304" s="244"/>
      <c r="D304" s="254" t="s">
        <v>310</v>
      </c>
      <c r="F304" s="348"/>
      <c r="G304" s="349">
        <v>0</v>
      </c>
      <c r="H304" s="350"/>
      <c r="I304" s="233"/>
      <c r="J304" s="227"/>
      <c r="K304" s="348"/>
      <c r="L304" s="349">
        <v>0</v>
      </c>
      <c r="M304" s="350"/>
      <c r="N304" s="233"/>
      <c r="O304" s="227"/>
      <c r="P304" s="348"/>
      <c r="Q304" s="349">
        <v>0</v>
      </c>
      <c r="R304" s="350"/>
      <c r="S304" s="233"/>
      <c r="T304" s="227"/>
      <c r="U304" s="348"/>
      <c r="V304" s="349">
        <v>0</v>
      </c>
      <c r="W304" s="350"/>
      <c r="X304" s="233"/>
      <c r="Y304" s="227"/>
      <c r="Z304" s="348"/>
      <c r="AA304" s="349">
        <v>0</v>
      </c>
      <c r="AB304" s="350"/>
      <c r="AC304" s="233"/>
      <c r="AD304" s="227"/>
      <c r="AE304" s="348"/>
      <c r="AF304" s="349">
        <v>0</v>
      </c>
      <c r="AG304" s="350"/>
      <c r="AH304" s="233"/>
      <c r="AI304" s="227"/>
      <c r="AJ304" s="348"/>
      <c r="AK304" s="349">
        <v>0</v>
      </c>
      <c r="AL304" s="350"/>
      <c r="AM304" s="233"/>
      <c r="AN304" s="227"/>
      <c r="AO304" s="348"/>
      <c r="AP304" s="349">
        <v>0</v>
      </c>
      <c r="AQ304" s="350"/>
      <c r="AR304" s="233"/>
      <c r="AS304" s="227"/>
      <c r="AT304" s="348"/>
      <c r="AU304" s="349">
        <v>0</v>
      </c>
      <c r="AV304" s="350"/>
      <c r="AW304" s="233"/>
      <c r="AX304" s="227"/>
      <c r="AY304" s="348"/>
      <c r="AZ304" s="349">
        <v>0</v>
      </c>
      <c r="BA304" s="350"/>
      <c r="BB304" s="233"/>
      <c r="BC304" s="227"/>
      <c r="BD304" s="348"/>
      <c r="BE304" s="349">
        <v>0</v>
      </c>
      <c r="BF304" s="350"/>
      <c r="BG304" s="233"/>
      <c r="BH304" s="227"/>
      <c r="BI304" s="348"/>
      <c r="BJ304" s="349">
        <v>0</v>
      </c>
      <c r="BK304" s="350"/>
      <c r="BL304" s="233"/>
      <c r="BM304" s="227"/>
      <c r="BN304" s="348"/>
      <c r="BO304" s="349">
        <v>0</v>
      </c>
      <c r="BP304" s="350"/>
      <c r="BQ304" s="233"/>
      <c r="BR304" s="227"/>
      <c r="BS304" s="348"/>
      <c r="BT304" s="349">
        <f>SUM(L304:BO304)</f>
        <v>0</v>
      </c>
      <c r="BU304" s="350"/>
      <c r="BV304" s="233"/>
      <c r="BW304" s="233"/>
      <c r="BX304" s="254"/>
      <c r="CA304" s="268"/>
      <c r="CB304" s="268"/>
    </row>
    <row r="305" spans="1:80" hidden="1" x14ac:dyDescent="0.2">
      <c r="A305" s="244"/>
      <c r="B305" s="244"/>
      <c r="D305" s="254"/>
      <c r="F305" s="244"/>
      <c r="G305" s="233"/>
      <c r="H305" s="233"/>
      <c r="I305" s="233"/>
      <c r="J305" s="227"/>
      <c r="K305" s="233"/>
      <c r="L305" s="233"/>
      <c r="M305" s="233"/>
      <c r="N305" s="233"/>
      <c r="O305" s="227"/>
      <c r="P305" s="233"/>
      <c r="Q305" s="233"/>
      <c r="R305" s="233"/>
      <c r="S305" s="233"/>
      <c r="T305" s="227"/>
      <c r="U305" s="233"/>
      <c r="V305" s="233"/>
      <c r="W305" s="233"/>
      <c r="X305" s="233"/>
      <c r="Y305" s="227"/>
      <c r="Z305" s="233"/>
      <c r="AA305" s="233"/>
      <c r="AB305" s="233"/>
      <c r="AC305" s="233"/>
      <c r="AD305" s="227"/>
      <c r="AE305" s="233"/>
      <c r="AF305" s="233"/>
      <c r="AG305" s="233"/>
      <c r="AH305" s="233"/>
      <c r="AI305" s="227"/>
      <c r="AJ305" s="233"/>
      <c r="AK305" s="233"/>
      <c r="AL305" s="233"/>
      <c r="AM305" s="233"/>
      <c r="AN305" s="227"/>
      <c r="AO305" s="233"/>
      <c r="AP305" s="233"/>
      <c r="AQ305" s="233"/>
      <c r="AR305" s="233"/>
      <c r="AS305" s="227"/>
      <c r="AT305" s="233"/>
      <c r="AU305" s="233"/>
      <c r="AV305" s="233"/>
      <c r="AW305" s="233"/>
      <c r="AX305" s="227"/>
      <c r="AY305" s="233"/>
      <c r="AZ305" s="233"/>
      <c r="BA305" s="233"/>
      <c r="BB305" s="233"/>
      <c r="BC305" s="227"/>
      <c r="BD305" s="233"/>
      <c r="BE305" s="233"/>
      <c r="BF305" s="233"/>
      <c r="BG305" s="233"/>
      <c r="BH305" s="227"/>
      <c r="BI305" s="233"/>
      <c r="BJ305" s="233"/>
      <c r="BK305" s="233"/>
      <c r="BL305" s="233"/>
      <c r="BM305" s="227"/>
      <c r="BN305" s="233"/>
      <c r="BO305" s="233"/>
      <c r="BP305" s="233"/>
      <c r="BQ305" s="233"/>
      <c r="BR305" s="227"/>
      <c r="BS305" s="233"/>
      <c r="BT305" s="233"/>
      <c r="BU305" s="233"/>
      <c r="BV305" s="233"/>
      <c r="BW305" s="233"/>
      <c r="BX305" s="254"/>
      <c r="CA305" s="268"/>
      <c r="CB305" s="268"/>
    </row>
    <row r="306" spans="1:80" ht="12.75" hidden="1" customHeight="1" x14ac:dyDescent="0.2">
      <c r="A306" s="244"/>
      <c r="B306" s="244"/>
      <c r="D306" s="254" t="s">
        <v>373</v>
      </c>
      <c r="F306" s="244"/>
      <c r="G306" s="233">
        <v>0</v>
      </c>
      <c r="H306" s="233"/>
      <c r="I306" s="233"/>
      <c r="J306" s="227"/>
      <c r="K306" s="233"/>
      <c r="L306" s="233">
        <f>SUM(L307:L307)</f>
        <v>0</v>
      </c>
      <c r="M306" s="233"/>
      <c r="N306" s="233"/>
      <c r="O306" s="227"/>
      <c r="P306" s="233"/>
      <c r="Q306" s="233">
        <f>SUM(Q307:Q307)</f>
        <v>0</v>
      </c>
      <c r="R306" s="233"/>
      <c r="S306" s="233"/>
      <c r="T306" s="227"/>
      <c r="U306" s="233"/>
      <c r="V306" s="233">
        <f>SUM(V307:V307)</f>
        <v>0</v>
      </c>
      <c r="W306" s="233"/>
      <c r="X306" s="233"/>
      <c r="Y306" s="227"/>
      <c r="Z306" s="233"/>
      <c r="AA306" s="233">
        <f>SUM(AA307:AA307)</f>
        <v>0</v>
      </c>
      <c r="AB306" s="233"/>
      <c r="AC306" s="233"/>
      <c r="AD306" s="227"/>
      <c r="AE306" s="233"/>
      <c r="AF306" s="233">
        <f>SUM(AF307:AF307)</f>
        <v>0</v>
      </c>
      <c r="AG306" s="233"/>
      <c r="AH306" s="233"/>
      <c r="AI306" s="227"/>
      <c r="AJ306" s="233"/>
      <c r="AK306" s="233">
        <f>SUM(AK307:AK307)</f>
        <v>0</v>
      </c>
      <c r="AL306" s="233"/>
      <c r="AM306" s="233"/>
      <c r="AN306" s="227"/>
      <c r="AO306" s="233"/>
      <c r="AP306" s="233">
        <f>SUM(AP307:AP307)</f>
        <v>0</v>
      </c>
      <c r="AQ306" s="233"/>
      <c r="AR306" s="233"/>
      <c r="AS306" s="227"/>
      <c r="AT306" s="233"/>
      <c r="AU306" s="233">
        <f>SUM(AU307:AU307)</f>
        <v>0</v>
      </c>
      <c r="AV306" s="233"/>
      <c r="AW306" s="233"/>
      <c r="AX306" s="227"/>
      <c r="AY306" s="233"/>
      <c r="AZ306" s="233">
        <f>SUM(AZ307:AZ307)</f>
        <v>0</v>
      </c>
      <c r="BA306" s="233"/>
      <c r="BB306" s="233"/>
      <c r="BC306" s="227"/>
      <c r="BD306" s="233"/>
      <c r="BE306" s="233">
        <f>SUM(BE307:BE307)</f>
        <v>0</v>
      </c>
      <c r="BF306" s="233"/>
      <c r="BG306" s="233"/>
      <c r="BH306" s="227"/>
      <c r="BI306" s="233"/>
      <c r="BJ306" s="233">
        <f>SUM(BJ307:BJ307)</f>
        <v>0</v>
      </c>
      <c r="BK306" s="233"/>
      <c r="BL306" s="233"/>
      <c r="BM306" s="227"/>
      <c r="BN306" s="233"/>
      <c r="BO306" s="233">
        <f>SUM(BO307:BO307)</f>
        <v>0</v>
      </c>
      <c r="BP306" s="233"/>
      <c r="BQ306" s="233"/>
      <c r="BR306" s="227"/>
      <c r="BS306" s="233"/>
      <c r="BT306" s="233">
        <f>SUM(BT307:BT307)</f>
        <v>0</v>
      </c>
      <c r="BU306" s="233"/>
      <c r="BV306" s="233"/>
      <c r="BW306" s="233"/>
      <c r="BX306" s="254"/>
      <c r="CA306" s="268"/>
      <c r="CB306" s="268"/>
    </row>
    <row r="307" spans="1:80" ht="12.75" hidden="1" customHeight="1" x14ac:dyDescent="0.2">
      <c r="A307" s="244"/>
      <c r="B307" s="244"/>
      <c r="D307" s="254" t="s">
        <v>310</v>
      </c>
      <c r="F307" s="348"/>
      <c r="G307" s="349">
        <v>0</v>
      </c>
      <c r="H307" s="350"/>
      <c r="I307" s="233"/>
      <c r="J307" s="227"/>
      <c r="K307" s="351"/>
      <c r="L307" s="349">
        <v>0</v>
      </c>
      <c r="M307" s="350"/>
      <c r="N307" s="233"/>
      <c r="O307" s="227"/>
      <c r="P307" s="351"/>
      <c r="Q307" s="349">
        <v>0</v>
      </c>
      <c r="R307" s="350"/>
      <c r="S307" s="233"/>
      <c r="T307" s="227"/>
      <c r="U307" s="351"/>
      <c r="V307" s="349">
        <v>0</v>
      </c>
      <c r="W307" s="350"/>
      <c r="X307" s="233"/>
      <c r="Y307" s="227"/>
      <c r="Z307" s="351"/>
      <c r="AA307" s="349">
        <v>0</v>
      </c>
      <c r="AB307" s="350"/>
      <c r="AC307" s="233"/>
      <c r="AD307" s="227"/>
      <c r="AE307" s="351"/>
      <c r="AF307" s="349">
        <v>0</v>
      </c>
      <c r="AG307" s="350"/>
      <c r="AH307" s="233"/>
      <c r="AI307" s="227"/>
      <c r="AJ307" s="351"/>
      <c r="AK307" s="349">
        <v>0</v>
      </c>
      <c r="AL307" s="350"/>
      <c r="AM307" s="233"/>
      <c r="AN307" s="227"/>
      <c r="AO307" s="351"/>
      <c r="AP307" s="349">
        <v>0</v>
      </c>
      <c r="AQ307" s="350"/>
      <c r="AR307" s="233"/>
      <c r="AS307" s="227"/>
      <c r="AT307" s="351"/>
      <c r="AU307" s="349">
        <v>0</v>
      </c>
      <c r="AV307" s="350"/>
      <c r="AW307" s="233"/>
      <c r="AX307" s="227"/>
      <c r="AY307" s="351"/>
      <c r="AZ307" s="349">
        <v>0</v>
      </c>
      <c r="BA307" s="350"/>
      <c r="BB307" s="233"/>
      <c r="BC307" s="227"/>
      <c r="BD307" s="351"/>
      <c r="BE307" s="349">
        <v>0</v>
      </c>
      <c r="BF307" s="350"/>
      <c r="BG307" s="233"/>
      <c r="BH307" s="227"/>
      <c r="BI307" s="351"/>
      <c r="BJ307" s="349">
        <v>0</v>
      </c>
      <c r="BK307" s="350"/>
      <c r="BL307" s="233"/>
      <c r="BM307" s="227"/>
      <c r="BN307" s="351"/>
      <c r="BO307" s="349">
        <v>0</v>
      </c>
      <c r="BP307" s="350"/>
      <c r="BQ307" s="233"/>
      <c r="BR307" s="227"/>
      <c r="BS307" s="351"/>
      <c r="BT307" s="349">
        <f>SUM(L307:BO307)</f>
        <v>0</v>
      </c>
      <c r="BU307" s="350"/>
      <c r="BV307" s="233"/>
      <c r="BW307" s="233"/>
      <c r="BX307" s="254"/>
      <c r="CA307" s="268"/>
      <c r="CB307" s="268"/>
    </row>
    <row r="308" spans="1:80" ht="12.75" hidden="1" customHeight="1" x14ac:dyDescent="0.2">
      <c r="A308" s="244"/>
      <c r="B308" s="244"/>
      <c r="D308" s="254"/>
      <c r="F308" s="244"/>
      <c r="G308" s="233"/>
      <c r="H308" s="233"/>
      <c r="I308" s="233"/>
      <c r="J308" s="227"/>
      <c r="K308" s="233"/>
      <c r="L308" s="233"/>
      <c r="M308" s="233"/>
      <c r="N308" s="233"/>
      <c r="O308" s="227"/>
      <c r="P308" s="233"/>
      <c r="Q308" s="233"/>
      <c r="R308" s="233"/>
      <c r="S308" s="233"/>
      <c r="T308" s="227"/>
      <c r="U308" s="233"/>
      <c r="V308" s="233"/>
      <c r="W308" s="233"/>
      <c r="X308" s="233"/>
      <c r="Y308" s="227"/>
      <c r="Z308" s="233"/>
      <c r="AA308" s="233"/>
      <c r="AB308" s="233"/>
      <c r="AC308" s="233"/>
      <c r="AD308" s="227"/>
      <c r="AE308" s="233"/>
      <c r="AF308" s="233"/>
      <c r="AG308" s="233"/>
      <c r="AH308" s="233"/>
      <c r="AI308" s="227"/>
      <c r="AJ308" s="233"/>
      <c r="AK308" s="233"/>
      <c r="AL308" s="233"/>
      <c r="AM308" s="233"/>
      <c r="AN308" s="227"/>
      <c r="AO308" s="233"/>
      <c r="AP308" s="233"/>
      <c r="AQ308" s="233"/>
      <c r="AR308" s="233"/>
      <c r="AS308" s="227"/>
      <c r="AT308" s="233"/>
      <c r="AU308" s="233"/>
      <c r="AV308" s="233"/>
      <c r="AW308" s="233"/>
      <c r="AX308" s="227"/>
      <c r="AY308" s="233"/>
      <c r="AZ308" s="233"/>
      <c r="BA308" s="233"/>
      <c r="BB308" s="233"/>
      <c r="BC308" s="227"/>
      <c r="BD308" s="233"/>
      <c r="BE308" s="233"/>
      <c r="BF308" s="233"/>
      <c r="BG308" s="233"/>
      <c r="BH308" s="227"/>
      <c r="BI308" s="233"/>
      <c r="BJ308" s="233"/>
      <c r="BK308" s="233"/>
      <c r="BL308" s="233"/>
      <c r="BM308" s="227"/>
      <c r="BN308" s="233"/>
      <c r="BO308" s="233"/>
      <c r="BP308" s="233"/>
      <c r="BQ308" s="233"/>
      <c r="BR308" s="227"/>
      <c r="BS308" s="233"/>
      <c r="BT308" s="233"/>
      <c r="BU308" s="233"/>
      <c r="BV308" s="233"/>
      <c r="BW308" s="233"/>
      <c r="BX308" s="254"/>
      <c r="CA308" s="268"/>
      <c r="CB308" s="268"/>
    </row>
    <row r="309" spans="1:80" s="268" customFormat="1" ht="12.75" hidden="1" customHeight="1" x14ac:dyDescent="0.2">
      <c r="A309" s="245"/>
      <c r="B309" s="245"/>
      <c r="D309" s="114" t="s">
        <v>304</v>
      </c>
      <c r="E309" s="376"/>
      <c r="F309" s="115"/>
      <c r="G309" s="233">
        <f>SUM(G310)</f>
        <v>0</v>
      </c>
      <c r="H309" s="233"/>
      <c r="I309" s="233"/>
      <c r="J309" s="227"/>
      <c r="K309" s="233"/>
      <c r="L309" s="233">
        <f>SUM(L310:L310)</f>
        <v>0</v>
      </c>
      <c r="M309" s="233"/>
      <c r="N309" s="233"/>
      <c r="O309" s="227"/>
      <c r="P309" s="233"/>
      <c r="Q309" s="233">
        <f>SUM(Q310:Q310)</f>
        <v>0</v>
      </c>
      <c r="R309" s="233"/>
      <c r="S309" s="233"/>
      <c r="T309" s="227"/>
      <c r="U309" s="233"/>
      <c r="V309" s="233">
        <f>SUM(V310:V310)</f>
        <v>0</v>
      </c>
      <c r="W309" s="233"/>
      <c r="X309" s="233"/>
      <c r="Y309" s="227"/>
      <c r="Z309" s="233"/>
      <c r="AA309" s="233">
        <f>SUM(AA310:AA310)</f>
        <v>0</v>
      </c>
      <c r="AB309" s="233"/>
      <c r="AC309" s="233"/>
      <c r="AD309" s="227"/>
      <c r="AE309" s="233"/>
      <c r="AF309" s="233">
        <f>SUM(AF310:AF310)</f>
        <v>0</v>
      </c>
      <c r="AG309" s="233"/>
      <c r="AH309" s="233"/>
      <c r="AI309" s="227"/>
      <c r="AJ309" s="233"/>
      <c r="AK309" s="233">
        <f>SUM(AK310:AK310)</f>
        <v>0</v>
      </c>
      <c r="AL309" s="233"/>
      <c r="AM309" s="233"/>
      <c r="AN309" s="227"/>
      <c r="AO309" s="233"/>
      <c r="AP309" s="233">
        <f>SUM(AP310:AP310)</f>
        <v>0</v>
      </c>
      <c r="AQ309" s="233"/>
      <c r="AR309" s="233"/>
      <c r="AS309" s="227"/>
      <c r="AT309" s="233"/>
      <c r="AU309" s="233">
        <f>SUM(AU310:AU310)</f>
        <v>0</v>
      </c>
      <c r="AV309" s="233"/>
      <c r="AW309" s="233"/>
      <c r="AX309" s="227"/>
      <c r="AY309" s="233"/>
      <c r="AZ309" s="233">
        <f>SUM(AZ310:AZ310)</f>
        <v>0</v>
      </c>
      <c r="BA309" s="233"/>
      <c r="BB309" s="233"/>
      <c r="BC309" s="227"/>
      <c r="BD309" s="233"/>
      <c r="BE309" s="233">
        <f>SUM(BE310:BE310)</f>
        <v>0</v>
      </c>
      <c r="BF309" s="233"/>
      <c r="BG309" s="233"/>
      <c r="BH309" s="227"/>
      <c r="BI309" s="233"/>
      <c r="BJ309" s="233">
        <f>SUM(BJ310:BJ310)</f>
        <v>0</v>
      </c>
      <c r="BK309" s="233"/>
      <c r="BL309" s="233"/>
      <c r="BM309" s="227"/>
      <c r="BN309" s="233"/>
      <c r="BO309" s="233">
        <f>SUM(BO310:BO310)</f>
        <v>0</v>
      </c>
      <c r="BP309" s="233"/>
      <c r="BQ309" s="233"/>
      <c r="BR309" s="227"/>
      <c r="BS309" s="233"/>
      <c r="BT309" s="233">
        <f>SUM(BT310:BT310)</f>
        <v>0</v>
      </c>
      <c r="BU309" s="233"/>
      <c r="BV309" s="233"/>
      <c r="BW309" s="340"/>
      <c r="BX309" s="262"/>
    </row>
    <row r="310" spans="1:80" ht="12.75" hidden="1" customHeight="1" x14ac:dyDescent="0.2">
      <c r="A310" s="244"/>
      <c r="B310" s="244"/>
      <c r="D310" s="254" t="s">
        <v>310</v>
      </c>
      <c r="E310" s="371"/>
      <c r="F310" s="377"/>
      <c r="G310" s="349">
        <v>0</v>
      </c>
      <c r="H310" s="350"/>
      <c r="I310" s="233"/>
      <c r="J310" s="227"/>
      <c r="K310" s="351"/>
      <c r="L310" s="349">
        <f>L314</f>
        <v>0</v>
      </c>
      <c r="M310" s="350"/>
      <c r="N310" s="233"/>
      <c r="O310" s="227"/>
      <c r="P310" s="351"/>
      <c r="Q310" s="349">
        <f>Q314</f>
        <v>0</v>
      </c>
      <c r="R310" s="350"/>
      <c r="S310" s="233"/>
      <c r="T310" s="227"/>
      <c r="U310" s="351"/>
      <c r="V310" s="349">
        <f>V314</f>
        <v>0</v>
      </c>
      <c r="W310" s="350"/>
      <c r="X310" s="233"/>
      <c r="Y310" s="227"/>
      <c r="Z310" s="351"/>
      <c r="AA310" s="349">
        <f>AA314</f>
        <v>0</v>
      </c>
      <c r="AB310" s="350"/>
      <c r="AC310" s="233"/>
      <c r="AD310" s="227"/>
      <c r="AE310" s="351"/>
      <c r="AF310" s="349">
        <v>0</v>
      </c>
      <c r="AG310" s="350"/>
      <c r="AH310" s="233"/>
      <c r="AI310" s="227"/>
      <c r="AJ310" s="351"/>
      <c r="AK310" s="349">
        <f>AK314</f>
        <v>0</v>
      </c>
      <c r="AL310" s="350"/>
      <c r="AM310" s="233"/>
      <c r="AN310" s="227"/>
      <c r="AO310" s="351"/>
      <c r="AP310" s="349">
        <f>AP314</f>
        <v>0</v>
      </c>
      <c r="AQ310" s="350"/>
      <c r="AR310" s="233"/>
      <c r="AS310" s="227"/>
      <c r="AT310" s="351"/>
      <c r="AU310" s="349">
        <f>AU314</f>
        <v>0</v>
      </c>
      <c r="AV310" s="350"/>
      <c r="AW310" s="233"/>
      <c r="AX310" s="227"/>
      <c r="AY310" s="351"/>
      <c r="AZ310" s="349">
        <f>AZ314</f>
        <v>0</v>
      </c>
      <c r="BA310" s="350"/>
      <c r="BB310" s="233"/>
      <c r="BC310" s="227"/>
      <c r="BD310" s="351"/>
      <c r="BE310" s="349">
        <f>BE314</f>
        <v>0</v>
      </c>
      <c r="BF310" s="350"/>
      <c r="BG310" s="233"/>
      <c r="BH310" s="227"/>
      <c r="BI310" s="351"/>
      <c r="BJ310" s="349">
        <f>BJ314</f>
        <v>0</v>
      </c>
      <c r="BK310" s="350"/>
      <c r="BL310" s="233"/>
      <c r="BM310" s="227"/>
      <c r="BN310" s="351"/>
      <c r="BO310" s="349">
        <f>BO314</f>
        <v>0</v>
      </c>
      <c r="BP310" s="350"/>
      <c r="BQ310" s="233"/>
      <c r="BR310" s="227"/>
      <c r="BS310" s="351"/>
      <c r="BT310" s="349">
        <f>SUM(L310:BO310)</f>
        <v>0</v>
      </c>
      <c r="BU310" s="350"/>
      <c r="BV310" s="233"/>
      <c r="BW310" s="233"/>
      <c r="BX310" s="254"/>
      <c r="CA310" s="268"/>
      <c r="CB310" s="268"/>
    </row>
    <row r="311" spans="1:80" ht="12.75" hidden="1" customHeight="1" x14ac:dyDescent="0.2">
      <c r="A311" s="244"/>
      <c r="B311" s="244"/>
      <c r="D311" s="254"/>
      <c r="F311" s="244"/>
      <c r="G311" s="233"/>
      <c r="H311" s="233"/>
      <c r="I311" s="233"/>
      <c r="J311" s="227"/>
      <c r="K311" s="233"/>
      <c r="L311" s="244"/>
      <c r="M311" s="244"/>
      <c r="N311" s="244"/>
      <c r="O311" s="261"/>
      <c r="P311" s="244"/>
      <c r="Q311" s="244"/>
      <c r="R311" s="244"/>
      <c r="S311" s="244"/>
      <c r="T311" s="261"/>
      <c r="U311" s="244"/>
      <c r="V311" s="244"/>
      <c r="W311" s="244"/>
      <c r="X311" s="244"/>
      <c r="Y311" s="261"/>
      <c r="Z311" s="244"/>
      <c r="AA311" s="244"/>
      <c r="AB311" s="244"/>
      <c r="AC311" s="244"/>
      <c r="AD311" s="261"/>
      <c r="AE311" s="244"/>
      <c r="AF311" s="244"/>
      <c r="AG311" s="244"/>
      <c r="AH311" s="244"/>
      <c r="AI311" s="261"/>
      <c r="AJ311" s="244"/>
      <c r="AK311" s="244"/>
      <c r="AL311" s="244"/>
      <c r="AM311" s="244"/>
      <c r="AN311" s="261"/>
      <c r="AO311" s="244"/>
      <c r="AP311" s="244"/>
      <c r="AQ311" s="244"/>
      <c r="AR311" s="244"/>
      <c r="AS311" s="261"/>
      <c r="AT311" s="244"/>
      <c r="AU311" s="244"/>
      <c r="AV311" s="244"/>
      <c r="AW311" s="244"/>
      <c r="AX311" s="261"/>
      <c r="AY311" s="244"/>
      <c r="AZ311" s="244"/>
      <c r="BA311" s="244"/>
      <c r="BB311" s="244"/>
      <c r="BC311" s="261"/>
      <c r="BD311" s="244"/>
      <c r="BE311" s="244"/>
      <c r="BF311" s="244"/>
      <c r="BG311" s="244"/>
      <c r="BH311" s="261"/>
      <c r="BI311" s="244"/>
      <c r="BJ311" s="244"/>
      <c r="BK311" s="244"/>
      <c r="BL311" s="244"/>
      <c r="BM311" s="261"/>
      <c r="BN311" s="244"/>
      <c r="BO311" s="244"/>
      <c r="BP311" s="244"/>
      <c r="BQ311" s="244"/>
      <c r="BR311" s="261"/>
      <c r="BS311" s="244"/>
      <c r="BT311" s="244"/>
      <c r="BU311" s="244"/>
      <c r="BV311" s="244"/>
      <c r="BW311" s="244"/>
      <c r="BX311" s="254"/>
      <c r="CA311" s="268"/>
      <c r="CB311" s="268"/>
    </row>
    <row r="312" spans="1:80" ht="12.75" hidden="1" customHeight="1" x14ac:dyDescent="0.2">
      <c r="A312" s="244"/>
      <c r="B312" s="244"/>
      <c r="D312" s="254"/>
      <c r="F312" s="244"/>
      <c r="G312" s="233"/>
      <c r="H312" s="233"/>
      <c r="I312" s="233"/>
      <c r="J312" s="227"/>
      <c r="K312" s="233"/>
      <c r="L312" s="233"/>
      <c r="M312" s="233"/>
      <c r="N312" s="233"/>
      <c r="O312" s="227"/>
      <c r="P312" s="233"/>
      <c r="Q312" s="233"/>
      <c r="R312" s="233"/>
      <c r="S312" s="233"/>
      <c r="T312" s="227"/>
      <c r="U312" s="233"/>
      <c r="V312" s="233"/>
      <c r="W312" s="233"/>
      <c r="X312" s="233"/>
      <c r="Y312" s="227"/>
      <c r="Z312" s="233"/>
      <c r="AA312" s="233"/>
      <c r="AB312" s="233"/>
      <c r="AC312" s="233"/>
      <c r="AD312" s="227"/>
      <c r="AE312" s="233"/>
      <c r="AF312" s="233"/>
      <c r="AG312" s="233"/>
      <c r="AH312" s="233"/>
      <c r="AI312" s="227"/>
      <c r="AJ312" s="233"/>
      <c r="AK312" s="233"/>
      <c r="AL312" s="233"/>
      <c r="AM312" s="233"/>
      <c r="AN312" s="227"/>
      <c r="AO312" s="233"/>
      <c r="AP312" s="233"/>
      <c r="AQ312" s="233"/>
      <c r="AR312" s="233"/>
      <c r="AS312" s="227"/>
      <c r="AT312" s="233"/>
      <c r="AU312" s="233"/>
      <c r="AV312" s="233"/>
      <c r="AW312" s="233"/>
      <c r="AX312" s="227"/>
      <c r="AY312" s="233"/>
      <c r="AZ312" s="233"/>
      <c r="BA312" s="233"/>
      <c r="BB312" s="233"/>
      <c r="BC312" s="227"/>
      <c r="BD312" s="233"/>
      <c r="BE312" s="233"/>
      <c r="BF312" s="233"/>
      <c r="BG312" s="233"/>
      <c r="BH312" s="227"/>
      <c r="BI312" s="233"/>
      <c r="BJ312" s="233"/>
      <c r="BK312" s="233"/>
      <c r="BL312" s="233"/>
      <c r="BM312" s="227"/>
      <c r="BN312" s="233"/>
      <c r="BO312" s="233"/>
      <c r="BP312" s="233"/>
      <c r="BQ312" s="233"/>
      <c r="BR312" s="227"/>
      <c r="BS312" s="233"/>
      <c r="BT312" s="233"/>
      <c r="BU312" s="233"/>
      <c r="BV312" s="233"/>
      <c r="BW312" s="233"/>
      <c r="BX312" s="254"/>
      <c r="CA312" s="268"/>
      <c r="CB312" s="268"/>
    </row>
    <row r="313" spans="1:80" ht="12.75" hidden="1" customHeight="1" x14ac:dyDescent="0.2">
      <c r="A313" s="244"/>
      <c r="B313" s="244"/>
      <c r="D313" s="254" t="str">
        <f>[65]domredemp!D86</f>
        <v xml:space="preserve">  I2029 (1.875%  2029/03/31)</v>
      </c>
      <c r="F313" s="244"/>
      <c r="G313" s="233">
        <v>0</v>
      </c>
      <c r="H313" s="233"/>
      <c r="I313" s="233"/>
      <c r="J313" s="227"/>
      <c r="K313" s="233"/>
      <c r="L313" s="233">
        <f>SUM(L314:L314)</f>
        <v>0</v>
      </c>
      <c r="M313" s="233"/>
      <c r="N313" s="233"/>
      <c r="O313" s="227"/>
      <c r="P313" s="233"/>
      <c r="Q313" s="233">
        <f>SUM(Q314:Q314)</f>
        <v>0</v>
      </c>
      <c r="R313" s="233"/>
      <c r="S313" s="233"/>
      <c r="T313" s="227"/>
      <c r="U313" s="233"/>
      <c r="V313" s="233">
        <f>SUM(V314:V314)</f>
        <v>0</v>
      </c>
      <c r="W313" s="233"/>
      <c r="X313" s="233"/>
      <c r="Y313" s="227"/>
      <c r="Z313" s="233"/>
      <c r="AA313" s="233">
        <f>SUM(AA314:AA314)</f>
        <v>0</v>
      </c>
      <c r="AB313" s="233"/>
      <c r="AC313" s="233"/>
      <c r="AD313" s="227"/>
      <c r="AE313" s="233"/>
      <c r="AF313" s="233">
        <f>SUM(AF314:AF314)</f>
        <v>0</v>
      </c>
      <c r="AG313" s="233"/>
      <c r="AH313" s="233"/>
      <c r="AI313" s="227"/>
      <c r="AJ313" s="233"/>
      <c r="AK313" s="233">
        <f>SUM(AK314:AK314)</f>
        <v>0</v>
      </c>
      <c r="AL313" s="233"/>
      <c r="AM313" s="233"/>
      <c r="AN313" s="227"/>
      <c r="AO313" s="233"/>
      <c r="AP313" s="233">
        <f>SUM(AP314:AP314)</f>
        <v>0</v>
      </c>
      <c r="AQ313" s="233"/>
      <c r="AR313" s="233"/>
      <c r="AS313" s="227"/>
      <c r="AT313" s="233"/>
      <c r="AU313" s="233">
        <f>SUM(AU314:AU314)</f>
        <v>0</v>
      </c>
      <c r="AV313" s="233"/>
      <c r="AW313" s="233"/>
      <c r="AX313" s="227"/>
      <c r="AY313" s="233"/>
      <c r="AZ313" s="233">
        <f>SUM(AZ314:AZ314)</f>
        <v>0</v>
      </c>
      <c r="BA313" s="233"/>
      <c r="BB313" s="233"/>
      <c r="BC313" s="227"/>
      <c r="BD313" s="233"/>
      <c r="BE313" s="233">
        <f>SUM(BE314:BE314)</f>
        <v>0</v>
      </c>
      <c r="BF313" s="233"/>
      <c r="BG313" s="233"/>
      <c r="BH313" s="227"/>
      <c r="BI313" s="233"/>
      <c r="BJ313" s="233">
        <f>SUM(BJ314:BJ314)</f>
        <v>0</v>
      </c>
      <c r="BK313" s="233"/>
      <c r="BL313" s="233"/>
      <c r="BM313" s="227"/>
      <c r="BN313" s="233"/>
      <c r="BO313" s="233">
        <f>SUM(BO314:BO314)</f>
        <v>0</v>
      </c>
      <c r="BP313" s="233"/>
      <c r="BQ313" s="233"/>
      <c r="BR313" s="227"/>
      <c r="BS313" s="233"/>
      <c r="BT313" s="233">
        <f>SUM(BT314:BT314)</f>
        <v>0</v>
      </c>
      <c r="BU313" s="233"/>
      <c r="BV313" s="233"/>
      <c r="BW313" s="233"/>
      <c r="BX313" s="254"/>
      <c r="CA313" s="268"/>
      <c r="CB313" s="268"/>
    </row>
    <row r="314" spans="1:80" ht="12.75" hidden="1" customHeight="1" x14ac:dyDescent="0.2">
      <c r="A314" s="244"/>
      <c r="B314" s="244"/>
      <c r="D314" s="254" t="s">
        <v>310</v>
      </c>
      <c r="F314" s="348"/>
      <c r="G314" s="349">
        <v>0</v>
      </c>
      <c r="H314" s="350"/>
      <c r="I314" s="233"/>
      <c r="J314" s="227"/>
      <c r="K314" s="351"/>
      <c r="L314" s="349">
        <v>0</v>
      </c>
      <c r="M314" s="350"/>
      <c r="N314" s="233"/>
      <c r="O314" s="227"/>
      <c r="P314" s="351"/>
      <c r="Q314" s="349">
        <v>0</v>
      </c>
      <c r="R314" s="350"/>
      <c r="S314" s="233"/>
      <c r="T314" s="227"/>
      <c r="U314" s="351"/>
      <c r="V314" s="349">
        <v>0</v>
      </c>
      <c r="W314" s="350"/>
      <c r="X314" s="233"/>
      <c r="Y314" s="227"/>
      <c r="Z314" s="351"/>
      <c r="AA314" s="349">
        <v>0</v>
      </c>
      <c r="AB314" s="350"/>
      <c r="AC314" s="233"/>
      <c r="AD314" s="227"/>
      <c r="AE314" s="351"/>
      <c r="AF314" s="349">
        <v>0</v>
      </c>
      <c r="AG314" s="350"/>
      <c r="AH314" s="233"/>
      <c r="AI314" s="227"/>
      <c r="AJ314" s="351"/>
      <c r="AK314" s="349">
        <v>0</v>
      </c>
      <c r="AL314" s="350"/>
      <c r="AM314" s="233"/>
      <c r="AN314" s="227"/>
      <c r="AO314" s="351"/>
      <c r="AP314" s="349">
        <v>0</v>
      </c>
      <c r="AQ314" s="350"/>
      <c r="AR314" s="233"/>
      <c r="AS314" s="227"/>
      <c r="AT314" s="351"/>
      <c r="AU314" s="349">
        <v>0</v>
      </c>
      <c r="AV314" s="350"/>
      <c r="AW314" s="233"/>
      <c r="AX314" s="227"/>
      <c r="AY314" s="351"/>
      <c r="AZ314" s="349">
        <v>0</v>
      </c>
      <c r="BA314" s="350"/>
      <c r="BB314" s="233"/>
      <c r="BC314" s="227"/>
      <c r="BD314" s="351"/>
      <c r="BE314" s="349">
        <v>0</v>
      </c>
      <c r="BF314" s="350"/>
      <c r="BG314" s="233"/>
      <c r="BH314" s="227"/>
      <c r="BI314" s="351"/>
      <c r="BJ314" s="349">
        <v>0</v>
      </c>
      <c r="BK314" s="350"/>
      <c r="BL314" s="233"/>
      <c r="BM314" s="227"/>
      <c r="BN314" s="351"/>
      <c r="BO314" s="349">
        <v>0</v>
      </c>
      <c r="BP314" s="350"/>
      <c r="BQ314" s="233"/>
      <c r="BR314" s="227"/>
      <c r="BS314" s="351"/>
      <c r="BT314" s="349">
        <f>SUM(L314:BO314)</f>
        <v>0</v>
      </c>
      <c r="BU314" s="350"/>
      <c r="BV314" s="233"/>
      <c r="BW314" s="233"/>
      <c r="BX314" s="254"/>
      <c r="CA314" s="268"/>
      <c r="CB314" s="268"/>
    </row>
    <row r="315" spans="1:80" ht="12.75" hidden="1" customHeight="1" x14ac:dyDescent="0.2">
      <c r="A315" s="244"/>
      <c r="B315" s="244"/>
      <c r="D315" s="254"/>
      <c r="F315" s="244"/>
      <c r="G315" s="233"/>
      <c r="H315" s="233"/>
      <c r="I315" s="233"/>
      <c r="J315" s="227"/>
      <c r="K315" s="233"/>
      <c r="L315" s="233"/>
      <c r="M315" s="233"/>
      <c r="N315" s="233"/>
      <c r="O315" s="227"/>
      <c r="P315" s="233"/>
      <c r="Q315" s="233"/>
      <c r="R315" s="233"/>
      <c r="S315" s="233"/>
      <c r="T315" s="227"/>
      <c r="U315" s="233"/>
      <c r="V315" s="233"/>
      <c r="W315" s="233"/>
      <c r="X315" s="233"/>
      <c r="Y315" s="227"/>
      <c r="Z315" s="233"/>
      <c r="AA315" s="233"/>
      <c r="AB315" s="233"/>
      <c r="AC315" s="233"/>
      <c r="AD315" s="227"/>
      <c r="AE315" s="233"/>
      <c r="AF315" s="233"/>
      <c r="AG315" s="233"/>
      <c r="AH315" s="233"/>
      <c r="AI315" s="227"/>
      <c r="AJ315" s="233"/>
      <c r="AK315" s="233"/>
      <c r="AL315" s="233"/>
      <c r="AM315" s="233"/>
      <c r="AN315" s="227"/>
      <c r="AO315" s="233"/>
      <c r="AP315" s="233"/>
      <c r="AQ315" s="233"/>
      <c r="AR315" s="233"/>
      <c r="AS315" s="227"/>
      <c r="AT315" s="233"/>
      <c r="AU315" s="233"/>
      <c r="AV315" s="233"/>
      <c r="AW315" s="233"/>
      <c r="AX315" s="227"/>
      <c r="AY315" s="233"/>
      <c r="AZ315" s="233"/>
      <c r="BA315" s="233"/>
      <c r="BB315" s="233"/>
      <c r="BC315" s="227"/>
      <c r="BD315" s="233"/>
      <c r="BE315" s="233"/>
      <c r="BF315" s="233"/>
      <c r="BG315" s="233"/>
      <c r="BH315" s="227"/>
      <c r="BI315" s="233"/>
      <c r="BJ315" s="233"/>
      <c r="BK315" s="233"/>
      <c r="BL315" s="233"/>
      <c r="BM315" s="227"/>
      <c r="BN315" s="233"/>
      <c r="BO315" s="233"/>
      <c r="BP315" s="233"/>
      <c r="BQ315" s="233"/>
      <c r="BR315" s="227"/>
      <c r="BS315" s="233"/>
      <c r="BT315" s="233"/>
      <c r="BU315" s="233"/>
      <c r="BV315" s="233"/>
      <c r="BW315" s="233"/>
      <c r="BX315" s="254"/>
      <c r="CA315" s="268"/>
      <c r="CB315" s="268"/>
    </row>
    <row r="316" spans="1:80" ht="12.75" hidden="1" customHeight="1" x14ac:dyDescent="0.2">
      <c r="A316" s="244"/>
      <c r="B316" s="244"/>
      <c r="D316" s="254"/>
      <c r="F316" s="244"/>
      <c r="G316" s="233"/>
      <c r="H316" s="233"/>
      <c r="I316" s="233"/>
      <c r="J316" s="227"/>
      <c r="K316" s="233"/>
      <c r="L316" s="233"/>
      <c r="M316" s="233"/>
      <c r="N316" s="233"/>
      <c r="O316" s="227"/>
      <c r="P316" s="233"/>
      <c r="Q316" s="233"/>
      <c r="R316" s="233"/>
      <c r="S316" s="233"/>
      <c r="T316" s="227"/>
      <c r="U316" s="233"/>
      <c r="V316" s="233"/>
      <c r="W316" s="233"/>
      <c r="X316" s="233"/>
      <c r="Y316" s="227"/>
      <c r="Z316" s="233"/>
      <c r="AA316" s="233"/>
      <c r="AB316" s="233"/>
      <c r="AC316" s="233"/>
      <c r="AD316" s="227"/>
      <c r="AE316" s="233"/>
      <c r="AF316" s="233"/>
      <c r="AG316" s="233"/>
      <c r="AH316" s="233"/>
      <c r="AI316" s="227"/>
      <c r="AJ316" s="233"/>
      <c r="AK316" s="233"/>
      <c r="AL316" s="233"/>
      <c r="AM316" s="233"/>
      <c r="AN316" s="227"/>
      <c r="AO316" s="233"/>
      <c r="AP316" s="233"/>
      <c r="AQ316" s="233"/>
      <c r="AR316" s="233"/>
      <c r="AS316" s="227"/>
      <c r="AT316" s="233"/>
      <c r="AU316" s="233"/>
      <c r="AV316" s="233"/>
      <c r="AW316" s="233"/>
      <c r="AX316" s="227"/>
      <c r="AY316" s="233"/>
      <c r="AZ316" s="233"/>
      <c r="BA316" s="233"/>
      <c r="BB316" s="233"/>
      <c r="BC316" s="227"/>
      <c r="BD316" s="233"/>
      <c r="BE316" s="233"/>
      <c r="BF316" s="233"/>
      <c r="BG316" s="233"/>
      <c r="BH316" s="227"/>
      <c r="BI316" s="233"/>
      <c r="BJ316" s="233"/>
      <c r="BK316" s="233"/>
      <c r="BL316" s="233"/>
      <c r="BM316" s="227"/>
      <c r="BN316" s="233"/>
      <c r="BO316" s="233"/>
      <c r="BP316" s="233"/>
      <c r="BQ316" s="233"/>
      <c r="BR316" s="227"/>
      <c r="BS316" s="233"/>
      <c r="BT316" s="233"/>
      <c r="BU316" s="233"/>
      <c r="BV316" s="233"/>
      <c r="BW316" s="233"/>
      <c r="BX316" s="254"/>
      <c r="CA316" s="268"/>
      <c r="CB316" s="268"/>
    </row>
    <row r="317" spans="1:80" ht="12.75" hidden="1" customHeight="1" x14ac:dyDescent="0.2">
      <c r="A317" s="244"/>
      <c r="B317" s="244"/>
      <c r="D317" s="254" t="s">
        <v>374</v>
      </c>
      <c r="F317" s="244"/>
      <c r="G317" s="233">
        <v>0</v>
      </c>
      <c r="H317" s="233"/>
      <c r="I317" s="233"/>
      <c r="J317" s="227"/>
      <c r="K317" s="233"/>
      <c r="L317" s="233">
        <f>SUM(L318:L318)</f>
        <v>0</v>
      </c>
      <c r="M317" s="233"/>
      <c r="N317" s="233"/>
      <c r="O317" s="227"/>
      <c r="P317" s="233"/>
      <c r="Q317" s="233">
        <f>SUM(Q318:Q318)</f>
        <v>0</v>
      </c>
      <c r="R317" s="233"/>
      <c r="S317" s="233"/>
      <c r="T317" s="227"/>
      <c r="U317" s="233"/>
      <c r="V317" s="233">
        <f>SUM(V318:V318)</f>
        <v>0</v>
      </c>
      <c r="W317" s="233"/>
      <c r="X317" s="233"/>
      <c r="Y317" s="227"/>
      <c r="Z317" s="233">
        <f t="shared" ref="Z317:BQ317" si="2">SUM(Z318:Z318)</f>
        <v>0</v>
      </c>
      <c r="AA317" s="233">
        <f>SUM(AA318:AA318)</f>
        <v>0</v>
      </c>
      <c r="AB317" s="233">
        <f t="shared" si="2"/>
        <v>0</v>
      </c>
      <c r="AC317" s="233">
        <f t="shared" si="2"/>
        <v>0</v>
      </c>
      <c r="AD317" s="227">
        <f t="shared" si="2"/>
        <v>0</v>
      </c>
      <c r="AE317" s="233">
        <f t="shared" si="2"/>
        <v>0</v>
      </c>
      <c r="AF317" s="233">
        <f>SUM(AF318:AF318)</f>
        <v>0</v>
      </c>
      <c r="AG317" s="233">
        <f t="shared" si="2"/>
        <v>0</v>
      </c>
      <c r="AH317" s="233">
        <f t="shared" si="2"/>
        <v>0</v>
      </c>
      <c r="AI317" s="227">
        <f t="shared" si="2"/>
        <v>0</v>
      </c>
      <c r="AJ317" s="233">
        <f t="shared" si="2"/>
        <v>0</v>
      </c>
      <c r="AK317" s="233">
        <f>SUM(AK318:AK318)</f>
        <v>0</v>
      </c>
      <c r="AL317" s="233">
        <f t="shared" si="2"/>
        <v>0</v>
      </c>
      <c r="AM317" s="233">
        <f t="shared" si="2"/>
        <v>0</v>
      </c>
      <c r="AN317" s="227">
        <f t="shared" si="2"/>
        <v>0</v>
      </c>
      <c r="AO317" s="233">
        <f t="shared" si="2"/>
        <v>0</v>
      </c>
      <c r="AP317" s="233">
        <f>SUM(AP318:AP318)</f>
        <v>0</v>
      </c>
      <c r="AQ317" s="233">
        <f t="shared" si="2"/>
        <v>0</v>
      </c>
      <c r="AR317" s="233">
        <f t="shared" si="2"/>
        <v>0</v>
      </c>
      <c r="AS317" s="227">
        <f t="shared" si="2"/>
        <v>0</v>
      </c>
      <c r="AT317" s="233">
        <f t="shared" si="2"/>
        <v>0</v>
      </c>
      <c r="AU317" s="233">
        <f>SUM(AU318:AU318)</f>
        <v>0</v>
      </c>
      <c r="AV317" s="233">
        <f t="shared" si="2"/>
        <v>0</v>
      </c>
      <c r="AW317" s="233">
        <f t="shared" si="2"/>
        <v>0</v>
      </c>
      <c r="AX317" s="227">
        <f t="shared" si="2"/>
        <v>0</v>
      </c>
      <c r="AY317" s="233">
        <f t="shared" si="2"/>
        <v>0</v>
      </c>
      <c r="AZ317" s="233">
        <f>SUM(AZ318:AZ318)</f>
        <v>0</v>
      </c>
      <c r="BA317" s="233">
        <f t="shared" si="2"/>
        <v>0</v>
      </c>
      <c r="BB317" s="233">
        <f t="shared" si="2"/>
        <v>0</v>
      </c>
      <c r="BC317" s="227">
        <f t="shared" si="2"/>
        <v>0</v>
      </c>
      <c r="BD317" s="233">
        <f t="shared" si="2"/>
        <v>0</v>
      </c>
      <c r="BE317" s="233">
        <f>SUM(BE318:BE318)</f>
        <v>0</v>
      </c>
      <c r="BF317" s="233">
        <f t="shared" si="2"/>
        <v>0</v>
      </c>
      <c r="BG317" s="233">
        <f t="shared" si="2"/>
        <v>0</v>
      </c>
      <c r="BH317" s="227">
        <f t="shared" si="2"/>
        <v>0</v>
      </c>
      <c r="BI317" s="233">
        <f t="shared" si="2"/>
        <v>0</v>
      </c>
      <c r="BJ317" s="233">
        <f>SUM(BJ318:BJ318)</f>
        <v>0</v>
      </c>
      <c r="BK317" s="233">
        <f t="shared" si="2"/>
        <v>0</v>
      </c>
      <c r="BL317" s="233">
        <f t="shared" si="2"/>
        <v>0</v>
      </c>
      <c r="BM317" s="227">
        <f t="shared" si="2"/>
        <v>0</v>
      </c>
      <c r="BN317" s="233">
        <f t="shared" si="2"/>
        <v>0</v>
      </c>
      <c r="BO317" s="233">
        <f>SUM(BO318:BO318)</f>
        <v>0</v>
      </c>
      <c r="BP317" s="233">
        <f t="shared" si="2"/>
        <v>0</v>
      </c>
      <c r="BQ317" s="233">
        <f t="shared" si="2"/>
        <v>0</v>
      </c>
      <c r="BR317" s="227"/>
      <c r="BS317" s="233"/>
      <c r="BT317" s="233">
        <f>SUM(BT318:BT318)</f>
        <v>0</v>
      </c>
      <c r="BU317" s="233"/>
      <c r="BV317" s="233"/>
      <c r="BW317" s="233"/>
      <c r="BX317" s="254"/>
      <c r="CA317" s="268"/>
      <c r="CB317" s="268"/>
    </row>
    <row r="318" spans="1:80" ht="12.75" hidden="1" customHeight="1" x14ac:dyDescent="0.2">
      <c r="A318" s="244"/>
      <c r="B318" s="244"/>
      <c r="D318" s="254" t="s">
        <v>310</v>
      </c>
      <c r="F318" s="348"/>
      <c r="G318" s="349">
        <v>0</v>
      </c>
      <c r="H318" s="350"/>
      <c r="I318" s="233"/>
      <c r="J318" s="227"/>
      <c r="K318" s="351"/>
      <c r="L318" s="349">
        <v>0</v>
      </c>
      <c r="M318" s="350"/>
      <c r="N318" s="233"/>
      <c r="O318" s="227"/>
      <c r="P318" s="351"/>
      <c r="Q318" s="349">
        <v>0</v>
      </c>
      <c r="R318" s="350"/>
      <c r="S318" s="233"/>
      <c r="T318" s="227"/>
      <c r="U318" s="351"/>
      <c r="V318" s="349">
        <v>0</v>
      </c>
      <c r="W318" s="350"/>
      <c r="X318" s="233"/>
      <c r="Y318" s="227"/>
      <c r="Z318" s="351"/>
      <c r="AA318" s="349">
        <v>0</v>
      </c>
      <c r="AB318" s="350"/>
      <c r="AC318" s="233"/>
      <c r="AD318" s="227"/>
      <c r="AE318" s="351"/>
      <c r="AF318" s="349">
        <v>0</v>
      </c>
      <c r="AG318" s="350"/>
      <c r="AH318" s="233"/>
      <c r="AI318" s="227"/>
      <c r="AJ318" s="351"/>
      <c r="AK318" s="349">
        <v>0</v>
      </c>
      <c r="AL318" s="350"/>
      <c r="AM318" s="233"/>
      <c r="AN318" s="227"/>
      <c r="AO318" s="351"/>
      <c r="AP318" s="349">
        <v>0</v>
      </c>
      <c r="AQ318" s="350"/>
      <c r="AR318" s="233"/>
      <c r="AS318" s="227"/>
      <c r="AT318" s="351"/>
      <c r="AU318" s="349">
        <v>0</v>
      </c>
      <c r="AV318" s="350"/>
      <c r="AW318" s="233"/>
      <c r="AX318" s="227"/>
      <c r="AY318" s="351"/>
      <c r="AZ318" s="349">
        <v>0</v>
      </c>
      <c r="BA318" s="350"/>
      <c r="BB318" s="233"/>
      <c r="BC318" s="227"/>
      <c r="BD318" s="351"/>
      <c r="BE318" s="349">
        <v>0</v>
      </c>
      <c r="BF318" s="350"/>
      <c r="BG318" s="233"/>
      <c r="BH318" s="227"/>
      <c r="BI318" s="351"/>
      <c r="BJ318" s="349">
        <v>0</v>
      </c>
      <c r="BK318" s="350"/>
      <c r="BL318" s="233"/>
      <c r="BM318" s="227"/>
      <c r="BN318" s="351"/>
      <c r="BO318" s="349">
        <v>0</v>
      </c>
      <c r="BP318" s="350"/>
      <c r="BQ318" s="233"/>
      <c r="BR318" s="227"/>
      <c r="BS318" s="351"/>
      <c r="BT318" s="349">
        <f>SUM(L318:BO318)</f>
        <v>0</v>
      </c>
      <c r="BU318" s="350"/>
      <c r="BV318" s="233"/>
      <c r="BW318" s="233"/>
      <c r="BX318" s="254"/>
      <c r="CA318" s="268"/>
      <c r="CB318" s="268"/>
    </row>
    <row r="319" spans="1:80" ht="12.75" customHeight="1" x14ac:dyDescent="0.2">
      <c r="A319" s="244"/>
      <c r="B319" s="244"/>
      <c r="D319" s="254"/>
      <c r="F319" s="244"/>
      <c r="G319" s="233"/>
      <c r="H319" s="233"/>
      <c r="I319" s="233"/>
      <c r="J319" s="227"/>
      <c r="K319" s="233"/>
      <c r="L319" s="233"/>
      <c r="M319" s="233"/>
      <c r="N319" s="233"/>
      <c r="O319" s="227"/>
      <c r="P319" s="233"/>
      <c r="Q319" s="233"/>
      <c r="R319" s="233"/>
      <c r="S319" s="233"/>
      <c r="T319" s="227"/>
      <c r="U319" s="233"/>
      <c r="V319" s="233"/>
      <c r="W319" s="233"/>
      <c r="X319" s="233"/>
      <c r="Y319" s="227"/>
      <c r="Z319" s="233"/>
      <c r="AA319" s="233"/>
      <c r="AB319" s="233"/>
      <c r="AC319" s="233"/>
      <c r="AD319" s="227"/>
      <c r="AE319" s="233"/>
      <c r="AF319" s="233"/>
      <c r="AG319" s="233"/>
      <c r="AH319" s="233"/>
      <c r="AI319" s="227"/>
      <c r="AJ319" s="233"/>
      <c r="AK319" s="233"/>
      <c r="AL319" s="233"/>
      <c r="AM319" s="233"/>
      <c r="AN319" s="227"/>
      <c r="AO319" s="233"/>
      <c r="AP319" s="233"/>
      <c r="AQ319" s="233"/>
      <c r="AR319" s="233"/>
      <c r="AS319" s="227"/>
      <c r="AT319" s="233"/>
      <c r="AU319" s="233"/>
      <c r="AV319" s="233"/>
      <c r="AW319" s="233"/>
      <c r="AX319" s="227"/>
      <c r="AY319" s="233"/>
      <c r="AZ319" s="233"/>
      <c r="BA319" s="233"/>
      <c r="BB319" s="233"/>
      <c r="BC319" s="227"/>
      <c r="BD319" s="233"/>
      <c r="BE319" s="233"/>
      <c r="BF319" s="233"/>
      <c r="BG319" s="233"/>
      <c r="BH319" s="227"/>
      <c r="BI319" s="233"/>
      <c r="BJ319" s="233"/>
      <c r="BK319" s="233"/>
      <c r="BL319" s="233"/>
      <c r="BM319" s="227"/>
      <c r="BN319" s="233"/>
      <c r="BO319" s="233"/>
      <c r="BP319" s="233"/>
      <c r="BQ319" s="233"/>
      <c r="BR319" s="227"/>
      <c r="BS319" s="233"/>
      <c r="BT319" s="233"/>
      <c r="BU319" s="233"/>
      <c r="BV319" s="233"/>
      <c r="BW319" s="233"/>
      <c r="BX319" s="254"/>
      <c r="CA319" s="268"/>
      <c r="CB319" s="268"/>
    </row>
    <row r="320" spans="1:80" ht="12.75" customHeight="1" x14ac:dyDescent="0.2">
      <c r="A320" s="244"/>
      <c r="B320" s="244"/>
      <c r="D320" s="254" t="s">
        <v>319</v>
      </c>
      <c r="F320" s="244"/>
      <c r="G320" s="233">
        <v>0</v>
      </c>
      <c r="H320" s="233"/>
      <c r="I320" s="233"/>
      <c r="J320" s="227"/>
      <c r="K320" s="233"/>
      <c r="L320" s="233">
        <f>SUM(L321:L321)</f>
        <v>0</v>
      </c>
      <c r="M320" s="233"/>
      <c r="N320" s="233"/>
      <c r="O320" s="227"/>
      <c r="P320" s="233"/>
      <c r="Q320" s="233">
        <f>SUM(Q321:Q321)</f>
        <v>0</v>
      </c>
      <c r="R320" s="233"/>
      <c r="S320" s="233"/>
      <c r="T320" s="227"/>
      <c r="U320" s="233"/>
      <c r="V320" s="233">
        <f>SUM(V321:V321)</f>
        <v>0</v>
      </c>
      <c r="W320" s="233"/>
      <c r="X320" s="233"/>
      <c r="Y320" s="227"/>
      <c r="Z320" s="233"/>
      <c r="AA320" s="233">
        <f>SUM(AA321:AA321)</f>
        <v>0</v>
      </c>
      <c r="AB320" s="233"/>
      <c r="AC320" s="233"/>
      <c r="AD320" s="227"/>
      <c r="AE320" s="233"/>
      <c r="AF320" s="233">
        <f>SUM(AF321:AF321)</f>
        <v>0</v>
      </c>
      <c r="AG320" s="233"/>
      <c r="AH320" s="233"/>
      <c r="AI320" s="227"/>
      <c r="AJ320" s="233"/>
      <c r="AK320" s="233">
        <f>SUM(AK321:AK321)</f>
        <v>0</v>
      </c>
      <c r="AL320" s="233"/>
      <c r="AM320" s="233"/>
      <c r="AN320" s="227"/>
      <c r="AO320" s="233"/>
      <c r="AP320" s="233">
        <f>SUM(AP321:AP321)</f>
        <v>0</v>
      </c>
      <c r="AQ320" s="233"/>
      <c r="AR320" s="233"/>
      <c r="AS320" s="227"/>
      <c r="AT320" s="233"/>
      <c r="AU320" s="233">
        <f>SUM(AU321:AU321)</f>
        <v>0</v>
      </c>
      <c r="AV320" s="233"/>
      <c r="AW320" s="233"/>
      <c r="AX320" s="227"/>
      <c r="AY320" s="233"/>
      <c r="AZ320" s="233">
        <f>SUM(AZ321:AZ321)</f>
        <v>0</v>
      </c>
      <c r="BA320" s="233"/>
      <c r="BB320" s="233"/>
      <c r="BC320" s="227"/>
      <c r="BD320" s="233"/>
      <c r="BE320" s="233">
        <f>SUM(BE321:BE321)</f>
        <v>0</v>
      </c>
      <c r="BF320" s="233"/>
      <c r="BG320" s="233"/>
      <c r="BH320" s="227"/>
      <c r="BI320" s="233"/>
      <c r="BJ320" s="233">
        <f>SUM(BJ321:BJ321)</f>
        <v>0</v>
      </c>
      <c r="BK320" s="233"/>
      <c r="BL320" s="233"/>
      <c r="BM320" s="227"/>
      <c r="BN320" s="233"/>
      <c r="BO320" s="233">
        <f>SUM(BO321:BO321)</f>
        <v>41033</v>
      </c>
      <c r="BP320" s="233"/>
      <c r="BQ320" s="233"/>
      <c r="BR320" s="227"/>
      <c r="BS320" s="233"/>
      <c r="BT320" s="233">
        <f>SUM(BT321:BT321)</f>
        <v>41033</v>
      </c>
      <c r="BU320" s="233"/>
      <c r="BV320" s="233"/>
      <c r="BW320" s="233"/>
      <c r="BX320" s="254"/>
      <c r="CA320" s="268"/>
      <c r="CB320" s="268"/>
    </row>
    <row r="321" spans="1:80" ht="12.75" customHeight="1" x14ac:dyDescent="0.2">
      <c r="A321" s="244"/>
      <c r="B321" s="244"/>
      <c r="D321" s="254" t="s">
        <v>310</v>
      </c>
      <c r="F321" s="348"/>
      <c r="G321" s="349">
        <v>0</v>
      </c>
      <c r="H321" s="350"/>
      <c r="I321" s="233"/>
      <c r="J321" s="227"/>
      <c r="K321" s="351"/>
      <c r="L321" s="349">
        <v>0</v>
      </c>
      <c r="M321" s="350"/>
      <c r="N321" s="233"/>
      <c r="O321" s="227"/>
      <c r="P321" s="351"/>
      <c r="Q321" s="349">
        <v>0</v>
      </c>
      <c r="R321" s="350"/>
      <c r="S321" s="233"/>
      <c r="T321" s="227"/>
      <c r="U321" s="351"/>
      <c r="V321" s="349">
        <v>0</v>
      </c>
      <c r="W321" s="350"/>
      <c r="X321" s="233"/>
      <c r="Y321" s="227"/>
      <c r="Z321" s="351"/>
      <c r="AA321" s="349">
        <v>0</v>
      </c>
      <c r="AB321" s="350"/>
      <c r="AC321" s="233"/>
      <c r="AD321" s="227"/>
      <c r="AE321" s="351"/>
      <c r="AF321" s="349">
        <v>0</v>
      </c>
      <c r="AG321" s="350"/>
      <c r="AH321" s="233"/>
      <c r="AI321" s="227"/>
      <c r="AJ321" s="351"/>
      <c r="AK321" s="349">
        <v>0</v>
      </c>
      <c r="AL321" s="350"/>
      <c r="AM321" s="233"/>
      <c r="AN321" s="227"/>
      <c r="AO321" s="351"/>
      <c r="AP321" s="349">
        <v>0</v>
      </c>
      <c r="AQ321" s="350"/>
      <c r="AR321" s="233"/>
      <c r="AS321" s="227"/>
      <c r="AT321" s="351"/>
      <c r="AU321" s="349">
        <v>0</v>
      </c>
      <c r="AV321" s="350"/>
      <c r="AW321" s="233"/>
      <c r="AX321" s="227"/>
      <c r="AY321" s="351"/>
      <c r="AZ321" s="349">
        <v>0</v>
      </c>
      <c r="BA321" s="350"/>
      <c r="BB321" s="233"/>
      <c r="BC321" s="227"/>
      <c r="BD321" s="351"/>
      <c r="BE321" s="349">
        <v>0</v>
      </c>
      <c r="BF321" s="350"/>
      <c r="BG321" s="233"/>
      <c r="BH321" s="227"/>
      <c r="BI321" s="351"/>
      <c r="BJ321" s="349">
        <v>0</v>
      </c>
      <c r="BK321" s="350"/>
      <c r="BL321" s="233"/>
      <c r="BM321" s="227"/>
      <c r="BN321" s="351"/>
      <c r="BO321" s="349">
        <v>41033</v>
      </c>
      <c r="BP321" s="350"/>
      <c r="BQ321" s="233"/>
      <c r="BR321" s="227"/>
      <c r="BS321" s="351"/>
      <c r="BT321" s="349">
        <f>SUM(L321:BO321)</f>
        <v>41033</v>
      </c>
      <c r="BU321" s="350"/>
      <c r="BV321" s="233"/>
      <c r="BW321" s="233"/>
      <c r="BX321" s="254"/>
      <c r="CA321" s="268"/>
      <c r="CB321" s="268"/>
    </row>
    <row r="322" spans="1:80" ht="12.75" hidden="1" customHeight="1" x14ac:dyDescent="0.2">
      <c r="A322" s="244"/>
      <c r="B322" s="244"/>
      <c r="D322" s="254"/>
      <c r="F322" s="244"/>
      <c r="G322" s="233"/>
      <c r="H322" s="233"/>
      <c r="I322" s="233"/>
      <c r="J322" s="227"/>
      <c r="K322" s="233"/>
      <c r="L322" s="233"/>
      <c r="M322" s="233"/>
      <c r="N322" s="233"/>
      <c r="O322" s="227"/>
      <c r="P322" s="233"/>
      <c r="Q322" s="233"/>
      <c r="R322" s="233"/>
      <c r="S322" s="233"/>
      <c r="T322" s="227"/>
      <c r="U322" s="233"/>
      <c r="V322" s="233"/>
      <c r="W322" s="233"/>
      <c r="X322" s="233"/>
      <c r="Y322" s="227"/>
      <c r="Z322" s="233"/>
      <c r="AA322" s="233"/>
      <c r="AB322" s="233"/>
      <c r="AC322" s="233"/>
      <c r="AD322" s="227"/>
      <c r="AE322" s="233"/>
      <c r="AF322" s="233"/>
      <c r="AG322" s="233"/>
      <c r="AH322" s="233"/>
      <c r="AI322" s="227"/>
      <c r="AJ322" s="233"/>
      <c r="AK322" s="233"/>
      <c r="AL322" s="233"/>
      <c r="AM322" s="233"/>
      <c r="AN322" s="227"/>
      <c r="AO322" s="233"/>
      <c r="AP322" s="233"/>
      <c r="AQ322" s="233"/>
      <c r="AR322" s="233"/>
      <c r="AS322" s="227"/>
      <c r="AT322" s="233"/>
      <c r="AU322" s="233"/>
      <c r="AV322" s="233"/>
      <c r="AW322" s="233"/>
      <c r="AX322" s="227"/>
      <c r="AY322" s="233"/>
      <c r="AZ322" s="233"/>
      <c r="BA322" s="233"/>
      <c r="BB322" s="233"/>
      <c r="BC322" s="227"/>
      <c r="BD322" s="233"/>
      <c r="BE322" s="233"/>
      <c r="BF322" s="233"/>
      <c r="BG322" s="233"/>
      <c r="BH322" s="227"/>
      <c r="BI322" s="233"/>
      <c r="BJ322" s="233"/>
      <c r="BK322" s="233"/>
      <c r="BL322" s="233"/>
      <c r="BM322" s="227"/>
      <c r="BN322" s="233"/>
      <c r="BO322" s="233"/>
      <c r="BP322" s="233"/>
      <c r="BQ322" s="233"/>
      <c r="BR322" s="227"/>
      <c r="BS322" s="233"/>
      <c r="BT322" s="233"/>
      <c r="BU322" s="233"/>
      <c r="BV322" s="233"/>
      <c r="BW322" s="233"/>
      <c r="BX322" s="254"/>
      <c r="CA322" s="268"/>
      <c r="CB322" s="268"/>
    </row>
    <row r="323" spans="1:80" ht="12.75" hidden="1" customHeight="1" x14ac:dyDescent="0.2">
      <c r="A323" s="244"/>
      <c r="B323" s="244"/>
      <c r="D323" s="254" t="s">
        <v>375</v>
      </c>
      <c r="F323" s="244"/>
      <c r="G323" s="233">
        <v>0</v>
      </c>
      <c r="H323" s="233"/>
      <c r="I323" s="233"/>
      <c r="J323" s="227"/>
      <c r="K323" s="233"/>
      <c r="L323" s="233">
        <f>SUM(L324:L324)</f>
        <v>0</v>
      </c>
      <c r="M323" s="233"/>
      <c r="N323" s="233"/>
      <c r="O323" s="227"/>
      <c r="P323" s="233"/>
      <c r="Q323" s="233">
        <f>SUM(Q324:Q324)</f>
        <v>0</v>
      </c>
      <c r="R323" s="233"/>
      <c r="S323" s="233"/>
      <c r="T323" s="227"/>
      <c r="U323" s="233"/>
      <c r="V323" s="233">
        <f>SUM(V324:V324)</f>
        <v>0</v>
      </c>
      <c r="W323" s="233"/>
      <c r="X323" s="233"/>
      <c r="Y323" s="227"/>
      <c r="Z323" s="233"/>
      <c r="AA323" s="233">
        <f>SUM(AA324:AA324)</f>
        <v>0</v>
      </c>
      <c r="AB323" s="233"/>
      <c r="AC323" s="233"/>
      <c r="AD323" s="227"/>
      <c r="AE323" s="233"/>
      <c r="AF323" s="233">
        <f>SUM(AF324:AF324)</f>
        <v>0</v>
      </c>
      <c r="AG323" s="233"/>
      <c r="AH323" s="233"/>
      <c r="AI323" s="227"/>
      <c r="AJ323" s="233"/>
      <c r="AK323" s="233">
        <f>SUM(AK324:AK324)</f>
        <v>0</v>
      </c>
      <c r="AL323" s="233"/>
      <c r="AM323" s="233"/>
      <c r="AN323" s="227"/>
      <c r="AO323" s="233"/>
      <c r="AP323" s="233">
        <f>SUM(AP324:AP324)</f>
        <v>0</v>
      </c>
      <c r="AQ323" s="233"/>
      <c r="AR323" s="233"/>
      <c r="AS323" s="227"/>
      <c r="AT323" s="233"/>
      <c r="AU323" s="233">
        <f>SUM(AU324:AU324)</f>
        <v>0</v>
      </c>
      <c r="AV323" s="233"/>
      <c r="AW323" s="233"/>
      <c r="AX323" s="227"/>
      <c r="AY323" s="233"/>
      <c r="AZ323" s="233">
        <f>SUM(AZ324:AZ324)</f>
        <v>0</v>
      </c>
      <c r="BA323" s="233"/>
      <c r="BB323" s="233"/>
      <c r="BC323" s="227"/>
      <c r="BD323" s="233"/>
      <c r="BE323" s="233">
        <f>SUM(BE324:BE324)</f>
        <v>0</v>
      </c>
      <c r="BF323" s="233"/>
      <c r="BG323" s="233"/>
      <c r="BH323" s="227"/>
      <c r="BI323" s="233"/>
      <c r="BJ323" s="233">
        <f>SUM(BJ324:BJ324)</f>
        <v>0</v>
      </c>
      <c r="BK323" s="233"/>
      <c r="BL323" s="233"/>
      <c r="BM323" s="227"/>
      <c r="BN323" s="233"/>
      <c r="BO323" s="233">
        <f>SUM(BO324:BO324)</f>
        <v>0</v>
      </c>
      <c r="BP323" s="233"/>
      <c r="BQ323" s="233"/>
      <c r="BR323" s="227"/>
      <c r="BS323" s="233"/>
      <c r="BT323" s="233">
        <f>SUM(BT324:BT324)</f>
        <v>0</v>
      </c>
      <c r="BU323" s="233"/>
      <c r="BV323" s="233"/>
      <c r="BW323" s="233"/>
      <c r="BX323" s="254"/>
      <c r="CA323" s="268"/>
      <c r="CB323" s="268"/>
    </row>
    <row r="324" spans="1:80" ht="12.75" hidden="1" customHeight="1" x14ac:dyDescent="0.2">
      <c r="A324" s="244"/>
      <c r="B324" s="244"/>
      <c r="D324" s="254" t="s">
        <v>310</v>
      </c>
      <c r="F324" s="348"/>
      <c r="G324" s="349">
        <v>0</v>
      </c>
      <c r="H324" s="350"/>
      <c r="I324" s="233"/>
      <c r="J324" s="227"/>
      <c r="K324" s="351"/>
      <c r="L324" s="349">
        <v>0</v>
      </c>
      <c r="M324" s="350"/>
      <c r="N324" s="233"/>
      <c r="O324" s="227"/>
      <c r="P324" s="351"/>
      <c r="Q324" s="349">
        <v>0</v>
      </c>
      <c r="R324" s="350"/>
      <c r="S324" s="233"/>
      <c r="T324" s="227"/>
      <c r="U324" s="351"/>
      <c r="V324" s="349">
        <v>0</v>
      </c>
      <c r="W324" s="350"/>
      <c r="X324" s="233"/>
      <c r="Y324" s="227"/>
      <c r="Z324" s="351"/>
      <c r="AA324" s="349">
        <v>0</v>
      </c>
      <c r="AB324" s="350"/>
      <c r="AC324" s="233"/>
      <c r="AD324" s="227"/>
      <c r="AE324" s="351"/>
      <c r="AF324" s="349">
        <v>0</v>
      </c>
      <c r="AG324" s="350"/>
      <c r="AH324" s="233"/>
      <c r="AI324" s="227"/>
      <c r="AJ324" s="351"/>
      <c r="AK324" s="349">
        <v>0</v>
      </c>
      <c r="AL324" s="350"/>
      <c r="AM324" s="233"/>
      <c r="AN324" s="227"/>
      <c r="AO324" s="351"/>
      <c r="AP324" s="349">
        <v>0</v>
      </c>
      <c r="AQ324" s="350"/>
      <c r="AR324" s="233"/>
      <c r="AS324" s="227"/>
      <c r="AT324" s="351"/>
      <c r="AU324" s="349">
        <v>0</v>
      </c>
      <c r="AV324" s="350"/>
      <c r="AW324" s="233"/>
      <c r="AX324" s="227"/>
      <c r="AY324" s="351"/>
      <c r="AZ324" s="349">
        <v>0</v>
      </c>
      <c r="BA324" s="350"/>
      <c r="BB324" s="233"/>
      <c r="BC324" s="227"/>
      <c r="BD324" s="351"/>
      <c r="BE324" s="349">
        <v>0</v>
      </c>
      <c r="BF324" s="350"/>
      <c r="BG324" s="233"/>
      <c r="BH324" s="227"/>
      <c r="BI324" s="351"/>
      <c r="BJ324" s="349">
        <v>0</v>
      </c>
      <c r="BK324" s="350"/>
      <c r="BL324" s="233"/>
      <c r="BM324" s="227"/>
      <c r="BN324" s="351"/>
      <c r="BO324" s="349">
        <v>0</v>
      </c>
      <c r="BP324" s="350"/>
      <c r="BQ324" s="233"/>
      <c r="BR324" s="227"/>
      <c r="BS324" s="351"/>
      <c r="BT324" s="349">
        <f>SUM(L324:BO324)</f>
        <v>0</v>
      </c>
      <c r="BU324" s="350"/>
      <c r="BV324" s="233"/>
      <c r="BW324" s="233"/>
      <c r="BX324" s="254"/>
      <c r="CA324" s="268"/>
      <c r="CB324" s="268"/>
    </row>
    <row r="325" spans="1:80" ht="12.75" hidden="1" customHeight="1" x14ac:dyDescent="0.2">
      <c r="A325" s="244"/>
      <c r="B325" s="244"/>
      <c r="D325" s="254"/>
      <c r="F325" s="244"/>
      <c r="G325" s="233"/>
      <c r="H325" s="233"/>
      <c r="I325" s="233"/>
      <c r="J325" s="227"/>
      <c r="K325" s="233"/>
      <c r="L325" s="233"/>
      <c r="M325" s="233"/>
      <c r="N325" s="233"/>
      <c r="O325" s="227"/>
      <c r="P325" s="233"/>
      <c r="Q325" s="233"/>
      <c r="R325" s="233"/>
      <c r="S325" s="233"/>
      <c r="T325" s="227"/>
      <c r="U325" s="233"/>
      <c r="V325" s="233"/>
      <c r="W325" s="233"/>
      <c r="X325" s="233"/>
      <c r="Y325" s="227"/>
      <c r="Z325" s="233"/>
      <c r="AA325" s="233"/>
      <c r="AB325" s="233"/>
      <c r="AC325" s="233"/>
      <c r="AD325" s="227"/>
      <c r="AE325" s="233"/>
      <c r="AF325" s="233"/>
      <c r="AG325" s="233"/>
      <c r="AH325" s="233"/>
      <c r="AI325" s="227"/>
      <c r="AJ325" s="233"/>
      <c r="AK325" s="233"/>
      <c r="AL325" s="233"/>
      <c r="AM325" s="233"/>
      <c r="AN325" s="227"/>
      <c r="AO325" s="233"/>
      <c r="AP325" s="233"/>
      <c r="AQ325" s="233"/>
      <c r="AR325" s="233"/>
      <c r="AS325" s="227"/>
      <c r="AT325" s="233"/>
      <c r="AU325" s="233"/>
      <c r="AV325" s="233"/>
      <c r="AW325" s="233"/>
      <c r="AX325" s="227"/>
      <c r="AY325" s="233"/>
      <c r="AZ325" s="233"/>
      <c r="BA325" s="233"/>
      <c r="BB325" s="233"/>
      <c r="BC325" s="227"/>
      <c r="BD325" s="233"/>
      <c r="BE325" s="233"/>
      <c r="BF325" s="233"/>
      <c r="BG325" s="233"/>
      <c r="BH325" s="227"/>
      <c r="BI325" s="233"/>
      <c r="BJ325" s="233"/>
      <c r="BK325" s="233"/>
      <c r="BL325" s="233"/>
      <c r="BM325" s="227"/>
      <c r="BN325" s="233"/>
      <c r="BO325" s="233"/>
      <c r="BP325" s="233"/>
      <c r="BQ325" s="233"/>
      <c r="BR325" s="227"/>
      <c r="BS325" s="233"/>
      <c r="BT325" s="233"/>
      <c r="BU325" s="233"/>
      <c r="BV325" s="233"/>
      <c r="BW325" s="233"/>
      <c r="BX325" s="254"/>
      <c r="CA325" s="268"/>
      <c r="CB325" s="268"/>
    </row>
    <row r="326" spans="1:80" ht="12.75" hidden="1" customHeight="1" x14ac:dyDescent="0.2">
      <c r="A326" s="244"/>
      <c r="B326" s="244"/>
      <c r="D326" s="254" t="s">
        <v>330</v>
      </c>
      <c r="F326" s="244"/>
      <c r="G326" s="233">
        <v>0</v>
      </c>
      <c r="H326" s="233"/>
      <c r="I326" s="233"/>
      <c r="J326" s="227"/>
      <c r="K326" s="233"/>
      <c r="L326" s="233">
        <f>SUM(L327:L327)</f>
        <v>0</v>
      </c>
      <c r="M326" s="233"/>
      <c r="N326" s="233"/>
      <c r="O326" s="227"/>
      <c r="P326" s="233"/>
      <c r="Q326" s="233">
        <f>SUM(Q327:Q327)</f>
        <v>0</v>
      </c>
      <c r="R326" s="233"/>
      <c r="S326" s="233"/>
      <c r="T326" s="227"/>
      <c r="U326" s="233"/>
      <c r="V326" s="233">
        <f>SUM(V327:V327)</f>
        <v>0</v>
      </c>
      <c r="W326" s="233"/>
      <c r="X326" s="233"/>
      <c r="Y326" s="227"/>
      <c r="Z326" s="233"/>
      <c r="AA326" s="233">
        <f>SUM(AA327:AA327)</f>
        <v>0</v>
      </c>
      <c r="AB326" s="233"/>
      <c r="AC326" s="233"/>
      <c r="AD326" s="227"/>
      <c r="AE326" s="233"/>
      <c r="AF326" s="233">
        <f>SUM(AF327:AF327)</f>
        <v>0</v>
      </c>
      <c r="AG326" s="233"/>
      <c r="AH326" s="233"/>
      <c r="AI326" s="227"/>
      <c r="AJ326" s="233"/>
      <c r="AK326" s="233">
        <f>SUM(AK327:AK327)</f>
        <v>0</v>
      </c>
      <c r="AL326" s="233"/>
      <c r="AM326" s="233"/>
      <c r="AN326" s="227"/>
      <c r="AO326" s="233"/>
      <c r="AP326" s="233">
        <f>SUM(AP327:AP327)</f>
        <v>0</v>
      </c>
      <c r="AQ326" s="233"/>
      <c r="AR326" s="233"/>
      <c r="AS326" s="227"/>
      <c r="AT326" s="233"/>
      <c r="AU326" s="233">
        <f>SUM(AU327:AU327)</f>
        <v>0</v>
      </c>
      <c r="AV326" s="233"/>
      <c r="AW326" s="233"/>
      <c r="AX326" s="227"/>
      <c r="AY326" s="233"/>
      <c r="AZ326" s="233">
        <f>SUM(AZ327:AZ327)</f>
        <v>0</v>
      </c>
      <c r="BA326" s="233"/>
      <c r="BB326" s="233"/>
      <c r="BC326" s="227"/>
      <c r="BD326" s="233"/>
      <c r="BE326" s="233">
        <f>SUM(BE327:BE327)</f>
        <v>0</v>
      </c>
      <c r="BF326" s="233"/>
      <c r="BG326" s="233"/>
      <c r="BH326" s="227"/>
      <c r="BI326" s="233"/>
      <c r="BJ326" s="233">
        <f>SUM(BJ327:BJ327)</f>
        <v>0</v>
      </c>
      <c r="BK326" s="233"/>
      <c r="BL326" s="233"/>
      <c r="BM326" s="227"/>
      <c r="BN326" s="233"/>
      <c r="BO326" s="233">
        <f>SUM(BO327:BO327)</f>
        <v>0</v>
      </c>
      <c r="BP326" s="233"/>
      <c r="BQ326" s="233"/>
      <c r="BR326" s="227"/>
      <c r="BS326" s="233"/>
      <c r="BT326" s="233">
        <f>SUM(BT327:BT327)</f>
        <v>0</v>
      </c>
      <c r="BU326" s="233"/>
      <c r="BV326" s="233"/>
      <c r="BW326" s="233"/>
      <c r="BX326" s="254"/>
      <c r="CA326" s="268"/>
      <c r="CB326" s="268"/>
    </row>
    <row r="327" spans="1:80" ht="12.75" hidden="1" customHeight="1" x14ac:dyDescent="0.2">
      <c r="A327" s="244"/>
      <c r="B327" s="244"/>
      <c r="D327" s="254" t="s">
        <v>310</v>
      </c>
      <c r="F327" s="348"/>
      <c r="G327" s="349">
        <v>0</v>
      </c>
      <c r="H327" s="350"/>
      <c r="I327" s="233"/>
      <c r="J327" s="227"/>
      <c r="K327" s="351"/>
      <c r="L327" s="349">
        <v>0</v>
      </c>
      <c r="M327" s="350"/>
      <c r="N327" s="233"/>
      <c r="O327" s="227"/>
      <c r="P327" s="351"/>
      <c r="Q327" s="349">
        <v>0</v>
      </c>
      <c r="R327" s="350"/>
      <c r="S327" s="233"/>
      <c r="T327" s="227"/>
      <c r="U327" s="351"/>
      <c r="V327" s="349">
        <v>0</v>
      </c>
      <c r="W327" s="350"/>
      <c r="X327" s="233"/>
      <c r="Y327" s="227"/>
      <c r="Z327" s="351"/>
      <c r="AA327" s="349">
        <v>0</v>
      </c>
      <c r="AB327" s="350"/>
      <c r="AC327" s="233"/>
      <c r="AD327" s="227"/>
      <c r="AE327" s="351"/>
      <c r="AF327" s="349">
        <v>0</v>
      </c>
      <c r="AG327" s="350"/>
      <c r="AH327" s="233"/>
      <c r="AI327" s="227"/>
      <c r="AJ327" s="351"/>
      <c r="AK327" s="349">
        <v>0</v>
      </c>
      <c r="AL327" s="350"/>
      <c r="AM327" s="233"/>
      <c r="AN327" s="227"/>
      <c r="AO327" s="351"/>
      <c r="AP327" s="349">
        <v>0</v>
      </c>
      <c r="AQ327" s="350"/>
      <c r="AR327" s="233"/>
      <c r="AS327" s="227"/>
      <c r="AT327" s="351"/>
      <c r="AU327" s="349">
        <v>0</v>
      </c>
      <c r="AV327" s="350"/>
      <c r="AW327" s="233"/>
      <c r="AX327" s="227"/>
      <c r="AY327" s="351"/>
      <c r="AZ327" s="349">
        <v>0</v>
      </c>
      <c r="BA327" s="350"/>
      <c r="BB327" s="233"/>
      <c r="BC327" s="227"/>
      <c r="BD327" s="351"/>
      <c r="BE327" s="349">
        <v>0</v>
      </c>
      <c r="BF327" s="350"/>
      <c r="BG327" s="233"/>
      <c r="BH327" s="227"/>
      <c r="BI327" s="351"/>
      <c r="BJ327" s="349">
        <v>0</v>
      </c>
      <c r="BK327" s="350"/>
      <c r="BL327" s="233"/>
      <c r="BM327" s="227"/>
      <c r="BN327" s="351"/>
      <c r="BO327" s="349">
        <v>0</v>
      </c>
      <c r="BP327" s="350"/>
      <c r="BQ327" s="233"/>
      <c r="BR327" s="227"/>
      <c r="BS327" s="351"/>
      <c r="BT327" s="349">
        <f>SUM(L327:BO327)</f>
        <v>0</v>
      </c>
      <c r="BU327" s="350"/>
      <c r="BV327" s="233"/>
      <c r="BW327" s="233"/>
      <c r="BX327" s="254"/>
      <c r="CA327" s="268"/>
      <c r="CB327" s="268"/>
    </row>
    <row r="328" spans="1:80" ht="12.75" customHeight="1" x14ac:dyDescent="0.2">
      <c r="A328" s="244"/>
      <c r="B328" s="244"/>
      <c r="D328" s="254"/>
      <c r="F328" s="244"/>
      <c r="G328" s="233"/>
      <c r="H328" s="233"/>
      <c r="I328" s="233"/>
      <c r="J328" s="227"/>
      <c r="K328" s="233"/>
      <c r="L328" s="233"/>
      <c r="M328" s="233"/>
      <c r="N328" s="233"/>
      <c r="O328" s="227"/>
      <c r="P328" s="233"/>
      <c r="Q328" s="233"/>
      <c r="R328" s="233"/>
      <c r="S328" s="233"/>
      <c r="T328" s="227"/>
      <c r="U328" s="233"/>
      <c r="V328" s="233"/>
      <c r="W328" s="233"/>
      <c r="X328" s="233"/>
      <c r="Y328" s="227"/>
      <c r="Z328" s="233"/>
      <c r="AA328" s="233"/>
      <c r="AB328" s="233"/>
      <c r="AC328" s="233"/>
      <c r="AD328" s="227"/>
      <c r="AE328" s="233"/>
      <c r="AF328" s="233"/>
      <c r="AG328" s="233"/>
      <c r="AH328" s="233"/>
      <c r="AI328" s="227"/>
      <c r="AJ328" s="233"/>
      <c r="AK328" s="233"/>
      <c r="AL328" s="233"/>
      <c r="AM328" s="233"/>
      <c r="AN328" s="227"/>
      <c r="AO328" s="233"/>
      <c r="AP328" s="233"/>
      <c r="AQ328" s="233"/>
      <c r="AR328" s="233"/>
      <c r="AS328" s="227"/>
      <c r="AT328" s="233"/>
      <c r="AU328" s="233"/>
      <c r="AV328" s="233"/>
      <c r="AW328" s="233"/>
      <c r="AX328" s="227"/>
      <c r="AY328" s="233"/>
      <c r="AZ328" s="233"/>
      <c r="BA328" s="233"/>
      <c r="BB328" s="233"/>
      <c r="BC328" s="227"/>
      <c r="BD328" s="233"/>
      <c r="BE328" s="233"/>
      <c r="BF328" s="233"/>
      <c r="BG328" s="233"/>
      <c r="BH328" s="227"/>
      <c r="BI328" s="233"/>
      <c r="BJ328" s="233"/>
      <c r="BK328" s="233"/>
      <c r="BL328" s="233"/>
      <c r="BM328" s="227"/>
      <c r="BN328" s="233"/>
      <c r="BO328" s="233"/>
      <c r="BP328" s="233"/>
      <c r="BQ328" s="233"/>
      <c r="BR328" s="227"/>
      <c r="BS328" s="233"/>
      <c r="BT328" s="233"/>
      <c r="BU328" s="233"/>
      <c r="BV328" s="233"/>
      <c r="BW328" s="233"/>
      <c r="BX328" s="254"/>
      <c r="CA328" s="268"/>
      <c r="CB328" s="268"/>
    </row>
    <row r="329" spans="1:80" x14ac:dyDescent="0.2">
      <c r="A329" s="244"/>
      <c r="B329" s="244"/>
      <c r="D329" s="254" t="s">
        <v>331</v>
      </c>
      <c r="F329" s="244"/>
      <c r="G329" s="233">
        <f>SUM(G330)</f>
        <v>266052</v>
      </c>
      <c r="H329" s="233"/>
      <c r="I329" s="233"/>
      <c r="J329" s="227"/>
      <c r="K329" s="244"/>
      <c r="L329" s="233">
        <f>SUM(L330)</f>
        <v>0</v>
      </c>
      <c r="M329" s="233"/>
      <c r="N329" s="233"/>
      <c r="O329" s="227"/>
      <c r="P329" s="244"/>
      <c r="Q329" s="233">
        <f>SUM(Q330)</f>
        <v>0</v>
      </c>
      <c r="R329" s="233"/>
      <c r="S329" s="233"/>
      <c r="T329" s="227"/>
      <c r="U329" s="244"/>
      <c r="V329" s="233">
        <f>SUM(V330)</f>
        <v>0</v>
      </c>
      <c r="W329" s="233"/>
      <c r="X329" s="233"/>
      <c r="Y329" s="227"/>
      <c r="Z329" s="244"/>
      <c r="AA329" s="233">
        <f>SUM(AA330)</f>
        <v>0</v>
      </c>
      <c r="AB329" s="233"/>
      <c r="AC329" s="233"/>
      <c r="AD329" s="227"/>
      <c r="AE329" s="244"/>
      <c r="AF329" s="233">
        <f>SUM(AF330)</f>
        <v>266052</v>
      </c>
      <c r="AG329" s="233"/>
      <c r="AH329" s="233"/>
      <c r="AI329" s="227"/>
      <c r="AJ329" s="244"/>
      <c r="AK329" s="233">
        <f>SUM(AK330)</f>
        <v>0</v>
      </c>
      <c r="AL329" s="233"/>
      <c r="AM329" s="233"/>
      <c r="AN329" s="227"/>
      <c r="AO329" s="244"/>
      <c r="AP329" s="233">
        <f>SUM(AP330)</f>
        <v>0</v>
      </c>
      <c r="AQ329" s="233"/>
      <c r="AR329" s="233"/>
      <c r="AS329" s="227"/>
      <c r="AT329" s="244"/>
      <c r="AU329" s="233">
        <f>SUM(AU330)</f>
        <v>0</v>
      </c>
      <c r="AV329" s="233"/>
      <c r="AW329" s="233"/>
      <c r="AX329" s="227"/>
      <c r="AY329" s="244"/>
      <c r="AZ329" s="233">
        <f>SUM(AZ330)</f>
        <v>0</v>
      </c>
      <c r="BA329" s="233"/>
      <c r="BB329" s="233"/>
      <c r="BC329" s="227"/>
      <c r="BD329" s="244"/>
      <c r="BE329" s="233">
        <f>SUM(BE330)</f>
        <v>0</v>
      </c>
      <c r="BF329" s="233"/>
      <c r="BG329" s="233"/>
      <c r="BH329" s="227"/>
      <c r="BI329" s="244"/>
      <c r="BJ329" s="233">
        <f>SUM(BJ330)</f>
        <v>0</v>
      </c>
      <c r="BK329" s="233"/>
      <c r="BL329" s="233"/>
      <c r="BM329" s="227"/>
      <c r="BN329" s="244"/>
      <c r="BO329" s="233">
        <f>SUM(BO330)</f>
        <v>0</v>
      </c>
      <c r="BP329" s="233"/>
      <c r="BQ329" s="233"/>
      <c r="BR329" s="227"/>
      <c r="BS329" s="244"/>
      <c r="BT329" s="233">
        <f>SUM(BT330:BT330)</f>
        <v>266052</v>
      </c>
      <c r="BU329" s="233"/>
      <c r="BV329" s="233"/>
      <c r="BW329" s="233"/>
      <c r="BX329" s="254"/>
      <c r="CA329" s="268"/>
      <c r="CB329" s="268"/>
    </row>
    <row r="330" spans="1:80" x14ac:dyDescent="0.2">
      <c r="A330" s="244"/>
      <c r="B330" s="244"/>
      <c r="D330" s="254" t="s">
        <v>310</v>
      </c>
      <c r="F330" s="348"/>
      <c r="G330" s="349">
        <v>266052</v>
      </c>
      <c r="H330" s="350"/>
      <c r="I330" s="233"/>
      <c r="J330" s="227"/>
      <c r="K330" s="348"/>
      <c r="L330" s="349">
        <v>0</v>
      </c>
      <c r="M330" s="350"/>
      <c r="N330" s="233"/>
      <c r="O330" s="227"/>
      <c r="P330" s="348"/>
      <c r="Q330" s="349">
        <v>0</v>
      </c>
      <c r="R330" s="350"/>
      <c r="S330" s="233"/>
      <c r="T330" s="227"/>
      <c r="U330" s="348"/>
      <c r="V330" s="349">
        <v>0</v>
      </c>
      <c r="W330" s="350"/>
      <c r="X330" s="233"/>
      <c r="Y330" s="227"/>
      <c r="Z330" s="348"/>
      <c r="AA330" s="349">
        <v>0</v>
      </c>
      <c r="AB330" s="350"/>
      <c r="AC330" s="233"/>
      <c r="AD330" s="227"/>
      <c r="AE330" s="348"/>
      <c r="AF330" s="349">
        <v>266052</v>
      </c>
      <c r="AG330" s="350"/>
      <c r="AH330" s="233"/>
      <c r="AI330" s="227"/>
      <c r="AJ330" s="348"/>
      <c r="AK330" s="349">
        <v>0</v>
      </c>
      <c r="AL330" s="350"/>
      <c r="AM330" s="233"/>
      <c r="AN330" s="227"/>
      <c r="AO330" s="348"/>
      <c r="AP330" s="349">
        <v>0</v>
      </c>
      <c r="AQ330" s="350"/>
      <c r="AR330" s="233"/>
      <c r="AS330" s="227"/>
      <c r="AT330" s="348"/>
      <c r="AU330" s="349">
        <v>0</v>
      </c>
      <c r="AV330" s="350"/>
      <c r="AW330" s="233"/>
      <c r="AX330" s="227"/>
      <c r="AY330" s="348"/>
      <c r="AZ330" s="349">
        <v>0</v>
      </c>
      <c r="BA330" s="350"/>
      <c r="BB330" s="233"/>
      <c r="BC330" s="227"/>
      <c r="BD330" s="348"/>
      <c r="BE330" s="349">
        <v>0</v>
      </c>
      <c r="BF330" s="350"/>
      <c r="BG330" s="233"/>
      <c r="BH330" s="227"/>
      <c r="BI330" s="348"/>
      <c r="BJ330" s="349">
        <v>0</v>
      </c>
      <c r="BK330" s="350"/>
      <c r="BL330" s="233"/>
      <c r="BM330" s="227"/>
      <c r="BN330" s="348"/>
      <c r="BO330" s="349">
        <v>0</v>
      </c>
      <c r="BP330" s="350"/>
      <c r="BQ330" s="233"/>
      <c r="BR330" s="227"/>
      <c r="BS330" s="348"/>
      <c r="BT330" s="349">
        <f>SUM(L330:BO330)</f>
        <v>266052</v>
      </c>
      <c r="BU330" s="350"/>
      <c r="BV330" s="233"/>
      <c r="BW330" s="233"/>
      <c r="BX330" s="254"/>
      <c r="CA330" s="268"/>
      <c r="CB330" s="268"/>
    </row>
    <row r="331" spans="1:80" hidden="1" x14ac:dyDescent="0.2">
      <c r="A331" s="244"/>
      <c r="B331" s="244"/>
      <c r="D331" s="254"/>
      <c r="F331" s="244"/>
      <c r="G331" s="233"/>
      <c r="H331" s="233"/>
      <c r="I331" s="233"/>
      <c r="J331" s="227"/>
      <c r="K331" s="233"/>
      <c r="L331" s="233"/>
      <c r="M331" s="233"/>
      <c r="N331" s="233"/>
      <c r="O331" s="227"/>
      <c r="P331" s="233"/>
      <c r="Q331" s="233"/>
      <c r="R331" s="233"/>
      <c r="S331" s="233"/>
      <c r="T331" s="227"/>
      <c r="U331" s="233"/>
      <c r="V331" s="233"/>
      <c r="W331" s="233"/>
      <c r="X331" s="233"/>
      <c r="Y331" s="227"/>
      <c r="Z331" s="233"/>
      <c r="AA331" s="233"/>
      <c r="AB331" s="233"/>
      <c r="AC331" s="233"/>
      <c r="AD331" s="227"/>
      <c r="AE331" s="233"/>
      <c r="AF331" s="233"/>
      <c r="AG331" s="233"/>
      <c r="AH331" s="233"/>
      <c r="AI331" s="227"/>
      <c r="AJ331" s="233"/>
      <c r="AK331" s="233"/>
      <c r="AL331" s="233"/>
      <c r="AM331" s="233"/>
      <c r="AN331" s="227"/>
      <c r="AO331" s="233"/>
      <c r="AP331" s="233"/>
      <c r="AQ331" s="233"/>
      <c r="AR331" s="233"/>
      <c r="AS331" s="227"/>
      <c r="AT331" s="233"/>
      <c r="AU331" s="233"/>
      <c r="AV331" s="233"/>
      <c r="AW331" s="233"/>
      <c r="AX331" s="227"/>
      <c r="AY331" s="233"/>
      <c r="AZ331" s="233"/>
      <c r="BA331" s="233"/>
      <c r="BB331" s="233"/>
      <c r="BC331" s="227"/>
      <c r="BD331" s="233"/>
      <c r="BE331" s="233"/>
      <c r="BF331" s="233"/>
      <c r="BG331" s="233"/>
      <c r="BH331" s="227"/>
      <c r="BI331" s="233"/>
      <c r="BJ331" s="233"/>
      <c r="BK331" s="233"/>
      <c r="BL331" s="233"/>
      <c r="BM331" s="227"/>
      <c r="BN331" s="233"/>
      <c r="BO331" s="233"/>
      <c r="BP331" s="233"/>
      <c r="BQ331" s="233"/>
      <c r="BR331" s="227"/>
      <c r="BS331" s="233"/>
      <c r="BT331" s="233"/>
      <c r="BU331" s="233"/>
      <c r="BV331" s="233"/>
      <c r="BW331" s="233"/>
      <c r="BX331" s="254"/>
      <c r="CA331" s="268"/>
      <c r="CB331" s="268"/>
    </row>
    <row r="332" spans="1:80" hidden="1" x14ac:dyDescent="0.2">
      <c r="A332" s="244"/>
      <c r="B332" s="244"/>
      <c r="D332" s="254" t="s">
        <v>324</v>
      </c>
      <c r="G332" s="243">
        <v>0</v>
      </c>
      <c r="I332" s="233"/>
      <c r="J332" s="227"/>
      <c r="K332" s="233"/>
      <c r="L332" s="233">
        <f>SUM(L333:L333)</f>
        <v>0</v>
      </c>
      <c r="M332" s="233"/>
      <c r="N332" s="233"/>
      <c r="O332" s="227"/>
      <c r="P332" s="233"/>
      <c r="Q332" s="233">
        <f>SUM(Q333:Q333)</f>
        <v>0</v>
      </c>
      <c r="R332" s="233"/>
      <c r="S332" s="233"/>
      <c r="T332" s="227"/>
      <c r="U332" s="233"/>
      <c r="V332" s="233">
        <f>SUM(V333:V333)</f>
        <v>0</v>
      </c>
      <c r="W332" s="233"/>
      <c r="X332" s="233"/>
      <c r="Y332" s="227"/>
      <c r="Z332" s="233"/>
      <c r="AA332" s="233">
        <f>SUM(AA333:AA333)</f>
        <v>0</v>
      </c>
      <c r="AB332" s="233"/>
      <c r="AC332" s="233"/>
      <c r="AD332" s="227"/>
      <c r="AE332" s="233"/>
      <c r="AF332" s="233">
        <f>SUM(AF333:AF333)</f>
        <v>0</v>
      </c>
      <c r="AG332" s="233"/>
      <c r="AH332" s="233"/>
      <c r="AI332" s="227"/>
      <c r="AJ332" s="233"/>
      <c r="AK332" s="233">
        <f>SUM(AK333:AK333)</f>
        <v>0</v>
      </c>
      <c r="AL332" s="233"/>
      <c r="AM332" s="233"/>
      <c r="AN332" s="227"/>
      <c r="AO332" s="233"/>
      <c r="AP332" s="233">
        <f>SUM(AP333:AP333)</f>
        <v>0</v>
      </c>
      <c r="AQ332" s="233"/>
      <c r="AR332" s="233"/>
      <c r="AS332" s="227"/>
      <c r="AT332" s="233"/>
      <c r="AU332" s="233">
        <f>SUM(AU333:AU333)</f>
        <v>0</v>
      </c>
      <c r="AV332" s="233"/>
      <c r="AW332" s="233"/>
      <c r="AX332" s="227"/>
      <c r="AY332" s="233"/>
      <c r="AZ332" s="233">
        <f>SUM(AZ333:AZ333)</f>
        <v>0</v>
      </c>
      <c r="BA332" s="233"/>
      <c r="BB332" s="233"/>
      <c r="BC332" s="227"/>
      <c r="BD332" s="233"/>
      <c r="BE332" s="233">
        <f>SUM(BE333:BE333)</f>
        <v>0</v>
      </c>
      <c r="BF332" s="233"/>
      <c r="BG332" s="233"/>
      <c r="BH332" s="227"/>
      <c r="BI332" s="233"/>
      <c r="BJ332" s="233">
        <f>SUM(BJ333:BJ333)</f>
        <v>0</v>
      </c>
      <c r="BK332" s="233"/>
      <c r="BL332" s="233"/>
      <c r="BM332" s="227"/>
      <c r="BN332" s="233"/>
      <c r="BO332" s="233">
        <f>SUM(BO333:BO333)</f>
        <v>0</v>
      </c>
      <c r="BP332" s="233"/>
      <c r="BQ332" s="233"/>
      <c r="BR332" s="227"/>
      <c r="BS332" s="233"/>
      <c r="BT332" s="233">
        <f>SUM(BT333:BT333)</f>
        <v>0</v>
      </c>
      <c r="BU332" s="233"/>
      <c r="BV332" s="233"/>
      <c r="BW332" s="233"/>
      <c r="BX332" s="254"/>
      <c r="CA332" s="268"/>
      <c r="CB332" s="268"/>
    </row>
    <row r="333" spans="1:80" hidden="1" x14ac:dyDescent="0.2">
      <c r="A333" s="244"/>
      <c r="B333" s="244"/>
      <c r="D333" s="254" t="s">
        <v>310</v>
      </c>
      <c r="F333" s="348"/>
      <c r="G333" s="349">
        <v>0</v>
      </c>
      <c r="H333" s="350"/>
      <c r="I333" s="233"/>
      <c r="J333" s="227"/>
      <c r="K333" s="348"/>
      <c r="L333" s="349">
        <v>0</v>
      </c>
      <c r="M333" s="350"/>
      <c r="N333" s="233"/>
      <c r="O333" s="227"/>
      <c r="P333" s="348"/>
      <c r="Q333" s="349">
        <v>0</v>
      </c>
      <c r="R333" s="350"/>
      <c r="S333" s="233"/>
      <c r="T333" s="227"/>
      <c r="U333" s="348"/>
      <c r="V333" s="349">
        <v>0</v>
      </c>
      <c r="W333" s="350"/>
      <c r="X333" s="233"/>
      <c r="Y333" s="227"/>
      <c r="Z333" s="348"/>
      <c r="AA333" s="349">
        <v>0</v>
      </c>
      <c r="AB333" s="350"/>
      <c r="AC333" s="233"/>
      <c r="AD333" s="227"/>
      <c r="AE333" s="348"/>
      <c r="AF333" s="349">
        <v>0</v>
      </c>
      <c r="AG333" s="350"/>
      <c r="AH333" s="233"/>
      <c r="AI333" s="227"/>
      <c r="AJ333" s="348"/>
      <c r="AK333" s="349">
        <v>0</v>
      </c>
      <c r="AL333" s="350"/>
      <c r="AM333" s="233"/>
      <c r="AN333" s="227"/>
      <c r="AO333" s="348"/>
      <c r="AP333" s="349">
        <v>0</v>
      </c>
      <c r="AQ333" s="350"/>
      <c r="AR333" s="233"/>
      <c r="AS333" s="227"/>
      <c r="AT333" s="348"/>
      <c r="AU333" s="349">
        <v>0</v>
      </c>
      <c r="AV333" s="350"/>
      <c r="AW333" s="233"/>
      <c r="AX333" s="227"/>
      <c r="AY333" s="348"/>
      <c r="AZ333" s="349">
        <v>0</v>
      </c>
      <c r="BA333" s="350"/>
      <c r="BB333" s="233"/>
      <c r="BC333" s="227"/>
      <c r="BD333" s="348"/>
      <c r="BE333" s="349">
        <v>0</v>
      </c>
      <c r="BF333" s="350"/>
      <c r="BG333" s="233"/>
      <c r="BH333" s="227"/>
      <c r="BI333" s="348"/>
      <c r="BJ333" s="349">
        <v>0</v>
      </c>
      <c r="BK333" s="350"/>
      <c r="BL333" s="233"/>
      <c r="BM333" s="227"/>
      <c r="BN333" s="348"/>
      <c r="BO333" s="349">
        <v>0</v>
      </c>
      <c r="BP333" s="350"/>
      <c r="BQ333" s="233"/>
      <c r="BR333" s="227"/>
      <c r="BS333" s="348"/>
      <c r="BT333" s="349">
        <f>SUM(L333:BO333)</f>
        <v>0</v>
      </c>
      <c r="BU333" s="350"/>
      <c r="BV333" s="233"/>
      <c r="BW333" s="233"/>
      <c r="BX333" s="254"/>
      <c r="CA333" s="268"/>
      <c r="CB333" s="268"/>
    </row>
    <row r="334" spans="1:80" hidden="1" x14ac:dyDescent="0.2">
      <c r="A334" s="244"/>
      <c r="B334" s="244"/>
      <c r="D334" s="254"/>
      <c r="F334" s="244"/>
      <c r="G334" s="233"/>
      <c r="H334" s="233"/>
      <c r="I334" s="233"/>
      <c r="J334" s="227"/>
      <c r="K334" s="244"/>
      <c r="L334" s="233"/>
      <c r="M334" s="233"/>
      <c r="N334" s="233"/>
      <c r="O334" s="227"/>
      <c r="P334" s="244"/>
      <c r="Q334" s="233"/>
      <c r="R334" s="233"/>
      <c r="S334" s="233"/>
      <c r="T334" s="227"/>
      <c r="U334" s="244"/>
      <c r="V334" s="233"/>
      <c r="W334" s="233"/>
      <c r="X334" s="233"/>
      <c r="Y334" s="227"/>
      <c r="Z334" s="244"/>
      <c r="AA334" s="233"/>
      <c r="AB334" s="233"/>
      <c r="AC334" s="233"/>
      <c r="AD334" s="227"/>
      <c r="AE334" s="244"/>
      <c r="AF334" s="233"/>
      <c r="AG334" s="233"/>
      <c r="AH334" s="233"/>
      <c r="AI334" s="227"/>
      <c r="AJ334" s="244"/>
      <c r="AK334" s="233"/>
      <c r="AL334" s="233"/>
      <c r="AM334" s="233"/>
      <c r="AN334" s="227"/>
      <c r="AO334" s="244"/>
      <c r="AP334" s="233"/>
      <c r="AQ334" s="233"/>
      <c r="AR334" s="233"/>
      <c r="AS334" s="227"/>
      <c r="AT334" s="244"/>
      <c r="AU334" s="233"/>
      <c r="AV334" s="233"/>
      <c r="AW334" s="233"/>
      <c r="AX334" s="227"/>
      <c r="AY334" s="244"/>
      <c r="AZ334" s="233"/>
      <c r="BA334" s="233"/>
      <c r="BB334" s="233"/>
      <c r="BC334" s="227"/>
      <c r="BD334" s="244"/>
      <c r="BE334" s="233"/>
      <c r="BF334" s="233"/>
      <c r="BG334" s="233"/>
      <c r="BH334" s="227"/>
      <c r="BI334" s="244"/>
      <c r="BJ334" s="233"/>
      <c r="BK334" s="233"/>
      <c r="BL334" s="233"/>
      <c r="BM334" s="227"/>
      <c r="BN334" s="244"/>
      <c r="BO334" s="233"/>
      <c r="BP334" s="233"/>
      <c r="BQ334" s="233"/>
      <c r="BR334" s="227"/>
      <c r="BS334" s="244"/>
      <c r="BT334" s="233"/>
      <c r="BU334" s="233"/>
      <c r="BV334" s="233"/>
      <c r="BW334" s="233"/>
      <c r="BX334" s="254"/>
      <c r="CA334" s="268"/>
      <c r="CB334" s="268"/>
    </row>
    <row r="335" spans="1:80" hidden="1" x14ac:dyDescent="0.2">
      <c r="A335" s="244"/>
      <c r="B335" s="244"/>
      <c r="D335" s="254" t="s">
        <v>340</v>
      </c>
      <c r="G335" s="243">
        <v>0</v>
      </c>
      <c r="I335" s="233"/>
      <c r="J335" s="227"/>
      <c r="K335" s="233"/>
      <c r="L335" s="233">
        <f>SUM(L336:L336)</f>
        <v>0</v>
      </c>
      <c r="M335" s="233"/>
      <c r="N335" s="233"/>
      <c r="O335" s="227"/>
      <c r="P335" s="233"/>
      <c r="Q335" s="233">
        <f>SUM(Q336:Q336)</f>
        <v>0</v>
      </c>
      <c r="R335" s="233"/>
      <c r="S335" s="233"/>
      <c r="T335" s="227"/>
      <c r="U335" s="233"/>
      <c r="V335" s="233">
        <f>SUM(V336:V336)</f>
        <v>0</v>
      </c>
      <c r="W335" s="233"/>
      <c r="X335" s="233"/>
      <c r="Y335" s="227"/>
      <c r="Z335" s="233"/>
      <c r="AA335" s="233">
        <f>SUM(AA336:AA336)</f>
        <v>0</v>
      </c>
      <c r="AB335" s="233"/>
      <c r="AC335" s="233"/>
      <c r="AD335" s="227"/>
      <c r="AE335" s="233"/>
      <c r="AF335" s="233">
        <f>SUM(AF336:AF336)</f>
        <v>0</v>
      </c>
      <c r="AG335" s="233"/>
      <c r="AH335" s="233"/>
      <c r="AI335" s="227"/>
      <c r="AJ335" s="233"/>
      <c r="AK335" s="233">
        <f>SUM(AK336:AK336)</f>
        <v>0</v>
      </c>
      <c r="AL335" s="233"/>
      <c r="AM335" s="233"/>
      <c r="AN335" s="227"/>
      <c r="AO335" s="233"/>
      <c r="AP335" s="233">
        <f>SUM(AP336:AP336)</f>
        <v>0</v>
      </c>
      <c r="AQ335" s="233"/>
      <c r="AR335" s="233"/>
      <c r="AS335" s="227"/>
      <c r="AT335" s="233"/>
      <c r="AU335" s="233">
        <f>SUM(AU336:AU336)</f>
        <v>0</v>
      </c>
      <c r="AV335" s="233"/>
      <c r="AW335" s="233"/>
      <c r="AX335" s="227"/>
      <c r="AY335" s="233"/>
      <c r="AZ335" s="233">
        <f>SUM(AZ336:AZ336)</f>
        <v>0</v>
      </c>
      <c r="BA335" s="233"/>
      <c r="BB335" s="233"/>
      <c r="BC335" s="227"/>
      <c r="BD335" s="233"/>
      <c r="BE335" s="233">
        <f>SUM(BE336:BE336)</f>
        <v>0</v>
      </c>
      <c r="BF335" s="233"/>
      <c r="BG335" s="233"/>
      <c r="BH335" s="227"/>
      <c r="BI335" s="233"/>
      <c r="BJ335" s="233">
        <f>SUM(BJ336:BJ336)</f>
        <v>0</v>
      </c>
      <c r="BK335" s="233"/>
      <c r="BL335" s="233"/>
      <c r="BM335" s="227"/>
      <c r="BN335" s="233"/>
      <c r="BO335" s="233">
        <f>SUM(BO336:BO336)</f>
        <v>0</v>
      </c>
      <c r="BP335" s="233"/>
      <c r="BQ335" s="233"/>
      <c r="BR335" s="227"/>
      <c r="BS335" s="244"/>
      <c r="BT335" s="233">
        <f>SUM(BT336:BT336)</f>
        <v>0</v>
      </c>
      <c r="BU335" s="233"/>
      <c r="BV335" s="233"/>
      <c r="BW335" s="233"/>
      <c r="BX335" s="254"/>
      <c r="CA335" s="268"/>
      <c r="CB335" s="268"/>
    </row>
    <row r="336" spans="1:80" hidden="1" x14ac:dyDescent="0.2">
      <c r="A336" s="244"/>
      <c r="B336" s="244"/>
      <c r="D336" s="254" t="s">
        <v>310</v>
      </c>
      <c r="F336" s="348"/>
      <c r="G336" s="349">
        <v>0</v>
      </c>
      <c r="H336" s="350"/>
      <c r="I336" s="233"/>
      <c r="J336" s="227"/>
      <c r="K336" s="348"/>
      <c r="L336" s="349">
        <v>0</v>
      </c>
      <c r="M336" s="350"/>
      <c r="N336" s="233"/>
      <c r="O336" s="227"/>
      <c r="P336" s="348"/>
      <c r="Q336" s="349">
        <v>0</v>
      </c>
      <c r="R336" s="350"/>
      <c r="S336" s="233"/>
      <c r="T336" s="227"/>
      <c r="U336" s="348"/>
      <c r="V336" s="349">
        <v>0</v>
      </c>
      <c r="W336" s="350"/>
      <c r="X336" s="233"/>
      <c r="Y336" s="227"/>
      <c r="Z336" s="348"/>
      <c r="AA336" s="349">
        <v>0</v>
      </c>
      <c r="AB336" s="350"/>
      <c r="AC336" s="233"/>
      <c r="AD336" s="227"/>
      <c r="AE336" s="348"/>
      <c r="AF336" s="349">
        <v>0</v>
      </c>
      <c r="AG336" s="350"/>
      <c r="AH336" s="233"/>
      <c r="AI336" s="227"/>
      <c r="AJ336" s="348"/>
      <c r="AK336" s="349">
        <v>0</v>
      </c>
      <c r="AL336" s="350"/>
      <c r="AM336" s="233"/>
      <c r="AN336" s="227"/>
      <c r="AO336" s="348"/>
      <c r="AP336" s="349">
        <v>0</v>
      </c>
      <c r="AQ336" s="350"/>
      <c r="AR336" s="233"/>
      <c r="AS336" s="227"/>
      <c r="AT336" s="348"/>
      <c r="AU336" s="349">
        <v>0</v>
      </c>
      <c r="AV336" s="350"/>
      <c r="AW336" s="233"/>
      <c r="AX336" s="227"/>
      <c r="AY336" s="348"/>
      <c r="AZ336" s="349">
        <v>0</v>
      </c>
      <c r="BA336" s="350"/>
      <c r="BB336" s="233"/>
      <c r="BC336" s="227"/>
      <c r="BD336" s="348"/>
      <c r="BE336" s="349">
        <v>0</v>
      </c>
      <c r="BF336" s="350"/>
      <c r="BG336" s="233"/>
      <c r="BH336" s="227"/>
      <c r="BI336" s="348"/>
      <c r="BJ336" s="349">
        <v>0</v>
      </c>
      <c r="BK336" s="350"/>
      <c r="BL336" s="233"/>
      <c r="BM336" s="227"/>
      <c r="BN336" s="348"/>
      <c r="BO336" s="349">
        <v>0</v>
      </c>
      <c r="BP336" s="350"/>
      <c r="BQ336" s="233"/>
      <c r="BR336" s="227"/>
      <c r="BS336" s="348"/>
      <c r="BT336" s="349">
        <f>SUM(L336:BO336)</f>
        <v>0</v>
      </c>
      <c r="BU336" s="350"/>
      <c r="BV336" s="233"/>
      <c r="BW336" s="233"/>
      <c r="BX336" s="254"/>
      <c r="CA336" s="268"/>
      <c r="CB336" s="268"/>
    </row>
    <row r="337" spans="1:80" x14ac:dyDescent="0.2">
      <c r="A337" s="244"/>
      <c r="B337" s="244"/>
      <c r="D337" s="254"/>
      <c r="F337" s="244"/>
      <c r="G337" s="233"/>
      <c r="H337" s="233"/>
      <c r="I337" s="233"/>
      <c r="J337" s="227"/>
      <c r="K337" s="244"/>
      <c r="L337" s="233"/>
      <c r="M337" s="233"/>
      <c r="N337" s="233"/>
      <c r="O337" s="227"/>
      <c r="P337" s="244"/>
      <c r="Q337" s="233"/>
      <c r="R337" s="233"/>
      <c r="S337" s="233"/>
      <c r="T337" s="227"/>
      <c r="U337" s="244"/>
      <c r="V337" s="233"/>
      <c r="W337" s="233"/>
      <c r="X337" s="233"/>
      <c r="Y337" s="227"/>
      <c r="Z337" s="244"/>
      <c r="AA337" s="233"/>
      <c r="AB337" s="233"/>
      <c r="AC337" s="233"/>
      <c r="AD337" s="227"/>
      <c r="AE337" s="244"/>
      <c r="AF337" s="233"/>
      <c r="AG337" s="233"/>
      <c r="AH337" s="233"/>
      <c r="AI337" s="227"/>
      <c r="AJ337" s="244"/>
      <c r="AK337" s="233"/>
      <c r="AL337" s="233"/>
      <c r="AM337" s="233"/>
      <c r="AN337" s="227"/>
      <c r="AO337" s="244"/>
      <c r="AP337" s="233"/>
      <c r="AQ337" s="233"/>
      <c r="AR337" s="233"/>
      <c r="AS337" s="227"/>
      <c r="AT337" s="244"/>
      <c r="AU337" s="233"/>
      <c r="AV337" s="233"/>
      <c r="AW337" s="233"/>
      <c r="AX337" s="227"/>
      <c r="AY337" s="244"/>
      <c r="AZ337" s="233"/>
      <c r="BA337" s="233"/>
      <c r="BB337" s="233"/>
      <c r="BC337" s="227"/>
      <c r="BD337" s="244"/>
      <c r="BE337" s="233"/>
      <c r="BF337" s="233"/>
      <c r="BG337" s="233"/>
      <c r="BH337" s="227"/>
      <c r="BI337" s="244"/>
      <c r="BJ337" s="233"/>
      <c r="BK337" s="233"/>
      <c r="BL337" s="233"/>
      <c r="BM337" s="227"/>
      <c r="BN337" s="244"/>
      <c r="BO337" s="233"/>
      <c r="BP337" s="233"/>
      <c r="BQ337" s="233"/>
      <c r="BR337" s="227"/>
      <c r="BS337" s="244"/>
      <c r="BT337" s="233"/>
      <c r="BU337" s="233"/>
      <c r="BV337" s="233"/>
      <c r="BW337" s="233"/>
      <c r="BX337" s="254"/>
      <c r="CA337" s="268"/>
      <c r="CB337" s="268"/>
    </row>
    <row r="338" spans="1:80" ht="12.75" customHeight="1" x14ac:dyDescent="0.2">
      <c r="A338" s="244"/>
      <c r="B338" s="244"/>
      <c r="D338" s="254" t="s">
        <v>376</v>
      </c>
      <c r="G338" s="243">
        <f>SUM(G339)</f>
        <v>23165</v>
      </c>
      <c r="I338" s="233"/>
      <c r="J338" s="227"/>
      <c r="K338" s="233"/>
      <c r="L338" s="233">
        <f>SUM(L339:L339)</f>
        <v>0</v>
      </c>
      <c r="M338" s="233"/>
      <c r="N338" s="233"/>
      <c r="O338" s="227"/>
      <c r="P338" s="233"/>
      <c r="Q338" s="233">
        <f>SUM(Q339:Q339)</f>
        <v>0</v>
      </c>
      <c r="R338" s="233"/>
      <c r="S338" s="233"/>
      <c r="T338" s="227"/>
      <c r="U338" s="233"/>
      <c r="V338" s="233">
        <f>SUM(V339:V339)</f>
        <v>0</v>
      </c>
      <c r="W338" s="233"/>
      <c r="X338" s="233"/>
      <c r="Y338" s="227"/>
      <c r="Z338" s="233"/>
      <c r="AA338" s="233">
        <f>SUM(AA339:AA339)</f>
        <v>0</v>
      </c>
      <c r="AB338" s="233"/>
      <c r="AC338" s="233"/>
      <c r="AD338" s="227"/>
      <c r="AE338" s="233"/>
      <c r="AF338" s="233">
        <f>SUM(AF339:AF339)</f>
        <v>23165</v>
      </c>
      <c r="AG338" s="233"/>
      <c r="AH338" s="233"/>
      <c r="AI338" s="227"/>
      <c r="AJ338" s="233"/>
      <c r="AK338" s="233">
        <f>SUM(AK339:AK339)</f>
        <v>0</v>
      </c>
      <c r="AL338" s="233"/>
      <c r="AM338" s="233"/>
      <c r="AN338" s="227"/>
      <c r="AO338" s="233"/>
      <c r="AP338" s="233">
        <f>SUM(AP339:AP339)</f>
        <v>0</v>
      </c>
      <c r="AQ338" s="233"/>
      <c r="AR338" s="233"/>
      <c r="AS338" s="227"/>
      <c r="AT338" s="233"/>
      <c r="AU338" s="233">
        <f>SUM(AU339:AU339)</f>
        <v>0</v>
      </c>
      <c r="AV338" s="233"/>
      <c r="AW338" s="233"/>
      <c r="AX338" s="227"/>
      <c r="AY338" s="233"/>
      <c r="AZ338" s="233">
        <f>SUM(AZ339:AZ339)</f>
        <v>0</v>
      </c>
      <c r="BA338" s="233"/>
      <c r="BB338" s="233"/>
      <c r="BC338" s="227"/>
      <c r="BD338" s="233"/>
      <c r="BE338" s="233">
        <f>SUM(BE339:BE339)</f>
        <v>0</v>
      </c>
      <c r="BF338" s="233"/>
      <c r="BG338" s="233"/>
      <c r="BH338" s="227"/>
      <c r="BI338" s="233"/>
      <c r="BJ338" s="233">
        <f>SUM(BJ339:BJ339)</f>
        <v>0</v>
      </c>
      <c r="BK338" s="233"/>
      <c r="BL338" s="233"/>
      <c r="BM338" s="227"/>
      <c r="BN338" s="233"/>
      <c r="BO338" s="233">
        <f>SUM(BO339:BO339)</f>
        <v>447729</v>
      </c>
      <c r="BP338" s="233"/>
      <c r="BQ338" s="233"/>
      <c r="BR338" s="227"/>
      <c r="BS338" s="244"/>
      <c r="BT338" s="233">
        <f>SUM(BT339:BT339)</f>
        <v>470894</v>
      </c>
      <c r="BU338" s="233"/>
      <c r="BV338" s="233"/>
      <c r="BW338" s="233"/>
      <c r="BX338" s="254"/>
      <c r="CA338" s="268"/>
      <c r="CB338" s="268"/>
    </row>
    <row r="339" spans="1:80" ht="12.75" customHeight="1" x14ac:dyDescent="0.2">
      <c r="A339" s="244"/>
      <c r="B339" s="244"/>
      <c r="D339" s="254" t="s">
        <v>310</v>
      </c>
      <c r="F339" s="348"/>
      <c r="G339" s="349">
        <v>23165</v>
      </c>
      <c r="H339" s="350"/>
      <c r="I339" s="233"/>
      <c r="J339" s="227"/>
      <c r="K339" s="348"/>
      <c r="L339" s="349">
        <v>0</v>
      </c>
      <c r="M339" s="350"/>
      <c r="N339" s="233"/>
      <c r="O339" s="227"/>
      <c r="P339" s="348"/>
      <c r="Q339" s="349">
        <v>0</v>
      </c>
      <c r="R339" s="350"/>
      <c r="S339" s="233"/>
      <c r="T339" s="227"/>
      <c r="U339" s="348"/>
      <c r="V339" s="349">
        <v>0</v>
      </c>
      <c r="W339" s="350"/>
      <c r="X339" s="233"/>
      <c r="Y339" s="227"/>
      <c r="Z339" s="348"/>
      <c r="AA339" s="349">
        <v>0</v>
      </c>
      <c r="AB339" s="350"/>
      <c r="AC339" s="233"/>
      <c r="AD339" s="227"/>
      <c r="AE339" s="348"/>
      <c r="AF339" s="349">
        <v>23165</v>
      </c>
      <c r="AG339" s="350"/>
      <c r="AH339" s="233"/>
      <c r="AI339" s="227"/>
      <c r="AJ339" s="348"/>
      <c r="AK339" s="349">
        <v>0</v>
      </c>
      <c r="AL339" s="350"/>
      <c r="AM339" s="233"/>
      <c r="AN339" s="227"/>
      <c r="AO339" s="348"/>
      <c r="AP339" s="349">
        <v>0</v>
      </c>
      <c r="AQ339" s="350"/>
      <c r="AR339" s="233"/>
      <c r="AS339" s="227"/>
      <c r="AT339" s="348"/>
      <c r="AU339" s="349">
        <v>0</v>
      </c>
      <c r="AV339" s="350"/>
      <c r="AW339" s="233"/>
      <c r="AX339" s="227"/>
      <c r="AY339" s="348"/>
      <c r="AZ339" s="349">
        <v>0</v>
      </c>
      <c r="BA339" s="350"/>
      <c r="BB339" s="233"/>
      <c r="BC339" s="227"/>
      <c r="BD339" s="348"/>
      <c r="BE339" s="349">
        <v>0</v>
      </c>
      <c r="BF339" s="350"/>
      <c r="BG339" s="233"/>
      <c r="BH339" s="227"/>
      <c r="BI339" s="348"/>
      <c r="BJ339" s="349">
        <v>0</v>
      </c>
      <c r="BK339" s="350"/>
      <c r="BL339" s="233"/>
      <c r="BM339" s="227"/>
      <c r="BN339" s="348"/>
      <c r="BO339" s="349">
        <v>447729</v>
      </c>
      <c r="BP339" s="350"/>
      <c r="BQ339" s="233"/>
      <c r="BR339" s="227"/>
      <c r="BS339" s="348"/>
      <c r="BT339" s="349">
        <f>SUM(L339:BO339)</f>
        <v>470894</v>
      </c>
      <c r="BU339" s="350"/>
      <c r="BV339" s="233"/>
      <c r="BW339" s="233"/>
      <c r="BX339" s="254"/>
      <c r="CA339" s="268"/>
      <c r="CB339" s="268"/>
    </row>
    <row r="340" spans="1:80" ht="12.75" customHeight="1" x14ac:dyDescent="0.2">
      <c r="A340" s="244"/>
      <c r="B340" s="244"/>
      <c r="D340" s="254"/>
      <c r="F340" s="244"/>
      <c r="G340" s="233"/>
      <c r="H340" s="233"/>
      <c r="I340" s="233"/>
      <c r="J340" s="227"/>
      <c r="K340" s="244"/>
      <c r="L340" s="233"/>
      <c r="M340" s="233"/>
      <c r="N340" s="233"/>
      <c r="O340" s="227"/>
      <c r="P340" s="244"/>
      <c r="Q340" s="233"/>
      <c r="R340" s="233"/>
      <c r="S340" s="233"/>
      <c r="T340" s="227"/>
      <c r="U340" s="244"/>
      <c r="V340" s="233"/>
      <c r="W340" s="233"/>
      <c r="X340" s="233"/>
      <c r="Y340" s="227"/>
      <c r="Z340" s="244"/>
      <c r="AA340" s="233"/>
      <c r="AB340" s="233"/>
      <c r="AC340" s="233"/>
      <c r="AD340" s="227"/>
      <c r="AE340" s="244"/>
      <c r="AF340" s="233"/>
      <c r="AG340" s="233"/>
      <c r="AH340" s="233"/>
      <c r="AI340" s="227"/>
      <c r="AJ340" s="244"/>
      <c r="AK340" s="233"/>
      <c r="AL340" s="233"/>
      <c r="AM340" s="233"/>
      <c r="AN340" s="227"/>
      <c r="AO340" s="244"/>
      <c r="AP340" s="233"/>
      <c r="AQ340" s="233"/>
      <c r="AR340" s="233"/>
      <c r="AS340" s="227"/>
      <c r="AT340" s="244"/>
      <c r="AU340" s="233"/>
      <c r="AV340" s="233"/>
      <c r="AW340" s="233"/>
      <c r="AX340" s="227"/>
      <c r="AY340" s="244"/>
      <c r="AZ340" s="233"/>
      <c r="BA340" s="233"/>
      <c r="BB340" s="233"/>
      <c r="BC340" s="227"/>
      <c r="BD340" s="244"/>
      <c r="BE340" s="233"/>
      <c r="BF340" s="233"/>
      <c r="BG340" s="233"/>
      <c r="BH340" s="227"/>
      <c r="BI340" s="244"/>
      <c r="BJ340" s="233"/>
      <c r="BK340" s="233"/>
      <c r="BL340" s="233"/>
      <c r="BM340" s="227"/>
      <c r="BN340" s="244"/>
      <c r="BO340" s="233"/>
      <c r="BP340" s="233"/>
      <c r="BQ340" s="233"/>
      <c r="BR340" s="227"/>
      <c r="BS340" s="244"/>
      <c r="BT340" s="233"/>
      <c r="BU340" s="233"/>
      <c r="BV340" s="233"/>
      <c r="BW340" s="233"/>
      <c r="BX340" s="254"/>
      <c r="CA340" s="268"/>
      <c r="CB340" s="268"/>
    </row>
    <row r="341" spans="1:80" x14ac:dyDescent="0.2">
      <c r="A341" s="244"/>
      <c r="B341" s="244"/>
      <c r="D341" s="254" t="s">
        <v>338</v>
      </c>
      <c r="G341" s="243">
        <v>0</v>
      </c>
      <c r="I341" s="233"/>
      <c r="J341" s="227"/>
      <c r="K341" s="233"/>
      <c r="L341" s="233">
        <f>SUM(L342:L342)</f>
        <v>0</v>
      </c>
      <c r="M341" s="233"/>
      <c r="N341" s="233"/>
      <c r="O341" s="227"/>
      <c r="P341" s="233"/>
      <c r="Q341" s="233">
        <f>SUM(Q342:Q342)</f>
        <v>0</v>
      </c>
      <c r="R341" s="233"/>
      <c r="S341" s="233"/>
      <c r="T341" s="227"/>
      <c r="U341" s="233"/>
      <c r="V341" s="233">
        <f>SUM(V342:V342)</f>
        <v>0</v>
      </c>
      <c r="W341" s="233"/>
      <c r="X341" s="233"/>
      <c r="Y341" s="227"/>
      <c r="Z341" s="233"/>
      <c r="AA341" s="233">
        <f>SUM(AA342:AA342)</f>
        <v>0</v>
      </c>
      <c r="AB341" s="233"/>
      <c r="AC341" s="233"/>
      <c r="AD341" s="227"/>
      <c r="AE341" s="233"/>
      <c r="AF341" s="233">
        <f>SUM(AF342:AF342)</f>
        <v>0</v>
      </c>
      <c r="AG341" s="233"/>
      <c r="AH341" s="233"/>
      <c r="AI341" s="227"/>
      <c r="AJ341" s="233"/>
      <c r="AK341" s="233">
        <f>SUM(AK342:AK342)</f>
        <v>0</v>
      </c>
      <c r="AL341" s="233"/>
      <c r="AM341" s="233"/>
      <c r="AN341" s="227"/>
      <c r="AO341" s="233"/>
      <c r="AP341" s="233">
        <f>SUM(AP342:AP342)</f>
        <v>0</v>
      </c>
      <c r="AQ341" s="233"/>
      <c r="AR341" s="233"/>
      <c r="AS341" s="227"/>
      <c r="AT341" s="233"/>
      <c r="AU341" s="233">
        <f>SUM(AU342:AU342)</f>
        <v>0</v>
      </c>
      <c r="AV341" s="233"/>
      <c r="AW341" s="233"/>
      <c r="AX341" s="227"/>
      <c r="AY341" s="233"/>
      <c r="AZ341" s="233">
        <f>SUM(AZ342:AZ342)</f>
        <v>0</v>
      </c>
      <c r="BA341" s="233"/>
      <c r="BB341" s="233"/>
      <c r="BC341" s="227"/>
      <c r="BD341" s="233"/>
      <c r="BE341" s="233">
        <f>SUM(BE342:BE342)</f>
        <v>0</v>
      </c>
      <c r="BF341" s="233"/>
      <c r="BG341" s="233"/>
      <c r="BH341" s="227"/>
      <c r="BI341" s="233"/>
      <c r="BJ341" s="233">
        <f>SUM(BJ342:BJ342)</f>
        <v>0</v>
      </c>
      <c r="BK341" s="233"/>
      <c r="BL341" s="233"/>
      <c r="BM341" s="227"/>
      <c r="BN341" s="233"/>
      <c r="BO341" s="233">
        <f>SUM(BO342:BO342)</f>
        <v>30810</v>
      </c>
      <c r="BP341" s="233"/>
      <c r="BQ341" s="233"/>
      <c r="BR341" s="227"/>
      <c r="BS341" s="244"/>
      <c r="BT341" s="233">
        <f>SUM(BT342:BT342)</f>
        <v>30810</v>
      </c>
      <c r="BU341" s="233"/>
      <c r="BV341" s="233"/>
      <c r="BW341" s="233"/>
      <c r="BX341" s="254"/>
      <c r="CA341" s="268"/>
      <c r="CB341" s="268"/>
    </row>
    <row r="342" spans="1:80" x14ac:dyDescent="0.2">
      <c r="A342" s="244"/>
      <c r="B342" s="244"/>
      <c r="D342" s="254" t="s">
        <v>310</v>
      </c>
      <c r="F342" s="348"/>
      <c r="G342" s="349">
        <v>0</v>
      </c>
      <c r="H342" s="350"/>
      <c r="I342" s="233"/>
      <c r="J342" s="227"/>
      <c r="K342" s="348"/>
      <c r="L342" s="349">
        <v>0</v>
      </c>
      <c r="M342" s="350"/>
      <c r="N342" s="233"/>
      <c r="O342" s="227"/>
      <c r="P342" s="348"/>
      <c r="Q342" s="349">
        <v>0</v>
      </c>
      <c r="R342" s="350"/>
      <c r="S342" s="233"/>
      <c r="T342" s="227"/>
      <c r="U342" s="348"/>
      <c r="V342" s="349">
        <v>0</v>
      </c>
      <c r="W342" s="350"/>
      <c r="X342" s="233"/>
      <c r="Y342" s="227"/>
      <c r="Z342" s="348"/>
      <c r="AA342" s="349">
        <v>0</v>
      </c>
      <c r="AB342" s="350"/>
      <c r="AC342" s="233"/>
      <c r="AD342" s="227"/>
      <c r="AE342" s="348"/>
      <c r="AF342" s="349">
        <v>0</v>
      </c>
      <c r="AG342" s="350"/>
      <c r="AH342" s="233"/>
      <c r="AI342" s="227"/>
      <c r="AJ342" s="348"/>
      <c r="AK342" s="349">
        <v>0</v>
      </c>
      <c r="AL342" s="350"/>
      <c r="AM342" s="233"/>
      <c r="AN342" s="227"/>
      <c r="AO342" s="348"/>
      <c r="AP342" s="349">
        <v>0</v>
      </c>
      <c r="AQ342" s="350"/>
      <c r="AR342" s="233"/>
      <c r="AS342" s="227"/>
      <c r="AT342" s="348"/>
      <c r="AU342" s="349">
        <v>0</v>
      </c>
      <c r="AV342" s="350"/>
      <c r="AW342" s="233"/>
      <c r="AX342" s="227"/>
      <c r="AY342" s="348"/>
      <c r="AZ342" s="349">
        <v>0</v>
      </c>
      <c r="BA342" s="350"/>
      <c r="BB342" s="233"/>
      <c r="BC342" s="227"/>
      <c r="BD342" s="348"/>
      <c r="BE342" s="349">
        <v>0</v>
      </c>
      <c r="BF342" s="350"/>
      <c r="BG342" s="233"/>
      <c r="BH342" s="227"/>
      <c r="BI342" s="348"/>
      <c r="BJ342" s="349">
        <v>0</v>
      </c>
      <c r="BK342" s="350"/>
      <c r="BL342" s="233"/>
      <c r="BM342" s="227"/>
      <c r="BN342" s="348"/>
      <c r="BO342" s="349">
        <v>30810</v>
      </c>
      <c r="BP342" s="350"/>
      <c r="BQ342" s="233"/>
      <c r="BR342" s="227"/>
      <c r="BS342" s="348"/>
      <c r="BT342" s="349">
        <f>SUM(L342:BO342)</f>
        <v>30810</v>
      </c>
      <c r="BU342" s="350"/>
      <c r="BV342" s="233"/>
      <c r="BW342" s="233"/>
      <c r="BX342" s="254"/>
      <c r="CA342" s="268"/>
      <c r="CB342" s="268"/>
    </row>
    <row r="343" spans="1:80" x14ac:dyDescent="0.2">
      <c r="A343" s="244"/>
      <c r="B343" s="244"/>
      <c r="D343" s="360"/>
      <c r="E343" s="361"/>
      <c r="F343" s="247"/>
      <c r="G343" s="362"/>
      <c r="H343" s="362"/>
      <c r="I343" s="362"/>
      <c r="J343" s="363"/>
      <c r="K343" s="362"/>
      <c r="L343" s="362"/>
      <c r="M343" s="362"/>
      <c r="N343" s="362"/>
      <c r="O343" s="363"/>
      <c r="P343" s="362"/>
      <c r="Q343" s="362"/>
      <c r="R343" s="362"/>
      <c r="S343" s="362"/>
      <c r="T343" s="363"/>
      <c r="U343" s="362"/>
      <c r="V343" s="362"/>
      <c r="W343" s="362"/>
      <c r="X343" s="362"/>
      <c r="Y343" s="363"/>
      <c r="Z343" s="362"/>
      <c r="AA343" s="362"/>
      <c r="AB343" s="362"/>
      <c r="AC343" s="362"/>
      <c r="AD343" s="363"/>
      <c r="AE343" s="362"/>
      <c r="AF343" s="362"/>
      <c r="AG343" s="362"/>
      <c r="AH343" s="362"/>
      <c r="AI343" s="363"/>
      <c r="AJ343" s="362"/>
      <c r="AK343" s="362"/>
      <c r="AL343" s="362"/>
      <c r="AM343" s="362"/>
      <c r="AN343" s="363"/>
      <c r="AO343" s="362"/>
      <c r="AP343" s="362"/>
      <c r="AQ343" s="362"/>
      <c r="AR343" s="362"/>
      <c r="AS343" s="363"/>
      <c r="AT343" s="362"/>
      <c r="AU343" s="362"/>
      <c r="AV343" s="362"/>
      <c r="AW343" s="362"/>
      <c r="AX343" s="363"/>
      <c r="AY343" s="362"/>
      <c r="AZ343" s="362"/>
      <c r="BA343" s="362"/>
      <c r="BB343" s="362"/>
      <c r="BC343" s="363"/>
      <c r="BD343" s="362"/>
      <c r="BE343" s="362"/>
      <c r="BF343" s="362"/>
      <c r="BG343" s="362"/>
      <c r="BH343" s="363"/>
      <c r="BI343" s="362"/>
      <c r="BJ343" s="362"/>
      <c r="BK343" s="362"/>
      <c r="BL343" s="362"/>
      <c r="BM343" s="363"/>
      <c r="BN343" s="362"/>
      <c r="BO343" s="362"/>
      <c r="BP343" s="362"/>
      <c r="BQ343" s="362"/>
      <c r="BR343" s="363"/>
      <c r="BS343" s="362"/>
      <c r="BT343" s="362"/>
      <c r="BU343" s="362"/>
      <c r="BV343" s="362"/>
      <c r="BW343" s="364"/>
      <c r="BX343" s="254"/>
      <c r="CA343" s="268"/>
      <c r="CB343" s="268"/>
    </row>
    <row r="344" spans="1:80" x14ac:dyDescent="0.2">
      <c r="A344" s="244"/>
      <c r="B344" s="244"/>
      <c r="C344" s="244"/>
      <c r="E344" s="311"/>
      <c r="F344" s="244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33"/>
      <c r="Z344" s="233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  <c r="AM344" s="233"/>
      <c r="AN344" s="233"/>
      <c r="AO344" s="233"/>
      <c r="AP344" s="233"/>
      <c r="AQ344" s="233"/>
      <c r="AR344" s="233"/>
      <c r="AS344" s="233"/>
      <c r="AT344" s="233"/>
      <c r="AU344" s="233"/>
      <c r="AV344" s="233"/>
      <c r="AW344" s="233"/>
      <c r="AX344" s="233"/>
      <c r="AY344" s="233"/>
      <c r="AZ344" s="233"/>
      <c r="BA344" s="233"/>
      <c r="BB344" s="233"/>
      <c r="BC344" s="233"/>
      <c r="BD344" s="233"/>
      <c r="BE344" s="233"/>
      <c r="BF344" s="233"/>
      <c r="BG344" s="233"/>
      <c r="BH344" s="233"/>
      <c r="BI344" s="233"/>
      <c r="BJ344" s="233"/>
      <c r="BK344" s="233"/>
      <c r="BL344" s="233"/>
      <c r="BM344" s="233"/>
      <c r="BN344" s="233"/>
      <c r="BO344" s="233"/>
      <c r="BP344" s="233"/>
      <c r="BQ344" s="233"/>
      <c r="BR344" s="233"/>
      <c r="BS344" s="233"/>
      <c r="BT344" s="233"/>
      <c r="BU344" s="233"/>
      <c r="BV344" s="233"/>
      <c r="BW344" s="233"/>
      <c r="BX344" s="244"/>
    </row>
    <row r="345" spans="1:80" x14ac:dyDescent="0.2">
      <c r="D345" s="244"/>
      <c r="E345" s="244"/>
    </row>
    <row r="346" spans="1:80" x14ac:dyDescent="0.2">
      <c r="D346" s="244"/>
      <c r="E346" s="244"/>
    </row>
    <row r="347" spans="1:80" x14ac:dyDescent="0.2">
      <c r="D347" s="244"/>
      <c r="E347" s="244"/>
    </row>
    <row r="348" spans="1:80" x14ac:dyDescent="0.2">
      <c r="D348" s="244"/>
      <c r="E348" s="244"/>
    </row>
    <row r="349" spans="1:80" x14ac:dyDescent="0.2">
      <c r="D349" s="244"/>
      <c r="E349" s="244"/>
    </row>
    <row r="350" spans="1:80" x14ac:dyDescent="0.2">
      <c r="D350" s="244"/>
      <c r="E350" s="244"/>
    </row>
    <row r="351" spans="1:80" x14ac:dyDescent="0.2">
      <c r="D351" s="244"/>
      <c r="E351" s="244"/>
    </row>
    <row r="352" spans="1:80" x14ac:dyDescent="0.2">
      <c r="E352" s="243"/>
    </row>
    <row r="353" spans="4:17" x14ac:dyDescent="0.2"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</row>
    <row r="354" spans="4:17" x14ac:dyDescent="0.2"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</row>
    <row r="355" spans="4:17" x14ac:dyDescent="0.2"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</row>
    <row r="356" spans="4:17" x14ac:dyDescent="0.2">
      <c r="D356" s="244"/>
      <c r="E356" s="244"/>
      <c r="F356" s="244"/>
      <c r="G356" s="244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</row>
    <row r="357" spans="4:17" x14ac:dyDescent="0.2"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</row>
    <row r="358" spans="4:17" x14ac:dyDescent="0.2"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</row>
    <row r="359" spans="4:17" x14ac:dyDescent="0.2"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</row>
    <row r="360" spans="4:17" x14ac:dyDescent="0.2"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</row>
    <row r="361" spans="4:17" x14ac:dyDescent="0.2"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</row>
    <row r="362" spans="4:17" x14ac:dyDescent="0.2">
      <c r="D362" s="244"/>
      <c r="E362" s="244"/>
      <c r="F362" s="244"/>
      <c r="G362" s="244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</row>
    <row r="363" spans="4:17" x14ac:dyDescent="0.2">
      <c r="D363" s="244"/>
      <c r="E363" s="244"/>
      <c r="F363" s="244"/>
      <c r="G363" s="244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</row>
    <row r="364" spans="4:17" x14ac:dyDescent="0.2">
      <c r="D364" s="244"/>
      <c r="E364" s="244"/>
      <c r="F364" s="244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</row>
    <row r="365" spans="4:17" x14ac:dyDescent="0.2"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</row>
    <row r="366" spans="4:17" x14ac:dyDescent="0.2"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</row>
    <row r="367" spans="4:17" x14ac:dyDescent="0.2"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</row>
    <row r="368" spans="4:17" x14ac:dyDescent="0.2"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</row>
    <row r="369" spans="4:17" x14ac:dyDescent="0.2"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</row>
    <row r="370" spans="4:17" x14ac:dyDescent="0.2"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</row>
    <row r="371" spans="4:17" x14ac:dyDescent="0.2"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</row>
    <row r="372" spans="4:17" x14ac:dyDescent="0.2"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</row>
    <row r="373" spans="4:17" x14ac:dyDescent="0.2">
      <c r="D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</row>
    <row r="374" spans="4:17" x14ac:dyDescent="0.2"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</row>
    <row r="375" spans="4:17" x14ac:dyDescent="0.2"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4"/>
      <c r="O375" s="244"/>
      <c r="P375" s="244"/>
      <c r="Q375" s="244"/>
    </row>
    <row r="376" spans="4:17" x14ac:dyDescent="0.2">
      <c r="D376" s="244"/>
      <c r="E376" s="244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</row>
    <row r="377" spans="4:17" x14ac:dyDescent="0.2"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</row>
    <row r="378" spans="4:17" x14ac:dyDescent="0.2"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</row>
    <row r="379" spans="4:17" x14ac:dyDescent="0.2">
      <c r="D379" s="244"/>
      <c r="E379" s="244"/>
      <c r="F379" s="244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</row>
    <row r="380" spans="4:17" x14ac:dyDescent="0.2"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</row>
    <row r="381" spans="4:17" x14ac:dyDescent="0.2">
      <c r="D381" s="244"/>
      <c r="E381" s="244"/>
      <c r="F381" s="244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</row>
    <row r="382" spans="4:17" x14ac:dyDescent="0.2"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</row>
    <row r="383" spans="4:17" x14ac:dyDescent="0.2"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</row>
    <row r="384" spans="4:17" x14ac:dyDescent="0.2"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</row>
    <row r="385" spans="4:17" x14ac:dyDescent="0.2"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</row>
    <row r="386" spans="4:17" x14ac:dyDescent="0.2"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</row>
    <row r="387" spans="4:17" x14ac:dyDescent="0.2"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</row>
    <row r="388" spans="4:17" x14ac:dyDescent="0.2"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</row>
    <row r="389" spans="4:17" x14ac:dyDescent="0.2">
      <c r="D389" s="244"/>
      <c r="E389" s="244"/>
      <c r="F389" s="244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</row>
    <row r="390" spans="4:17" x14ac:dyDescent="0.2">
      <c r="D390" s="244"/>
      <c r="E390" s="244"/>
      <c r="F390" s="244"/>
      <c r="G390" s="244"/>
      <c r="H390" s="244"/>
      <c r="I390" s="244"/>
      <c r="J390" s="244"/>
      <c r="K390" s="244"/>
      <c r="L390" s="244"/>
      <c r="M390" s="244"/>
      <c r="N390" s="244"/>
      <c r="O390" s="244"/>
      <c r="P390" s="244"/>
      <c r="Q390" s="244"/>
    </row>
    <row r="391" spans="4:17" x14ac:dyDescent="0.2">
      <c r="D391" s="244"/>
      <c r="E391" s="244"/>
      <c r="F391" s="244"/>
      <c r="G391" s="244"/>
      <c r="H391" s="244"/>
      <c r="I391" s="244"/>
      <c r="J391" s="244"/>
      <c r="K391" s="244"/>
      <c r="L391" s="244"/>
      <c r="M391" s="244"/>
      <c r="N391" s="244"/>
      <c r="O391" s="244"/>
      <c r="P391" s="244"/>
      <c r="Q391" s="244"/>
    </row>
    <row r="392" spans="4:17" x14ac:dyDescent="0.2">
      <c r="D392" s="244"/>
      <c r="E392" s="244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</row>
    <row r="393" spans="4:17" x14ac:dyDescent="0.2"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</row>
    <row r="394" spans="4:17" x14ac:dyDescent="0.2">
      <c r="D394" s="244"/>
      <c r="E394" s="244"/>
      <c r="F394" s="244"/>
      <c r="G394" s="244"/>
      <c r="H394" s="244"/>
      <c r="I394" s="244"/>
      <c r="J394" s="244"/>
      <c r="K394" s="244"/>
      <c r="L394" s="244"/>
      <c r="M394" s="244"/>
      <c r="N394" s="244"/>
      <c r="O394" s="244"/>
      <c r="P394" s="244"/>
      <c r="Q394" s="244"/>
    </row>
    <row r="395" spans="4:17" x14ac:dyDescent="0.2"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</row>
    <row r="396" spans="4:17" x14ac:dyDescent="0.2">
      <c r="D396" s="244"/>
      <c r="E396" s="244"/>
      <c r="F396" s="244"/>
      <c r="G396" s="244"/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</row>
    <row r="397" spans="4:17" x14ac:dyDescent="0.2">
      <c r="D397" s="244"/>
      <c r="E397" s="244"/>
      <c r="F397" s="244"/>
      <c r="G397" s="244"/>
      <c r="H397" s="244"/>
      <c r="I397" s="244"/>
      <c r="J397" s="244"/>
      <c r="K397" s="244"/>
      <c r="L397" s="244"/>
      <c r="M397" s="244"/>
      <c r="N397" s="244"/>
      <c r="O397" s="244"/>
      <c r="P397" s="244"/>
      <c r="Q397" s="244"/>
    </row>
    <row r="398" spans="4:17" x14ac:dyDescent="0.2"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</row>
    <row r="399" spans="4:17" x14ac:dyDescent="0.2"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</row>
    <row r="400" spans="4:17" x14ac:dyDescent="0.2">
      <c r="D400" s="244"/>
      <c r="E400" s="244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</row>
    <row r="401" spans="4:17" x14ac:dyDescent="0.2"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</row>
    <row r="402" spans="4:17" x14ac:dyDescent="0.2"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</row>
    <row r="403" spans="4:17" x14ac:dyDescent="0.2"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</row>
    <row r="404" spans="4:17" x14ac:dyDescent="0.2"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</row>
    <row r="405" spans="4:17" x14ac:dyDescent="0.2"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</row>
    <row r="406" spans="4:17" x14ac:dyDescent="0.2"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</row>
    <row r="407" spans="4:17" x14ac:dyDescent="0.2">
      <c r="D407" s="244"/>
      <c r="E407" s="244"/>
      <c r="F407" s="244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</row>
    <row r="408" spans="4:17" x14ac:dyDescent="0.2">
      <c r="D408" s="244"/>
      <c r="E408" s="244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</row>
    <row r="409" spans="4:17" x14ac:dyDescent="0.2">
      <c r="D409" s="244"/>
      <c r="E409" s="244"/>
      <c r="F409" s="244"/>
      <c r="G409" s="244"/>
      <c r="H409" s="244"/>
      <c r="I409" s="244"/>
      <c r="J409" s="244"/>
      <c r="K409" s="244"/>
      <c r="L409" s="244"/>
      <c r="M409" s="244"/>
      <c r="N409" s="244"/>
      <c r="O409" s="244"/>
      <c r="P409" s="244"/>
      <c r="Q409" s="244"/>
    </row>
    <row r="410" spans="4:17" x14ac:dyDescent="0.2">
      <c r="D410" s="244"/>
      <c r="E410" s="244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</row>
    <row r="411" spans="4:17" x14ac:dyDescent="0.2">
      <c r="D411" s="244"/>
      <c r="E411" s="244"/>
      <c r="F411" s="244"/>
      <c r="G411" s="244"/>
      <c r="H411" s="244"/>
      <c r="I411" s="244"/>
      <c r="J411" s="244"/>
      <c r="K411" s="244"/>
      <c r="L411" s="244"/>
      <c r="M411" s="244"/>
      <c r="N411" s="244"/>
      <c r="O411" s="244"/>
      <c r="P411" s="244"/>
      <c r="Q411" s="244"/>
    </row>
    <row r="412" spans="4:17" x14ac:dyDescent="0.2">
      <c r="D412" s="244"/>
      <c r="E412" s="244"/>
      <c r="F412" s="244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</row>
    <row r="413" spans="4:17" x14ac:dyDescent="0.2">
      <c r="D413" s="244"/>
      <c r="E413" s="244"/>
      <c r="F413" s="244"/>
      <c r="G413" s="244"/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</row>
    <row r="414" spans="4:17" x14ac:dyDescent="0.2">
      <c r="D414" s="244"/>
      <c r="E414" s="244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</row>
    <row r="415" spans="4:17" x14ac:dyDescent="0.2">
      <c r="D415" s="244"/>
      <c r="E415" s="244"/>
      <c r="F415" s="244"/>
      <c r="G415" s="244"/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</row>
    <row r="416" spans="4:17" x14ac:dyDescent="0.2">
      <c r="D416" s="244"/>
      <c r="E416" s="244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</row>
    <row r="417" spans="4:17" x14ac:dyDescent="0.2">
      <c r="D417" s="244"/>
      <c r="E417" s="244"/>
      <c r="F417" s="244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</row>
    <row r="418" spans="4:17" x14ac:dyDescent="0.2">
      <c r="D418" s="244"/>
      <c r="E418" s="244"/>
      <c r="F418" s="244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</row>
    <row r="419" spans="4:17" x14ac:dyDescent="0.2">
      <c r="D419" s="244"/>
      <c r="E419" s="244"/>
      <c r="F419" s="244"/>
      <c r="G419" s="244"/>
      <c r="H419" s="244"/>
      <c r="I419" s="244"/>
      <c r="J419" s="244"/>
      <c r="K419" s="244"/>
      <c r="L419" s="244"/>
      <c r="M419" s="244"/>
      <c r="N419" s="244"/>
      <c r="O419" s="244"/>
      <c r="P419" s="244"/>
      <c r="Q419" s="244"/>
    </row>
    <row r="420" spans="4:17" x14ac:dyDescent="0.2">
      <c r="D420" s="244"/>
      <c r="E420" s="244"/>
      <c r="F420" s="244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</row>
    <row r="421" spans="4:17" x14ac:dyDescent="0.2"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</row>
    <row r="422" spans="4:17" x14ac:dyDescent="0.2">
      <c r="D422" s="244"/>
      <c r="E422" s="244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</row>
    <row r="423" spans="4:17" x14ac:dyDescent="0.2">
      <c r="D423" s="244"/>
      <c r="E423" s="244"/>
      <c r="F423" s="244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</row>
    <row r="424" spans="4:17" x14ac:dyDescent="0.2">
      <c r="D424" s="244"/>
      <c r="E424" s="244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</row>
    <row r="425" spans="4:17" x14ac:dyDescent="0.2">
      <c r="D425" s="244"/>
      <c r="E425" s="244"/>
      <c r="F425" s="244"/>
      <c r="G425" s="244"/>
      <c r="H425" s="244"/>
      <c r="I425" s="244"/>
      <c r="J425" s="244"/>
      <c r="K425" s="244"/>
      <c r="L425" s="244"/>
      <c r="M425" s="244"/>
      <c r="N425" s="244"/>
      <c r="O425" s="244"/>
      <c r="P425" s="244"/>
      <c r="Q425" s="244"/>
    </row>
    <row r="426" spans="4:17" x14ac:dyDescent="0.2"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</row>
    <row r="427" spans="4:17" x14ac:dyDescent="0.2"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</row>
    <row r="428" spans="4:17" x14ac:dyDescent="0.2">
      <c r="D428" s="244"/>
      <c r="E428" s="244"/>
      <c r="F428" s="244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</row>
    <row r="429" spans="4:17" x14ac:dyDescent="0.2">
      <c r="D429" s="244"/>
      <c r="E429" s="244"/>
      <c r="F429" s="244"/>
      <c r="G429" s="244"/>
      <c r="H429" s="244"/>
      <c r="I429" s="244"/>
      <c r="J429" s="244"/>
      <c r="K429" s="244"/>
      <c r="L429" s="244"/>
      <c r="M429" s="244"/>
      <c r="N429" s="244"/>
      <c r="O429" s="244"/>
      <c r="P429" s="244"/>
      <c r="Q429" s="244"/>
    </row>
    <row r="430" spans="4:17" x14ac:dyDescent="0.2">
      <c r="D430" s="244"/>
      <c r="E430" s="244"/>
      <c r="F430" s="244"/>
      <c r="G430" s="244"/>
      <c r="H430" s="244"/>
      <c r="I430" s="244"/>
      <c r="J430" s="244"/>
      <c r="K430" s="244"/>
      <c r="L430" s="244"/>
      <c r="M430" s="244"/>
      <c r="N430" s="244"/>
      <c r="O430" s="244"/>
      <c r="P430" s="244"/>
      <c r="Q430" s="244"/>
    </row>
    <row r="431" spans="4:17" x14ac:dyDescent="0.2">
      <c r="D431" s="244"/>
      <c r="E431" s="244"/>
      <c r="F431" s="244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</row>
    <row r="432" spans="4:17" x14ac:dyDescent="0.2">
      <c r="D432" s="244"/>
      <c r="E432" s="244"/>
      <c r="F432" s="244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</row>
    <row r="433" spans="4:17" x14ac:dyDescent="0.2">
      <c r="D433" s="244"/>
      <c r="E433" s="244"/>
      <c r="F433" s="244"/>
      <c r="G433" s="244"/>
      <c r="H433" s="244"/>
      <c r="I433" s="244"/>
      <c r="J433" s="244"/>
      <c r="K433" s="244"/>
      <c r="L433" s="244"/>
      <c r="M433" s="244"/>
      <c r="N433" s="244"/>
      <c r="O433" s="244"/>
      <c r="P433" s="244"/>
      <c r="Q433" s="244"/>
    </row>
    <row r="434" spans="4:17" x14ac:dyDescent="0.2">
      <c r="D434" s="244"/>
      <c r="E434" s="244"/>
      <c r="F434" s="244"/>
      <c r="G434" s="244"/>
      <c r="H434" s="244"/>
      <c r="I434" s="244"/>
      <c r="J434" s="244"/>
      <c r="K434" s="244"/>
      <c r="L434" s="244"/>
      <c r="M434" s="244"/>
      <c r="N434" s="244"/>
      <c r="O434" s="244"/>
      <c r="P434" s="244"/>
      <c r="Q434" s="244"/>
    </row>
    <row r="435" spans="4:17" x14ac:dyDescent="0.2">
      <c r="D435" s="244"/>
      <c r="E435" s="244"/>
      <c r="F435" s="244"/>
      <c r="G435" s="244"/>
      <c r="H435" s="244"/>
      <c r="I435" s="244"/>
      <c r="J435" s="244"/>
      <c r="K435" s="244"/>
      <c r="L435" s="244"/>
      <c r="M435" s="244"/>
      <c r="N435" s="244"/>
      <c r="O435" s="244"/>
      <c r="P435" s="244"/>
      <c r="Q435" s="244"/>
    </row>
    <row r="436" spans="4:17" x14ac:dyDescent="0.2">
      <c r="D436" s="244"/>
      <c r="E436" s="244"/>
      <c r="F436" s="244"/>
      <c r="G436" s="244"/>
      <c r="H436" s="244"/>
      <c r="I436" s="244"/>
      <c r="J436" s="244"/>
      <c r="K436" s="244"/>
      <c r="L436" s="244"/>
      <c r="M436" s="244"/>
      <c r="N436" s="244"/>
      <c r="O436" s="244"/>
      <c r="P436" s="244"/>
      <c r="Q436" s="244"/>
    </row>
    <row r="437" spans="4:17" x14ac:dyDescent="0.2">
      <c r="D437" s="244"/>
      <c r="E437" s="244"/>
      <c r="F437" s="244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</row>
    <row r="438" spans="4:17" x14ac:dyDescent="0.2">
      <c r="D438" s="244"/>
      <c r="E438" s="244"/>
      <c r="F438" s="244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</row>
    <row r="439" spans="4:17" x14ac:dyDescent="0.2">
      <c r="D439" s="244"/>
      <c r="E439" s="244"/>
      <c r="F439" s="244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</row>
    <row r="440" spans="4:17" x14ac:dyDescent="0.2">
      <c r="D440" s="244"/>
      <c r="E440" s="244"/>
      <c r="F440" s="244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</row>
    <row r="441" spans="4:17" x14ac:dyDescent="0.2"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4"/>
      <c r="Q441" s="244"/>
    </row>
    <row r="442" spans="4:17" x14ac:dyDescent="0.2">
      <c r="D442" s="244"/>
      <c r="E442" s="244"/>
      <c r="F442" s="244"/>
      <c r="G442" s="244"/>
      <c r="H442" s="244"/>
      <c r="I442" s="244"/>
      <c r="J442" s="244"/>
      <c r="K442" s="244"/>
      <c r="L442" s="244"/>
      <c r="M442" s="244"/>
      <c r="N442" s="244"/>
      <c r="O442" s="244"/>
      <c r="P442" s="244"/>
      <c r="Q442" s="244"/>
    </row>
    <row r="443" spans="4:17" x14ac:dyDescent="0.2">
      <c r="D443" s="244"/>
      <c r="E443" s="244"/>
      <c r="F443" s="244"/>
      <c r="G443" s="244"/>
      <c r="H443" s="244"/>
      <c r="I443" s="244"/>
      <c r="J443" s="244"/>
      <c r="K443" s="244"/>
      <c r="L443" s="244"/>
      <c r="M443" s="244"/>
      <c r="N443" s="244"/>
      <c r="O443" s="244"/>
      <c r="P443" s="244"/>
      <c r="Q443" s="244"/>
    </row>
    <row r="444" spans="4:17" x14ac:dyDescent="0.2">
      <c r="D444" s="244"/>
      <c r="E444" s="244"/>
      <c r="F444" s="244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</row>
    <row r="445" spans="4:17" x14ac:dyDescent="0.2">
      <c r="D445" s="244"/>
      <c r="E445" s="244"/>
      <c r="F445" s="244"/>
      <c r="G445" s="244"/>
      <c r="H445" s="244"/>
      <c r="I445" s="244"/>
      <c r="J445" s="244"/>
      <c r="K445" s="244"/>
      <c r="L445" s="244"/>
      <c r="M445" s="244"/>
      <c r="N445" s="244"/>
      <c r="O445" s="244"/>
      <c r="P445" s="244"/>
      <c r="Q445" s="244"/>
    </row>
    <row r="446" spans="4:17" x14ac:dyDescent="0.2">
      <c r="D446" s="244"/>
      <c r="E446" s="244"/>
      <c r="F446" s="244"/>
      <c r="G446" s="244"/>
      <c r="H446" s="244"/>
      <c r="I446" s="244"/>
      <c r="J446" s="244"/>
      <c r="K446" s="244"/>
      <c r="L446" s="244"/>
      <c r="M446" s="244"/>
      <c r="N446" s="244"/>
      <c r="O446" s="244"/>
      <c r="P446" s="244"/>
      <c r="Q446" s="244"/>
    </row>
    <row r="447" spans="4:17" x14ac:dyDescent="0.2">
      <c r="D447" s="244"/>
      <c r="E447" s="244"/>
      <c r="F447" s="244"/>
      <c r="G447" s="244"/>
      <c r="H447" s="244"/>
      <c r="I447" s="244"/>
      <c r="J447" s="244"/>
      <c r="K447" s="244"/>
      <c r="L447" s="244"/>
      <c r="M447" s="244"/>
      <c r="N447" s="244"/>
      <c r="O447" s="244"/>
      <c r="P447" s="244"/>
      <c r="Q447" s="244"/>
    </row>
    <row r="448" spans="4:17" x14ac:dyDescent="0.2"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4"/>
      <c r="P448" s="244"/>
      <c r="Q448" s="244"/>
    </row>
    <row r="449" spans="4:17" x14ac:dyDescent="0.2">
      <c r="D449" s="244"/>
      <c r="E449" s="244"/>
      <c r="F449" s="244"/>
      <c r="G449" s="244"/>
      <c r="H449" s="244"/>
      <c r="I449" s="244"/>
      <c r="J449" s="244"/>
      <c r="K449" s="244"/>
      <c r="L449" s="244"/>
      <c r="M449" s="244"/>
      <c r="N449" s="244"/>
      <c r="O449" s="244"/>
      <c r="P449" s="244"/>
      <c r="Q449" s="244"/>
    </row>
    <row r="450" spans="4:17" x14ac:dyDescent="0.2">
      <c r="D450" s="244"/>
      <c r="E450" s="244"/>
      <c r="F450" s="244"/>
      <c r="G450" s="244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</row>
    <row r="451" spans="4:17" x14ac:dyDescent="0.2">
      <c r="D451" s="244"/>
      <c r="E451" s="244"/>
      <c r="F451" s="244"/>
      <c r="G451" s="244"/>
      <c r="H451" s="244"/>
      <c r="I451" s="244"/>
      <c r="J451" s="244"/>
      <c r="K451" s="244"/>
      <c r="L451" s="244"/>
      <c r="M451" s="244"/>
      <c r="N451" s="244"/>
      <c r="O451" s="244"/>
      <c r="P451" s="244"/>
      <c r="Q451" s="244"/>
    </row>
    <row r="452" spans="4:17" x14ac:dyDescent="0.2">
      <c r="D452" s="244"/>
      <c r="E452" s="244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</row>
    <row r="453" spans="4:17" x14ac:dyDescent="0.2">
      <c r="D453" s="244"/>
      <c r="E453" s="244"/>
      <c r="F453" s="244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</row>
    <row r="454" spans="4:17" x14ac:dyDescent="0.2">
      <c r="D454" s="244"/>
      <c r="E454" s="244"/>
      <c r="F454" s="244"/>
      <c r="G454" s="244"/>
      <c r="H454" s="244"/>
      <c r="I454" s="244"/>
      <c r="J454" s="244"/>
      <c r="K454" s="244"/>
      <c r="L454" s="244"/>
      <c r="M454" s="244"/>
      <c r="N454" s="244"/>
      <c r="O454" s="244"/>
      <c r="P454" s="244"/>
      <c r="Q454" s="244"/>
    </row>
    <row r="455" spans="4:17" x14ac:dyDescent="0.2">
      <c r="D455" s="244"/>
      <c r="E455" s="244"/>
      <c r="F455" s="244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</row>
    <row r="456" spans="4:17" x14ac:dyDescent="0.2">
      <c r="D456" s="244"/>
      <c r="E456" s="244"/>
      <c r="F456" s="244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  <c r="Q456" s="244"/>
    </row>
    <row r="457" spans="4:17" x14ac:dyDescent="0.2">
      <c r="D457" s="244"/>
      <c r="E457" s="244"/>
      <c r="F457" s="244"/>
      <c r="G457" s="244"/>
      <c r="H457" s="244"/>
      <c r="I457" s="244"/>
      <c r="J457" s="244"/>
      <c r="K457" s="244"/>
      <c r="L457" s="244"/>
      <c r="M457" s="244"/>
      <c r="N457" s="244"/>
      <c r="O457" s="244"/>
      <c r="P457" s="244"/>
      <c r="Q457" s="244"/>
    </row>
    <row r="458" spans="4:17" x14ac:dyDescent="0.2">
      <c r="D458" s="244"/>
      <c r="E458" s="244"/>
      <c r="F458" s="244"/>
      <c r="G458" s="244"/>
      <c r="H458" s="244"/>
      <c r="I458" s="244"/>
      <c r="J458" s="244"/>
      <c r="K458" s="244"/>
      <c r="L458" s="244"/>
      <c r="M458" s="244"/>
      <c r="N458" s="244"/>
      <c r="O458" s="244"/>
      <c r="P458" s="244"/>
      <c r="Q458" s="244"/>
    </row>
    <row r="459" spans="4:17" x14ac:dyDescent="0.2">
      <c r="D459" s="244"/>
      <c r="E459" s="244"/>
      <c r="F459" s="244"/>
      <c r="G459" s="244"/>
      <c r="H459" s="244"/>
      <c r="I459" s="244"/>
      <c r="J459" s="244"/>
      <c r="K459" s="244"/>
      <c r="L459" s="244"/>
      <c r="M459" s="244"/>
      <c r="N459" s="244"/>
      <c r="O459" s="244"/>
      <c r="P459" s="244"/>
      <c r="Q459" s="244"/>
    </row>
    <row r="460" spans="4:17" x14ac:dyDescent="0.2">
      <c r="D460" s="244"/>
      <c r="E460" s="244"/>
      <c r="F460" s="244"/>
      <c r="G460" s="244"/>
      <c r="H460" s="244"/>
      <c r="I460" s="244"/>
      <c r="J460" s="244"/>
      <c r="K460" s="244"/>
      <c r="L460" s="244"/>
      <c r="M460" s="244"/>
      <c r="N460" s="244"/>
      <c r="O460" s="244"/>
      <c r="P460" s="244"/>
      <c r="Q460" s="244"/>
    </row>
    <row r="461" spans="4:17" x14ac:dyDescent="0.2">
      <c r="D461" s="244"/>
      <c r="E461" s="244"/>
      <c r="F461" s="244"/>
      <c r="G461" s="244"/>
      <c r="H461" s="244"/>
      <c r="I461" s="244"/>
      <c r="J461" s="244"/>
      <c r="K461" s="244"/>
      <c r="L461" s="244"/>
      <c r="M461" s="244"/>
      <c r="N461" s="244"/>
      <c r="O461" s="244"/>
      <c r="P461" s="244"/>
      <c r="Q461" s="244"/>
    </row>
    <row r="462" spans="4:17" x14ac:dyDescent="0.2">
      <c r="D462" s="244"/>
      <c r="E462" s="244"/>
      <c r="F462" s="244"/>
      <c r="G462" s="244"/>
      <c r="H462" s="244"/>
      <c r="I462" s="244"/>
      <c r="J462" s="244"/>
      <c r="K462" s="244"/>
      <c r="L462" s="244"/>
      <c r="M462" s="244"/>
      <c r="N462" s="244"/>
      <c r="O462" s="244"/>
      <c r="P462" s="244"/>
      <c r="Q462" s="244"/>
    </row>
    <row r="463" spans="4:17" x14ac:dyDescent="0.2">
      <c r="D463" s="244"/>
      <c r="E463" s="244"/>
      <c r="F463" s="244"/>
      <c r="G463" s="244"/>
      <c r="H463" s="244"/>
      <c r="I463" s="244"/>
      <c r="J463" s="244"/>
      <c r="K463" s="244"/>
      <c r="L463" s="244"/>
      <c r="M463" s="244"/>
      <c r="N463" s="244"/>
      <c r="O463" s="244"/>
      <c r="P463" s="244"/>
      <c r="Q463" s="244"/>
    </row>
    <row r="464" spans="4:17" x14ac:dyDescent="0.2">
      <c r="D464" s="244"/>
      <c r="E464" s="244"/>
      <c r="F464" s="244"/>
      <c r="G464" s="244"/>
      <c r="H464" s="244"/>
      <c r="I464" s="244"/>
      <c r="J464" s="244"/>
      <c r="K464" s="244"/>
      <c r="L464" s="244"/>
      <c r="M464" s="244"/>
      <c r="N464" s="244"/>
      <c r="O464" s="244"/>
      <c r="P464" s="244"/>
      <c r="Q464" s="244"/>
    </row>
    <row r="465" spans="4:17" x14ac:dyDescent="0.2">
      <c r="D465" s="244"/>
      <c r="E465" s="244"/>
      <c r="F465" s="244"/>
      <c r="G465" s="244"/>
      <c r="H465" s="244"/>
      <c r="I465" s="244"/>
      <c r="J465" s="244"/>
      <c r="K465" s="244"/>
      <c r="L465" s="244"/>
      <c r="M465" s="244"/>
      <c r="N465" s="244"/>
      <c r="O465" s="244"/>
      <c r="P465" s="244"/>
      <c r="Q465" s="244"/>
    </row>
    <row r="466" spans="4:17" x14ac:dyDescent="0.2">
      <c r="D466" s="244"/>
      <c r="E466" s="244"/>
      <c r="F466" s="244"/>
      <c r="G466" s="244"/>
      <c r="H466" s="244"/>
      <c r="I466" s="244"/>
      <c r="J466" s="244"/>
      <c r="K466" s="244"/>
      <c r="L466" s="244"/>
      <c r="M466" s="244"/>
      <c r="N466" s="244"/>
      <c r="O466" s="244"/>
      <c r="P466" s="244"/>
      <c r="Q466" s="244"/>
    </row>
    <row r="467" spans="4:17" x14ac:dyDescent="0.2">
      <c r="D467" s="244"/>
      <c r="E467" s="244"/>
      <c r="F467" s="244"/>
      <c r="G467" s="244"/>
      <c r="H467" s="244"/>
      <c r="I467" s="244"/>
      <c r="J467" s="244"/>
      <c r="K467" s="244"/>
      <c r="L467" s="244"/>
      <c r="M467" s="244"/>
      <c r="N467" s="244"/>
      <c r="O467" s="244"/>
      <c r="P467" s="244"/>
      <c r="Q467" s="244"/>
    </row>
    <row r="468" spans="4:17" x14ac:dyDescent="0.2">
      <c r="D468" s="244"/>
      <c r="E468" s="244"/>
      <c r="F468" s="244"/>
      <c r="G468" s="244"/>
      <c r="H468" s="244"/>
      <c r="I468" s="244"/>
      <c r="J468" s="244"/>
      <c r="K468" s="244"/>
      <c r="L468" s="244"/>
      <c r="M468" s="244"/>
      <c r="N468" s="244"/>
      <c r="O468" s="244"/>
      <c r="P468" s="244"/>
      <c r="Q468" s="244"/>
    </row>
    <row r="469" spans="4:17" x14ac:dyDescent="0.2">
      <c r="D469" s="244"/>
      <c r="E469" s="244"/>
      <c r="F469" s="244"/>
      <c r="G469" s="244"/>
      <c r="H469" s="244"/>
      <c r="I469" s="244"/>
      <c r="J469" s="244"/>
      <c r="K469" s="244"/>
      <c r="L469" s="244"/>
      <c r="M469" s="244"/>
      <c r="N469" s="244"/>
      <c r="O469" s="244"/>
      <c r="P469" s="244"/>
      <c r="Q469" s="244"/>
    </row>
    <row r="470" spans="4:17" x14ac:dyDescent="0.2"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4"/>
      <c r="P470" s="244"/>
      <c r="Q470" s="244"/>
    </row>
    <row r="471" spans="4:17" x14ac:dyDescent="0.2">
      <c r="D471" s="244"/>
      <c r="E471" s="244"/>
      <c r="F471" s="244"/>
      <c r="G471" s="244"/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</row>
    <row r="472" spans="4:17" x14ac:dyDescent="0.2">
      <c r="D472" s="244"/>
      <c r="E472" s="244"/>
      <c r="F472" s="244"/>
      <c r="G472" s="244"/>
      <c r="H472" s="244"/>
      <c r="I472" s="244"/>
      <c r="J472" s="244"/>
      <c r="K472" s="244"/>
      <c r="L472" s="244"/>
      <c r="M472" s="244"/>
      <c r="N472" s="244"/>
      <c r="O472" s="244"/>
      <c r="P472" s="244"/>
      <c r="Q472" s="244"/>
    </row>
    <row r="473" spans="4:17" x14ac:dyDescent="0.2">
      <c r="D473" s="244"/>
      <c r="E473" s="244"/>
      <c r="F473" s="244"/>
      <c r="G473" s="244"/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</row>
    <row r="474" spans="4:17" x14ac:dyDescent="0.2">
      <c r="D474" s="244"/>
      <c r="E474" s="244"/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</row>
    <row r="475" spans="4:17" x14ac:dyDescent="0.2">
      <c r="D475" s="244"/>
      <c r="E475" s="244"/>
      <c r="F475" s="244"/>
      <c r="G475" s="244"/>
      <c r="H475" s="244"/>
      <c r="I475" s="244"/>
      <c r="J475" s="244"/>
      <c r="K475" s="244"/>
      <c r="L475" s="244"/>
      <c r="M475" s="244"/>
      <c r="N475" s="244"/>
      <c r="O475" s="244"/>
      <c r="P475" s="244"/>
      <c r="Q475" s="244"/>
    </row>
    <row r="476" spans="4:17" x14ac:dyDescent="0.2">
      <c r="D476" s="244"/>
      <c r="E476" s="244"/>
      <c r="F476" s="244"/>
      <c r="G476" s="244"/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</row>
    <row r="477" spans="4:17" x14ac:dyDescent="0.2">
      <c r="D477" s="244"/>
      <c r="E477" s="244"/>
      <c r="F477" s="244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</row>
    <row r="478" spans="4:17" x14ac:dyDescent="0.2">
      <c r="D478" s="244"/>
      <c r="E478" s="244"/>
      <c r="F478" s="244"/>
      <c r="G478" s="244"/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</row>
    <row r="479" spans="4:17" x14ac:dyDescent="0.2">
      <c r="D479" s="244"/>
      <c r="E479" s="244"/>
      <c r="F479" s="244"/>
      <c r="G479" s="244"/>
      <c r="H479" s="244"/>
      <c r="I479" s="244"/>
      <c r="J479" s="244"/>
      <c r="K479" s="244"/>
      <c r="L479" s="244"/>
      <c r="M479" s="244"/>
      <c r="N479" s="244"/>
      <c r="O479" s="244"/>
      <c r="P479" s="244"/>
      <c r="Q479" s="244"/>
    </row>
    <row r="480" spans="4:17" x14ac:dyDescent="0.2">
      <c r="D480" s="244"/>
      <c r="E480" s="244"/>
      <c r="F480" s="244"/>
      <c r="G480" s="244"/>
      <c r="H480" s="244"/>
      <c r="I480" s="244"/>
      <c r="J480" s="244"/>
      <c r="K480" s="244"/>
      <c r="L480" s="244"/>
      <c r="M480" s="244"/>
      <c r="N480" s="244"/>
      <c r="O480" s="244"/>
      <c r="P480" s="244"/>
      <c r="Q480" s="244"/>
    </row>
    <row r="481" spans="4:17" x14ac:dyDescent="0.2"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4"/>
      <c r="Q481" s="244"/>
    </row>
    <row r="482" spans="4:17" x14ac:dyDescent="0.2">
      <c r="D482" s="244"/>
      <c r="E482" s="244"/>
      <c r="F482" s="244"/>
      <c r="G482" s="244"/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</row>
    <row r="483" spans="4:17" x14ac:dyDescent="0.2">
      <c r="D483" s="244"/>
      <c r="E483" s="244"/>
      <c r="F483" s="244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</row>
    <row r="484" spans="4:17" x14ac:dyDescent="0.2">
      <c r="D484" s="244"/>
      <c r="E484" s="244"/>
      <c r="F484" s="244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</row>
    <row r="485" spans="4:17" x14ac:dyDescent="0.2">
      <c r="D485" s="244"/>
      <c r="E485" s="244"/>
      <c r="F485" s="244"/>
      <c r="G485" s="244"/>
      <c r="H485" s="244"/>
      <c r="I485" s="244"/>
      <c r="J485" s="244"/>
      <c r="K485" s="244"/>
      <c r="L485" s="244"/>
      <c r="M485" s="244"/>
      <c r="N485" s="244"/>
      <c r="O485" s="244"/>
      <c r="P485" s="244"/>
      <c r="Q485" s="244"/>
    </row>
    <row r="486" spans="4:17" x14ac:dyDescent="0.2">
      <c r="D486" s="244"/>
      <c r="E486" s="244"/>
      <c r="F486" s="244"/>
      <c r="G486" s="244"/>
      <c r="H486" s="244"/>
      <c r="I486" s="244"/>
      <c r="J486" s="244"/>
      <c r="K486" s="244"/>
      <c r="L486" s="244"/>
      <c r="M486" s="244"/>
      <c r="N486" s="244"/>
      <c r="O486" s="244"/>
      <c r="P486" s="244"/>
      <c r="Q486" s="244"/>
    </row>
    <row r="487" spans="4:17" x14ac:dyDescent="0.2">
      <c r="D487" s="244"/>
      <c r="E487" s="244"/>
      <c r="F487" s="244"/>
      <c r="G487" s="244"/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</row>
    <row r="488" spans="4:17" x14ac:dyDescent="0.2">
      <c r="D488" s="244"/>
      <c r="E488" s="244"/>
      <c r="F488" s="244"/>
      <c r="G488" s="244"/>
      <c r="H488" s="244"/>
      <c r="I488" s="244"/>
      <c r="J488" s="244"/>
      <c r="K488" s="244"/>
      <c r="L488" s="244"/>
      <c r="M488" s="244"/>
      <c r="N488" s="244"/>
      <c r="O488" s="244"/>
      <c r="P488" s="244"/>
      <c r="Q488" s="244"/>
    </row>
    <row r="489" spans="4:17" x14ac:dyDescent="0.2">
      <c r="D489" s="244"/>
      <c r="E489" s="244"/>
      <c r="F489" s="244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</row>
    <row r="490" spans="4:17" x14ac:dyDescent="0.2">
      <c r="D490" s="244"/>
      <c r="E490" s="244"/>
      <c r="F490" s="244"/>
      <c r="G490" s="244"/>
      <c r="H490" s="244"/>
      <c r="I490" s="244"/>
      <c r="J490" s="244"/>
      <c r="K490" s="244"/>
      <c r="L490" s="244"/>
      <c r="M490" s="244"/>
      <c r="N490" s="244"/>
      <c r="O490" s="244"/>
      <c r="P490" s="244"/>
      <c r="Q490" s="244"/>
    </row>
    <row r="491" spans="4:17" x14ac:dyDescent="0.2">
      <c r="D491" s="244"/>
      <c r="E491" s="244"/>
      <c r="F491" s="244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</row>
    <row r="492" spans="4:17" x14ac:dyDescent="0.2"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</row>
    <row r="493" spans="4:17" x14ac:dyDescent="0.2">
      <c r="D493" s="244"/>
      <c r="E493" s="244"/>
      <c r="F493" s="244"/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</row>
    <row r="494" spans="4:17" x14ac:dyDescent="0.2">
      <c r="D494" s="244"/>
      <c r="E494" s="244"/>
      <c r="F494" s="244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</row>
    <row r="495" spans="4:17" x14ac:dyDescent="0.2">
      <c r="D495" s="244"/>
      <c r="E495" s="244"/>
      <c r="F495" s="244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</row>
    <row r="496" spans="4:17" x14ac:dyDescent="0.2">
      <c r="D496" s="244"/>
      <c r="E496" s="244"/>
      <c r="F496" s="244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</row>
    <row r="497" spans="4:17" x14ac:dyDescent="0.2">
      <c r="D497" s="244"/>
      <c r="E497" s="244"/>
      <c r="F497" s="244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</row>
    <row r="498" spans="4:17" x14ac:dyDescent="0.2">
      <c r="D498" s="244"/>
      <c r="E498" s="244"/>
      <c r="F498" s="244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</row>
    <row r="499" spans="4:17" x14ac:dyDescent="0.2">
      <c r="D499" s="244"/>
      <c r="E499" s="244"/>
      <c r="F499" s="244"/>
      <c r="G499" s="244"/>
      <c r="H499" s="244"/>
      <c r="I499" s="244"/>
      <c r="J499" s="244"/>
      <c r="K499" s="244"/>
      <c r="L499" s="244"/>
      <c r="M499" s="244"/>
      <c r="N499" s="244"/>
      <c r="O499" s="244"/>
      <c r="P499" s="244"/>
      <c r="Q499" s="244"/>
    </row>
    <row r="500" spans="4:17" x14ac:dyDescent="0.2">
      <c r="D500" s="244"/>
      <c r="E500" s="244"/>
      <c r="F500" s="244"/>
      <c r="G500" s="244"/>
      <c r="H500" s="244"/>
      <c r="I500" s="244"/>
      <c r="J500" s="244"/>
      <c r="K500" s="244"/>
      <c r="L500" s="244"/>
      <c r="M500" s="244"/>
      <c r="N500" s="244"/>
      <c r="O500" s="244"/>
      <c r="P500" s="244"/>
      <c r="Q500" s="244"/>
    </row>
    <row r="501" spans="4:17" x14ac:dyDescent="0.2">
      <c r="D501" s="244"/>
      <c r="E501" s="244"/>
      <c r="F501" s="244"/>
      <c r="G501" s="244"/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</row>
    <row r="502" spans="4:17" x14ac:dyDescent="0.2">
      <c r="D502" s="244"/>
      <c r="E502" s="244"/>
      <c r="F502" s="244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</row>
    <row r="503" spans="4:17" x14ac:dyDescent="0.2">
      <c r="D503" s="244"/>
      <c r="E503" s="244"/>
      <c r="F503" s="244"/>
      <c r="G503" s="244"/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</row>
    <row r="504" spans="4:17" x14ac:dyDescent="0.2">
      <c r="D504" s="244"/>
      <c r="E504" s="244"/>
      <c r="F504" s="244"/>
      <c r="G504" s="244"/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</row>
    <row r="505" spans="4:17" x14ac:dyDescent="0.2">
      <c r="D505" s="244"/>
      <c r="E505" s="244"/>
      <c r="F505" s="244"/>
      <c r="G505" s="244"/>
      <c r="H505" s="244"/>
      <c r="I505" s="244"/>
      <c r="J505" s="244"/>
      <c r="K505" s="244"/>
      <c r="L505" s="244"/>
      <c r="M505" s="244"/>
      <c r="N505" s="244"/>
      <c r="O505" s="244"/>
      <c r="P505" s="244"/>
      <c r="Q505" s="244"/>
    </row>
    <row r="506" spans="4:17" x14ac:dyDescent="0.2">
      <c r="D506" s="244"/>
      <c r="E506" s="244"/>
      <c r="F506" s="244"/>
      <c r="G506" s="244"/>
      <c r="H506" s="244"/>
      <c r="I506" s="244"/>
      <c r="J506" s="244"/>
      <c r="K506" s="244"/>
      <c r="L506" s="244"/>
      <c r="M506" s="244"/>
      <c r="N506" s="244"/>
      <c r="O506" s="244"/>
      <c r="P506" s="244"/>
      <c r="Q506" s="244"/>
    </row>
    <row r="507" spans="4:17" x14ac:dyDescent="0.2">
      <c r="D507" s="244"/>
      <c r="E507" s="244"/>
      <c r="F507" s="244"/>
      <c r="G507" s="244"/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</row>
    <row r="508" spans="4:17" x14ac:dyDescent="0.2">
      <c r="D508" s="244"/>
      <c r="E508" s="244"/>
      <c r="F508" s="244"/>
      <c r="G508" s="244"/>
      <c r="H508" s="244"/>
      <c r="I508" s="244"/>
      <c r="J508" s="244"/>
      <c r="K508" s="244"/>
      <c r="L508" s="244"/>
      <c r="M508" s="244"/>
      <c r="N508" s="244"/>
      <c r="O508" s="244"/>
      <c r="P508" s="244"/>
      <c r="Q508" s="244"/>
    </row>
    <row r="509" spans="4:17" x14ac:dyDescent="0.2">
      <c r="D509" s="244"/>
      <c r="E509" s="244"/>
      <c r="F509" s="244"/>
      <c r="G509" s="244"/>
      <c r="H509" s="244"/>
      <c r="I509" s="244"/>
      <c r="J509" s="244"/>
      <c r="K509" s="244"/>
      <c r="L509" s="244"/>
      <c r="M509" s="244"/>
      <c r="N509" s="244"/>
      <c r="O509" s="244"/>
      <c r="P509" s="244"/>
      <c r="Q509" s="244"/>
    </row>
    <row r="510" spans="4:17" x14ac:dyDescent="0.2">
      <c r="D510" s="244"/>
      <c r="E510" s="244"/>
      <c r="F510" s="244"/>
      <c r="G510" s="244"/>
      <c r="H510" s="244"/>
      <c r="I510" s="244"/>
      <c r="J510" s="244"/>
      <c r="K510" s="244"/>
      <c r="L510" s="244"/>
      <c r="M510" s="244"/>
      <c r="N510" s="244"/>
      <c r="O510" s="244"/>
      <c r="P510" s="244"/>
      <c r="Q510" s="244"/>
    </row>
    <row r="511" spans="4:17" x14ac:dyDescent="0.2">
      <c r="D511" s="244"/>
      <c r="E511" s="244"/>
      <c r="F511" s="244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  <c r="Q511" s="244"/>
    </row>
    <row r="512" spans="4:17" x14ac:dyDescent="0.2">
      <c r="D512" s="244"/>
      <c r="E512" s="244"/>
      <c r="F512" s="244"/>
      <c r="G512" s="244"/>
      <c r="H512" s="244"/>
      <c r="I512" s="244"/>
      <c r="J512" s="244"/>
      <c r="K512" s="244"/>
      <c r="L512" s="244"/>
      <c r="M512" s="244"/>
      <c r="N512" s="244"/>
      <c r="O512" s="244"/>
      <c r="P512" s="244"/>
      <c r="Q512" s="244"/>
    </row>
    <row r="513" spans="4:17" x14ac:dyDescent="0.2">
      <c r="D513" s="244"/>
      <c r="E513" s="244"/>
      <c r="F513" s="244"/>
      <c r="G513" s="244"/>
      <c r="H513" s="244"/>
      <c r="I513" s="244"/>
      <c r="J513" s="244"/>
      <c r="K513" s="244"/>
      <c r="L513" s="244"/>
      <c r="M513" s="244"/>
      <c r="N513" s="244"/>
      <c r="O513" s="244"/>
      <c r="P513" s="244"/>
      <c r="Q513" s="244"/>
    </row>
    <row r="514" spans="4:17" x14ac:dyDescent="0.2"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4"/>
      <c r="P514" s="244"/>
      <c r="Q514" s="244"/>
    </row>
    <row r="515" spans="4:17" x14ac:dyDescent="0.2">
      <c r="D515" s="244"/>
      <c r="E515" s="244"/>
      <c r="F515" s="244"/>
      <c r="G515" s="244"/>
      <c r="H515" s="244"/>
      <c r="I515" s="244"/>
      <c r="J515" s="244"/>
      <c r="K515" s="244"/>
      <c r="L515" s="244"/>
      <c r="M515" s="244"/>
      <c r="N515" s="244"/>
      <c r="O515" s="244"/>
      <c r="P515" s="244"/>
      <c r="Q515" s="244"/>
    </row>
    <row r="516" spans="4:17" x14ac:dyDescent="0.2">
      <c r="D516" s="244"/>
      <c r="E516" s="244"/>
      <c r="F516" s="244"/>
      <c r="G516" s="244"/>
      <c r="H516" s="244"/>
      <c r="I516" s="244"/>
      <c r="J516" s="244"/>
      <c r="K516" s="244"/>
      <c r="L516" s="244"/>
      <c r="M516" s="244"/>
      <c r="N516" s="244"/>
      <c r="O516" s="244"/>
      <c r="P516" s="244"/>
      <c r="Q516" s="244"/>
    </row>
    <row r="517" spans="4:17" x14ac:dyDescent="0.2">
      <c r="D517" s="244"/>
      <c r="E517" s="244"/>
      <c r="F517" s="244"/>
      <c r="G517" s="244"/>
      <c r="H517" s="244"/>
      <c r="I517" s="244"/>
      <c r="J517" s="244"/>
      <c r="K517" s="244"/>
      <c r="L517" s="244"/>
      <c r="M517" s="244"/>
      <c r="N517" s="244"/>
      <c r="O517" s="244"/>
      <c r="P517" s="244"/>
      <c r="Q517" s="244"/>
    </row>
    <row r="518" spans="4:17" x14ac:dyDescent="0.2">
      <c r="D518" s="244"/>
      <c r="E518" s="244"/>
      <c r="F518" s="244"/>
      <c r="G518" s="244"/>
      <c r="H518" s="244"/>
      <c r="I518" s="244"/>
      <c r="J518" s="244"/>
      <c r="K518" s="244"/>
      <c r="L518" s="244"/>
      <c r="M518" s="244"/>
      <c r="N518" s="244"/>
      <c r="O518" s="244"/>
      <c r="P518" s="244"/>
      <c r="Q518" s="244"/>
    </row>
    <row r="519" spans="4:17" x14ac:dyDescent="0.2">
      <c r="D519" s="244"/>
      <c r="E519" s="244"/>
      <c r="F519" s="244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</row>
    <row r="520" spans="4:17" x14ac:dyDescent="0.2">
      <c r="D520" s="244"/>
      <c r="E520" s="244"/>
      <c r="F520" s="244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</row>
    <row r="521" spans="4:17" x14ac:dyDescent="0.2">
      <c r="D521" s="244"/>
      <c r="E521" s="244"/>
      <c r="F521" s="244"/>
      <c r="G521" s="244"/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</row>
    <row r="522" spans="4:17" x14ac:dyDescent="0.2">
      <c r="D522" s="244"/>
      <c r="E522" s="244"/>
      <c r="F522" s="244"/>
      <c r="G522" s="244"/>
      <c r="H522" s="244"/>
      <c r="I522" s="244"/>
      <c r="J522" s="244"/>
      <c r="K522" s="244"/>
      <c r="L522" s="244"/>
      <c r="M522" s="244"/>
      <c r="N522" s="244"/>
      <c r="O522" s="244"/>
      <c r="P522" s="244"/>
      <c r="Q522" s="244"/>
    </row>
    <row r="523" spans="4:17" x14ac:dyDescent="0.2">
      <c r="D523" s="244"/>
      <c r="E523" s="244"/>
      <c r="F523" s="244"/>
      <c r="G523" s="244"/>
      <c r="H523" s="244"/>
      <c r="I523" s="244"/>
      <c r="J523" s="244"/>
      <c r="K523" s="244"/>
      <c r="L523" s="244"/>
      <c r="M523" s="244"/>
      <c r="N523" s="244"/>
      <c r="O523" s="244"/>
      <c r="P523" s="244"/>
      <c r="Q523" s="244"/>
    </row>
    <row r="524" spans="4:17" x14ac:dyDescent="0.2">
      <c r="D524" s="244"/>
      <c r="E524" s="244"/>
      <c r="F524" s="244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</row>
    <row r="525" spans="4:17" x14ac:dyDescent="0.2">
      <c r="D525" s="244"/>
      <c r="E525" s="244"/>
      <c r="F525" s="244"/>
      <c r="G525" s="244"/>
      <c r="H525" s="244"/>
      <c r="I525" s="244"/>
      <c r="J525" s="244"/>
      <c r="K525" s="244"/>
      <c r="L525" s="244"/>
      <c r="M525" s="244"/>
      <c r="N525" s="244"/>
      <c r="O525" s="244"/>
      <c r="P525" s="244"/>
      <c r="Q525" s="244"/>
    </row>
    <row r="526" spans="4:17" x14ac:dyDescent="0.2">
      <c r="D526" s="244"/>
      <c r="E526" s="244"/>
      <c r="F526" s="244"/>
      <c r="G526" s="244"/>
      <c r="H526" s="244"/>
      <c r="I526" s="244"/>
      <c r="J526" s="244"/>
      <c r="K526" s="244"/>
      <c r="L526" s="244"/>
      <c r="M526" s="244"/>
      <c r="N526" s="244"/>
      <c r="O526" s="244"/>
      <c r="P526" s="244"/>
      <c r="Q526" s="244"/>
    </row>
    <row r="527" spans="4:17" x14ac:dyDescent="0.2"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</row>
    <row r="528" spans="4:17" x14ac:dyDescent="0.2">
      <c r="D528" s="244"/>
      <c r="E528" s="244"/>
      <c r="F528" s="244"/>
      <c r="G528" s="244"/>
      <c r="H528" s="244"/>
      <c r="I528" s="244"/>
      <c r="J528" s="244"/>
      <c r="K528" s="244"/>
      <c r="L528" s="244"/>
      <c r="M528" s="244"/>
      <c r="N528" s="244"/>
      <c r="O528" s="244"/>
      <c r="P528" s="244"/>
      <c r="Q528" s="244"/>
    </row>
    <row r="529" spans="4:17" x14ac:dyDescent="0.2"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</row>
    <row r="530" spans="4:17" x14ac:dyDescent="0.2">
      <c r="D530" s="244"/>
      <c r="E530" s="244"/>
      <c r="F530" s="244"/>
      <c r="G530" s="244"/>
      <c r="H530" s="244"/>
      <c r="I530" s="244"/>
      <c r="J530" s="244"/>
      <c r="K530" s="244"/>
      <c r="L530" s="244"/>
      <c r="M530" s="244"/>
      <c r="N530" s="244"/>
      <c r="O530" s="244"/>
      <c r="P530" s="244"/>
      <c r="Q530" s="244"/>
    </row>
    <row r="531" spans="4:17" x14ac:dyDescent="0.2"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44"/>
      <c r="P531" s="244"/>
      <c r="Q531" s="244"/>
    </row>
    <row r="532" spans="4:17" x14ac:dyDescent="0.2"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44"/>
      <c r="P532" s="244"/>
      <c r="Q532" s="244"/>
    </row>
    <row r="533" spans="4:17" x14ac:dyDescent="0.2"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44"/>
      <c r="P533" s="244"/>
      <c r="Q533" s="244"/>
    </row>
    <row r="534" spans="4:17" x14ac:dyDescent="0.2">
      <c r="D534" s="244"/>
      <c r="E534" s="244"/>
      <c r="F534" s="244"/>
      <c r="G534" s="244"/>
      <c r="H534" s="244"/>
      <c r="I534" s="244"/>
      <c r="J534" s="244"/>
      <c r="K534" s="244"/>
      <c r="L534" s="244"/>
      <c r="M534" s="244"/>
      <c r="N534" s="244"/>
      <c r="O534" s="244"/>
      <c r="P534" s="244"/>
      <c r="Q534" s="244"/>
    </row>
    <row r="535" spans="4:17" x14ac:dyDescent="0.2">
      <c r="D535" s="244"/>
      <c r="E535" s="244"/>
      <c r="F535" s="244"/>
      <c r="G535" s="244"/>
      <c r="H535" s="244"/>
      <c r="I535" s="244"/>
      <c r="J535" s="244"/>
      <c r="K535" s="244"/>
      <c r="L535" s="244"/>
      <c r="M535" s="244"/>
      <c r="N535" s="244"/>
      <c r="O535" s="244"/>
      <c r="P535" s="244"/>
      <c r="Q535" s="244"/>
    </row>
    <row r="536" spans="4:17" x14ac:dyDescent="0.2"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4"/>
      <c r="P536" s="244"/>
      <c r="Q536" s="244"/>
    </row>
    <row r="537" spans="4:17" x14ac:dyDescent="0.2"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4"/>
      <c r="O537" s="244"/>
      <c r="P537" s="244"/>
      <c r="Q537" s="244"/>
    </row>
    <row r="538" spans="4:17" x14ac:dyDescent="0.2">
      <c r="D538" s="244"/>
      <c r="E538" s="244"/>
      <c r="F538" s="244"/>
      <c r="G538" s="244"/>
      <c r="H538" s="244"/>
      <c r="I538" s="244"/>
      <c r="J538" s="244"/>
      <c r="K538" s="244"/>
      <c r="L538" s="244"/>
      <c r="M538" s="244"/>
      <c r="N538" s="244"/>
      <c r="O538" s="244"/>
      <c r="P538" s="244"/>
      <c r="Q538" s="244"/>
    </row>
    <row r="539" spans="4:17" x14ac:dyDescent="0.2">
      <c r="D539" s="244"/>
      <c r="E539" s="244"/>
      <c r="F539" s="244"/>
      <c r="G539" s="244"/>
      <c r="H539" s="244"/>
      <c r="I539" s="244"/>
      <c r="J539" s="244"/>
      <c r="K539" s="244"/>
      <c r="L539" s="244"/>
      <c r="M539" s="244"/>
      <c r="N539" s="244"/>
      <c r="O539" s="244"/>
      <c r="P539" s="244"/>
      <c r="Q539" s="244"/>
    </row>
    <row r="540" spans="4:17" x14ac:dyDescent="0.2">
      <c r="D540" s="244"/>
      <c r="E540" s="244"/>
      <c r="F540" s="244"/>
      <c r="G540" s="244"/>
      <c r="H540" s="244"/>
      <c r="I540" s="244"/>
      <c r="J540" s="244"/>
      <c r="K540" s="244"/>
      <c r="L540" s="244"/>
      <c r="M540" s="244"/>
      <c r="N540" s="244"/>
      <c r="O540" s="244"/>
      <c r="P540" s="244"/>
      <c r="Q540" s="244"/>
    </row>
    <row r="541" spans="4:17" x14ac:dyDescent="0.2">
      <c r="D541" s="244"/>
      <c r="E541" s="244"/>
      <c r="F541" s="244"/>
      <c r="G541" s="244"/>
      <c r="H541" s="244"/>
      <c r="I541" s="244"/>
      <c r="J541" s="244"/>
      <c r="K541" s="244"/>
      <c r="L541" s="244"/>
      <c r="M541" s="244"/>
      <c r="N541" s="244"/>
      <c r="O541" s="244"/>
      <c r="P541" s="244"/>
      <c r="Q541" s="244"/>
    </row>
    <row r="542" spans="4:17" x14ac:dyDescent="0.2">
      <c r="D542" s="244"/>
      <c r="E542" s="244"/>
      <c r="F542" s="244"/>
      <c r="G542" s="244"/>
      <c r="H542" s="244"/>
      <c r="I542" s="244"/>
      <c r="J542" s="244"/>
      <c r="K542" s="244"/>
      <c r="L542" s="244"/>
      <c r="M542" s="244"/>
      <c r="N542" s="244"/>
      <c r="O542" s="244"/>
      <c r="P542" s="244"/>
      <c r="Q542" s="244"/>
    </row>
    <row r="543" spans="4:17" x14ac:dyDescent="0.2">
      <c r="D543" s="244"/>
      <c r="E543" s="244"/>
      <c r="F543" s="244"/>
      <c r="G543" s="244"/>
      <c r="H543" s="244"/>
      <c r="I543" s="244"/>
      <c r="J543" s="244"/>
      <c r="K543" s="244"/>
      <c r="L543" s="244"/>
      <c r="M543" s="244"/>
      <c r="N543" s="244"/>
      <c r="O543" s="244"/>
      <c r="P543" s="244"/>
      <c r="Q543" s="244"/>
    </row>
    <row r="544" spans="4:17" x14ac:dyDescent="0.2"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244"/>
      <c r="P544" s="244"/>
      <c r="Q544" s="244"/>
    </row>
    <row r="545" spans="4:17" x14ac:dyDescent="0.2">
      <c r="D545" s="244"/>
      <c r="E545" s="244"/>
      <c r="F545" s="244"/>
      <c r="G545" s="244"/>
      <c r="H545" s="244"/>
      <c r="I545" s="244"/>
      <c r="J545" s="244"/>
      <c r="K545" s="244"/>
      <c r="L545" s="244"/>
      <c r="M545" s="244"/>
      <c r="N545" s="244"/>
      <c r="O545" s="244"/>
      <c r="P545" s="244"/>
      <c r="Q545" s="244"/>
    </row>
    <row r="546" spans="4:17" x14ac:dyDescent="0.2">
      <c r="D546" s="244"/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</row>
    <row r="547" spans="4:17" x14ac:dyDescent="0.2">
      <c r="D547" s="244"/>
      <c r="E547" s="244"/>
      <c r="F547" s="244"/>
      <c r="G547" s="244"/>
      <c r="H547" s="244"/>
      <c r="I547" s="244"/>
      <c r="J547" s="244"/>
      <c r="K547" s="244"/>
      <c r="L547" s="244"/>
      <c r="M547" s="244"/>
      <c r="N547" s="244"/>
      <c r="O547" s="244"/>
      <c r="P547" s="244"/>
      <c r="Q547" s="244"/>
    </row>
    <row r="548" spans="4:17" x14ac:dyDescent="0.2">
      <c r="D548" s="244"/>
      <c r="E548" s="244"/>
      <c r="F548" s="244"/>
      <c r="G548" s="244"/>
      <c r="H548" s="244"/>
      <c r="I548" s="244"/>
      <c r="J548" s="244"/>
      <c r="K548" s="244"/>
      <c r="L548" s="244"/>
      <c r="M548" s="244"/>
      <c r="N548" s="244"/>
      <c r="O548" s="244"/>
      <c r="P548" s="244"/>
      <c r="Q548" s="244"/>
    </row>
    <row r="549" spans="4:17" x14ac:dyDescent="0.2">
      <c r="D549" s="244"/>
      <c r="E549" s="244"/>
      <c r="F549" s="244"/>
      <c r="G549" s="244"/>
      <c r="H549" s="244"/>
      <c r="I549" s="244"/>
      <c r="J549" s="244"/>
      <c r="K549" s="244"/>
      <c r="L549" s="244"/>
      <c r="M549" s="244"/>
      <c r="N549" s="244"/>
      <c r="O549" s="244"/>
      <c r="P549" s="244"/>
      <c r="Q549" s="244"/>
    </row>
    <row r="550" spans="4:17" x14ac:dyDescent="0.2">
      <c r="D550" s="244"/>
      <c r="E550" s="244"/>
      <c r="F550" s="244"/>
      <c r="G550" s="244"/>
      <c r="H550" s="244"/>
      <c r="I550" s="244"/>
      <c r="J550" s="244"/>
      <c r="K550" s="244"/>
      <c r="L550" s="244"/>
      <c r="M550" s="244"/>
      <c r="N550" s="244"/>
      <c r="O550" s="244"/>
      <c r="P550" s="244"/>
      <c r="Q550" s="244"/>
    </row>
    <row r="551" spans="4:17" x14ac:dyDescent="0.2"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</row>
    <row r="552" spans="4:17" x14ac:dyDescent="0.2"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</row>
    <row r="553" spans="4:17" x14ac:dyDescent="0.2">
      <c r="D553" s="244"/>
      <c r="E553" s="244"/>
      <c r="F553" s="244"/>
      <c r="G553" s="244"/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</row>
    <row r="554" spans="4:17" x14ac:dyDescent="0.2">
      <c r="D554" s="244"/>
      <c r="E554" s="244"/>
      <c r="F554" s="244"/>
      <c r="G554" s="244"/>
      <c r="H554" s="244"/>
      <c r="I554" s="244"/>
      <c r="J554" s="244"/>
      <c r="K554" s="244"/>
      <c r="L554" s="244"/>
      <c r="M554" s="244"/>
      <c r="N554" s="244"/>
      <c r="O554" s="244"/>
      <c r="P554" s="244"/>
      <c r="Q554" s="244"/>
    </row>
    <row r="555" spans="4:17" x14ac:dyDescent="0.2">
      <c r="D555" s="244"/>
      <c r="E555" s="244"/>
      <c r="F555" s="244"/>
      <c r="G555" s="244"/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</row>
    <row r="556" spans="4:17" x14ac:dyDescent="0.2">
      <c r="D556" s="244"/>
      <c r="E556" s="244"/>
      <c r="F556" s="244"/>
      <c r="G556" s="244"/>
      <c r="H556" s="244"/>
      <c r="I556" s="244"/>
      <c r="J556" s="244"/>
      <c r="K556" s="244"/>
      <c r="L556" s="244"/>
      <c r="M556" s="244"/>
      <c r="N556" s="244"/>
      <c r="O556" s="244"/>
      <c r="P556" s="244"/>
      <c r="Q556" s="244"/>
    </row>
    <row r="557" spans="4:17" x14ac:dyDescent="0.2">
      <c r="D557" s="244"/>
      <c r="E557" s="244"/>
      <c r="F557" s="244"/>
      <c r="G557" s="244"/>
      <c r="H557" s="244"/>
      <c r="I557" s="244"/>
      <c r="J557" s="244"/>
      <c r="K557" s="244"/>
      <c r="L557" s="244"/>
      <c r="M557" s="244"/>
      <c r="N557" s="244"/>
      <c r="O557" s="244"/>
      <c r="P557" s="244"/>
      <c r="Q557" s="244"/>
    </row>
    <row r="558" spans="4:17" x14ac:dyDescent="0.2"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4"/>
      <c r="P558" s="244"/>
      <c r="Q558" s="244"/>
    </row>
    <row r="559" spans="4:17" x14ac:dyDescent="0.2">
      <c r="D559" s="244"/>
      <c r="E559" s="244"/>
      <c r="F559" s="244"/>
      <c r="G559" s="244"/>
      <c r="H559" s="244"/>
      <c r="I559" s="244"/>
      <c r="J559" s="244"/>
      <c r="K559" s="244"/>
      <c r="L559" s="244"/>
      <c r="M559" s="244"/>
      <c r="N559" s="244"/>
      <c r="O559" s="244"/>
      <c r="P559" s="244"/>
      <c r="Q559" s="244"/>
    </row>
    <row r="560" spans="4:17" x14ac:dyDescent="0.2">
      <c r="D560" s="244"/>
      <c r="E560" s="244"/>
      <c r="F560" s="244"/>
      <c r="G560" s="244"/>
      <c r="H560" s="244"/>
      <c r="I560" s="244"/>
      <c r="J560" s="244"/>
      <c r="K560" s="244"/>
      <c r="L560" s="244"/>
      <c r="M560" s="244"/>
      <c r="N560" s="244"/>
      <c r="O560" s="244"/>
      <c r="P560" s="244"/>
      <c r="Q560" s="244"/>
    </row>
    <row r="561" spans="4:17" x14ac:dyDescent="0.2">
      <c r="D561" s="244"/>
      <c r="E561" s="244"/>
      <c r="F561" s="244"/>
      <c r="G561" s="244"/>
      <c r="H561" s="244"/>
      <c r="I561" s="244"/>
      <c r="J561" s="244"/>
      <c r="K561" s="244"/>
      <c r="L561" s="244"/>
      <c r="M561" s="244"/>
      <c r="N561" s="244"/>
      <c r="O561" s="244"/>
      <c r="P561" s="244"/>
      <c r="Q561" s="244"/>
    </row>
    <row r="562" spans="4:17" x14ac:dyDescent="0.2">
      <c r="D562" s="244"/>
      <c r="E562" s="244"/>
      <c r="F562" s="244"/>
      <c r="G562" s="244"/>
      <c r="H562" s="244"/>
      <c r="I562" s="244"/>
      <c r="J562" s="244"/>
      <c r="K562" s="244"/>
      <c r="L562" s="244"/>
      <c r="M562" s="244"/>
      <c r="N562" s="244"/>
      <c r="O562" s="244"/>
      <c r="P562" s="244"/>
      <c r="Q562" s="244"/>
    </row>
    <row r="563" spans="4:17" x14ac:dyDescent="0.2">
      <c r="D563" s="244"/>
      <c r="E563" s="244"/>
      <c r="F563" s="244"/>
      <c r="G563" s="244"/>
      <c r="H563" s="244"/>
      <c r="I563" s="244"/>
      <c r="J563" s="244"/>
      <c r="K563" s="244"/>
      <c r="L563" s="244"/>
      <c r="M563" s="244"/>
      <c r="N563" s="244"/>
      <c r="O563" s="244"/>
      <c r="P563" s="244"/>
      <c r="Q563" s="244"/>
    </row>
    <row r="564" spans="4:17" x14ac:dyDescent="0.2">
      <c r="D564" s="244"/>
      <c r="E564" s="244"/>
      <c r="F564" s="244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</row>
    <row r="565" spans="4:17" x14ac:dyDescent="0.2">
      <c r="D565" s="244"/>
      <c r="E565" s="244"/>
      <c r="F565" s="244"/>
      <c r="G565" s="244"/>
      <c r="H565" s="244"/>
      <c r="I565" s="244"/>
      <c r="J565" s="244"/>
      <c r="K565" s="244"/>
      <c r="L565" s="244"/>
      <c r="M565" s="244"/>
      <c r="N565" s="244"/>
      <c r="O565" s="244"/>
      <c r="P565" s="244"/>
      <c r="Q565" s="244"/>
    </row>
    <row r="566" spans="4:17" x14ac:dyDescent="0.2">
      <c r="D566" s="244"/>
      <c r="E566" s="244"/>
      <c r="F566" s="244"/>
      <c r="G566" s="244"/>
      <c r="H566" s="244"/>
      <c r="I566" s="244"/>
      <c r="J566" s="244"/>
      <c r="K566" s="244"/>
      <c r="L566" s="244"/>
      <c r="M566" s="244"/>
      <c r="N566" s="244"/>
      <c r="O566" s="244"/>
      <c r="P566" s="244"/>
      <c r="Q566" s="244"/>
    </row>
    <row r="567" spans="4:17" x14ac:dyDescent="0.2"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4"/>
      <c r="Q567" s="244"/>
    </row>
    <row r="568" spans="4:17" x14ac:dyDescent="0.2">
      <c r="D568" s="244"/>
      <c r="E568" s="244"/>
      <c r="F568" s="244"/>
      <c r="G568" s="244"/>
      <c r="H568" s="244"/>
      <c r="I568" s="244"/>
      <c r="J568" s="244"/>
      <c r="K568" s="244"/>
      <c r="L568" s="244"/>
      <c r="M568" s="244"/>
      <c r="N568" s="244"/>
      <c r="O568" s="244"/>
      <c r="P568" s="244"/>
      <c r="Q568" s="244"/>
    </row>
    <row r="569" spans="4:17" x14ac:dyDescent="0.2">
      <c r="D569" s="244"/>
      <c r="E569" s="244"/>
      <c r="F569" s="244"/>
      <c r="G569" s="244"/>
      <c r="H569" s="244"/>
      <c r="I569" s="244"/>
      <c r="J569" s="244"/>
      <c r="K569" s="244"/>
      <c r="L569" s="244"/>
      <c r="M569" s="244"/>
      <c r="N569" s="244"/>
      <c r="O569" s="244"/>
      <c r="P569" s="244"/>
      <c r="Q569" s="244"/>
    </row>
    <row r="570" spans="4:17" x14ac:dyDescent="0.2">
      <c r="D570" s="244"/>
      <c r="E570" s="244"/>
      <c r="F570" s="244"/>
      <c r="G570" s="244"/>
      <c r="H570" s="244"/>
      <c r="I570" s="244"/>
      <c r="J570" s="244"/>
      <c r="K570" s="244"/>
      <c r="L570" s="244"/>
      <c r="M570" s="244"/>
      <c r="N570" s="244"/>
      <c r="O570" s="244"/>
      <c r="P570" s="244"/>
      <c r="Q570" s="244"/>
    </row>
    <row r="571" spans="4:17" x14ac:dyDescent="0.2">
      <c r="D571" s="244"/>
      <c r="E571" s="244"/>
      <c r="F571" s="244"/>
      <c r="G571" s="244"/>
      <c r="H571" s="244"/>
      <c r="I571" s="244"/>
      <c r="J571" s="244"/>
      <c r="K571" s="244"/>
      <c r="L571" s="244"/>
      <c r="M571" s="244"/>
      <c r="N571" s="244"/>
      <c r="O571" s="244"/>
      <c r="P571" s="244"/>
      <c r="Q571" s="244"/>
    </row>
    <row r="572" spans="4:17" x14ac:dyDescent="0.2">
      <c r="D572" s="244"/>
      <c r="E572" s="244"/>
      <c r="F572" s="244"/>
      <c r="G572" s="244"/>
      <c r="H572" s="244"/>
      <c r="I572" s="244"/>
      <c r="J572" s="244"/>
      <c r="K572" s="244"/>
      <c r="L572" s="244"/>
      <c r="M572" s="244"/>
      <c r="N572" s="244"/>
      <c r="O572" s="244"/>
      <c r="P572" s="244"/>
      <c r="Q572" s="244"/>
    </row>
    <row r="573" spans="4:17" x14ac:dyDescent="0.2">
      <c r="D573" s="244"/>
      <c r="E573" s="244"/>
      <c r="F573" s="244"/>
      <c r="G573" s="244"/>
      <c r="H573" s="244"/>
      <c r="I573" s="244"/>
      <c r="J573" s="244"/>
      <c r="K573" s="244"/>
      <c r="L573" s="244"/>
      <c r="M573" s="244"/>
      <c r="N573" s="244"/>
      <c r="O573" s="244"/>
      <c r="P573" s="244"/>
      <c r="Q573" s="244"/>
    </row>
    <row r="574" spans="4:17" x14ac:dyDescent="0.2">
      <c r="D574" s="244"/>
      <c r="E574" s="244"/>
      <c r="F574" s="244"/>
      <c r="G574" s="244"/>
      <c r="H574" s="244"/>
      <c r="I574" s="244"/>
      <c r="J574" s="244"/>
      <c r="K574" s="244"/>
      <c r="L574" s="244"/>
      <c r="M574" s="244"/>
      <c r="N574" s="244"/>
      <c r="O574" s="244"/>
      <c r="P574" s="244"/>
      <c r="Q574" s="244"/>
    </row>
    <row r="575" spans="4:17" x14ac:dyDescent="0.2">
      <c r="D575" s="244"/>
      <c r="E575" s="244"/>
      <c r="F575" s="244"/>
      <c r="G575" s="244"/>
      <c r="H575" s="244"/>
      <c r="I575" s="244"/>
      <c r="J575" s="244"/>
      <c r="K575" s="244"/>
      <c r="L575" s="244"/>
      <c r="M575" s="244"/>
      <c r="N575" s="244"/>
      <c r="O575" s="244"/>
      <c r="P575" s="244"/>
      <c r="Q575" s="244"/>
    </row>
    <row r="576" spans="4:17" x14ac:dyDescent="0.2">
      <c r="D576" s="244"/>
      <c r="E576" s="244"/>
      <c r="F576" s="244"/>
      <c r="G576" s="244"/>
      <c r="H576" s="244"/>
      <c r="I576" s="244"/>
      <c r="J576" s="244"/>
      <c r="K576" s="244"/>
      <c r="L576" s="244"/>
      <c r="M576" s="244"/>
      <c r="N576" s="244"/>
      <c r="O576" s="244"/>
      <c r="P576" s="244"/>
      <c r="Q576" s="244"/>
    </row>
    <row r="577" spans="4:17" x14ac:dyDescent="0.2">
      <c r="D577" s="244"/>
      <c r="E577" s="244"/>
      <c r="F577" s="244"/>
      <c r="G577" s="244"/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</row>
    <row r="578" spans="4:17" x14ac:dyDescent="0.2">
      <c r="D578" s="244"/>
      <c r="E578" s="244"/>
      <c r="F578" s="244"/>
      <c r="G578" s="244"/>
      <c r="H578" s="244"/>
      <c r="I578" s="244"/>
      <c r="J578" s="244"/>
      <c r="K578" s="244"/>
      <c r="L578" s="244"/>
      <c r="M578" s="244"/>
      <c r="N578" s="244"/>
      <c r="O578" s="244"/>
      <c r="P578" s="244"/>
      <c r="Q578" s="244"/>
    </row>
    <row r="579" spans="4:17" x14ac:dyDescent="0.2">
      <c r="D579" s="244"/>
      <c r="E579" s="244"/>
      <c r="F579" s="244"/>
      <c r="G579" s="244"/>
      <c r="H579" s="244"/>
      <c r="I579" s="244"/>
      <c r="J579" s="244"/>
      <c r="K579" s="244"/>
      <c r="L579" s="244"/>
      <c r="M579" s="244"/>
      <c r="N579" s="244"/>
      <c r="O579" s="244"/>
      <c r="P579" s="244"/>
      <c r="Q579" s="244"/>
    </row>
    <row r="580" spans="4:17" x14ac:dyDescent="0.2"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4"/>
      <c r="P580" s="244"/>
      <c r="Q580" s="244"/>
    </row>
    <row r="581" spans="4:17" x14ac:dyDescent="0.2">
      <c r="D581" s="244"/>
      <c r="E581" s="244"/>
      <c r="F581" s="244"/>
      <c r="G581" s="244"/>
      <c r="H581" s="244"/>
      <c r="I581" s="244"/>
      <c r="J581" s="244"/>
      <c r="K581" s="244"/>
      <c r="L581" s="244"/>
      <c r="M581" s="244"/>
      <c r="N581" s="244"/>
      <c r="O581" s="244"/>
      <c r="P581" s="244"/>
      <c r="Q581" s="244"/>
    </row>
    <row r="582" spans="4:17" x14ac:dyDescent="0.2">
      <c r="D582" s="244"/>
      <c r="E582" s="244"/>
      <c r="F582" s="244"/>
      <c r="G582" s="244"/>
      <c r="H582" s="244"/>
      <c r="I582" s="244"/>
      <c r="J582" s="244"/>
      <c r="K582" s="244"/>
      <c r="L582" s="244"/>
      <c r="M582" s="244"/>
      <c r="N582" s="244"/>
      <c r="O582" s="244"/>
      <c r="P582" s="244"/>
      <c r="Q582" s="244"/>
    </row>
    <row r="583" spans="4:17" x14ac:dyDescent="0.2">
      <c r="D583" s="244"/>
      <c r="E583" s="244"/>
      <c r="F583" s="244"/>
      <c r="G583" s="244"/>
      <c r="H583" s="244"/>
      <c r="I583" s="244"/>
      <c r="J583" s="244"/>
      <c r="K583" s="244"/>
      <c r="L583" s="244"/>
      <c r="M583" s="244"/>
      <c r="N583" s="244"/>
      <c r="O583" s="244"/>
      <c r="P583" s="244"/>
      <c r="Q583" s="244"/>
    </row>
    <row r="584" spans="4:17" x14ac:dyDescent="0.2">
      <c r="D584" s="244"/>
      <c r="E584" s="244"/>
      <c r="F584" s="244"/>
      <c r="G584" s="244"/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</row>
    <row r="585" spans="4:17" x14ac:dyDescent="0.2">
      <c r="D585" s="244"/>
      <c r="E585" s="244"/>
      <c r="F585" s="244"/>
      <c r="G585" s="244"/>
      <c r="H585" s="244"/>
      <c r="I585" s="244"/>
      <c r="J585" s="244"/>
      <c r="K585" s="244"/>
      <c r="L585" s="244"/>
      <c r="M585" s="244"/>
      <c r="N585" s="244"/>
      <c r="O585" s="244"/>
      <c r="P585" s="244"/>
      <c r="Q585" s="244"/>
    </row>
    <row r="586" spans="4:17" x14ac:dyDescent="0.2">
      <c r="D586" s="244"/>
      <c r="E586" s="244"/>
      <c r="F586" s="244"/>
      <c r="G586" s="244"/>
      <c r="H586" s="244"/>
      <c r="I586" s="244"/>
      <c r="J586" s="244"/>
      <c r="K586" s="244"/>
      <c r="L586" s="244"/>
      <c r="M586" s="244"/>
      <c r="N586" s="244"/>
      <c r="O586" s="244"/>
      <c r="P586" s="244"/>
      <c r="Q586" s="244"/>
    </row>
    <row r="587" spans="4:17" x14ac:dyDescent="0.2">
      <c r="D587" s="244"/>
      <c r="E587" s="244"/>
      <c r="F587" s="244"/>
      <c r="G587" s="244"/>
      <c r="H587" s="244"/>
      <c r="I587" s="244"/>
      <c r="J587" s="244"/>
      <c r="K587" s="244"/>
      <c r="L587" s="244"/>
      <c r="M587" s="244"/>
      <c r="N587" s="244"/>
      <c r="O587" s="244"/>
      <c r="P587" s="244"/>
      <c r="Q587" s="244"/>
    </row>
    <row r="588" spans="4:17" x14ac:dyDescent="0.2">
      <c r="D588" s="244"/>
      <c r="E588" s="244"/>
      <c r="F588" s="244"/>
      <c r="G588" s="244"/>
      <c r="H588" s="244"/>
      <c r="I588" s="244"/>
      <c r="J588" s="244"/>
      <c r="K588" s="244"/>
      <c r="L588" s="244"/>
      <c r="M588" s="244"/>
      <c r="N588" s="244"/>
      <c r="O588" s="244"/>
      <c r="P588" s="244"/>
      <c r="Q588" s="244"/>
    </row>
    <row r="589" spans="4:17" x14ac:dyDescent="0.2">
      <c r="D589" s="244"/>
      <c r="E589" s="244"/>
      <c r="F589" s="244"/>
      <c r="G589" s="244"/>
      <c r="H589" s="244"/>
      <c r="I589" s="244"/>
      <c r="J589" s="244"/>
      <c r="K589" s="244"/>
      <c r="L589" s="244"/>
      <c r="M589" s="244"/>
      <c r="N589" s="244"/>
      <c r="O589" s="244"/>
      <c r="P589" s="244"/>
      <c r="Q589" s="244"/>
    </row>
    <row r="590" spans="4:17" x14ac:dyDescent="0.2"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  <c r="N590" s="244"/>
      <c r="O590" s="244"/>
      <c r="P590" s="244"/>
      <c r="Q590" s="244"/>
    </row>
    <row r="591" spans="4:17" x14ac:dyDescent="0.2">
      <c r="D591" s="244"/>
      <c r="E591" s="244"/>
      <c r="F591" s="244"/>
      <c r="G591" s="244"/>
      <c r="H591" s="244"/>
      <c r="I591" s="244"/>
      <c r="J591" s="244"/>
      <c r="K591" s="244"/>
      <c r="L591" s="244"/>
      <c r="M591" s="244"/>
      <c r="N591" s="244"/>
      <c r="O591" s="244"/>
      <c r="P591" s="244"/>
      <c r="Q591" s="244"/>
    </row>
    <row r="592" spans="4:17" x14ac:dyDescent="0.2">
      <c r="D592" s="244"/>
      <c r="E592" s="244"/>
      <c r="F592" s="244"/>
      <c r="G592" s="244"/>
      <c r="H592" s="244"/>
      <c r="I592" s="244"/>
      <c r="J592" s="244"/>
      <c r="K592" s="244"/>
      <c r="L592" s="244"/>
      <c r="M592" s="244"/>
      <c r="N592" s="244"/>
      <c r="O592" s="244"/>
      <c r="P592" s="244"/>
      <c r="Q592" s="244"/>
    </row>
    <row r="593" spans="4:17" x14ac:dyDescent="0.2">
      <c r="D593" s="244"/>
      <c r="E593" s="244"/>
      <c r="F593" s="244"/>
      <c r="G593" s="244"/>
      <c r="H593" s="244"/>
      <c r="I593" s="244"/>
      <c r="J593" s="244"/>
      <c r="K593" s="244"/>
      <c r="L593" s="244"/>
      <c r="M593" s="244"/>
      <c r="N593" s="244"/>
      <c r="O593" s="244"/>
      <c r="P593" s="244"/>
      <c r="Q593" s="244"/>
    </row>
    <row r="594" spans="4:17" x14ac:dyDescent="0.2">
      <c r="D594" s="244"/>
      <c r="E594" s="244"/>
      <c r="F594" s="244"/>
      <c r="G594" s="244"/>
      <c r="H594" s="244"/>
      <c r="I594" s="244"/>
      <c r="J594" s="244"/>
      <c r="K594" s="244"/>
      <c r="L594" s="244"/>
      <c r="M594" s="244"/>
      <c r="N594" s="244"/>
      <c r="O594" s="244"/>
      <c r="P594" s="244"/>
      <c r="Q594" s="244"/>
    </row>
    <row r="595" spans="4:17" x14ac:dyDescent="0.2">
      <c r="D595" s="244"/>
      <c r="E595" s="244"/>
      <c r="F595" s="244"/>
      <c r="G595" s="244"/>
      <c r="H595" s="244"/>
      <c r="I595" s="244"/>
      <c r="J595" s="244"/>
      <c r="K595" s="244"/>
      <c r="L595" s="244"/>
      <c r="M595" s="244"/>
      <c r="N595" s="244"/>
      <c r="O595" s="244"/>
      <c r="P595" s="244"/>
      <c r="Q595" s="244"/>
    </row>
    <row r="596" spans="4:17" x14ac:dyDescent="0.2">
      <c r="D596" s="244"/>
      <c r="E596" s="244"/>
      <c r="F596" s="244"/>
      <c r="G596" s="244"/>
      <c r="H596" s="244"/>
      <c r="I596" s="244"/>
      <c r="J596" s="244"/>
      <c r="K596" s="244"/>
      <c r="L596" s="244"/>
      <c r="M596" s="244"/>
      <c r="N596" s="244"/>
      <c r="O596" s="244"/>
      <c r="P596" s="244"/>
      <c r="Q596" s="244"/>
    </row>
    <row r="597" spans="4:17" x14ac:dyDescent="0.2">
      <c r="D597" s="244"/>
      <c r="E597" s="244"/>
      <c r="F597" s="244"/>
      <c r="G597" s="244"/>
      <c r="H597" s="244"/>
      <c r="I597" s="244"/>
      <c r="J597" s="244"/>
      <c r="K597" s="244"/>
      <c r="L597" s="244"/>
      <c r="M597" s="244"/>
      <c r="N597" s="244"/>
      <c r="O597" s="244"/>
      <c r="P597" s="244"/>
      <c r="Q597" s="244"/>
    </row>
    <row r="598" spans="4:17" x14ac:dyDescent="0.2">
      <c r="D598" s="244"/>
      <c r="E598" s="244"/>
      <c r="F598" s="244"/>
      <c r="G598" s="244"/>
      <c r="H598" s="244"/>
      <c r="I598" s="244"/>
      <c r="J598" s="244"/>
      <c r="K598" s="244"/>
      <c r="L598" s="244"/>
      <c r="M598" s="244"/>
      <c r="N598" s="244"/>
      <c r="O598" s="244"/>
      <c r="P598" s="244"/>
      <c r="Q598" s="244"/>
    </row>
    <row r="599" spans="4:17" x14ac:dyDescent="0.2">
      <c r="D599" s="244"/>
      <c r="E599" s="244"/>
      <c r="F599" s="244"/>
      <c r="G599" s="244"/>
      <c r="H599" s="244"/>
      <c r="I599" s="244"/>
      <c r="J599" s="244"/>
      <c r="K599" s="244"/>
      <c r="L599" s="244"/>
      <c r="M599" s="244"/>
      <c r="N599" s="244"/>
      <c r="O599" s="244"/>
      <c r="P599" s="244"/>
      <c r="Q599" s="244"/>
    </row>
    <row r="600" spans="4:17" x14ac:dyDescent="0.2">
      <c r="D600" s="244"/>
      <c r="E600" s="244"/>
      <c r="F600" s="244"/>
      <c r="G600" s="244"/>
      <c r="H600" s="244"/>
      <c r="I600" s="244"/>
      <c r="J600" s="244"/>
      <c r="K600" s="244"/>
      <c r="L600" s="244"/>
      <c r="M600" s="244"/>
      <c r="N600" s="244"/>
      <c r="O600" s="244"/>
      <c r="P600" s="244"/>
      <c r="Q600" s="244"/>
    </row>
    <row r="601" spans="4:17" x14ac:dyDescent="0.2">
      <c r="D601" s="244"/>
      <c r="E601" s="244"/>
      <c r="F601" s="244"/>
      <c r="G601" s="244"/>
      <c r="H601" s="244"/>
      <c r="I601" s="244"/>
      <c r="J601" s="244"/>
      <c r="K601" s="244"/>
      <c r="L601" s="244"/>
      <c r="M601" s="244"/>
      <c r="N601" s="244"/>
      <c r="O601" s="244"/>
      <c r="P601" s="244"/>
      <c r="Q601" s="244"/>
    </row>
    <row r="602" spans="4:17" x14ac:dyDescent="0.2"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</row>
    <row r="603" spans="4:17" x14ac:dyDescent="0.2">
      <c r="D603" s="244"/>
      <c r="E603" s="244"/>
      <c r="F603" s="244"/>
      <c r="G603" s="244"/>
      <c r="H603" s="244"/>
      <c r="I603" s="244"/>
      <c r="J603" s="244"/>
      <c r="K603" s="244"/>
      <c r="L603" s="244"/>
      <c r="M603" s="244"/>
      <c r="N603" s="244"/>
      <c r="O603" s="244"/>
      <c r="P603" s="244"/>
      <c r="Q603" s="244"/>
    </row>
    <row r="604" spans="4:17" x14ac:dyDescent="0.2">
      <c r="D604" s="244"/>
      <c r="E604" s="244"/>
      <c r="F604" s="244"/>
      <c r="G604" s="244"/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</row>
    <row r="605" spans="4:17" x14ac:dyDescent="0.2">
      <c r="D605" s="244"/>
      <c r="E605" s="244"/>
      <c r="F605" s="244"/>
      <c r="G605" s="244"/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</row>
    <row r="606" spans="4:17" x14ac:dyDescent="0.2">
      <c r="D606" s="244"/>
      <c r="E606" s="244"/>
      <c r="F606" s="244"/>
      <c r="G606" s="244"/>
      <c r="H606" s="244"/>
      <c r="I606" s="244"/>
      <c r="J606" s="244"/>
      <c r="K606" s="244"/>
      <c r="L606" s="244"/>
      <c r="M606" s="244"/>
      <c r="N606" s="244"/>
      <c r="O606" s="244"/>
      <c r="P606" s="244"/>
      <c r="Q606" s="244"/>
    </row>
    <row r="607" spans="4:17" x14ac:dyDescent="0.2">
      <c r="D607" s="244"/>
      <c r="E607" s="244"/>
      <c r="F607" s="244"/>
      <c r="G607" s="244"/>
      <c r="H607" s="244"/>
      <c r="I607" s="244"/>
      <c r="J607" s="244"/>
      <c r="K607" s="244"/>
      <c r="L607" s="244"/>
      <c r="M607" s="244"/>
      <c r="N607" s="244"/>
      <c r="O607" s="244"/>
      <c r="P607" s="244"/>
      <c r="Q607" s="244"/>
    </row>
    <row r="608" spans="4:17" x14ac:dyDescent="0.2">
      <c r="D608" s="244"/>
      <c r="E608" s="244"/>
      <c r="F608" s="244"/>
      <c r="G608" s="244"/>
      <c r="H608" s="244"/>
      <c r="I608" s="244"/>
      <c r="J608" s="244"/>
      <c r="K608" s="244"/>
      <c r="L608" s="244"/>
      <c r="M608" s="244"/>
      <c r="N608" s="244"/>
      <c r="O608" s="244"/>
      <c r="P608" s="244"/>
      <c r="Q608" s="244"/>
    </row>
    <row r="609" spans="4:17" x14ac:dyDescent="0.2">
      <c r="D609" s="244"/>
      <c r="E609" s="244"/>
      <c r="F609" s="244"/>
      <c r="G609" s="244"/>
      <c r="H609" s="244"/>
      <c r="I609" s="244"/>
      <c r="J609" s="244"/>
      <c r="K609" s="244"/>
      <c r="L609" s="244"/>
      <c r="M609" s="244"/>
      <c r="N609" s="244"/>
      <c r="O609" s="244"/>
      <c r="P609" s="244"/>
      <c r="Q609" s="244"/>
    </row>
    <row r="610" spans="4:17" x14ac:dyDescent="0.2">
      <c r="D610" s="244"/>
      <c r="E610" s="244"/>
      <c r="F610" s="244"/>
      <c r="G610" s="244"/>
      <c r="H610" s="244"/>
      <c r="I610" s="244"/>
      <c r="J610" s="244"/>
      <c r="K610" s="244"/>
      <c r="L610" s="244"/>
      <c r="M610" s="244"/>
      <c r="N610" s="244"/>
      <c r="O610" s="244"/>
      <c r="P610" s="244"/>
      <c r="Q610" s="244"/>
    </row>
    <row r="611" spans="4:17" x14ac:dyDescent="0.2">
      <c r="D611" s="244"/>
      <c r="E611" s="244"/>
      <c r="F611" s="244"/>
      <c r="G611" s="244"/>
      <c r="H611" s="244"/>
      <c r="I611" s="244"/>
      <c r="J611" s="244"/>
      <c r="K611" s="244"/>
      <c r="L611" s="244"/>
      <c r="M611" s="244"/>
      <c r="N611" s="244"/>
      <c r="O611" s="244"/>
      <c r="P611" s="244"/>
      <c r="Q611" s="244"/>
    </row>
    <row r="612" spans="4:17" x14ac:dyDescent="0.2">
      <c r="D612" s="244"/>
      <c r="E612" s="244"/>
      <c r="F612" s="244"/>
      <c r="G612" s="244"/>
      <c r="H612" s="244"/>
      <c r="I612" s="244"/>
      <c r="J612" s="244"/>
      <c r="K612" s="244"/>
      <c r="L612" s="244"/>
      <c r="M612" s="244"/>
      <c r="N612" s="244"/>
      <c r="O612" s="244"/>
      <c r="P612" s="244"/>
      <c r="Q612" s="244"/>
    </row>
    <row r="613" spans="4:17" x14ac:dyDescent="0.2">
      <c r="D613" s="244"/>
      <c r="E613" s="244"/>
      <c r="F613" s="244"/>
      <c r="G613" s="244"/>
      <c r="H613" s="244"/>
      <c r="I613" s="244"/>
      <c r="J613" s="244"/>
      <c r="K613" s="244"/>
      <c r="L613" s="244"/>
      <c r="M613" s="244"/>
      <c r="N613" s="244"/>
      <c r="O613" s="244"/>
      <c r="P613" s="244"/>
      <c r="Q613" s="244"/>
    </row>
    <row r="614" spans="4:17" x14ac:dyDescent="0.2">
      <c r="D614" s="244"/>
      <c r="E614" s="244"/>
      <c r="F614" s="244"/>
      <c r="G614" s="244"/>
      <c r="H614" s="244"/>
      <c r="I614" s="244"/>
      <c r="J614" s="244"/>
      <c r="K614" s="244"/>
      <c r="L614" s="244"/>
      <c r="M614" s="244"/>
      <c r="N614" s="244"/>
      <c r="O614" s="244"/>
      <c r="P614" s="244"/>
      <c r="Q614" s="244"/>
    </row>
    <row r="615" spans="4:17" x14ac:dyDescent="0.2">
      <c r="D615" s="244"/>
      <c r="E615" s="244"/>
      <c r="F615" s="244"/>
      <c r="G615" s="244"/>
      <c r="H615" s="244"/>
      <c r="I615" s="244"/>
      <c r="J615" s="244"/>
      <c r="K615" s="244"/>
      <c r="L615" s="244"/>
      <c r="M615" s="244"/>
      <c r="N615" s="244"/>
      <c r="O615" s="244"/>
      <c r="P615" s="244"/>
      <c r="Q615" s="244"/>
    </row>
    <row r="616" spans="4:17" x14ac:dyDescent="0.2">
      <c r="D616" s="244"/>
      <c r="E616" s="244"/>
      <c r="F616" s="244"/>
      <c r="G616" s="244"/>
      <c r="H616" s="244"/>
      <c r="I616" s="244"/>
      <c r="J616" s="244"/>
      <c r="K616" s="244"/>
      <c r="L616" s="244"/>
      <c r="M616" s="244"/>
      <c r="N616" s="244"/>
      <c r="O616" s="244"/>
      <c r="P616" s="244"/>
      <c r="Q616" s="244"/>
    </row>
    <row r="617" spans="4:17" x14ac:dyDescent="0.2">
      <c r="D617" s="244"/>
      <c r="E617" s="244"/>
      <c r="F617" s="244"/>
      <c r="G617" s="244"/>
      <c r="H617" s="244"/>
      <c r="I617" s="244"/>
      <c r="J617" s="244"/>
      <c r="K617" s="244"/>
      <c r="L617" s="244"/>
      <c r="M617" s="244"/>
      <c r="N617" s="244"/>
      <c r="O617" s="244"/>
      <c r="P617" s="244"/>
      <c r="Q617" s="244"/>
    </row>
    <row r="618" spans="4:17" x14ac:dyDescent="0.2">
      <c r="D618" s="244"/>
      <c r="E618" s="244"/>
      <c r="F618" s="244"/>
      <c r="G618" s="244"/>
      <c r="H618" s="244"/>
      <c r="I618" s="244"/>
      <c r="J618" s="244"/>
      <c r="K618" s="244"/>
      <c r="L618" s="244"/>
      <c r="M618" s="244"/>
      <c r="N618" s="244"/>
      <c r="O618" s="244"/>
      <c r="P618" s="244"/>
      <c r="Q618" s="244"/>
    </row>
    <row r="619" spans="4:17" x14ac:dyDescent="0.2">
      <c r="D619" s="244"/>
      <c r="E619" s="244"/>
      <c r="F619" s="244"/>
      <c r="G619" s="244"/>
      <c r="H619" s="244"/>
      <c r="I619" s="244"/>
      <c r="J619" s="244"/>
      <c r="K619" s="244"/>
      <c r="L619" s="244"/>
      <c r="M619" s="244"/>
      <c r="N619" s="244"/>
      <c r="O619" s="244"/>
      <c r="P619" s="244"/>
      <c r="Q619" s="244"/>
    </row>
    <row r="620" spans="4:17" x14ac:dyDescent="0.2"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</row>
    <row r="621" spans="4:17" x14ac:dyDescent="0.2">
      <c r="D621" s="244"/>
      <c r="E621" s="244"/>
      <c r="F621" s="244"/>
      <c r="G621" s="244"/>
      <c r="H621" s="244"/>
      <c r="I621" s="244"/>
      <c r="J621" s="244"/>
      <c r="K621" s="244"/>
      <c r="L621" s="244"/>
      <c r="M621" s="244"/>
      <c r="N621" s="244"/>
      <c r="O621" s="244"/>
      <c r="P621" s="244"/>
      <c r="Q621" s="244"/>
    </row>
    <row r="622" spans="4:17" x14ac:dyDescent="0.2">
      <c r="D622" s="244"/>
      <c r="E622" s="244"/>
      <c r="F622" s="244"/>
      <c r="G622" s="244"/>
      <c r="H622" s="244"/>
      <c r="I622" s="244"/>
      <c r="J622" s="244"/>
      <c r="K622" s="244"/>
      <c r="L622" s="244"/>
      <c r="M622" s="244"/>
      <c r="N622" s="244"/>
      <c r="O622" s="244"/>
      <c r="P622" s="244"/>
      <c r="Q622" s="244"/>
    </row>
    <row r="623" spans="4:17" x14ac:dyDescent="0.2">
      <c r="D623" s="244"/>
      <c r="E623" s="244"/>
      <c r="F623" s="244"/>
      <c r="G623" s="244"/>
      <c r="H623" s="244"/>
      <c r="I623" s="244"/>
      <c r="J623" s="244"/>
      <c r="K623" s="244"/>
      <c r="L623" s="244"/>
      <c r="M623" s="244"/>
      <c r="N623" s="244"/>
      <c r="O623" s="244"/>
      <c r="P623" s="244"/>
      <c r="Q623" s="244"/>
    </row>
    <row r="624" spans="4:17" x14ac:dyDescent="0.2">
      <c r="D624" s="244"/>
      <c r="E624" s="244"/>
      <c r="F624" s="244"/>
      <c r="G624" s="244"/>
      <c r="H624" s="244"/>
      <c r="I624" s="244"/>
      <c r="J624" s="244"/>
      <c r="K624" s="244"/>
      <c r="L624" s="244"/>
      <c r="M624" s="244"/>
      <c r="N624" s="244"/>
      <c r="O624" s="244"/>
      <c r="P624" s="244"/>
      <c r="Q624" s="244"/>
    </row>
    <row r="625" spans="4:17" x14ac:dyDescent="0.2">
      <c r="D625" s="244"/>
      <c r="E625" s="244"/>
      <c r="F625" s="244"/>
      <c r="G625" s="244"/>
      <c r="H625" s="244"/>
      <c r="I625" s="244"/>
      <c r="J625" s="244"/>
      <c r="K625" s="244"/>
      <c r="L625" s="244"/>
      <c r="M625" s="244"/>
      <c r="N625" s="244"/>
      <c r="O625" s="244"/>
      <c r="P625" s="244"/>
      <c r="Q625" s="244"/>
    </row>
    <row r="626" spans="4:17" x14ac:dyDescent="0.2">
      <c r="D626" s="244"/>
      <c r="E626" s="244"/>
      <c r="F626" s="244"/>
      <c r="G626" s="244"/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</row>
    <row r="627" spans="4:17" x14ac:dyDescent="0.2">
      <c r="D627" s="244"/>
      <c r="E627" s="244"/>
      <c r="F627" s="244"/>
      <c r="G627" s="244"/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</row>
    <row r="628" spans="4:17" x14ac:dyDescent="0.2">
      <c r="D628" s="244"/>
      <c r="E628" s="244"/>
      <c r="F628" s="244"/>
      <c r="G628" s="244"/>
      <c r="H628" s="244"/>
      <c r="I628" s="244"/>
      <c r="J628" s="244"/>
      <c r="K628" s="244"/>
      <c r="L628" s="244"/>
      <c r="M628" s="244"/>
      <c r="N628" s="244"/>
      <c r="O628" s="244"/>
      <c r="P628" s="244"/>
      <c r="Q628" s="244"/>
    </row>
    <row r="629" spans="4:17" x14ac:dyDescent="0.2">
      <c r="D629" s="244"/>
      <c r="E629" s="244"/>
      <c r="F629" s="244"/>
      <c r="G629" s="244"/>
      <c r="H629" s="244"/>
      <c r="I629" s="244"/>
      <c r="J629" s="244"/>
      <c r="K629" s="244"/>
      <c r="L629" s="244"/>
      <c r="M629" s="244"/>
      <c r="N629" s="244"/>
      <c r="O629" s="244"/>
      <c r="P629" s="244"/>
      <c r="Q629" s="244"/>
    </row>
    <row r="630" spans="4:17" x14ac:dyDescent="0.2">
      <c r="D630" s="244"/>
      <c r="E630" s="244"/>
      <c r="F630" s="244"/>
      <c r="G630" s="244"/>
      <c r="H630" s="244"/>
      <c r="I630" s="244"/>
      <c r="J630" s="244"/>
      <c r="K630" s="244"/>
      <c r="L630" s="244"/>
      <c r="M630" s="244"/>
      <c r="N630" s="244"/>
      <c r="O630" s="244"/>
      <c r="P630" s="244"/>
      <c r="Q630" s="244"/>
    </row>
    <row r="631" spans="4:17" x14ac:dyDescent="0.2">
      <c r="D631" s="244"/>
      <c r="E631" s="244"/>
      <c r="F631" s="244"/>
      <c r="G631" s="244"/>
      <c r="H631" s="244"/>
      <c r="I631" s="244"/>
      <c r="J631" s="244"/>
      <c r="K631" s="244"/>
      <c r="L631" s="244"/>
      <c r="M631" s="244"/>
      <c r="N631" s="244"/>
      <c r="O631" s="244"/>
      <c r="P631" s="244"/>
      <c r="Q631" s="244"/>
    </row>
    <row r="632" spans="4:17" x14ac:dyDescent="0.2">
      <c r="D632" s="244"/>
      <c r="E632" s="244"/>
      <c r="F632" s="244"/>
      <c r="G632" s="244"/>
      <c r="H632" s="244"/>
      <c r="I632" s="244"/>
      <c r="J632" s="244"/>
      <c r="K632" s="244"/>
      <c r="L632" s="244"/>
      <c r="M632" s="244"/>
      <c r="N632" s="244"/>
      <c r="O632" s="244"/>
      <c r="P632" s="244"/>
      <c r="Q632" s="244"/>
    </row>
    <row r="633" spans="4:17" x14ac:dyDescent="0.2">
      <c r="D633" s="244"/>
      <c r="E633" s="244"/>
      <c r="F633" s="244"/>
      <c r="G633" s="244"/>
      <c r="H633" s="244"/>
      <c r="I633" s="244"/>
      <c r="J633" s="244"/>
      <c r="K633" s="244"/>
      <c r="L633" s="244"/>
      <c r="M633" s="244"/>
      <c r="N633" s="244"/>
      <c r="O633" s="244"/>
      <c r="P633" s="244"/>
      <c r="Q633" s="244"/>
    </row>
    <row r="634" spans="4:17" x14ac:dyDescent="0.2">
      <c r="D634" s="244"/>
      <c r="E634" s="244"/>
      <c r="F634" s="244"/>
      <c r="G634" s="244"/>
      <c r="H634" s="244"/>
      <c r="I634" s="244"/>
      <c r="J634" s="244"/>
      <c r="K634" s="244"/>
      <c r="L634" s="244"/>
      <c r="M634" s="244"/>
      <c r="N634" s="244"/>
      <c r="O634" s="244"/>
      <c r="P634" s="244"/>
      <c r="Q634" s="244"/>
    </row>
    <row r="635" spans="4:17" x14ac:dyDescent="0.2">
      <c r="D635" s="244"/>
      <c r="E635" s="244"/>
      <c r="F635" s="244"/>
      <c r="G635" s="244"/>
      <c r="H635" s="244"/>
      <c r="I635" s="244"/>
      <c r="J635" s="244"/>
      <c r="K635" s="244"/>
      <c r="L635" s="244"/>
      <c r="M635" s="244"/>
      <c r="N635" s="244"/>
      <c r="O635" s="244"/>
      <c r="P635" s="244"/>
      <c r="Q635" s="244"/>
    </row>
    <row r="636" spans="4:17" x14ac:dyDescent="0.2">
      <c r="D636" s="244"/>
      <c r="E636" s="244"/>
      <c r="F636" s="244"/>
      <c r="G636" s="244"/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</row>
    <row r="637" spans="4:17" x14ac:dyDescent="0.2">
      <c r="D637" s="244"/>
      <c r="E637" s="244"/>
      <c r="F637" s="244"/>
      <c r="G637" s="244"/>
      <c r="H637" s="244"/>
      <c r="I637" s="244"/>
      <c r="J637" s="244"/>
      <c r="K637" s="244"/>
      <c r="L637" s="244"/>
      <c r="M637" s="244"/>
      <c r="N637" s="244"/>
      <c r="O637" s="244"/>
      <c r="P637" s="244"/>
      <c r="Q637" s="244"/>
    </row>
    <row r="638" spans="4:17" x14ac:dyDescent="0.2">
      <c r="D638" s="244"/>
      <c r="E638" s="244"/>
      <c r="F638" s="244"/>
      <c r="G638" s="244"/>
      <c r="H638" s="244"/>
      <c r="I638" s="244"/>
      <c r="J638" s="244"/>
      <c r="K638" s="244"/>
      <c r="L638" s="244"/>
      <c r="M638" s="244"/>
      <c r="N638" s="244"/>
      <c r="O638" s="244"/>
      <c r="P638" s="244"/>
      <c r="Q638" s="244"/>
    </row>
    <row r="639" spans="4:17" x14ac:dyDescent="0.2">
      <c r="D639" s="244"/>
      <c r="E639" s="244"/>
      <c r="F639" s="244"/>
      <c r="G639" s="244"/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</row>
    <row r="640" spans="4:17" x14ac:dyDescent="0.2">
      <c r="D640" s="244"/>
      <c r="E640" s="244"/>
      <c r="F640" s="244"/>
      <c r="G640" s="244"/>
      <c r="H640" s="244"/>
      <c r="I640" s="244"/>
      <c r="J640" s="244"/>
      <c r="K640" s="244"/>
      <c r="L640" s="244"/>
      <c r="M640" s="244"/>
      <c r="N640" s="244"/>
      <c r="O640" s="244"/>
      <c r="P640" s="244"/>
      <c r="Q640" s="244"/>
    </row>
    <row r="641" spans="4:17" x14ac:dyDescent="0.2">
      <c r="D641" s="244"/>
      <c r="E641" s="244"/>
      <c r="F641" s="244"/>
      <c r="G641" s="244"/>
      <c r="H641" s="244"/>
      <c r="I641" s="244"/>
      <c r="J641" s="244"/>
      <c r="K641" s="244"/>
      <c r="L641" s="244"/>
      <c r="M641" s="244"/>
      <c r="N641" s="244"/>
      <c r="O641" s="244"/>
      <c r="P641" s="244"/>
      <c r="Q641" s="244"/>
    </row>
    <row r="642" spans="4:17" x14ac:dyDescent="0.2">
      <c r="D642" s="244"/>
      <c r="E642" s="244"/>
      <c r="F642" s="244"/>
      <c r="G642" s="244"/>
      <c r="H642" s="244"/>
      <c r="I642" s="244"/>
      <c r="J642" s="244"/>
      <c r="K642" s="244"/>
      <c r="L642" s="244"/>
      <c r="M642" s="244"/>
      <c r="N642" s="244"/>
      <c r="O642" s="244"/>
      <c r="P642" s="244"/>
      <c r="Q642" s="244"/>
    </row>
    <row r="643" spans="4:17" x14ac:dyDescent="0.2">
      <c r="D643" s="244"/>
      <c r="E643" s="244"/>
      <c r="F643" s="244"/>
      <c r="G643" s="244"/>
      <c r="H643" s="244"/>
      <c r="I643" s="244"/>
      <c r="J643" s="244"/>
      <c r="K643" s="244"/>
      <c r="L643" s="244"/>
      <c r="M643" s="244"/>
      <c r="N643" s="244"/>
      <c r="O643" s="244"/>
      <c r="P643" s="244"/>
      <c r="Q643" s="244"/>
    </row>
    <row r="644" spans="4:17" x14ac:dyDescent="0.2">
      <c r="D644" s="244"/>
      <c r="E644" s="244"/>
      <c r="F644" s="244"/>
      <c r="G644" s="244"/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</row>
    <row r="645" spans="4:17" x14ac:dyDescent="0.2">
      <c r="D645" s="244"/>
      <c r="E645" s="244"/>
      <c r="F645" s="244"/>
      <c r="G645" s="244"/>
      <c r="H645" s="244"/>
      <c r="I645" s="244"/>
      <c r="J645" s="244"/>
      <c r="K645" s="244"/>
      <c r="L645" s="244"/>
      <c r="M645" s="244"/>
      <c r="N645" s="244"/>
      <c r="O645" s="244"/>
      <c r="P645" s="244"/>
      <c r="Q645" s="244"/>
    </row>
    <row r="646" spans="4:17" x14ac:dyDescent="0.2">
      <c r="D646" s="244"/>
      <c r="E646" s="244"/>
      <c r="F646" s="244"/>
      <c r="G646" s="244"/>
      <c r="H646" s="244"/>
      <c r="I646" s="244"/>
      <c r="J646" s="244"/>
      <c r="K646" s="244"/>
      <c r="L646" s="244"/>
      <c r="M646" s="244"/>
      <c r="N646" s="244"/>
      <c r="O646" s="244"/>
      <c r="P646" s="244"/>
      <c r="Q646" s="244"/>
    </row>
    <row r="647" spans="4:17" x14ac:dyDescent="0.2">
      <c r="D647" s="244"/>
      <c r="E647" s="244"/>
      <c r="F647" s="244"/>
      <c r="G647" s="244"/>
      <c r="H647" s="244"/>
      <c r="I647" s="244"/>
      <c r="J647" s="244"/>
      <c r="K647" s="244"/>
      <c r="L647" s="244"/>
      <c r="M647" s="244"/>
      <c r="N647" s="244"/>
      <c r="O647" s="244"/>
      <c r="P647" s="244"/>
      <c r="Q647" s="244"/>
    </row>
    <row r="648" spans="4:17" x14ac:dyDescent="0.2">
      <c r="D648" s="244"/>
      <c r="E648" s="244"/>
      <c r="F648" s="244"/>
      <c r="G648" s="244"/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</row>
    <row r="649" spans="4:17" x14ac:dyDescent="0.2">
      <c r="D649" s="244"/>
      <c r="E649" s="244"/>
      <c r="F649" s="244"/>
      <c r="G649" s="244"/>
      <c r="H649" s="244"/>
      <c r="I649" s="244"/>
      <c r="J649" s="244"/>
      <c r="K649" s="244"/>
      <c r="L649" s="244"/>
      <c r="M649" s="244"/>
      <c r="N649" s="244"/>
      <c r="O649" s="244"/>
      <c r="P649" s="244"/>
      <c r="Q649" s="244"/>
    </row>
    <row r="650" spans="4:17" x14ac:dyDescent="0.2">
      <c r="D650" s="244"/>
      <c r="E650" s="244"/>
      <c r="F650" s="244"/>
      <c r="G650" s="244"/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</row>
    <row r="651" spans="4:17" x14ac:dyDescent="0.2">
      <c r="D651" s="244"/>
      <c r="E651" s="244"/>
      <c r="F651" s="244"/>
      <c r="G651" s="244"/>
      <c r="H651" s="244"/>
      <c r="I651" s="244"/>
      <c r="J651" s="244"/>
      <c r="K651" s="244"/>
      <c r="L651" s="244"/>
      <c r="M651" s="244"/>
      <c r="N651" s="244"/>
      <c r="O651" s="244"/>
      <c r="P651" s="244"/>
      <c r="Q651" s="244"/>
    </row>
    <row r="652" spans="4:17" x14ac:dyDescent="0.2">
      <c r="D652" s="244"/>
      <c r="E652" s="244"/>
      <c r="F652" s="244"/>
      <c r="G652" s="244"/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</row>
    <row r="653" spans="4:17" x14ac:dyDescent="0.2"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4"/>
      <c r="Q653" s="244"/>
    </row>
    <row r="654" spans="4:17" x14ac:dyDescent="0.2">
      <c r="D654" s="244"/>
      <c r="E654" s="244"/>
      <c r="F654" s="244"/>
      <c r="G654" s="244"/>
      <c r="H654" s="244"/>
      <c r="I654" s="244"/>
      <c r="J654" s="244"/>
      <c r="K654" s="244"/>
      <c r="L654" s="244"/>
      <c r="M654" s="244"/>
      <c r="N654" s="244"/>
      <c r="O654" s="244"/>
      <c r="P654" s="244"/>
      <c r="Q654" s="244"/>
    </row>
    <row r="655" spans="4:17" x14ac:dyDescent="0.2">
      <c r="D655" s="244"/>
      <c r="E655" s="244"/>
      <c r="F655" s="244"/>
      <c r="G655" s="244"/>
      <c r="H655" s="244"/>
      <c r="I655" s="244"/>
      <c r="J655" s="244"/>
      <c r="K655" s="244"/>
      <c r="L655" s="244"/>
      <c r="M655" s="244"/>
      <c r="N655" s="244"/>
      <c r="O655" s="244"/>
      <c r="P655" s="244"/>
      <c r="Q655" s="244"/>
    </row>
    <row r="656" spans="4:17" x14ac:dyDescent="0.2">
      <c r="D656" s="244"/>
      <c r="E656" s="244"/>
      <c r="F656" s="244"/>
      <c r="G656" s="244"/>
      <c r="H656" s="244"/>
      <c r="I656" s="244"/>
      <c r="J656" s="244"/>
      <c r="K656" s="244"/>
      <c r="L656" s="244"/>
      <c r="M656" s="244"/>
      <c r="N656" s="244"/>
      <c r="O656" s="244"/>
      <c r="P656" s="244"/>
      <c r="Q656" s="244"/>
    </row>
    <row r="657" spans="4:17" x14ac:dyDescent="0.2"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244"/>
      <c r="Q657" s="244"/>
    </row>
    <row r="658" spans="4:17" x14ac:dyDescent="0.2">
      <c r="D658" s="244"/>
      <c r="E658" s="244"/>
      <c r="F658" s="244"/>
      <c r="G658" s="244"/>
      <c r="H658" s="244"/>
      <c r="I658" s="244"/>
      <c r="J658" s="244"/>
      <c r="K658" s="244"/>
      <c r="L658" s="244"/>
      <c r="M658" s="244"/>
      <c r="N658" s="244"/>
      <c r="O658" s="244"/>
      <c r="P658" s="244"/>
      <c r="Q658" s="244"/>
    </row>
    <row r="659" spans="4:17" x14ac:dyDescent="0.2">
      <c r="D659" s="244"/>
      <c r="E659" s="244"/>
      <c r="F659" s="244"/>
      <c r="G659" s="244"/>
      <c r="H659" s="244"/>
      <c r="I659" s="244"/>
      <c r="J659" s="244"/>
      <c r="K659" s="244"/>
      <c r="L659" s="244"/>
      <c r="M659" s="244"/>
      <c r="N659" s="244"/>
      <c r="O659" s="244"/>
      <c r="P659" s="244"/>
      <c r="Q659" s="244"/>
    </row>
    <row r="660" spans="4:17" x14ac:dyDescent="0.2">
      <c r="D660" s="244"/>
      <c r="E660" s="244"/>
      <c r="F660" s="244"/>
      <c r="G660" s="244"/>
      <c r="H660" s="244"/>
      <c r="I660" s="244"/>
      <c r="J660" s="244"/>
      <c r="K660" s="244"/>
      <c r="L660" s="244"/>
      <c r="M660" s="244"/>
      <c r="N660" s="244"/>
      <c r="O660" s="244"/>
      <c r="P660" s="244"/>
      <c r="Q660" s="244"/>
    </row>
    <row r="661" spans="4:17" x14ac:dyDescent="0.2">
      <c r="D661" s="244"/>
      <c r="E661" s="244"/>
      <c r="F661" s="244"/>
      <c r="G661" s="244"/>
      <c r="H661" s="244"/>
      <c r="I661" s="244"/>
      <c r="J661" s="244"/>
      <c r="K661" s="244"/>
      <c r="L661" s="244"/>
      <c r="M661" s="244"/>
      <c r="N661" s="244"/>
      <c r="O661" s="244"/>
      <c r="P661" s="244"/>
      <c r="Q661" s="244"/>
    </row>
    <row r="662" spans="4:17" x14ac:dyDescent="0.2">
      <c r="D662" s="244"/>
      <c r="E662" s="244"/>
      <c r="F662" s="244"/>
      <c r="G662" s="244"/>
      <c r="H662" s="244"/>
      <c r="I662" s="244"/>
      <c r="J662" s="244"/>
      <c r="K662" s="244"/>
      <c r="L662" s="244"/>
      <c r="M662" s="244"/>
      <c r="N662" s="244"/>
      <c r="O662" s="244"/>
      <c r="P662" s="244"/>
      <c r="Q662" s="244"/>
    </row>
    <row r="663" spans="4:17" x14ac:dyDescent="0.2">
      <c r="D663" s="244"/>
      <c r="E663" s="244"/>
      <c r="F663" s="244"/>
      <c r="G663" s="244"/>
      <c r="H663" s="244"/>
      <c r="I663" s="244"/>
      <c r="J663" s="244"/>
      <c r="K663" s="244"/>
      <c r="L663" s="244"/>
      <c r="M663" s="244"/>
      <c r="N663" s="244"/>
      <c r="O663" s="244"/>
      <c r="P663" s="244"/>
      <c r="Q663" s="244"/>
    </row>
    <row r="664" spans="4:17" x14ac:dyDescent="0.2">
      <c r="D664" s="244"/>
      <c r="E664" s="244"/>
      <c r="F664" s="244"/>
      <c r="G664" s="244"/>
      <c r="H664" s="244"/>
      <c r="I664" s="244"/>
      <c r="J664" s="244"/>
      <c r="K664" s="244"/>
      <c r="L664" s="244"/>
      <c r="M664" s="244"/>
      <c r="N664" s="244"/>
      <c r="O664" s="244"/>
      <c r="P664" s="244"/>
      <c r="Q664" s="244"/>
    </row>
    <row r="665" spans="4:17" x14ac:dyDescent="0.2">
      <c r="D665" s="244"/>
      <c r="E665" s="244"/>
      <c r="F665" s="244"/>
      <c r="G665" s="244"/>
      <c r="H665" s="244"/>
      <c r="I665" s="244"/>
      <c r="J665" s="244"/>
      <c r="K665" s="244"/>
      <c r="L665" s="244"/>
      <c r="M665" s="244"/>
      <c r="N665" s="244"/>
      <c r="O665" s="244"/>
      <c r="P665" s="244"/>
      <c r="Q665" s="244"/>
    </row>
    <row r="666" spans="4:17" x14ac:dyDescent="0.2">
      <c r="D666" s="244"/>
      <c r="E666" s="244"/>
      <c r="F666" s="244"/>
      <c r="G666" s="244"/>
      <c r="H666" s="244"/>
      <c r="I666" s="244"/>
      <c r="J666" s="244"/>
      <c r="K666" s="244"/>
      <c r="L666" s="244"/>
      <c r="M666" s="244"/>
      <c r="N666" s="244"/>
      <c r="O666" s="244"/>
      <c r="P666" s="244"/>
      <c r="Q666" s="244"/>
    </row>
    <row r="667" spans="4:17" x14ac:dyDescent="0.2">
      <c r="D667" s="244"/>
      <c r="E667" s="244"/>
      <c r="F667" s="244"/>
      <c r="G667" s="244"/>
      <c r="H667" s="244"/>
      <c r="I667" s="244"/>
      <c r="J667" s="244"/>
      <c r="K667" s="244"/>
      <c r="L667" s="244"/>
      <c r="M667" s="244"/>
      <c r="N667" s="244"/>
      <c r="O667" s="244"/>
      <c r="P667" s="244"/>
      <c r="Q667" s="244"/>
    </row>
    <row r="668" spans="4:17" x14ac:dyDescent="0.2"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4"/>
      <c r="P668" s="244"/>
      <c r="Q668" s="244"/>
    </row>
    <row r="669" spans="4:17" x14ac:dyDescent="0.2">
      <c r="D669" s="244"/>
      <c r="E669" s="244"/>
      <c r="F669" s="244"/>
      <c r="G669" s="244"/>
      <c r="H669" s="244"/>
      <c r="I669" s="244"/>
      <c r="J669" s="244"/>
      <c r="K669" s="244"/>
      <c r="L669" s="244"/>
      <c r="M669" s="244"/>
      <c r="N669" s="244"/>
      <c r="O669" s="244"/>
      <c r="P669" s="244"/>
      <c r="Q669" s="244"/>
    </row>
    <row r="670" spans="4:17" x14ac:dyDescent="0.2">
      <c r="D670" s="244"/>
      <c r="E670" s="244"/>
      <c r="F670" s="244"/>
      <c r="G670" s="244"/>
      <c r="H670" s="244"/>
      <c r="I670" s="244"/>
      <c r="J670" s="244"/>
      <c r="K670" s="244"/>
      <c r="L670" s="244"/>
      <c r="M670" s="244"/>
      <c r="N670" s="244"/>
      <c r="O670" s="244"/>
      <c r="P670" s="244"/>
      <c r="Q670" s="244"/>
    </row>
    <row r="671" spans="4:17" x14ac:dyDescent="0.2">
      <c r="D671" s="244"/>
      <c r="E671" s="244"/>
      <c r="F671" s="244"/>
      <c r="G671" s="244"/>
      <c r="H671" s="244"/>
      <c r="I671" s="244"/>
      <c r="J671" s="244"/>
      <c r="K671" s="244"/>
      <c r="L671" s="244"/>
      <c r="M671" s="244"/>
      <c r="N671" s="244"/>
      <c r="O671" s="244"/>
      <c r="P671" s="244"/>
      <c r="Q671" s="244"/>
    </row>
    <row r="672" spans="4:17" x14ac:dyDescent="0.2">
      <c r="D672" s="244"/>
      <c r="E672" s="244"/>
      <c r="F672" s="244"/>
      <c r="G672" s="244"/>
      <c r="H672" s="244"/>
      <c r="I672" s="244"/>
      <c r="J672" s="244"/>
      <c r="K672" s="244"/>
      <c r="L672" s="244"/>
      <c r="M672" s="244"/>
      <c r="N672" s="244"/>
      <c r="O672" s="244"/>
      <c r="P672" s="244"/>
      <c r="Q672" s="244"/>
    </row>
    <row r="673" spans="4:17" x14ac:dyDescent="0.2">
      <c r="D673" s="244"/>
      <c r="E673" s="244"/>
      <c r="F673" s="244"/>
      <c r="G673" s="244"/>
      <c r="H673" s="244"/>
      <c r="I673" s="244"/>
      <c r="J673" s="244"/>
      <c r="K673" s="244"/>
      <c r="L673" s="244"/>
      <c r="M673" s="244"/>
      <c r="N673" s="244"/>
      <c r="O673" s="244"/>
      <c r="P673" s="244"/>
      <c r="Q673" s="244"/>
    </row>
    <row r="674" spans="4:17" x14ac:dyDescent="0.2">
      <c r="D674" s="244"/>
      <c r="E674" s="244"/>
      <c r="F674" s="244"/>
      <c r="G674" s="244"/>
      <c r="H674" s="244"/>
      <c r="I674" s="244"/>
      <c r="J674" s="244"/>
      <c r="K674" s="244"/>
      <c r="L674" s="244"/>
      <c r="M674" s="244"/>
      <c r="N674" s="244"/>
      <c r="O674" s="244"/>
      <c r="P674" s="244"/>
      <c r="Q674" s="244"/>
    </row>
    <row r="675" spans="4:17" x14ac:dyDescent="0.2">
      <c r="D675" s="244"/>
      <c r="E675" s="244"/>
      <c r="F675" s="244"/>
      <c r="G675" s="244"/>
      <c r="H675" s="244"/>
      <c r="I675" s="244"/>
      <c r="J675" s="244"/>
      <c r="K675" s="244"/>
      <c r="L675" s="244"/>
      <c r="M675" s="244"/>
      <c r="N675" s="244"/>
      <c r="O675" s="244"/>
      <c r="P675" s="244"/>
      <c r="Q675" s="244"/>
    </row>
    <row r="676" spans="4:17" x14ac:dyDescent="0.2">
      <c r="D676" s="244"/>
      <c r="E676" s="244"/>
      <c r="F676" s="244"/>
      <c r="G676" s="244"/>
      <c r="H676" s="244"/>
      <c r="I676" s="244"/>
      <c r="J676" s="244"/>
      <c r="K676" s="244"/>
      <c r="L676" s="244"/>
      <c r="M676" s="244"/>
      <c r="N676" s="244"/>
      <c r="O676" s="244"/>
      <c r="P676" s="244"/>
      <c r="Q676" s="244"/>
    </row>
    <row r="677" spans="4:17" x14ac:dyDescent="0.2"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</row>
    <row r="678" spans="4:17" x14ac:dyDescent="0.2">
      <c r="D678" s="244"/>
      <c r="E678" s="244"/>
      <c r="F678" s="244"/>
      <c r="G678" s="244"/>
      <c r="H678" s="244"/>
      <c r="I678" s="244"/>
      <c r="J678" s="244"/>
      <c r="K678" s="244"/>
      <c r="L678" s="244"/>
      <c r="M678" s="244"/>
      <c r="N678" s="244"/>
      <c r="O678" s="244"/>
      <c r="P678" s="244"/>
      <c r="Q678" s="244"/>
    </row>
    <row r="679" spans="4:17" x14ac:dyDescent="0.2">
      <c r="D679" s="244"/>
      <c r="E679" s="244"/>
      <c r="F679" s="244"/>
      <c r="G679" s="244"/>
      <c r="H679" s="244"/>
      <c r="I679" s="244"/>
      <c r="J679" s="244"/>
      <c r="K679" s="244"/>
      <c r="L679" s="244"/>
      <c r="M679" s="244"/>
      <c r="N679" s="244"/>
      <c r="O679" s="244"/>
      <c r="P679" s="244"/>
      <c r="Q679" s="244"/>
    </row>
    <row r="680" spans="4:17" x14ac:dyDescent="0.2">
      <c r="D680" s="244"/>
      <c r="E680" s="244"/>
      <c r="F680" s="244"/>
      <c r="G680" s="244"/>
      <c r="H680" s="244"/>
      <c r="I680" s="244"/>
      <c r="J680" s="244"/>
      <c r="K680" s="244"/>
      <c r="L680" s="244"/>
      <c r="M680" s="244"/>
      <c r="N680" s="244"/>
      <c r="O680" s="244"/>
      <c r="P680" s="244"/>
      <c r="Q680" s="244"/>
    </row>
    <row r="681" spans="4:17" x14ac:dyDescent="0.2">
      <c r="D681" s="244"/>
      <c r="E681" s="244"/>
      <c r="F681" s="244"/>
      <c r="G681" s="244"/>
      <c r="H681" s="244"/>
      <c r="I681" s="244"/>
      <c r="J681" s="244"/>
      <c r="K681" s="244"/>
      <c r="L681" s="244"/>
      <c r="M681" s="244"/>
      <c r="N681" s="244"/>
      <c r="O681" s="244"/>
      <c r="P681" s="244"/>
      <c r="Q681" s="244"/>
    </row>
    <row r="682" spans="4:17" x14ac:dyDescent="0.2">
      <c r="D682" s="244"/>
      <c r="E682" s="244"/>
      <c r="F682" s="244"/>
      <c r="G682" s="244"/>
      <c r="H682" s="244"/>
      <c r="I682" s="244"/>
      <c r="J682" s="244"/>
      <c r="K682" s="244"/>
      <c r="L682" s="244"/>
      <c r="M682" s="244"/>
      <c r="N682" s="244"/>
      <c r="O682" s="244"/>
      <c r="P682" s="244"/>
      <c r="Q682" s="244"/>
    </row>
    <row r="683" spans="4:17" x14ac:dyDescent="0.2">
      <c r="D683" s="244"/>
      <c r="E683" s="244"/>
      <c r="F683" s="244"/>
      <c r="G683" s="244"/>
      <c r="H683" s="244"/>
      <c r="I683" s="244"/>
      <c r="J683" s="244"/>
      <c r="K683" s="244"/>
      <c r="L683" s="244"/>
      <c r="M683" s="244"/>
      <c r="N683" s="244"/>
      <c r="O683" s="244"/>
      <c r="P683" s="244"/>
      <c r="Q683" s="244"/>
    </row>
    <row r="684" spans="4:17" x14ac:dyDescent="0.2">
      <c r="D684" s="244"/>
      <c r="E684" s="244"/>
      <c r="F684" s="244"/>
      <c r="G684" s="244"/>
      <c r="H684" s="244"/>
      <c r="I684" s="244"/>
      <c r="J684" s="244"/>
      <c r="K684" s="244"/>
      <c r="L684" s="244"/>
      <c r="M684" s="244"/>
      <c r="N684" s="244"/>
      <c r="O684" s="244"/>
      <c r="P684" s="244"/>
      <c r="Q684" s="244"/>
    </row>
    <row r="685" spans="4:17" x14ac:dyDescent="0.2">
      <c r="D685" s="244"/>
      <c r="E685" s="244"/>
      <c r="F685" s="244"/>
      <c r="G685" s="244"/>
      <c r="H685" s="244"/>
      <c r="I685" s="244"/>
      <c r="J685" s="244"/>
      <c r="K685" s="244"/>
      <c r="L685" s="244"/>
      <c r="M685" s="244"/>
      <c r="N685" s="244"/>
      <c r="O685" s="244"/>
      <c r="P685" s="244"/>
      <c r="Q685" s="244"/>
    </row>
    <row r="686" spans="4:17" x14ac:dyDescent="0.2">
      <c r="D686" s="244"/>
      <c r="E686" s="244"/>
      <c r="F686" s="244"/>
      <c r="G686" s="244"/>
      <c r="H686" s="244"/>
      <c r="I686" s="244"/>
      <c r="J686" s="244"/>
      <c r="K686" s="244"/>
      <c r="L686" s="244"/>
      <c r="M686" s="244"/>
      <c r="N686" s="244"/>
      <c r="O686" s="244"/>
      <c r="P686" s="244"/>
      <c r="Q686" s="244"/>
    </row>
    <row r="687" spans="4:17" x14ac:dyDescent="0.2">
      <c r="D687" s="244"/>
      <c r="E687" s="244"/>
      <c r="F687" s="244"/>
      <c r="G687" s="244"/>
      <c r="H687" s="244"/>
      <c r="I687" s="244"/>
      <c r="J687" s="244"/>
      <c r="K687" s="244"/>
      <c r="L687" s="244"/>
      <c r="M687" s="244"/>
      <c r="N687" s="244"/>
      <c r="O687" s="244"/>
      <c r="P687" s="244"/>
      <c r="Q687" s="244"/>
    </row>
    <row r="688" spans="4:17" x14ac:dyDescent="0.2">
      <c r="D688" s="244"/>
      <c r="E688" s="244"/>
      <c r="F688" s="244"/>
      <c r="G688" s="244"/>
      <c r="H688" s="244"/>
      <c r="I688" s="244"/>
      <c r="J688" s="244"/>
      <c r="K688" s="244"/>
      <c r="L688" s="244"/>
      <c r="M688" s="244"/>
      <c r="N688" s="244"/>
      <c r="O688" s="244"/>
      <c r="P688" s="244"/>
      <c r="Q688" s="244"/>
    </row>
    <row r="689" spans="4:17" x14ac:dyDescent="0.2">
      <c r="D689" s="244"/>
      <c r="E689" s="244"/>
      <c r="F689" s="244"/>
      <c r="G689" s="244"/>
      <c r="H689" s="244"/>
      <c r="I689" s="244"/>
      <c r="J689" s="244"/>
      <c r="K689" s="244"/>
      <c r="L689" s="244"/>
      <c r="M689" s="244"/>
      <c r="N689" s="244"/>
      <c r="O689" s="244"/>
      <c r="P689" s="244"/>
      <c r="Q689" s="244"/>
    </row>
    <row r="690" spans="4:17" x14ac:dyDescent="0.2"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4"/>
      <c r="P690" s="244"/>
      <c r="Q690" s="244"/>
    </row>
    <row r="691" spans="4:17" x14ac:dyDescent="0.2">
      <c r="D691" s="244"/>
      <c r="E691" s="244"/>
      <c r="F691" s="244"/>
      <c r="G691" s="244"/>
      <c r="H691" s="244"/>
      <c r="I691" s="244"/>
      <c r="J691" s="244"/>
      <c r="K691" s="244"/>
      <c r="L691" s="244"/>
      <c r="M691" s="244"/>
      <c r="N691" s="244"/>
      <c r="O691" s="244"/>
      <c r="P691" s="244"/>
      <c r="Q691" s="244"/>
    </row>
    <row r="692" spans="4:17" x14ac:dyDescent="0.2">
      <c r="D692" s="244"/>
      <c r="E692" s="244"/>
      <c r="F692" s="244"/>
      <c r="G692" s="244"/>
      <c r="H692" s="244"/>
      <c r="I692" s="244"/>
      <c r="J692" s="244"/>
      <c r="K692" s="244"/>
      <c r="L692" s="244"/>
      <c r="M692" s="244"/>
      <c r="N692" s="244"/>
      <c r="O692" s="244"/>
      <c r="P692" s="244"/>
      <c r="Q692" s="244"/>
    </row>
    <row r="693" spans="4:17" x14ac:dyDescent="0.2">
      <c r="D693" s="244"/>
      <c r="E693" s="244"/>
      <c r="F693" s="244"/>
      <c r="G693" s="244"/>
      <c r="H693" s="244"/>
      <c r="I693" s="244"/>
      <c r="J693" s="244"/>
      <c r="K693" s="244"/>
      <c r="L693" s="244"/>
      <c r="M693" s="244"/>
      <c r="N693" s="244"/>
      <c r="O693" s="244"/>
      <c r="P693" s="244"/>
      <c r="Q693" s="244"/>
    </row>
    <row r="694" spans="4:17" x14ac:dyDescent="0.2">
      <c r="D694" s="244"/>
      <c r="E694" s="244"/>
      <c r="F694" s="244"/>
      <c r="G694" s="244"/>
      <c r="H694" s="244"/>
      <c r="I694" s="244"/>
      <c r="J694" s="244"/>
      <c r="K694" s="244"/>
      <c r="L694" s="244"/>
      <c r="M694" s="244"/>
      <c r="N694" s="244"/>
      <c r="O694" s="244"/>
      <c r="P694" s="244"/>
      <c r="Q694" s="244"/>
    </row>
    <row r="695" spans="4:17" x14ac:dyDescent="0.2">
      <c r="D695" s="244"/>
      <c r="E695" s="244"/>
      <c r="F695" s="244"/>
      <c r="G695" s="244"/>
      <c r="H695" s="244"/>
      <c r="I695" s="244"/>
      <c r="J695" s="244"/>
      <c r="K695" s="244"/>
      <c r="L695" s="244"/>
      <c r="M695" s="244"/>
      <c r="N695" s="244"/>
      <c r="O695" s="244"/>
      <c r="P695" s="244"/>
      <c r="Q695" s="244"/>
    </row>
    <row r="696" spans="4:17" x14ac:dyDescent="0.2">
      <c r="D696" s="244"/>
      <c r="E696" s="244"/>
      <c r="F696" s="244"/>
      <c r="G696" s="244"/>
      <c r="H696" s="244"/>
      <c r="I696" s="244"/>
      <c r="J696" s="244"/>
      <c r="K696" s="244"/>
      <c r="L696" s="244"/>
      <c r="M696" s="244"/>
      <c r="N696" s="244"/>
      <c r="O696" s="244"/>
      <c r="P696" s="244"/>
      <c r="Q696" s="244"/>
    </row>
    <row r="697" spans="4:17" x14ac:dyDescent="0.2">
      <c r="D697" s="244"/>
      <c r="E697" s="244"/>
      <c r="F697" s="244"/>
      <c r="G697" s="244"/>
      <c r="H697" s="244"/>
      <c r="I697" s="244"/>
      <c r="J697" s="244"/>
      <c r="K697" s="244"/>
      <c r="L697" s="244"/>
      <c r="M697" s="244"/>
      <c r="N697" s="244"/>
      <c r="O697" s="244"/>
      <c r="P697" s="244"/>
      <c r="Q697" s="244"/>
    </row>
    <row r="698" spans="4:17" x14ac:dyDescent="0.2">
      <c r="D698" s="244"/>
      <c r="E698" s="244"/>
      <c r="F698" s="244"/>
      <c r="G698" s="244"/>
      <c r="H698" s="244"/>
      <c r="I698" s="244"/>
      <c r="J698" s="244"/>
      <c r="K698" s="244"/>
      <c r="L698" s="244"/>
      <c r="M698" s="244"/>
      <c r="N698" s="244"/>
      <c r="O698" s="244"/>
      <c r="P698" s="244"/>
      <c r="Q698" s="244"/>
    </row>
    <row r="699" spans="4:17" x14ac:dyDescent="0.2"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4"/>
      <c r="Q699" s="244"/>
    </row>
    <row r="700" spans="4:17" x14ac:dyDescent="0.2">
      <c r="D700" s="244"/>
      <c r="E700" s="244"/>
      <c r="F700" s="244"/>
      <c r="G700" s="244"/>
      <c r="H700" s="244"/>
      <c r="I700" s="244"/>
      <c r="J700" s="244"/>
      <c r="K700" s="244"/>
      <c r="L700" s="244"/>
      <c r="M700" s="244"/>
      <c r="N700" s="244"/>
      <c r="O700" s="244"/>
      <c r="P700" s="244"/>
      <c r="Q700" s="244"/>
    </row>
    <row r="701" spans="4:17" x14ac:dyDescent="0.2">
      <c r="D701" s="244"/>
      <c r="E701" s="244"/>
      <c r="F701" s="244"/>
      <c r="G701" s="244"/>
      <c r="H701" s="244"/>
      <c r="I701" s="244"/>
      <c r="J701" s="244"/>
      <c r="K701" s="244"/>
      <c r="L701" s="244"/>
      <c r="M701" s="244"/>
      <c r="N701" s="244"/>
      <c r="O701" s="244"/>
      <c r="P701" s="244"/>
      <c r="Q701" s="244"/>
    </row>
    <row r="702" spans="4:17" x14ac:dyDescent="0.2">
      <c r="D702" s="244"/>
      <c r="E702" s="244"/>
      <c r="F702" s="244"/>
      <c r="G702" s="244"/>
      <c r="H702" s="244"/>
      <c r="I702" s="244"/>
      <c r="J702" s="244"/>
      <c r="K702" s="244"/>
      <c r="L702" s="244"/>
      <c r="M702" s="244"/>
      <c r="N702" s="244"/>
      <c r="O702" s="244"/>
      <c r="P702" s="244"/>
      <c r="Q702" s="244"/>
    </row>
    <row r="703" spans="4:17" x14ac:dyDescent="0.2">
      <c r="D703" s="244"/>
      <c r="E703" s="244"/>
      <c r="F703" s="244"/>
      <c r="G703" s="244"/>
      <c r="H703" s="244"/>
      <c r="I703" s="244"/>
      <c r="J703" s="244"/>
      <c r="K703" s="244"/>
      <c r="L703" s="244"/>
      <c r="M703" s="244"/>
      <c r="N703" s="244"/>
      <c r="O703" s="244"/>
      <c r="P703" s="244"/>
      <c r="Q703" s="244"/>
    </row>
    <row r="704" spans="4:17" x14ac:dyDescent="0.2">
      <c r="D704" s="244"/>
      <c r="E704" s="244"/>
      <c r="F704" s="244"/>
      <c r="G704" s="244"/>
      <c r="H704" s="244"/>
      <c r="I704" s="244"/>
      <c r="J704" s="244"/>
      <c r="K704" s="244"/>
      <c r="L704" s="244"/>
      <c r="M704" s="244"/>
      <c r="N704" s="244"/>
      <c r="O704" s="244"/>
      <c r="P704" s="244"/>
      <c r="Q704" s="244"/>
    </row>
    <row r="705" spans="4:17" x14ac:dyDescent="0.2">
      <c r="D705" s="244"/>
      <c r="E705" s="244"/>
      <c r="F705" s="244"/>
      <c r="G705" s="244"/>
      <c r="H705" s="244"/>
      <c r="I705" s="244"/>
      <c r="J705" s="244"/>
      <c r="K705" s="244"/>
      <c r="L705" s="244"/>
      <c r="M705" s="244"/>
      <c r="N705" s="244"/>
      <c r="O705" s="244"/>
      <c r="P705" s="244"/>
      <c r="Q705" s="244"/>
    </row>
    <row r="706" spans="4:17" x14ac:dyDescent="0.2">
      <c r="D706" s="244"/>
      <c r="E706" s="244"/>
      <c r="F706" s="244"/>
      <c r="G706" s="244"/>
      <c r="H706" s="244"/>
      <c r="I706" s="244"/>
      <c r="J706" s="244"/>
      <c r="K706" s="244"/>
      <c r="L706" s="244"/>
      <c r="M706" s="244"/>
      <c r="N706" s="244"/>
      <c r="O706" s="244"/>
      <c r="P706" s="244"/>
      <c r="Q706" s="244"/>
    </row>
    <row r="707" spans="4:17" x14ac:dyDescent="0.2">
      <c r="D707" s="244"/>
      <c r="E707" s="244"/>
      <c r="F707" s="244"/>
      <c r="G707" s="244"/>
      <c r="H707" s="244"/>
      <c r="I707" s="244"/>
      <c r="J707" s="244"/>
      <c r="K707" s="244"/>
      <c r="L707" s="244"/>
      <c r="M707" s="244"/>
      <c r="N707" s="244"/>
      <c r="O707" s="244"/>
      <c r="P707" s="244"/>
      <c r="Q707" s="244"/>
    </row>
    <row r="708" spans="4:17" x14ac:dyDescent="0.2">
      <c r="D708" s="244"/>
      <c r="E708" s="244"/>
      <c r="F708" s="244"/>
      <c r="G708" s="244"/>
      <c r="H708" s="244"/>
      <c r="I708" s="244"/>
      <c r="J708" s="244"/>
      <c r="K708" s="244"/>
      <c r="L708" s="244"/>
      <c r="M708" s="244"/>
      <c r="N708" s="244"/>
      <c r="O708" s="244"/>
      <c r="P708" s="244"/>
      <c r="Q708" s="244"/>
    </row>
    <row r="709" spans="4:17" x14ac:dyDescent="0.2">
      <c r="D709" s="244"/>
      <c r="E709" s="244"/>
      <c r="F709" s="244"/>
      <c r="G709" s="244"/>
      <c r="H709" s="244"/>
      <c r="I709" s="244"/>
      <c r="J709" s="244"/>
      <c r="K709" s="244"/>
      <c r="L709" s="244"/>
      <c r="M709" s="244"/>
      <c r="N709" s="244"/>
      <c r="O709" s="244"/>
      <c r="P709" s="244"/>
      <c r="Q709" s="244"/>
    </row>
    <row r="710" spans="4:17" x14ac:dyDescent="0.2">
      <c r="D710" s="244"/>
      <c r="E710" s="244"/>
      <c r="F710" s="244"/>
      <c r="G710" s="244"/>
      <c r="H710" s="244"/>
      <c r="I710" s="244"/>
      <c r="J710" s="244"/>
      <c r="K710" s="244"/>
      <c r="L710" s="244"/>
      <c r="M710" s="244"/>
      <c r="N710" s="244"/>
      <c r="O710" s="244"/>
      <c r="P710" s="244"/>
      <c r="Q710" s="244"/>
    </row>
    <row r="711" spans="4:17" x14ac:dyDescent="0.2">
      <c r="D711" s="244"/>
      <c r="E711" s="244"/>
      <c r="F711" s="244"/>
      <c r="G711" s="244"/>
      <c r="H711" s="244"/>
      <c r="I711" s="244"/>
      <c r="J711" s="244"/>
      <c r="K711" s="244"/>
      <c r="L711" s="244"/>
      <c r="M711" s="244"/>
      <c r="N711" s="244"/>
      <c r="O711" s="244"/>
      <c r="P711" s="244"/>
      <c r="Q711" s="244"/>
    </row>
    <row r="712" spans="4:17" x14ac:dyDescent="0.2"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4"/>
      <c r="P712" s="244"/>
      <c r="Q712" s="244"/>
    </row>
    <row r="713" spans="4:17" x14ac:dyDescent="0.2">
      <c r="D713" s="244"/>
      <c r="E713" s="244"/>
      <c r="F713" s="244"/>
      <c r="G713" s="244"/>
      <c r="H713" s="244"/>
      <c r="I713" s="244"/>
      <c r="J713" s="244"/>
      <c r="K713" s="244"/>
      <c r="L713" s="244"/>
      <c r="M713" s="244"/>
      <c r="N713" s="244"/>
      <c r="O713" s="244"/>
      <c r="P713" s="244"/>
      <c r="Q713" s="244"/>
    </row>
    <row r="714" spans="4:17" x14ac:dyDescent="0.2">
      <c r="D714" s="244"/>
      <c r="E714" s="244"/>
      <c r="F714" s="244"/>
      <c r="G714" s="244"/>
      <c r="H714" s="244"/>
      <c r="I714" s="244"/>
      <c r="J714" s="244"/>
      <c r="K714" s="244"/>
      <c r="L714" s="244"/>
      <c r="M714" s="244"/>
      <c r="N714" s="244"/>
      <c r="O714" s="244"/>
      <c r="P714" s="244"/>
      <c r="Q714" s="244"/>
    </row>
    <row r="715" spans="4:17" x14ac:dyDescent="0.2">
      <c r="D715" s="244"/>
      <c r="E715" s="244"/>
      <c r="F715" s="244"/>
      <c r="G715" s="244"/>
      <c r="H715" s="244"/>
      <c r="I715" s="244"/>
      <c r="J715" s="244"/>
      <c r="K715" s="244"/>
      <c r="L715" s="244"/>
      <c r="M715" s="244"/>
      <c r="N715" s="244"/>
      <c r="O715" s="244"/>
      <c r="P715" s="244"/>
      <c r="Q715" s="244"/>
    </row>
    <row r="716" spans="4:17" x14ac:dyDescent="0.2">
      <c r="D716" s="244"/>
      <c r="E716" s="244"/>
      <c r="F716" s="244"/>
      <c r="G716" s="244"/>
      <c r="H716" s="244"/>
      <c r="I716" s="244"/>
      <c r="J716" s="244"/>
      <c r="K716" s="244"/>
      <c r="L716" s="244"/>
      <c r="M716" s="244"/>
      <c r="N716" s="244"/>
      <c r="O716" s="244"/>
      <c r="P716" s="244"/>
      <c r="Q716" s="244"/>
    </row>
    <row r="717" spans="4:17" x14ac:dyDescent="0.2">
      <c r="D717" s="244"/>
      <c r="E717" s="244"/>
      <c r="F717" s="244"/>
      <c r="G717" s="244"/>
      <c r="H717" s="244"/>
      <c r="I717" s="244"/>
      <c r="J717" s="244"/>
      <c r="K717" s="244"/>
      <c r="L717" s="244"/>
      <c r="M717" s="244"/>
      <c r="N717" s="244"/>
      <c r="O717" s="244"/>
      <c r="P717" s="244"/>
      <c r="Q717" s="244"/>
    </row>
    <row r="718" spans="4:17" x14ac:dyDescent="0.2">
      <c r="D718" s="244"/>
      <c r="E718" s="244"/>
      <c r="F718" s="244"/>
      <c r="G718" s="244"/>
      <c r="H718" s="244"/>
      <c r="I718" s="244"/>
      <c r="J718" s="244"/>
      <c r="K718" s="244"/>
      <c r="L718" s="244"/>
      <c r="M718" s="244"/>
      <c r="N718" s="244"/>
      <c r="O718" s="244"/>
      <c r="P718" s="244"/>
      <c r="Q718" s="244"/>
    </row>
    <row r="719" spans="4:17" x14ac:dyDescent="0.2">
      <c r="D719" s="244"/>
      <c r="E719" s="244"/>
      <c r="F719" s="244"/>
      <c r="G719" s="244"/>
      <c r="H719" s="244"/>
      <c r="I719" s="244"/>
      <c r="J719" s="244"/>
      <c r="K719" s="244"/>
      <c r="L719" s="244"/>
      <c r="M719" s="244"/>
      <c r="N719" s="244"/>
      <c r="O719" s="244"/>
      <c r="P719" s="244"/>
      <c r="Q719" s="244"/>
    </row>
    <row r="720" spans="4:17" x14ac:dyDescent="0.2">
      <c r="D720" s="244"/>
      <c r="E720" s="244"/>
      <c r="F720" s="244"/>
      <c r="G720" s="244"/>
      <c r="H720" s="244"/>
      <c r="I720" s="244"/>
      <c r="J720" s="244"/>
      <c r="K720" s="244"/>
      <c r="L720" s="244"/>
      <c r="M720" s="244"/>
      <c r="N720" s="244"/>
      <c r="O720" s="244"/>
      <c r="P720" s="244"/>
      <c r="Q720" s="244"/>
    </row>
    <row r="721" spans="4:17" x14ac:dyDescent="0.2">
      <c r="D721" s="244"/>
      <c r="E721" s="244"/>
      <c r="F721" s="244"/>
      <c r="G721" s="244"/>
      <c r="H721" s="244"/>
      <c r="I721" s="244"/>
      <c r="J721" s="244"/>
      <c r="K721" s="244"/>
      <c r="L721" s="244"/>
      <c r="M721" s="244"/>
      <c r="N721" s="244"/>
      <c r="O721" s="244"/>
      <c r="P721" s="244"/>
      <c r="Q721" s="244"/>
    </row>
    <row r="722" spans="4:17" x14ac:dyDescent="0.2">
      <c r="D722" s="244"/>
      <c r="E722" s="244"/>
      <c r="F722" s="244"/>
      <c r="G722" s="244"/>
      <c r="H722" s="244"/>
      <c r="I722" s="244"/>
      <c r="J722" s="244"/>
      <c r="K722" s="244"/>
      <c r="L722" s="244"/>
      <c r="M722" s="244"/>
      <c r="N722" s="244"/>
      <c r="O722" s="244"/>
      <c r="P722" s="244"/>
      <c r="Q722" s="244"/>
    </row>
    <row r="723" spans="4:17" x14ac:dyDescent="0.2">
      <c r="D723" s="244"/>
      <c r="E723" s="244"/>
      <c r="F723" s="244"/>
      <c r="G723" s="244"/>
      <c r="H723" s="244"/>
      <c r="I723" s="244"/>
      <c r="J723" s="244"/>
      <c r="K723" s="244"/>
      <c r="L723" s="244"/>
      <c r="M723" s="244"/>
      <c r="N723" s="244"/>
      <c r="O723" s="244"/>
      <c r="P723" s="244"/>
      <c r="Q723" s="244"/>
    </row>
    <row r="724" spans="4:17" x14ac:dyDescent="0.2">
      <c r="D724" s="244"/>
      <c r="E724" s="244"/>
      <c r="F724" s="244"/>
      <c r="G724" s="244"/>
      <c r="H724" s="244"/>
      <c r="I724" s="244"/>
      <c r="J724" s="244"/>
      <c r="K724" s="244"/>
      <c r="L724" s="244"/>
      <c r="M724" s="244"/>
      <c r="N724" s="244"/>
      <c r="O724" s="244"/>
      <c r="P724" s="244"/>
      <c r="Q724" s="244"/>
    </row>
    <row r="725" spans="4:17" x14ac:dyDescent="0.2">
      <c r="D725" s="244"/>
      <c r="E725" s="244"/>
      <c r="F725" s="244"/>
      <c r="G725" s="244"/>
      <c r="H725" s="244"/>
      <c r="I725" s="244"/>
      <c r="J725" s="244"/>
      <c r="K725" s="244"/>
      <c r="L725" s="244"/>
      <c r="M725" s="244"/>
      <c r="N725" s="244"/>
      <c r="O725" s="244"/>
      <c r="P725" s="244"/>
      <c r="Q725" s="244"/>
    </row>
    <row r="726" spans="4:17" x14ac:dyDescent="0.2">
      <c r="D726" s="244"/>
      <c r="E726" s="244"/>
      <c r="F726" s="244"/>
      <c r="G726" s="244"/>
      <c r="H726" s="244"/>
      <c r="I726" s="244"/>
      <c r="J726" s="244"/>
      <c r="K726" s="244"/>
      <c r="L726" s="244"/>
      <c r="M726" s="244"/>
      <c r="N726" s="244"/>
      <c r="O726" s="244"/>
      <c r="P726" s="244"/>
      <c r="Q726" s="244"/>
    </row>
    <row r="727" spans="4:17" x14ac:dyDescent="0.2"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</row>
    <row r="728" spans="4:17" x14ac:dyDescent="0.2">
      <c r="D728" s="244"/>
      <c r="E728" s="244"/>
      <c r="F728" s="244"/>
      <c r="G728" s="244"/>
      <c r="H728" s="244"/>
      <c r="I728" s="244"/>
      <c r="J728" s="244"/>
      <c r="K728" s="244"/>
      <c r="L728" s="244"/>
      <c r="M728" s="244"/>
      <c r="N728" s="244"/>
      <c r="O728" s="244"/>
      <c r="P728" s="244"/>
      <c r="Q728" s="244"/>
    </row>
    <row r="729" spans="4:17" x14ac:dyDescent="0.2">
      <c r="D729" s="244"/>
      <c r="E729" s="244"/>
      <c r="F729" s="244"/>
      <c r="G729" s="244"/>
      <c r="H729" s="244"/>
      <c r="I729" s="244"/>
      <c r="J729" s="244"/>
      <c r="K729" s="244"/>
      <c r="L729" s="244"/>
      <c r="M729" s="244"/>
      <c r="N729" s="244"/>
      <c r="O729" s="244"/>
      <c r="P729" s="244"/>
      <c r="Q729" s="244"/>
    </row>
    <row r="730" spans="4:17" x14ac:dyDescent="0.2">
      <c r="D730" s="244"/>
      <c r="E730" s="244"/>
      <c r="F730" s="244"/>
      <c r="G730" s="244"/>
      <c r="H730" s="244"/>
      <c r="I730" s="244"/>
      <c r="J730" s="244"/>
      <c r="K730" s="244"/>
      <c r="L730" s="244"/>
      <c r="M730" s="244"/>
      <c r="N730" s="244"/>
      <c r="O730" s="244"/>
      <c r="P730" s="244"/>
      <c r="Q730" s="244"/>
    </row>
    <row r="731" spans="4:17" x14ac:dyDescent="0.2">
      <c r="D731" s="244"/>
      <c r="E731" s="244"/>
      <c r="F731" s="244"/>
      <c r="G731" s="244"/>
      <c r="H731" s="244"/>
      <c r="I731" s="244"/>
      <c r="J731" s="244"/>
      <c r="K731" s="244"/>
      <c r="L731" s="244"/>
      <c r="M731" s="244"/>
      <c r="N731" s="244"/>
      <c r="O731" s="244"/>
      <c r="P731" s="244"/>
      <c r="Q731" s="244"/>
    </row>
    <row r="732" spans="4:17" x14ac:dyDescent="0.2">
      <c r="D732" s="244"/>
      <c r="E732" s="244"/>
      <c r="F732" s="244"/>
      <c r="G732" s="244"/>
      <c r="H732" s="244"/>
      <c r="I732" s="244"/>
      <c r="J732" s="244"/>
      <c r="K732" s="244"/>
      <c r="L732" s="244"/>
      <c r="M732" s="244"/>
      <c r="N732" s="244"/>
      <c r="O732" s="244"/>
      <c r="P732" s="244"/>
      <c r="Q732" s="244"/>
    </row>
    <row r="733" spans="4:17" x14ac:dyDescent="0.2">
      <c r="D733" s="244"/>
      <c r="E733" s="244"/>
      <c r="F733" s="244"/>
      <c r="G733" s="244"/>
      <c r="H733" s="244"/>
      <c r="I733" s="244"/>
      <c r="J733" s="244"/>
      <c r="K733" s="244"/>
      <c r="L733" s="244"/>
      <c r="M733" s="244"/>
      <c r="N733" s="244"/>
      <c r="O733" s="244"/>
      <c r="P733" s="244"/>
      <c r="Q733" s="244"/>
    </row>
    <row r="734" spans="4:17" x14ac:dyDescent="0.2"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4"/>
      <c r="P734" s="244"/>
      <c r="Q734" s="244"/>
    </row>
    <row r="735" spans="4:17" x14ac:dyDescent="0.2">
      <c r="D735" s="244"/>
      <c r="E735" s="244"/>
      <c r="F735" s="244"/>
      <c r="G735" s="244"/>
      <c r="H735" s="244"/>
      <c r="I735" s="244"/>
      <c r="J735" s="244"/>
      <c r="K735" s="244"/>
      <c r="L735" s="244"/>
      <c r="M735" s="244"/>
      <c r="N735" s="244"/>
      <c r="O735" s="244"/>
      <c r="P735" s="244"/>
      <c r="Q735" s="244"/>
    </row>
    <row r="736" spans="4:17" x14ac:dyDescent="0.2"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244"/>
      <c r="P736" s="244"/>
      <c r="Q736" s="244"/>
    </row>
    <row r="737" spans="4:17" x14ac:dyDescent="0.2"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244"/>
      <c r="P737" s="244"/>
      <c r="Q737" s="244"/>
    </row>
    <row r="738" spans="4:17" x14ac:dyDescent="0.2"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4"/>
      <c r="O738" s="244"/>
      <c r="P738" s="244"/>
      <c r="Q738" s="244"/>
    </row>
    <row r="739" spans="4:17" x14ac:dyDescent="0.2">
      <c r="D739" s="244"/>
      <c r="E739" s="244"/>
      <c r="F739" s="244"/>
      <c r="G739" s="244"/>
      <c r="H739" s="244"/>
      <c r="I739" s="244"/>
      <c r="J739" s="244"/>
      <c r="K739" s="244"/>
      <c r="L739" s="244"/>
      <c r="M739" s="244"/>
      <c r="N739" s="244"/>
      <c r="O739" s="244"/>
      <c r="P739" s="244"/>
      <c r="Q739" s="244"/>
    </row>
    <row r="740" spans="4:17" x14ac:dyDescent="0.2">
      <c r="D740" s="244"/>
      <c r="E740" s="244"/>
      <c r="F740" s="244"/>
      <c r="G740" s="244"/>
      <c r="H740" s="244"/>
      <c r="I740" s="244"/>
      <c r="J740" s="244"/>
      <c r="K740" s="244"/>
      <c r="L740" s="244"/>
      <c r="M740" s="244"/>
      <c r="N740" s="244"/>
      <c r="O740" s="244"/>
      <c r="P740" s="244"/>
      <c r="Q740" s="244"/>
    </row>
    <row r="741" spans="4:17" x14ac:dyDescent="0.2">
      <c r="D741" s="244"/>
      <c r="E741" s="244"/>
      <c r="F741" s="244"/>
      <c r="G741" s="244"/>
      <c r="H741" s="244"/>
      <c r="I741" s="244"/>
      <c r="J741" s="244"/>
      <c r="K741" s="244"/>
      <c r="L741" s="244"/>
      <c r="M741" s="244"/>
      <c r="N741" s="244"/>
      <c r="O741" s="244"/>
      <c r="P741" s="244"/>
      <c r="Q741" s="244"/>
    </row>
    <row r="742" spans="4:17" x14ac:dyDescent="0.2"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244"/>
      <c r="P742" s="244"/>
      <c r="Q742" s="244"/>
    </row>
    <row r="743" spans="4:17" x14ac:dyDescent="0.2"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244"/>
      <c r="P743" s="244"/>
      <c r="Q743" s="244"/>
    </row>
    <row r="744" spans="4:17" x14ac:dyDescent="0.2">
      <c r="D744" s="244"/>
      <c r="E744" s="244"/>
      <c r="F744" s="244"/>
      <c r="G744" s="244"/>
      <c r="H744" s="244"/>
      <c r="I744" s="244"/>
      <c r="J744" s="244"/>
      <c r="K744" s="244"/>
      <c r="L744" s="244"/>
      <c r="M744" s="244"/>
      <c r="N744" s="244"/>
      <c r="O744" s="244"/>
      <c r="P744" s="244"/>
      <c r="Q744" s="244"/>
    </row>
    <row r="745" spans="4:17" x14ac:dyDescent="0.2"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4"/>
      <c r="Q745" s="244"/>
    </row>
    <row r="746" spans="4:17" x14ac:dyDescent="0.2">
      <c r="D746" s="244"/>
      <c r="E746" s="244"/>
      <c r="F746" s="244"/>
      <c r="G746" s="244"/>
      <c r="H746" s="244"/>
      <c r="I746" s="244"/>
      <c r="J746" s="244"/>
      <c r="K746" s="244"/>
      <c r="L746" s="244"/>
      <c r="M746" s="244"/>
      <c r="N746" s="244"/>
      <c r="O746" s="244"/>
      <c r="P746" s="244"/>
      <c r="Q746" s="244"/>
    </row>
    <row r="747" spans="4:17" x14ac:dyDescent="0.2">
      <c r="D747" s="244"/>
      <c r="E747" s="244"/>
      <c r="F747" s="244"/>
      <c r="G747" s="244"/>
      <c r="H747" s="244"/>
      <c r="I747" s="244"/>
      <c r="J747" s="244"/>
      <c r="K747" s="244"/>
      <c r="L747" s="244"/>
      <c r="M747" s="244"/>
      <c r="N747" s="244"/>
      <c r="O747" s="244"/>
      <c r="P747" s="244"/>
      <c r="Q747" s="244"/>
    </row>
    <row r="748" spans="4:17" x14ac:dyDescent="0.2"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244"/>
      <c r="P748" s="244"/>
      <c r="Q748" s="244"/>
    </row>
    <row r="749" spans="4:17" x14ac:dyDescent="0.2"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244"/>
      <c r="P749" s="244"/>
      <c r="Q749" s="244"/>
    </row>
    <row r="750" spans="4:17" x14ac:dyDescent="0.2">
      <c r="D750" s="244"/>
      <c r="E750" s="244"/>
      <c r="F750" s="244"/>
      <c r="G750" s="244"/>
      <c r="H750" s="244"/>
      <c r="I750" s="244"/>
      <c r="J750" s="244"/>
      <c r="K750" s="244"/>
      <c r="L750" s="244"/>
      <c r="M750" s="244"/>
      <c r="N750" s="244"/>
      <c r="O750" s="244"/>
      <c r="P750" s="244"/>
      <c r="Q750" s="244"/>
    </row>
    <row r="751" spans="4:17" x14ac:dyDescent="0.2">
      <c r="D751" s="244"/>
      <c r="E751" s="244"/>
      <c r="F751" s="244"/>
      <c r="G751" s="244"/>
      <c r="H751" s="244"/>
      <c r="I751" s="244"/>
      <c r="J751" s="244"/>
      <c r="K751" s="244"/>
      <c r="L751" s="244"/>
      <c r="M751" s="244"/>
      <c r="N751" s="244"/>
      <c r="O751" s="244"/>
      <c r="P751" s="244"/>
      <c r="Q751" s="244"/>
    </row>
    <row r="752" spans="4:17" x14ac:dyDescent="0.2">
      <c r="D752" s="244"/>
      <c r="E752" s="244"/>
      <c r="F752" s="244"/>
      <c r="G752" s="244"/>
      <c r="H752" s="244"/>
      <c r="I752" s="244"/>
      <c r="J752" s="244"/>
      <c r="K752" s="244"/>
      <c r="L752" s="244"/>
      <c r="M752" s="244"/>
      <c r="N752" s="244"/>
      <c r="O752" s="244"/>
      <c r="P752" s="244"/>
      <c r="Q752" s="244"/>
    </row>
    <row r="753" spans="4:17" x14ac:dyDescent="0.2">
      <c r="D753" s="244"/>
      <c r="E753" s="244"/>
      <c r="F753" s="244"/>
      <c r="G753" s="244"/>
      <c r="H753" s="244"/>
      <c r="I753" s="244"/>
      <c r="J753" s="244"/>
      <c r="K753" s="244"/>
      <c r="L753" s="244"/>
      <c r="M753" s="244"/>
      <c r="N753" s="244"/>
      <c r="O753" s="244"/>
      <c r="P753" s="244"/>
      <c r="Q753" s="244"/>
    </row>
    <row r="754" spans="4:17" x14ac:dyDescent="0.2"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4"/>
      <c r="O754" s="244"/>
      <c r="P754" s="244"/>
      <c r="Q754" s="244"/>
    </row>
    <row r="755" spans="4:17" x14ac:dyDescent="0.2">
      <c r="D755" s="244"/>
      <c r="E755" s="244"/>
      <c r="F755" s="244"/>
      <c r="G755" s="244"/>
      <c r="H755" s="244"/>
      <c r="I755" s="244"/>
      <c r="J755" s="244"/>
      <c r="K755" s="244"/>
      <c r="L755" s="244"/>
      <c r="M755" s="244"/>
      <c r="N755" s="244"/>
      <c r="O755" s="244"/>
      <c r="P755" s="244"/>
      <c r="Q755" s="244"/>
    </row>
    <row r="756" spans="4:17" x14ac:dyDescent="0.2">
      <c r="D756" s="244"/>
      <c r="E756" s="244"/>
      <c r="F756" s="244"/>
      <c r="G756" s="244"/>
      <c r="H756" s="244"/>
      <c r="I756" s="244"/>
      <c r="J756" s="244"/>
      <c r="K756" s="244"/>
      <c r="L756" s="244"/>
      <c r="M756" s="244"/>
      <c r="N756" s="244"/>
      <c r="O756" s="244"/>
      <c r="P756" s="244"/>
      <c r="Q756" s="244"/>
    </row>
    <row r="757" spans="4:17" x14ac:dyDescent="0.2">
      <c r="D757" s="244"/>
      <c r="E757" s="244"/>
      <c r="F757" s="244"/>
      <c r="G757" s="244"/>
      <c r="H757" s="244"/>
      <c r="I757" s="244"/>
      <c r="J757" s="244"/>
      <c r="K757" s="244"/>
      <c r="L757" s="244"/>
      <c r="M757" s="244"/>
      <c r="N757" s="244"/>
      <c r="O757" s="244"/>
      <c r="P757" s="244"/>
      <c r="Q757" s="244"/>
    </row>
    <row r="758" spans="4:17" x14ac:dyDescent="0.2">
      <c r="D758" s="244"/>
      <c r="E758" s="244"/>
      <c r="F758" s="244"/>
      <c r="G758" s="244"/>
      <c r="H758" s="244"/>
      <c r="I758" s="244"/>
      <c r="J758" s="244"/>
      <c r="K758" s="244"/>
      <c r="L758" s="244"/>
      <c r="M758" s="244"/>
      <c r="N758" s="244"/>
      <c r="O758" s="244"/>
      <c r="P758" s="244"/>
      <c r="Q758" s="244"/>
    </row>
    <row r="759" spans="4:17" x14ac:dyDescent="0.2">
      <c r="D759" s="244"/>
      <c r="E759" s="244"/>
      <c r="F759" s="244"/>
      <c r="G759" s="244"/>
      <c r="H759" s="244"/>
      <c r="I759" s="244"/>
      <c r="J759" s="244"/>
      <c r="K759" s="244"/>
      <c r="L759" s="244"/>
      <c r="M759" s="244"/>
      <c r="N759" s="244"/>
      <c r="O759" s="244"/>
      <c r="P759" s="244"/>
      <c r="Q759" s="244"/>
    </row>
    <row r="760" spans="4:17" x14ac:dyDescent="0.2">
      <c r="D760" s="244"/>
      <c r="E760" s="244"/>
      <c r="F760" s="244"/>
      <c r="G760" s="244"/>
      <c r="H760" s="244"/>
      <c r="I760" s="244"/>
      <c r="J760" s="244"/>
      <c r="K760" s="244"/>
      <c r="L760" s="244"/>
      <c r="M760" s="244"/>
      <c r="N760" s="244"/>
      <c r="O760" s="244"/>
      <c r="P760" s="244"/>
      <c r="Q760" s="244"/>
    </row>
    <row r="761" spans="4:17" x14ac:dyDescent="0.2"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244"/>
      <c r="P761" s="244"/>
      <c r="Q761" s="244"/>
    </row>
    <row r="762" spans="4:17" x14ac:dyDescent="0.2">
      <c r="D762" s="244"/>
      <c r="E762" s="244"/>
      <c r="F762" s="244"/>
      <c r="G762" s="244"/>
      <c r="H762" s="244"/>
      <c r="I762" s="244"/>
      <c r="J762" s="244"/>
      <c r="K762" s="244"/>
      <c r="L762" s="244"/>
      <c r="M762" s="244"/>
      <c r="N762" s="244"/>
      <c r="O762" s="244"/>
      <c r="P762" s="244"/>
      <c r="Q762" s="244"/>
    </row>
    <row r="763" spans="4:17" x14ac:dyDescent="0.2">
      <c r="D763" s="244"/>
      <c r="E763" s="244"/>
      <c r="F763" s="244"/>
      <c r="G763" s="244"/>
      <c r="H763" s="244"/>
      <c r="I763" s="244"/>
      <c r="J763" s="244"/>
      <c r="K763" s="244"/>
      <c r="L763" s="244"/>
      <c r="M763" s="244"/>
      <c r="N763" s="244"/>
      <c r="O763" s="244"/>
      <c r="P763" s="244"/>
      <c r="Q763" s="244"/>
    </row>
    <row r="764" spans="4:17" x14ac:dyDescent="0.2">
      <c r="D764" s="244"/>
      <c r="E764" s="244"/>
      <c r="F764" s="244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</row>
    <row r="765" spans="4:17" x14ac:dyDescent="0.2">
      <c r="D765" s="244"/>
      <c r="E765" s="244"/>
      <c r="F765" s="244"/>
      <c r="G765" s="244"/>
      <c r="H765" s="244"/>
      <c r="I765" s="244"/>
      <c r="J765" s="244"/>
      <c r="K765" s="244"/>
      <c r="L765" s="244"/>
      <c r="M765" s="244"/>
      <c r="N765" s="244"/>
      <c r="O765" s="244"/>
      <c r="P765" s="244"/>
      <c r="Q765" s="244"/>
    </row>
    <row r="766" spans="4:17" x14ac:dyDescent="0.2">
      <c r="D766" s="244"/>
      <c r="E766" s="244"/>
      <c r="F766" s="244"/>
      <c r="G766" s="244"/>
      <c r="H766" s="244"/>
      <c r="I766" s="244"/>
      <c r="J766" s="244"/>
      <c r="K766" s="244"/>
      <c r="L766" s="244"/>
      <c r="M766" s="244"/>
      <c r="N766" s="244"/>
      <c r="O766" s="244"/>
      <c r="P766" s="244"/>
      <c r="Q766" s="244"/>
    </row>
    <row r="767" spans="4:17" x14ac:dyDescent="0.2">
      <c r="D767" s="244"/>
      <c r="E767" s="244"/>
      <c r="F767" s="244"/>
      <c r="G767" s="244"/>
      <c r="H767" s="244"/>
      <c r="I767" s="244"/>
      <c r="J767" s="244"/>
      <c r="K767" s="244"/>
      <c r="L767" s="244"/>
      <c r="M767" s="244"/>
      <c r="N767" s="244"/>
      <c r="O767" s="244"/>
      <c r="P767" s="244"/>
      <c r="Q767" s="244"/>
    </row>
    <row r="768" spans="4:17" x14ac:dyDescent="0.2">
      <c r="D768" s="244"/>
      <c r="E768" s="244"/>
      <c r="F768" s="244"/>
      <c r="G768" s="244"/>
      <c r="H768" s="244"/>
      <c r="I768" s="244"/>
      <c r="J768" s="244"/>
      <c r="K768" s="244"/>
      <c r="L768" s="244"/>
      <c r="M768" s="244"/>
      <c r="N768" s="244"/>
      <c r="O768" s="244"/>
      <c r="P768" s="244"/>
      <c r="Q768" s="244"/>
    </row>
    <row r="769" spans="4:17" x14ac:dyDescent="0.2">
      <c r="D769" s="244"/>
      <c r="E769" s="244"/>
      <c r="F769" s="244"/>
      <c r="G769" s="244"/>
      <c r="H769" s="244"/>
      <c r="I769" s="244"/>
      <c r="J769" s="244"/>
      <c r="K769" s="244"/>
      <c r="L769" s="244"/>
      <c r="M769" s="244"/>
      <c r="N769" s="244"/>
      <c r="O769" s="244"/>
      <c r="P769" s="244"/>
      <c r="Q769" s="244"/>
    </row>
    <row r="770" spans="4:17" x14ac:dyDescent="0.2">
      <c r="D770" s="244"/>
      <c r="E770" s="244"/>
      <c r="F770" s="244"/>
      <c r="G770" s="244"/>
      <c r="H770" s="244"/>
      <c r="I770" s="244"/>
      <c r="J770" s="244"/>
      <c r="K770" s="244"/>
      <c r="L770" s="244"/>
      <c r="M770" s="244"/>
      <c r="N770" s="244"/>
      <c r="O770" s="244"/>
      <c r="P770" s="244"/>
      <c r="Q770" s="244"/>
    </row>
    <row r="771" spans="4:17" x14ac:dyDescent="0.2">
      <c r="D771" s="244"/>
      <c r="E771" s="244"/>
      <c r="F771" s="244"/>
      <c r="G771" s="244"/>
      <c r="H771" s="244"/>
      <c r="I771" s="244"/>
      <c r="J771" s="244"/>
      <c r="K771" s="244"/>
      <c r="L771" s="244"/>
      <c r="M771" s="244"/>
      <c r="N771" s="244"/>
      <c r="O771" s="244"/>
      <c r="P771" s="244"/>
      <c r="Q771" s="244"/>
    </row>
    <row r="772" spans="4:17" x14ac:dyDescent="0.2">
      <c r="D772" s="244"/>
      <c r="E772" s="244"/>
      <c r="F772" s="244"/>
      <c r="G772" s="244"/>
      <c r="H772" s="244"/>
      <c r="I772" s="244"/>
      <c r="J772" s="244"/>
      <c r="K772" s="244"/>
      <c r="L772" s="244"/>
      <c r="M772" s="244"/>
      <c r="N772" s="244"/>
      <c r="O772" s="244"/>
      <c r="P772" s="244"/>
      <c r="Q772" s="244"/>
    </row>
    <row r="773" spans="4:17" x14ac:dyDescent="0.2">
      <c r="D773" s="244"/>
      <c r="E773" s="244"/>
      <c r="F773" s="244"/>
      <c r="G773" s="244"/>
      <c r="H773" s="244"/>
      <c r="I773" s="244"/>
      <c r="J773" s="244"/>
      <c r="K773" s="244"/>
      <c r="L773" s="244"/>
      <c r="M773" s="244"/>
      <c r="N773" s="244"/>
      <c r="O773" s="244"/>
      <c r="P773" s="244"/>
      <c r="Q773" s="244"/>
    </row>
    <row r="774" spans="4:17" x14ac:dyDescent="0.2">
      <c r="D774" s="244"/>
      <c r="E774" s="244"/>
      <c r="F774" s="244"/>
      <c r="G774" s="244"/>
      <c r="H774" s="244"/>
      <c r="I774" s="244"/>
      <c r="J774" s="244"/>
      <c r="K774" s="244"/>
      <c r="L774" s="244"/>
      <c r="M774" s="244"/>
      <c r="N774" s="244"/>
      <c r="O774" s="244"/>
      <c r="P774" s="244"/>
      <c r="Q774" s="244"/>
    </row>
    <row r="775" spans="4:17" x14ac:dyDescent="0.2">
      <c r="D775" s="244"/>
      <c r="E775" s="244"/>
      <c r="F775" s="244"/>
      <c r="G775" s="244"/>
      <c r="H775" s="244"/>
      <c r="I775" s="244"/>
      <c r="J775" s="244"/>
      <c r="K775" s="244"/>
      <c r="L775" s="244"/>
      <c r="M775" s="244"/>
      <c r="N775" s="244"/>
      <c r="O775" s="244"/>
      <c r="P775" s="244"/>
      <c r="Q775" s="244"/>
    </row>
    <row r="776" spans="4:17" x14ac:dyDescent="0.2">
      <c r="D776" s="244"/>
      <c r="E776" s="244"/>
      <c r="F776" s="244"/>
      <c r="G776" s="244"/>
      <c r="H776" s="244"/>
      <c r="I776" s="244"/>
      <c r="J776" s="244"/>
      <c r="K776" s="244"/>
      <c r="L776" s="244"/>
      <c r="M776" s="244"/>
      <c r="N776" s="244"/>
      <c r="O776" s="244"/>
      <c r="P776" s="244"/>
      <c r="Q776" s="244"/>
    </row>
    <row r="777" spans="4:17" x14ac:dyDescent="0.2">
      <c r="D777" s="244"/>
      <c r="E777" s="244"/>
      <c r="F777" s="244"/>
      <c r="G777" s="244"/>
      <c r="H777" s="244"/>
      <c r="I777" s="244"/>
      <c r="J777" s="244"/>
      <c r="K777" s="244"/>
      <c r="L777" s="244"/>
      <c r="M777" s="244"/>
      <c r="N777" s="244"/>
      <c r="O777" s="244"/>
      <c r="P777" s="244"/>
      <c r="Q777" s="244"/>
    </row>
    <row r="778" spans="4:17" x14ac:dyDescent="0.2">
      <c r="D778" s="244"/>
      <c r="E778" s="244"/>
      <c r="F778" s="244"/>
      <c r="G778" s="244"/>
      <c r="H778" s="244"/>
      <c r="I778" s="244"/>
      <c r="J778" s="244"/>
      <c r="K778" s="244"/>
      <c r="L778" s="244"/>
      <c r="M778" s="244"/>
      <c r="N778" s="244"/>
      <c r="O778" s="244"/>
      <c r="P778" s="244"/>
      <c r="Q778" s="244"/>
    </row>
    <row r="779" spans="4:17" x14ac:dyDescent="0.2">
      <c r="D779" s="244"/>
      <c r="E779" s="244"/>
      <c r="F779" s="244"/>
      <c r="G779" s="244"/>
      <c r="H779" s="244"/>
      <c r="I779" s="244"/>
      <c r="J779" s="244"/>
      <c r="K779" s="244"/>
      <c r="L779" s="244"/>
      <c r="M779" s="244"/>
      <c r="N779" s="244"/>
      <c r="O779" s="244"/>
      <c r="P779" s="244"/>
      <c r="Q779" s="244"/>
    </row>
    <row r="780" spans="4:17" x14ac:dyDescent="0.2">
      <c r="D780" s="244"/>
      <c r="E780" s="244"/>
      <c r="F780" s="244"/>
      <c r="G780" s="244"/>
      <c r="H780" s="244"/>
      <c r="I780" s="244"/>
      <c r="J780" s="244"/>
      <c r="K780" s="244"/>
      <c r="L780" s="244"/>
      <c r="M780" s="244"/>
      <c r="N780" s="244"/>
      <c r="O780" s="244"/>
      <c r="P780" s="244"/>
      <c r="Q780" s="244"/>
    </row>
    <row r="781" spans="4:17" x14ac:dyDescent="0.2">
      <c r="D781" s="244"/>
      <c r="E781" s="244"/>
      <c r="F781" s="244"/>
      <c r="G781" s="244"/>
      <c r="H781" s="244"/>
      <c r="I781" s="244"/>
      <c r="J781" s="244"/>
      <c r="K781" s="244"/>
      <c r="L781" s="244"/>
      <c r="M781" s="244"/>
      <c r="N781" s="244"/>
      <c r="O781" s="244"/>
      <c r="P781" s="244"/>
      <c r="Q781" s="244"/>
    </row>
    <row r="782" spans="4:17" x14ac:dyDescent="0.2">
      <c r="D782" s="244"/>
      <c r="E782" s="244"/>
      <c r="F782" s="244"/>
      <c r="G782" s="244"/>
      <c r="H782" s="244"/>
      <c r="I782" s="244"/>
      <c r="J782" s="244"/>
      <c r="K782" s="244"/>
      <c r="L782" s="244"/>
      <c r="M782" s="244"/>
      <c r="N782" s="244"/>
      <c r="O782" s="244"/>
      <c r="P782" s="244"/>
      <c r="Q782" s="244"/>
    </row>
    <row r="783" spans="4:17" x14ac:dyDescent="0.2">
      <c r="D783" s="244"/>
      <c r="E783" s="244"/>
      <c r="F783" s="244"/>
      <c r="G783" s="244"/>
      <c r="H783" s="244"/>
      <c r="I783" s="244"/>
      <c r="J783" s="244"/>
      <c r="K783" s="244"/>
      <c r="L783" s="244"/>
      <c r="M783" s="244"/>
      <c r="N783" s="244"/>
      <c r="O783" s="244"/>
      <c r="P783" s="244"/>
      <c r="Q783" s="244"/>
    </row>
    <row r="784" spans="4:17" x14ac:dyDescent="0.2">
      <c r="D784" s="244"/>
      <c r="E784" s="244"/>
      <c r="F784" s="244"/>
      <c r="G784" s="244"/>
      <c r="H784" s="244"/>
      <c r="I784" s="244"/>
      <c r="J784" s="244"/>
      <c r="K784" s="244"/>
      <c r="L784" s="244"/>
      <c r="M784" s="244"/>
      <c r="N784" s="244"/>
      <c r="O784" s="244"/>
      <c r="P784" s="244"/>
      <c r="Q784" s="244"/>
    </row>
    <row r="785" spans="4:17" x14ac:dyDescent="0.2"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4"/>
      <c r="Q785" s="244"/>
    </row>
    <row r="786" spans="4:17" x14ac:dyDescent="0.2">
      <c r="D786" s="244"/>
      <c r="E786" s="244"/>
      <c r="F786" s="244"/>
      <c r="G786" s="244"/>
      <c r="H786" s="244"/>
      <c r="I786" s="244"/>
      <c r="J786" s="244"/>
      <c r="K786" s="244"/>
      <c r="L786" s="244"/>
      <c r="M786" s="244"/>
      <c r="N786" s="244"/>
      <c r="O786" s="244"/>
      <c r="P786" s="244"/>
      <c r="Q786" s="244"/>
    </row>
    <row r="787" spans="4:17" x14ac:dyDescent="0.2">
      <c r="D787" s="244"/>
      <c r="E787" s="244"/>
      <c r="F787" s="244"/>
      <c r="G787" s="244"/>
      <c r="H787" s="244"/>
      <c r="I787" s="244"/>
      <c r="J787" s="244"/>
      <c r="K787" s="244"/>
      <c r="L787" s="244"/>
      <c r="M787" s="244"/>
      <c r="N787" s="244"/>
      <c r="O787" s="244"/>
      <c r="P787" s="244"/>
      <c r="Q787" s="244"/>
    </row>
    <row r="788" spans="4:17" x14ac:dyDescent="0.2">
      <c r="D788" s="244"/>
      <c r="E788" s="244"/>
      <c r="F788" s="244"/>
      <c r="G788" s="244"/>
      <c r="H788" s="244"/>
      <c r="I788" s="244"/>
      <c r="J788" s="244"/>
      <c r="K788" s="244"/>
      <c r="L788" s="244"/>
      <c r="M788" s="244"/>
      <c r="N788" s="244"/>
      <c r="O788" s="244"/>
      <c r="P788" s="244"/>
      <c r="Q788" s="244"/>
    </row>
    <row r="789" spans="4:17" x14ac:dyDescent="0.2">
      <c r="D789" s="244"/>
      <c r="E789" s="244"/>
      <c r="F789" s="244"/>
      <c r="G789" s="244"/>
      <c r="H789" s="244"/>
      <c r="I789" s="244"/>
      <c r="J789" s="244"/>
      <c r="K789" s="244"/>
      <c r="L789" s="244"/>
      <c r="M789" s="244"/>
      <c r="N789" s="244"/>
      <c r="O789" s="244"/>
      <c r="P789" s="244"/>
      <c r="Q789" s="244"/>
    </row>
    <row r="790" spans="4:17" x14ac:dyDescent="0.2">
      <c r="D790" s="244"/>
      <c r="E790" s="244"/>
      <c r="F790" s="244"/>
      <c r="G790" s="244"/>
      <c r="H790" s="244"/>
      <c r="I790" s="244"/>
      <c r="J790" s="244"/>
      <c r="K790" s="244"/>
      <c r="L790" s="244"/>
      <c r="M790" s="244"/>
      <c r="N790" s="244"/>
      <c r="O790" s="244"/>
      <c r="P790" s="244"/>
      <c r="Q790" s="244"/>
    </row>
    <row r="791" spans="4:17" x14ac:dyDescent="0.2">
      <c r="D791" s="244"/>
      <c r="E791" s="244"/>
      <c r="F791" s="244"/>
      <c r="G791" s="244"/>
      <c r="H791" s="244"/>
      <c r="I791" s="244"/>
      <c r="J791" s="244"/>
      <c r="K791" s="244"/>
      <c r="L791" s="244"/>
      <c r="M791" s="244"/>
      <c r="N791" s="244"/>
      <c r="O791" s="244"/>
      <c r="P791" s="244"/>
      <c r="Q791" s="244"/>
    </row>
    <row r="792" spans="4:17" x14ac:dyDescent="0.2">
      <c r="D792" s="244"/>
      <c r="E792" s="244"/>
      <c r="F792" s="244"/>
      <c r="G792" s="244"/>
      <c r="H792" s="244"/>
      <c r="I792" s="244"/>
      <c r="J792" s="244"/>
      <c r="K792" s="244"/>
      <c r="L792" s="244"/>
      <c r="M792" s="244"/>
      <c r="N792" s="244"/>
      <c r="O792" s="244"/>
      <c r="P792" s="244"/>
      <c r="Q792" s="244"/>
    </row>
    <row r="793" spans="4:17" x14ac:dyDescent="0.2">
      <c r="D793" s="244"/>
      <c r="E793" s="244"/>
      <c r="F793" s="244"/>
      <c r="G793" s="244"/>
      <c r="H793" s="244"/>
      <c r="I793" s="244"/>
      <c r="J793" s="244"/>
      <c r="K793" s="244"/>
      <c r="L793" s="244"/>
      <c r="M793" s="244"/>
      <c r="N793" s="244"/>
      <c r="O793" s="244"/>
      <c r="P793" s="244"/>
      <c r="Q793" s="244"/>
    </row>
    <row r="794" spans="4:17" x14ac:dyDescent="0.2">
      <c r="D794" s="244"/>
      <c r="E794" s="244"/>
      <c r="F794" s="244"/>
      <c r="G794" s="244"/>
      <c r="H794" s="244"/>
      <c r="I794" s="244"/>
      <c r="J794" s="244"/>
      <c r="K794" s="244"/>
      <c r="L794" s="244"/>
      <c r="M794" s="244"/>
      <c r="N794" s="244"/>
      <c r="O794" s="244"/>
      <c r="P794" s="244"/>
      <c r="Q794" s="244"/>
    </row>
    <row r="795" spans="4:17" x14ac:dyDescent="0.2">
      <c r="D795" s="244"/>
      <c r="E795" s="244"/>
      <c r="F795" s="244"/>
      <c r="G795" s="244"/>
      <c r="H795" s="244"/>
      <c r="I795" s="244"/>
      <c r="J795" s="244"/>
      <c r="K795" s="244"/>
      <c r="L795" s="244"/>
      <c r="M795" s="244"/>
      <c r="N795" s="244"/>
      <c r="O795" s="244"/>
      <c r="P795" s="244"/>
      <c r="Q795" s="244"/>
    </row>
    <row r="796" spans="4:17" x14ac:dyDescent="0.2">
      <c r="D796" s="244"/>
      <c r="E796" s="244"/>
      <c r="F796" s="244"/>
      <c r="G796" s="244"/>
      <c r="H796" s="244"/>
      <c r="I796" s="244"/>
      <c r="J796" s="244"/>
      <c r="K796" s="244"/>
      <c r="L796" s="244"/>
      <c r="M796" s="244"/>
      <c r="N796" s="244"/>
      <c r="O796" s="244"/>
      <c r="P796" s="244"/>
      <c r="Q796" s="244"/>
    </row>
    <row r="797" spans="4:17" x14ac:dyDescent="0.2">
      <c r="D797" s="244"/>
      <c r="E797" s="244"/>
      <c r="F797" s="244"/>
      <c r="G797" s="244"/>
      <c r="H797" s="244"/>
      <c r="I797" s="244"/>
      <c r="J797" s="244"/>
      <c r="K797" s="244"/>
      <c r="L797" s="244"/>
      <c r="M797" s="244"/>
      <c r="N797" s="244"/>
      <c r="O797" s="244"/>
      <c r="P797" s="244"/>
      <c r="Q797" s="244"/>
    </row>
    <row r="798" spans="4:17" x14ac:dyDescent="0.2">
      <c r="D798" s="244"/>
      <c r="E798" s="244"/>
      <c r="F798" s="244"/>
      <c r="G798" s="244"/>
      <c r="H798" s="244"/>
      <c r="I798" s="244"/>
      <c r="J798" s="244"/>
      <c r="K798" s="244"/>
      <c r="L798" s="244"/>
      <c r="M798" s="244"/>
      <c r="N798" s="244"/>
      <c r="O798" s="244"/>
      <c r="P798" s="244"/>
      <c r="Q798" s="244"/>
    </row>
    <row r="799" spans="4:17" x14ac:dyDescent="0.2">
      <c r="D799" s="244"/>
      <c r="E799" s="244"/>
      <c r="F799" s="244"/>
      <c r="G799" s="244"/>
      <c r="H799" s="244"/>
      <c r="I799" s="244"/>
      <c r="J799" s="244"/>
      <c r="K799" s="244"/>
      <c r="L799" s="244"/>
      <c r="M799" s="244"/>
      <c r="N799" s="244"/>
      <c r="O799" s="244"/>
      <c r="P799" s="244"/>
      <c r="Q799" s="244"/>
    </row>
    <row r="800" spans="4:17" x14ac:dyDescent="0.2">
      <c r="D800" s="244"/>
      <c r="E800" s="244"/>
      <c r="F800" s="244"/>
      <c r="G800" s="244"/>
      <c r="H800" s="244"/>
      <c r="I800" s="244"/>
      <c r="J800" s="244"/>
      <c r="K800" s="244"/>
      <c r="L800" s="244"/>
      <c r="M800" s="244"/>
      <c r="N800" s="244"/>
      <c r="O800" s="244"/>
      <c r="P800" s="244"/>
      <c r="Q800" s="244"/>
    </row>
    <row r="801" spans="4:17" x14ac:dyDescent="0.2">
      <c r="D801" s="244"/>
      <c r="E801" s="244"/>
      <c r="F801" s="244"/>
      <c r="G801" s="244"/>
      <c r="H801" s="244"/>
      <c r="I801" s="244"/>
      <c r="J801" s="244"/>
      <c r="K801" s="244"/>
      <c r="L801" s="244"/>
      <c r="M801" s="244"/>
      <c r="N801" s="244"/>
      <c r="O801" s="244"/>
      <c r="P801" s="244"/>
      <c r="Q801" s="244"/>
    </row>
    <row r="802" spans="4:17" x14ac:dyDescent="0.2">
      <c r="D802" s="244"/>
      <c r="E802" s="244"/>
      <c r="F802" s="244"/>
      <c r="G802" s="244"/>
      <c r="H802" s="244"/>
      <c r="I802" s="244"/>
      <c r="J802" s="244"/>
      <c r="K802" s="244"/>
      <c r="L802" s="244"/>
      <c r="M802" s="244"/>
      <c r="N802" s="244"/>
      <c r="O802" s="244"/>
      <c r="P802" s="244"/>
      <c r="Q802" s="244"/>
    </row>
    <row r="803" spans="4:17" x14ac:dyDescent="0.2">
      <c r="D803" s="244"/>
      <c r="E803" s="244"/>
      <c r="F803" s="244"/>
      <c r="G803" s="244"/>
      <c r="H803" s="244"/>
      <c r="I803" s="244"/>
      <c r="J803" s="244"/>
      <c r="K803" s="244"/>
      <c r="L803" s="244"/>
      <c r="M803" s="244"/>
      <c r="N803" s="244"/>
      <c r="O803" s="244"/>
      <c r="P803" s="244"/>
      <c r="Q803" s="244"/>
    </row>
    <row r="804" spans="4:17" x14ac:dyDescent="0.2">
      <c r="D804" s="244"/>
      <c r="E804" s="244"/>
      <c r="F804" s="244"/>
      <c r="G804" s="244"/>
      <c r="H804" s="244"/>
      <c r="I804" s="244"/>
      <c r="J804" s="244"/>
      <c r="K804" s="244"/>
      <c r="L804" s="244"/>
      <c r="M804" s="244"/>
      <c r="N804" s="244"/>
      <c r="O804" s="244"/>
      <c r="P804" s="244"/>
      <c r="Q804" s="244"/>
    </row>
    <row r="805" spans="4:17" x14ac:dyDescent="0.2">
      <c r="D805" s="244"/>
      <c r="E805" s="244"/>
      <c r="F805" s="244"/>
      <c r="G805" s="244"/>
      <c r="H805" s="244"/>
      <c r="I805" s="244"/>
      <c r="J805" s="244"/>
      <c r="K805" s="244"/>
      <c r="L805" s="244"/>
      <c r="M805" s="244"/>
      <c r="N805" s="244"/>
      <c r="O805" s="244"/>
      <c r="P805" s="244"/>
      <c r="Q805" s="244"/>
    </row>
    <row r="806" spans="4:17" x14ac:dyDescent="0.2">
      <c r="D806" s="244"/>
      <c r="E806" s="244"/>
      <c r="F806" s="244"/>
      <c r="G806" s="244"/>
      <c r="H806" s="244"/>
      <c r="I806" s="244"/>
      <c r="J806" s="244"/>
      <c r="K806" s="244"/>
      <c r="L806" s="244"/>
      <c r="M806" s="244"/>
      <c r="N806" s="244"/>
      <c r="O806" s="244"/>
      <c r="P806" s="244"/>
      <c r="Q806" s="244"/>
    </row>
    <row r="807" spans="4:17" x14ac:dyDescent="0.2">
      <c r="D807" s="244"/>
      <c r="E807" s="244"/>
      <c r="F807" s="244"/>
      <c r="G807" s="244"/>
      <c r="H807" s="244"/>
      <c r="I807" s="244"/>
      <c r="J807" s="244"/>
      <c r="K807" s="244"/>
      <c r="L807" s="244"/>
      <c r="M807" s="244"/>
      <c r="N807" s="244"/>
      <c r="O807" s="244"/>
      <c r="P807" s="244"/>
      <c r="Q807" s="244"/>
    </row>
    <row r="808" spans="4:17" x14ac:dyDescent="0.2">
      <c r="D808" s="244"/>
      <c r="E808" s="244"/>
      <c r="F808" s="244"/>
      <c r="G808" s="244"/>
      <c r="H808" s="244"/>
      <c r="I808" s="244"/>
      <c r="J808" s="244"/>
      <c r="K808" s="244"/>
      <c r="L808" s="244"/>
      <c r="M808" s="244"/>
      <c r="N808" s="244"/>
      <c r="O808" s="244"/>
      <c r="P808" s="244"/>
      <c r="Q808" s="244"/>
    </row>
    <row r="809" spans="4:17" x14ac:dyDescent="0.2">
      <c r="D809" s="244"/>
      <c r="E809" s="244"/>
      <c r="F809" s="244"/>
      <c r="G809" s="244"/>
      <c r="H809" s="244"/>
      <c r="I809" s="244"/>
      <c r="J809" s="244"/>
      <c r="K809" s="244"/>
      <c r="L809" s="244"/>
      <c r="M809" s="244"/>
      <c r="N809" s="244"/>
      <c r="O809" s="244"/>
      <c r="P809" s="244"/>
      <c r="Q809" s="244"/>
    </row>
    <row r="810" spans="4:17" x14ac:dyDescent="0.2">
      <c r="D810" s="244"/>
      <c r="E810" s="244"/>
      <c r="F810" s="244"/>
      <c r="G810" s="244"/>
      <c r="H810" s="244"/>
      <c r="I810" s="244"/>
      <c r="J810" s="244"/>
      <c r="K810" s="244"/>
      <c r="L810" s="244"/>
      <c r="M810" s="244"/>
      <c r="N810" s="244"/>
      <c r="O810" s="244"/>
      <c r="P810" s="244"/>
      <c r="Q810" s="244"/>
    </row>
    <row r="811" spans="4:17" x14ac:dyDescent="0.2">
      <c r="D811" s="244"/>
      <c r="E811" s="244"/>
      <c r="F811" s="244"/>
      <c r="G811" s="244"/>
      <c r="H811" s="244"/>
      <c r="I811" s="244"/>
      <c r="J811" s="244"/>
      <c r="K811" s="244"/>
      <c r="L811" s="244"/>
      <c r="M811" s="244"/>
      <c r="N811" s="244"/>
      <c r="O811" s="244"/>
      <c r="P811" s="244"/>
      <c r="Q811" s="244"/>
    </row>
    <row r="812" spans="4:17" x14ac:dyDescent="0.2">
      <c r="D812" s="244"/>
      <c r="E812" s="244"/>
      <c r="F812" s="244"/>
      <c r="G812" s="244"/>
      <c r="H812" s="244"/>
      <c r="I812" s="244"/>
      <c r="J812" s="244"/>
      <c r="K812" s="244"/>
      <c r="L812" s="244"/>
      <c r="M812" s="244"/>
      <c r="N812" s="244"/>
      <c r="O812" s="244"/>
      <c r="P812" s="244"/>
      <c r="Q812" s="244"/>
    </row>
    <row r="813" spans="4:17" x14ac:dyDescent="0.2">
      <c r="D813" s="244"/>
      <c r="E813" s="244"/>
      <c r="F813" s="244"/>
      <c r="G813" s="244"/>
      <c r="H813" s="244"/>
      <c r="I813" s="244"/>
      <c r="J813" s="244"/>
      <c r="K813" s="244"/>
      <c r="L813" s="244"/>
      <c r="M813" s="244"/>
      <c r="N813" s="244"/>
      <c r="O813" s="244"/>
      <c r="P813" s="244"/>
      <c r="Q813" s="244"/>
    </row>
    <row r="814" spans="4:17" x14ac:dyDescent="0.2">
      <c r="D814" s="244"/>
      <c r="E814" s="244"/>
      <c r="F814" s="244"/>
      <c r="G814" s="244"/>
      <c r="H814" s="244"/>
      <c r="I814" s="244"/>
      <c r="J814" s="244"/>
      <c r="K814" s="244"/>
      <c r="L814" s="244"/>
      <c r="M814" s="244"/>
      <c r="N814" s="244"/>
      <c r="O814" s="244"/>
      <c r="P814" s="244"/>
      <c r="Q814" s="244"/>
    </row>
    <row r="815" spans="4:17" x14ac:dyDescent="0.2">
      <c r="D815" s="244"/>
      <c r="E815" s="244"/>
      <c r="F815" s="244"/>
      <c r="G815" s="244"/>
      <c r="H815" s="244"/>
      <c r="I815" s="244"/>
      <c r="J815" s="244"/>
      <c r="K815" s="244"/>
      <c r="L815" s="244"/>
      <c r="M815" s="244"/>
      <c r="N815" s="244"/>
      <c r="O815" s="244"/>
      <c r="P815" s="244"/>
      <c r="Q815" s="244"/>
    </row>
    <row r="816" spans="4:17" x14ac:dyDescent="0.2">
      <c r="D816" s="244"/>
      <c r="E816" s="244"/>
      <c r="F816" s="244"/>
      <c r="G816" s="244"/>
      <c r="H816" s="244"/>
      <c r="I816" s="244"/>
      <c r="J816" s="244"/>
      <c r="K816" s="244"/>
      <c r="L816" s="244"/>
      <c r="M816" s="244"/>
      <c r="N816" s="244"/>
      <c r="O816" s="244"/>
      <c r="P816" s="244"/>
      <c r="Q816" s="244"/>
    </row>
    <row r="817" spans="4:17" x14ac:dyDescent="0.2">
      <c r="D817" s="244"/>
      <c r="E817" s="244"/>
      <c r="F817" s="244"/>
      <c r="G817" s="244"/>
      <c r="H817" s="244"/>
      <c r="I817" s="244"/>
      <c r="J817" s="244"/>
      <c r="K817" s="244"/>
      <c r="L817" s="244"/>
      <c r="M817" s="244"/>
      <c r="N817" s="244"/>
      <c r="O817" s="244"/>
      <c r="P817" s="244"/>
      <c r="Q817" s="244"/>
    </row>
    <row r="818" spans="4:17" x14ac:dyDescent="0.2">
      <c r="D818" s="244"/>
      <c r="E818" s="244"/>
      <c r="F818" s="244"/>
      <c r="G818" s="244"/>
      <c r="H818" s="244"/>
      <c r="I818" s="244"/>
      <c r="J818" s="244"/>
      <c r="K818" s="244"/>
      <c r="L818" s="244"/>
      <c r="M818" s="244"/>
      <c r="N818" s="244"/>
      <c r="O818" s="244"/>
      <c r="P818" s="244"/>
      <c r="Q818" s="244"/>
    </row>
    <row r="819" spans="4:17" x14ac:dyDescent="0.2">
      <c r="D819" s="244"/>
      <c r="E819" s="244"/>
      <c r="F819" s="244"/>
      <c r="G819" s="244"/>
      <c r="H819" s="244"/>
      <c r="I819" s="244"/>
      <c r="J819" s="244"/>
      <c r="K819" s="244"/>
      <c r="L819" s="244"/>
      <c r="M819" s="244"/>
      <c r="N819" s="244"/>
      <c r="O819" s="244"/>
      <c r="P819" s="244"/>
      <c r="Q819" s="244"/>
    </row>
    <row r="820" spans="4:17" x14ac:dyDescent="0.2">
      <c r="D820" s="244"/>
      <c r="E820" s="244"/>
      <c r="F820" s="244"/>
      <c r="G820" s="244"/>
      <c r="H820" s="244"/>
      <c r="I820" s="244"/>
      <c r="J820" s="244"/>
      <c r="K820" s="244"/>
      <c r="L820" s="244"/>
      <c r="M820" s="244"/>
      <c r="N820" s="244"/>
      <c r="O820" s="244"/>
      <c r="P820" s="244"/>
      <c r="Q820" s="244"/>
    </row>
    <row r="821" spans="4:17" x14ac:dyDescent="0.2">
      <c r="D821" s="244"/>
      <c r="E821" s="244"/>
      <c r="F821" s="244"/>
      <c r="G821" s="244"/>
      <c r="H821" s="244"/>
      <c r="I821" s="244"/>
      <c r="J821" s="244"/>
      <c r="K821" s="244"/>
      <c r="L821" s="244"/>
      <c r="M821" s="244"/>
      <c r="N821" s="244"/>
      <c r="O821" s="244"/>
      <c r="P821" s="244"/>
      <c r="Q821" s="244"/>
    </row>
    <row r="822" spans="4:17" x14ac:dyDescent="0.2">
      <c r="D822" s="244"/>
      <c r="E822" s="244"/>
      <c r="F822" s="244"/>
      <c r="G822" s="244"/>
      <c r="H822" s="244"/>
      <c r="I822" s="244"/>
      <c r="J822" s="244"/>
      <c r="K822" s="244"/>
      <c r="L822" s="244"/>
      <c r="M822" s="244"/>
      <c r="N822" s="244"/>
      <c r="O822" s="244"/>
      <c r="P822" s="244"/>
      <c r="Q822" s="244"/>
    </row>
    <row r="823" spans="4:17" x14ac:dyDescent="0.2">
      <c r="D823" s="244"/>
      <c r="E823" s="244"/>
      <c r="F823" s="244"/>
      <c r="G823" s="244"/>
      <c r="H823" s="244"/>
      <c r="I823" s="244"/>
      <c r="J823" s="244"/>
      <c r="K823" s="244"/>
      <c r="L823" s="244"/>
      <c r="M823" s="244"/>
      <c r="N823" s="244"/>
      <c r="O823" s="244"/>
      <c r="P823" s="244"/>
      <c r="Q823" s="244"/>
    </row>
    <row r="824" spans="4:17" x14ac:dyDescent="0.2">
      <c r="D824" s="244"/>
      <c r="E824" s="244"/>
      <c r="F824" s="244"/>
      <c r="G824" s="244"/>
      <c r="H824" s="244"/>
      <c r="I824" s="244"/>
      <c r="J824" s="244"/>
      <c r="K824" s="244"/>
      <c r="L824" s="244"/>
      <c r="M824" s="244"/>
      <c r="N824" s="244"/>
      <c r="O824" s="244"/>
      <c r="P824" s="244"/>
      <c r="Q824" s="244"/>
    </row>
    <row r="825" spans="4:17" x14ac:dyDescent="0.2">
      <c r="D825" s="244"/>
      <c r="E825" s="244"/>
      <c r="F825" s="244"/>
      <c r="G825" s="244"/>
      <c r="H825" s="244"/>
      <c r="I825" s="244"/>
      <c r="J825" s="244"/>
      <c r="K825" s="244"/>
      <c r="L825" s="244"/>
      <c r="M825" s="244"/>
      <c r="N825" s="244"/>
      <c r="O825" s="244"/>
      <c r="P825" s="244"/>
      <c r="Q825" s="244"/>
    </row>
    <row r="826" spans="4:17" x14ac:dyDescent="0.2">
      <c r="D826" s="244"/>
      <c r="E826" s="244"/>
      <c r="F826" s="244"/>
      <c r="G826" s="244"/>
      <c r="H826" s="244"/>
      <c r="I826" s="244"/>
      <c r="J826" s="244"/>
      <c r="K826" s="244"/>
      <c r="L826" s="244"/>
      <c r="M826" s="244"/>
      <c r="N826" s="244"/>
      <c r="O826" s="244"/>
      <c r="P826" s="244"/>
      <c r="Q826" s="244"/>
    </row>
    <row r="827" spans="4:17" x14ac:dyDescent="0.2">
      <c r="D827" s="244"/>
      <c r="E827" s="244"/>
      <c r="F827" s="244"/>
      <c r="G827" s="244"/>
      <c r="H827" s="244"/>
      <c r="I827" s="244"/>
      <c r="J827" s="244"/>
      <c r="K827" s="244"/>
      <c r="L827" s="244"/>
      <c r="M827" s="244"/>
      <c r="N827" s="244"/>
      <c r="O827" s="244"/>
      <c r="P827" s="244"/>
      <c r="Q827" s="244"/>
    </row>
    <row r="828" spans="4:17" x14ac:dyDescent="0.2">
      <c r="D828" s="244"/>
      <c r="E828" s="244"/>
      <c r="F828" s="244"/>
      <c r="G828" s="244"/>
      <c r="H828" s="244"/>
      <c r="I828" s="244"/>
      <c r="J828" s="244"/>
      <c r="K828" s="244"/>
      <c r="L828" s="244"/>
      <c r="M828" s="244"/>
      <c r="N828" s="244"/>
      <c r="O828" s="244"/>
      <c r="P828" s="244"/>
      <c r="Q828" s="244"/>
    </row>
    <row r="829" spans="4:17" x14ac:dyDescent="0.2">
      <c r="D829" s="244"/>
      <c r="E829" s="244"/>
      <c r="F829" s="244"/>
      <c r="G829" s="244"/>
      <c r="H829" s="244"/>
      <c r="I829" s="244"/>
      <c r="J829" s="244"/>
      <c r="K829" s="244"/>
      <c r="L829" s="244"/>
      <c r="M829" s="244"/>
      <c r="N829" s="244"/>
      <c r="O829" s="244"/>
      <c r="P829" s="244"/>
      <c r="Q829" s="244"/>
    </row>
    <row r="830" spans="4:17" x14ac:dyDescent="0.2">
      <c r="D830" s="244"/>
      <c r="E830" s="244"/>
      <c r="F830" s="244"/>
      <c r="G830" s="244"/>
      <c r="H830" s="244"/>
      <c r="I830" s="244"/>
      <c r="J830" s="244"/>
      <c r="K830" s="244"/>
      <c r="L830" s="244"/>
      <c r="M830" s="244"/>
      <c r="N830" s="244"/>
      <c r="O830" s="244"/>
      <c r="P830" s="244"/>
      <c r="Q830" s="244"/>
    </row>
    <row r="831" spans="4:17" x14ac:dyDescent="0.2"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4"/>
      <c r="Q831" s="244"/>
    </row>
    <row r="832" spans="4:17" x14ac:dyDescent="0.2">
      <c r="D832" s="244"/>
      <c r="E832" s="244"/>
      <c r="F832" s="244"/>
      <c r="G832" s="244"/>
      <c r="H832" s="244"/>
      <c r="I832" s="244"/>
      <c r="J832" s="244"/>
      <c r="K832" s="244"/>
      <c r="L832" s="244"/>
      <c r="M832" s="244"/>
      <c r="N832" s="244"/>
      <c r="O832" s="244"/>
      <c r="P832" s="244"/>
      <c r="Q832" s="244"/>
    </row>
    <row r="833" spans="4:17" x14ac:dyDescent="0.2">
      <c r="D833" s="244"/>
      <c r="E833" s="244"/>
      <c r="F833" s="244"/>
      <c r="G833" s="244"/>
      <c r="H833" s="244"/>
      <c r="I833" s="244"/>
      <c r="J833" s="244"/>
      <c r="K833" s="244"/>
      <c r="L833" s="244"/>
      <c r="M833" s="244"/>
      <c r="N833" s="244"/>
      <c r="O833" s="244"/>
      <c r="P833" s="244"/>
      <c r="Q833" s="244"/>
    </row>
    <row r="834" spans="4:17" x14ac:dyDescent="0.2">
      <c r="D834" s="244"/>
      <c r="E834" s="244"/>
      <c r="F834" s="244"/>
      <c r="G834" s="244"/>
      <c r="H834" s="244"/>
      <c r="I834" s="244"/>
      <c r="J834" s="244"/>
      <c r="K834" s="244"/>
      <c r="L834" s="244"/>
      <c r="M834" s="244"/>
      <c r="N834" s="244"/>
      <c r="O834" s="244"/>
      <c r="P834" s="244"/>
      <c r="Q834" s="244"/>
    </row>
    <row r="835" spans="4:17" x14ac:dyDescent="0.2">
      <c r="D835" s="244"/>
      <c r="E835" s="244"/>
      <c r="F835" s="244"/>
      <c r="G835" s="244"/>
      <c r="H835" s="244"/>
      <c r="I835" s="244"/>
      <c r="J835" s="244"/>
      <c r="K835" s="244"/>
      <c r="L835" s="244"/>
      <c r="M835" s="244"/>
      <c r="N835" s="244"/>
      <c r="O835" s="244"/>
      <c r="P835" s="244"/>
      <c r="Q835" s="244"/>
    </row>
    <row r="836" spans="4:17" x14ac:dyDescent="0.2">
      <c r="D836" s="244"/>
      <c r="E836" s="244"/>
      <c r="F836" s="244"/>
      <c r="G836" s="244"/>
      <c r="H836" s="244"/>
      <c r="I836" s="244"/>
      <c r="J836" s="244"/>
      <c r="K836" s="244"/>
      <c r="L836" s="244"/>
      <c r="M836" s="244"/>
      <c r="N836" s="244"/>
      <c r="O836" s="244"/>
      <c r="P836" s="244"/>
      <c r="Q836" s="244"/>
    </row>
    <row r="837" spans="4:17" x14ac:dyDescent="0.2">
      <c r="D837" s="244"/>
      <c r="E837" s="244"/>
      <c r="F837" s="244"/>
      <c r="G837" s="244"/>
      <c r="H837" s="244"/>
      <c r="I837" s="244"/>
      <c r="J837" s="244"/>
      <c r="K837" s="244"/>
      <c r="L837" s="244"/>
      <c r="M837" s="244"/>
      <c r="N837" s="244"/>
      <c r="O837" s="244"/>
      <c r="P837" s="244"/>
      <c r="Q837" s="244"/>
    </row>
    <row r="838" spans="4:17" x14ac:dyDescent="0.2">
      <c r="D838" s="244"/>
      <c r="E838" s="244"/>
      <c r="F838" s="244"/>
      <c r="G838" s="244"/>
      <c r="H838" s="244"/>
      <c r="I838" s="244"/>
      <c r="J838" s="244"/>
      <c r="K838" s="244"/>
      <c r="L838" s="244"/>
      <c r="M838" s="244"/>
      <c r="N838" s="244"/>
      <c r="O838" s="244"/>
      <c r="P838" s="244"/>
      <c r="Q838" s="244"/>
    </row>
    <row r="839" spans="4:17" x14ac:dyDescent="0.2">
      <c r="D839" s="244"/>
      <c r="E839" s="244"/>
      <c r="F839" s="244"/>
      <c r="G839" s="244"/>
      <c r="H839" s="244"/>
      <c r="I839" s="244"/>
      <c r="J839" s="244"/>
      <c r="K839" s="244"/>
      <c r="L839" s="244"/>
      <c r="M839" s="244"/>
      <c r="N839" s="244"/>
      <c r="O839" s="244"/>
      <c r="P839" s="244"/>
      <c r="Q839" s="244"/>
    </row>
    <row r="840" spans="4:17" x14ac:dyDescent="0.2">
      <c r="D840" s="244"/>
      <c r="E840" s="244"/>
      <c r="F840" s="244"/>
      <c r="G840" s="244"/>
      <c r="H840" s="244"/>
      <c r="I840" s="244"/>
      <c r="J840" s="244"/>
      <c r="K840" s="244"/>
      <c r="L840" s="244"/>
      <c r="M840" s="244"/>
      <c r="N840" s="244"/>
      <c r="O840" s="244"/>
      <c r="P840" s="244"/>
      <c r="Q840" s="244"/>
    </row>
    <row r="841" spans="4:17" x14ac:dyDescent="0.2">
      <c r="D841" s="244"/>
      <c r="E841" s="244"/>
      <c r="F841" s="244"/>
      <c r="G841" s="244"/>
      <c r="H841" s="244"/>
      <c r="I841" s="244"/>
      <c r="J841" s="244"/>
      <c r="K841" s="244"/>
      <c r="L841" s="244"/>
      <c r="M841" s="244"/>
      <c r="N841" s="244"/>
      <c r="O841" s="244"/>
      <c r="P841" s="244"/>
      <c r="Q841" s="244"/>
    </row>
    <row r="842" spans="4:17" x14ac:dyDescent="0.2">
      <c r="D842" s="244"/>
      <c r="E842" s="244"/>
      <c r="F842" s="244"/>
      <c r="G842" s="244"/>
      <c r="H842" s="244"/>
      <c r="I842" s="244"/>
      <c r="J842" s="244"/>
      <c r="K842" s="244"/>
      <c r="L842" s="244"/>
      <c r="M842" s="244"/>
      <c r="N842" s="244"/>
      <c r="O842" s="244"/>
      <c r="P842" s="244"/>
      <c r="Q842" s="244"/>
    </row>
    <row r="843" spans="4:17" x14ac:dyDescent="0.2">
      <c r="D843" s="244"/>
      <c r="E843" s="244"/>
      <c r="F843" s="244"/>
      <c r="G843" s="244"/>
      <c r="H843" s="244"/>
      <c r="I843" s="244"/>
      <c r="J843" s="244"/>
      <c r="K843" s="244"/>
      <c r="L843" s="244"/>
      <c r="M843" s="244"/>
      <c r="N843" s="244"/>
      <c r="O843" s="244"/>
      <c r="P843" s="244"/>
      <c r="Q843" s="244"/>
    </row>
    <row r="844" spans="4:17" x14ac:dyDescent="0.2">
      <c r="D844" s="244"/>
      <c r="E844" s="244"/>
      <c r="F844" s="244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</row>
    <row r="845" spans="4:17" x14ac:dyDescent="0.2">
      <c r="D845" s="244"/>
      <c r="E845" s="244"/>
      <c r="F845" s="244"/>
      <c r="G845" s="244"/>
      <c r="H845" s="244"/>
      <c r="I845" s="244"/>
      <c r="J845" s="244"/>
      <c r="K845" s="244"/>
      <c r="L845" s="244"/>
      <c r="M845" s="244"/>
      <c r="N845" s="244"/>
      <c r="O845" s="244"/>
      <c r="P845" s="244"/>
      <c r="Q845" s="244"/>
    </row>
    <row r="846" spans="4:17" x14ac:dyDescent="0.2">
      <c r="D846" s="244"/>
      <c r="E846" s="244"/>
      <c r="F846" s="244"/>
      <c r="G846" s="244"/>
      <c r="H846" s="244"/>
      <c r="I846" s="244"/>
      <c r="J846" s="244"/>
      <c r="K846" s="244"/>
      <c r="L846" s="244"/>
      <c r="M846" s="244"/>
      <c r="N846" s="244"/>
      <c r="O846" s="244"/>
      <c r="P846" s="244"/>
      <c r="Q846" s="244"/>
    </row>
    <row r="847" spans="4:17" x14ac:dyDescent="0.2">
      <c r="D847" s="244"/>
      <c r="E847" s="244"/>
      <c r="F847" s="244"/>
      <c r="G847" s="244"/>
      <c r="H847" s="244"/>
      <c r="I847" s="244"/>
      <c r="J847" s="244"/>
      <c r="K847" s="244"/>
      <c r="L847" s="244"/>
      <c r="M847" s="244"/>
      <c r="N847" s="244"/>
      <c r="O847" s="244"/>
      <c r="P847" s="244"/>
      <c r="Q847" s="244"/>
    </row>
    <row r="848" spans="4:17" x14ac:dyDescent="0.2">
      <c r="D848" s="244"/>
      <c r="E848" s="244"/>
      <c r="F848" s="244"/>
      <c r="G848" s="244"/>
      <c r="H848" s="244"/>
      <c r="I848" s="244"/>
      <c r="J848" s="244"/>
      <c r="K848" s="244"/>
      <c r="L848" s="244"/>
      <c r="M848" s="244"/>
      <c r="N848" s="244"/>
      <c r="O848" s="244"/>
      <c r="P848" s="244"/>
      <c r="Q848" s="244"/>
    </row>
    <row r="849" spans="4:17" x14ac:dyDescent="0.2">
      <c r="D849" s="244"/>
      <c r="E849" s="244"/>
      <c r="F849" s="244"/>
      <c r="G849" s="244"/>
      <c r="H849" s="244"/>
      <c r="I849" s="244"/>
      <c r="J849" s="244"/>
      <c r="K849" s="244"/>
      <c r="L849" s="244"/>
      <c r="M849" s="244"/>
      <c r="N849" s="244"/>
      <c r="O849" s="244"/>
      <c r="P849" s="244"/>
      <c r="Q849" s="244"/>
    </row>
    <row r="850" spans="4:17" x14ac:dyDescent="0.2">
      <c r="D850" s="244"/>
      <c r="E850" s="244"/>
      <c r="F850" s="244"/>
      <c r="G850" s="244"/>
      <c r="H850" s="244"/>
      <c r="I850" s="244"/>
      <c r="J850" s="244"/>
      <c r="K850" s="244"/>
      <c r="L850" s="244"/>
      <c r="M850" s="244"/>
      <c r="N850" s="244"/>
      <c r="O850" s="244"/>
      <c r="P850" s="244"/>
      <c r="Q850" s="244"/>
    </row>
    <row r="851" spans="4:17" x14ac:dyDescent="0.2">
      <c r="D851" s="244"/>
      <c r="E851" s="244"/>
      <c r="F851" s="244"/>
      <c r="G851" s="244"/>
      <c r="H851" s="244"/>
      <c r="I851" s="244"/>
      <c r="J851" s="244"/>
      <c r="K851" s="244"/>
      <c r="L851" s="244"/>
      <c r="M851" s="244"/>
      <c r="N851" s="244"/>
      <c r="O851" s="244"/>
      <c r="P851" s="244"/>
      <c r="Q851" s="244"/>
    </row>
    <row r="852" spans="4:17" x14ac:dyDescent="0.2">
      <c r="D852" s="244"/>
      <c r="E852" s="244"/>
      <c r="F852" s="244"/>
      <c r="G852" s="244"/>
      <c r="H852" s="244"/>
      <c r="I852" s="244"/>
      <c r="J852" s="244"/>
      <c r="K852" s="244"/>
      <c r="L852" s="244"/>
      <c r="M852" s="244"/>
      <c r="N852" s="244"/>
      <c r="O852" s="244"/>
      <c r="P852" s="244"/>
      <c r="Q852" s="244"/>
    </row>
    <row r="853" spans="4:17" x14ac:dyDescent="0.2">
      <c r="D853" s="244"/>
      <c r="E853" s="244"/>
      <c r="F853" s="244"/>
      <c r="G853" s="244"/>
      <c r="H853" s="244"/>
      <c r="I853" s="244"/>
      <c r="J853" s="244"/>
      <c r="K853" s="244"/>
      <c r="L853" s="244"/>
      <c r="M853" s="244"/>
      <c r="N853" s="244"/>
      <c r="O853" s="244"/>
      <c r="P853" s="244"/>
      <c r="Q853" s="244"/>
    </row>
    <row r="854" spans="4:17" x14ac:dyDescent="0.2">
      <c r="D854" s="244"/>
      <c r="E854" s="244"/>
      <c r="F854" s="244"/>
      <c r="G854" s="244"/>
      <c r="H854" s="244"/>
      <c r="I854" s="244"/>
      <c r="J854" s="244"/>
      <c r="K854" s="244"/>
      <c r="L854" s="244"/>
      <c r="M854" s="244"/>
      <c r="N854" s="244"/>
      <c r="O854" s="244"/>
      <c r="P854" s="244"/>
      <c r="Q854" s="244"/>
    </row>
    <row r="855" spans="4:17" x14ac:dyDescent="0.2">
      <c r="D855" s="244"/>
      <c r="E855" s="244"/>
      <c r="F855" s="244"/>
      <c r="G855" s="244"/>
      <c r="H855" s="244"/>
      <c r="I855" s="244"/>
      <c r="J855" s="244"/>
      <c r="K855" s="244"/>
      <c r="L855" s="244"/>
      <c r="M855" s="244"/>
      <c r="N855" s="244"/>
      <c r="O855" s="244"/>
      <c r="P855" s="244"/>
      <c r="Q855" s="244"/>
    </row>
    <row r="856" spans="4:17" x14ac:dyDescent="0.2">
      <c r="D856" s="244"/>
      <c r="E856" s="244"/>
      <c r="F856" s="244"/>
      <c r="G856" s="244"/>
      <c r="H856" s="244"/>
      <c r="I856" s="244"/>
      <c r="J856" s="244"/>
      <c r="K856" s="244"/>
      <c r="L856" s="244"/>
      <c r="M856" s="244"/>
      <c r="N856" s="244"/>
      <c r="O856" s="244"/>
      <c r="P856" s="244"/>
      <c r="Q856" s="244"/>
    </row>
    <row r="857" spans="4:17" x14ac:dyDescent="0.2">
      <c r="D857" s="244"/>
      <c r="E857" s="244"/>
      <c r="F857" s="244"/>
      <c r="G857" s="244"/>
      <c r="H857" s="244"/>
      <c r="I857" s="244"/>
      <c r="J857" s="244"/>
      <c r="K857" s="244"/>
      <c r="L857" s="244"/>
      <c r="M857" s="244"/>
      <c r="N857" s="244"/>
      <c r="O857" s="244"/>
      <c r="P857" s="244"/>
      <c r="Q857" s="244"/>
    </row>
    <row r="858" spans="4:17" x14ac:dyDescent="0.2">
      <c r="D858" s="244"/>
      <c r="E858" s="244"/>
      <c r="F858" s="244"/>
      <c r="G858" s="244"/>
      <c r="H858" s="244"/>
      <c r="I858" s="244"/>
      <c r="J858" s="244"/>
      <c r="K858" s="244"/>
      <c r="L858" s="244"/>
      <c r="M858" s="244"/>
      <c r="N858" s="244"/>
      <c r="O858" s="244"/>
      <c r="P858" s="244"/>
      <c r="Q858" s="244"/>
    </row>
    <row r="859" spans="4:17" x14ac:dyDescent="0.2">
      <c r="D859" s="244"/>
      <c r="E859" s="244"/>
      <c r="F859" s="244"/>
      <c r="G859" s="244"/>
      <c r="H859" s="244"/>
      <c r="I859" s="244"/>
      <c r="J859" s="244"/>
      <c r="K859" s="244"/>
      <c r="L859" s="244"/>
      <c r="M859" s="244"/>
      <c r="N859" s="244"/>
      <c r="O859" s="244"/>
      <c r="P859" s="244"/>
      <c r="Q859" s="244"/>
    </row>
    <row r="860" spans="4:17" x14ac:dyDescent="0.2">
      <c r="D860" s="244"/>
      <c r="E860" s="244"/>
      <c r="F860" s="244"/>
      <c r="G860" s="244"/>
      <c r="H860" s="244"/>
      <c r="I860" s="244"/>
      <c r="J860" s="244"/>
      <c r="K860" s="244"/>
      <c r="L860" s="244"/>
      <c r="M860" s="244"/>
      <c r="N860" s="244"/>
      <c r="O860" s="244"/>
      <c r="P860" s="244"/>
      <c r="Q860" s="244"/>
    </row>
    <row r="861" spans="4:17" x14ac:dyDescent="0.2">
      <c r="D861" s="244"/>
      <c r="E861" s="244"/>
      <c r="F861" s="244"/>
      <c r="G861" s="244"/>
      <c r="H861" s="244"/>
      <c r="I861" s="244"/>
      <c r="J861" s="244"/>
      <c r="K861" s="244"/>
      <c r="L861" s="244"/>
      <c r="M861" s="244"/>
      <c r="N861" s="244"/>
      <c r="O861" s="244"/>
      <c r="P861" s="244"/>
      <c r="Q861" s="244"/>
    </row>
    <row r="862" spans="4:17" x14ac:dyDescent="0.2">
      <c r="D862" s="244"/>
      <c r="E862" s="244"/>
      <c r="F862" s="244"/>
      <c r="G862" s="244"/>
      <c r="H862" s="244"/>
      <c r="I862" s="244"/>
      <c r="J862" s="244"/>
      <c r="K862" s="244"/>
      <c r="L862" s="244"/>
      <c r="M862" s="244"/>
      <c r="N862" s="244"/>
      <c r="O862" s="244"/>
      <c r="P862" s="244"/>
      <c r="Q862" s="244"/>
    </row>
    <row r="863" spans="4:17" x14ac:dyDescent="0.2">
      <c r="D863" s="244"/>
      <c r="E863" s="244"/>
      <c r="F863" s="244"/>
      <c r="G863" s="244"/>
      <c r="H863" s="244"/>
      <c r="I863" s="244"/>
      <c r="J863" s="244"/>
      <c r="K863" s="244"/>
      <c r="L863" s="244"/>
      <c r="M863" s="244"/>
      <c r="N863" s="244"/>
      <c r="O863" s="244"/>
      <c r="P863" s="244"/>
      <c r="Q863" s="244"/>
    </row>
    <row r="864" spans="4:17" x14ac:dyDescent="0.2">
      <c r="D864" s="244"/>
      <c r="E864" s="244"/>
      <c r="F864" s="244"/>
      <c r="G864" s="244"/>
      <c r="H864" s="244"/>
      <c r="I864" s="244"/>
      <c r="J864" s="244"/>
      <c r="K864" s="244"/>
      <c r="L864" s="244"/>
      <c r="M864" s="244"/>
      <c r="N864" s="244"/>
      <c r="O864" s="244"/>
      <c r="P864" s="244"/>
      <c r="Q864" s="244"/>
    </row>
    <row r="865" spans="4:17" x14ac:dyDescent="0.2">
      <c r="D865" s="244"/>
      <c r="E865" s="244"/>
      <c r="F865" s="244"/>
      <c r="G865" s="244"/>
      <c r="H865" s="244"/>
      <c r="I865" s="244"/>
      <c r="J865" s="244"/>
      <c r="K865" s="244"/>
      <c r="L865" s="244"/>
      <c r="M865" s="244"/>
      <c r="N865" s="244"/>
      <c r="O865" s="244"/>
      <c r="P865" s="244"/>
      <c r="Q865" s="244"/>
    </row>
    <row r="866" spans="4:17" x14ac:dyDescent="0.2">
      <c r="D866" s="244"/>
      <c r="E866" s="244"/>
      <c r="F866" s="244"/>
      <c r="G866" s="244"/>
      <c r="H866" s="244"/>
      <c r="I866" s="244"/>
      <c r="J866" s="244"/>
      <c r="K866" s="244"/>
      <c r="L866" s="244"/>
      <c r="M866" s="244"/>
      <c r="N866" s="244"/>
      <c r="O866" s="244"/>
      <c r="P866" s="244"/>
      <c r="Q866" s="244"/>
    </row>
    <row r="867" spans="4:17" x14ac:dyDescent="0.2">
      <c r="D867" s="244"/>
      <c r="E867" s="244"/>
      <c r="F867" s="244"/>
      <c r="G867" s="244"/>
      <c r="H867" s="244"/>
      <c r="I867" s="244"/>
      <c r="J867" s="244"/>
      <c r="K867" s="244"/>
      <c r="L867" s="244"/>
      <c r="M867" s="244"/>
      <c r="N867" s="244"/>
      <c r="O867" s="244"/>
      <c r="P867" s="244"/>
      <c r="Q867" s="244"/>
    </row>
    <row r="868" spans="4:17" x14ac:dyDescent="0.2">
      <c r="D868" s="244"/>
      <c r="E868" s="244"/>
      <c r="F868" s="244"/>
      <c r="G868" s="244"/>
      <c r="H868" s="244"/>
      <c r="I868" s="244"/>
      <c r="J868" s="244"/>
      <c r="K868" s="244"/>
      <c r="L868" s="244"/>
      <c r="M868" s="244"/>
      <c r="N868" s="244"/>
      <c r="O868" s="244"/>
      <c r="P868" s="244"/>
      <c r="Q868" s="244"/>
    </row>
    <row r="869" spans="4:17" x14ac:dyDescent="0.2">
      <c r="D869" s="244"/>
      <c r="E869" s="244"/>
      <c r="F869" s="244"/>
      <c r="G869" s="244"/>
      <c r="H869" s="244"/>
      <c r="I869" s="244"/>
      <c r="J869" s="244"/>
      <c r="K869" s="244"/>
      <c r="L869" s="244"/>
      <c r="M869" s="244"/>
      <c r="N869" s="244"/>
      <c r="O869" s="244"/>
      <c r="P869" s="244"/>
      <c r="Q869" s="244"/>
    </row>
    <row r="870" spans="4:17" x14ac:dyDescent="0.2">
      <c r="D870" s="244"/>
      <c r="E870" s="244"/>
      <c r="F870" s="244"/>
      <c r="G870" s="244"/>
      <c r="H870" s="244"/>
      <c r="I870" s="244"/>
      <c r="J870" s="244"/>
      <c r="K870" s="244"/>
      <c r="L870" s="244"/>
      <c r="M870" s="244"/>
      <c r="N870" s="244"/>
      <c r="O870" s="244"/>
      <c r="P870" s="244"/>
      <c r="Q870" s="244"/>
    </row>
    <row r="871" spans="4:17" x14ac:dyDescent="0.2"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4"/>
      <c r="Q871" s="244"/>
    </row>
    <row r="872" spans="4:17" x14ac:dyDescent="0.2">
      <c r="D872" s="244"/>
      <c r="E872" s="244"/>
      <c r="F872" s="244"/>
      <c r="G872" s="244"/>
      <c r="H872" s="244"/>
      <c r="I872" s="244"/>
      <c r="J872" s="244"/>
      <c r="K872" s="244"/>
      <c r="L872" s="244"/>
      <c r="M872" s="244"/>
      <c r="N872" s="244"/>
      <c r="O872" s="244"/>
      <c r="P872" s="244"/>
      <c r="Q872" s="244"/>
    </row>
    <row r="873" spans="4:17" x14ac:dyDescent="0.2">
      <c r="D873" s="244"/>
      <c r="E873" s="244"/>
      <c r="F873" s="244"/>
      <c r="G873" s="244"/>
      <c r="H873" s="244"/>
      <c r="I873" s="244"/>
      <c r="J873" s="244"/>
      <c r="K873" s="244"/>
      <c r="L873" s="244"/>
      <c r="M873" s="244"/>
      <c r="N873" s="244"/>
      <c r="O873" s="244"/>
      <c r="P873" s="244"/>
      <c r="Q873" s="244"/>
    </row>
    <row r="874" spans="4:17" x14ac:dyDescent="0.2">
      <c r="D874" s="244"/>
      <c r="E874" s="244"/>
      <c r="F874" s="244"/>
      <c r="G874" s="244"/>
      <c r="H874" s="244"/>
      <c r="I874" s="244"/>
      <c r="J874" s="244"/>
      <c r="K874" s="244"/>
      <c r="L874" s="244"/>
      <c r="M874" s="244"/>
      <c r="N874" s="244"/>
      <c r="O874" s="244"/>
      <c r="P874" s="244"/>
      <c r="Q874" s="244"/>
    </row>
    <row r="875" spans="4:17" x14ac:dyDescent="0.2">
      <c r="D875" s="244"/>
      <c r="E875" s="244"/>
      <c r="F875" s="244"/>
      <c r="G875" s="244"/>
      <c r="H875" s="244"/>
      <c r="I875" s="244"/>
      <c r="J875" s="244"/>
      <c r="K875" s="244"/>
      <c r="L875" s="244"/>
      <c r="M875" s="244"/>
      <c r="N875" s="244"/>
      <c r="O875" s="244"/>
      <c r="P875" s="244"/>
      <c r="Q875" s="244"/>
    </row>
    <row r="876" spans="4:17" x14ac:dyDescent="0.2">
      <c r="D876" s="244"/>
      <c r="E876" s="244"/>
      <c r="F876" s="244"/>
      <c r="G876" s="244"/>
      <c r="H876" s="244"/>
      <c r="I876" s="244"/>
      <c r="J876" s="244"/>
      <c r="K876" s="244"/>
      <c r="L876" s="244"/>
      <c r="M876" s="244"/>
      <c r="N876" s="244"/>
      <c r="O876" s="244"/>
      <c r="P876" s="244"/>
      <c r="Q876" s="244"/>
    </row>
    <row r="877" spans="4:17" x14ac:dyDescent="0.2">
      <c r="D877" s="244"/>
      <c r="E877" s="244"/>
      <c r="F877" s="244"/>
      <c r="G877" s="244"/>
      <c r="H877" s="244"/>
      <c r="I877" s="244"/>
      <c r="J877" s="244"/>
      <c r="K877" s="244"/>
      <c r="L877" s="244"/>
      <c r="M877" s="244"/>
      <c r="N877" s="244"/>
      <c r="O877" s="244"/>
      <c r="P877" s="244"/>
      <c r="Q877" s="244"/>
    </row>
    <row r="878" spans="4:17" x14ac:dyDescent="0.2">
      <c r="D878" s="244"/>
      <c r="E878" s="244"/>
      <c r="F878" s="244"/>
      <c r="G878" s="244"/>
      <c r="H878" s="244"/>
      <c r="I878" s="244"/>
      <c r="J878" s="244"/>
      <c r="K878" s="244"/>
      <c r="L878" s="244"/>
      <c r="M878" s="244"/>
      <c r="N878" s="244"/>
      <c r="O878" s="244"/>
      <c r="P878" s="244"/>
      <c r="Q878" s="244"/>
    </row>
    <row r="879" spans="4:17" x14ac:dyDescent="0.2">
      <c r="D879" s="244"/>
      <c r="E879" s="244"/>
      <c r="F879" s="244"/>
      <c r="G879" s="244"/>
      <c r="H879" s="244"/>
      <c r="I879" s="244"/>
      <c r="J879" s="244"/>
      <c r="K879" s="244"/>
      <c r="L879" s="244"/>
      <c r="M879" s="244"/>
      <c r="N879" s="244"/>
      <c r="O879" s="244"/>
      <c r="P879" s="244"/>
      <c r="Q879" s="244"/>
    </row>
    <row r="880" spans="4:17" x14ac:dyDescent="0.2">
      <c r="D880" s="244"/>
      <c r="E880" s="244"/>
      <c r="F880" s="244"/>
      <c r="G880" s="244"/>
      <c r="H880" s="244"/>
      <c r="I880" s="244"/>
      <c r="J880" s="244"/>
      <c r="K880" s="244"/>
      <c r="L880" s="244"/>
      <c r="M880" s="244"/>
      <c r="N880" s="244"/>
      <c r="O880" s="244"/>
      <c r="P880" s="244"/>
      <c r="Q880" s="244"/>
    </row>
    <row r="881" spans="4:17" x14ac:dyDescent="0.2">
      <c r="D881" s="244"/>
      <c r="E881" s="244"/>
      <c r="F881" s="244"/>
      <c r="G881" s="244"/>
      <c r="H881" s="244"/>
      <c r="I881" s="244"/>
      <c r="J881" s="244"/>
      <c r="K881" s="244"/>
      <c r="L881" s="244"/>
      <c r="M881" s="244"/>
      <c r="N881" s="244"/>
      <c r="O881" s="244"/>
      <c r="P881" s="244"/>
      <c r="Q881" s="244"/>
    </row>
    <row r="882" spans="4:17" x14ac:dyDescent="0.2">
      <c r="D882" s="244"/>
      <c r="E882" s="244"/>
      <c r="F882" s="244"/>
      <c r="G882" s="244"/>
      <c r="H882" s="244"/>
      <c r="I882" s="244"/>
      <c r="J882" s="244"/>
      <c r="K882" s="244"/>
      <c r="L882" s="244"/>
      <c r="M882" s="244"/>
      <c r="N882" s="244"/>
      <c r="O882" s="244"/>
      <c r="P882" s="244"/>
      <c r="Q882" s="244"/>
    </row>
    <row r="883" spans="4:17" x14ac:dyDescent="0.2">
      <c r="D883" s="244"/>
      <c r="E883" s="244"/>
      <c r="F883" s="244"/>
      <c r="G883" s="244"/>
      <c r="H883" s="244"/>
      <c r="I883" s="244"/>
      <c r="J883" s="244"/>
      <c r="K883" s="244"/>
      <c r="L883" s="244"/>
      <c r="M883" s="244"/>
      <c r="N883" s="244"/>
      <c r="O883" s="244"/>
      <c r="P883" s="244"/>
      <c r="Q883" s="244"/>
    </row>
    <row r="884" spans="4:17" x14ac:dyDescent="0.2">
      <c r="D884" s="244"/>
      <c r="E884" s="244"/>
      <c r="F884" s="244"/>
      <c r="G884" s="244"/>
      <c r="H884" s="244"/>
      <c r="I884" s="244"/>
      <c r="J884" s="244"/>
      <c r="K884" s="244"/>
      <c r="L884" s="244"/>
      <c r="M884" s="244"/>
      <c r="N884" s="244"/>
      <c r="O884" s="244"/>
      <c r="P884" s="244"/>
      <c r="Q884" s="244"/>
    </row>
    <row r="885" spans="4:17" x14ac:dyDescent="0.2">
      <c r="D885" s="244"/>
      <c r="E885" s="244"/>
      <c r="F885" s="244"/>
      <c r="G885" s="244"/>
      <c r="H885" s="244"/>
      <c r="I885" s="244"/>
      <c r="J885" s="244"/>
      <c r="K885" s="244"/>
      <c r="L885" s="244"/>
      <c r="M885" s="244"/>
      <c r="N885" s="244"/>
      <c r="O885" s="244"/>
      <c r="P885" s="244"/>
      <c r="Q885" s="244"/>
    </row>
    <row r="886" spans="4:17" x14ac:dyDescent="0.2">
      <c r="D886" s="244"/>
      <c r="E886" s="244"/>
      <c r="F886" s="244"/>
      <c r="G886" s="244"/>
      <c r="H886" s="244"/>
      <c r="I886" s="244"/>
      <c r="J886" s="244"/>
      <c r="K886" s="244"/>
      <c r="L886" s="244"/>
      <c r="M886" s="244"/>
      <c r="N886" s="244"/>
      <c r="O886" s="244"/>
      <c r="P886" s="244"/>
      <c r="Q886" s="244"/>
    </row>
    <row r="887" spans="4:17" x14ac:dyDescent="0.2">
      <c r="D887" s="244"/>
      <c r="E887" s="244"/>
      <c r="F887" s="244"/>
      <c r="G887" s="244"/>
      <c r="H887" s="244"/>
      <c r="I887" s="244"/>
      <c r="J887" s="244"/>
      <c r="K887" s="244"/>
      <c r="L887" s="244"/>
      <c r="M887" s="244"/>
      <c r="N887" s="244"/>
      <c r="O887" s="244"/>
      <c r="P887" s="244"/>
      <c r="Q887" s="244"/>
    </row>
    <row r="888" spans="4:17" x14ac:dyDescent="0.2">
      <c r="D888" s="244"/>
      <c r="E888" s="244"/>
      <c r="F888" s="244"/>
      <c r="G888" s="244"/>
      <c r="H888" s="244"/>
      <c r="I888" s="244"/>
      <c r="J888" s="244"/>
      <c r="K888" s="244"/>
      <c r="L888" s="244"/>
      <c r="M888" s="244"/>
      <c r="N888" s="244"/>
      <c r="O888" s="244"/>
      <c r="P888" s="244"/>
      <c r="Q888" s="244"/>
    </row>
    <row r="889" spans="4:17" x14ac:dyDescent="0.2">
      <c r="D889" s="244"/>
      <c r="E889" s="244"/>
      <c r="F889" s="244"/>
      <c r="G889" s="244"/>
      <c r="H889" s="244"/>
      <c r="I889" s="244"/>
      <c r="J889" s="244"/>
      <c r="K889" s="244"/>
      <c r="L889" s="244"/>
      <c r="M889" s="244"/>
      <c r="N889" s="244"/>
      <c r="O889" s="244"/>
      <c r="P889" s="244"/>
      <c r="Q889" s="244"/>
    </row>
    <row r="890" spans="4:17" x14ac:dyDescent="0.2">
      <c r="D890" s="244"/>
      <c r="E890" s="244"/>
      <c r="F890" s="244"/>
      <c r="G890" s="244"/>
      <c r="H890" s="244"/>
      <c r="I890" s="244"/>
      <c r="J890" s="244"/>
      <c r="K890" s="244"/>
      <c r="L890" s="244"/>
      <c r="M890" s="244"/>
      <c r="N890" s="244"/>
      <c r="O890" s="244"/>
      <c r="P890" s="244"/>
      <c r="Q890" s="244"/>
    </row>
    <row r="891" spans="4:17" x14ac:dyDescent="0.2">
      <c r="D891" s="244"/>
      <c r="E891" s="244"/>
      <c r="F891" s="244"/>
      <c r="G891" s="244"/>
      <c r="H891" s="244"/>
      <c r="I891" s="244"/>
      <c r="J891" s="244"/>
      <c r="K891" s="244"/>
      <c r="L891" s="244"/>
      <c r="M891" s="244"/>
      <c r="N891" s="244"/>
      <c r="O891" s="244"/>
      <c r="P891" s="244"/>
      <c r="Q891" s="244"/>
    </row>
    <row r="892" spans="4:17" x14ac:dyDescent="0.2">
      <c r="D892" s="244"/>
      <c r="E892" s="244"/>
      <c r="F892" s="244"/>
      <c r="G892" s="244"/>
      <c r="H892" s="244"/>
      <c r="I892" s="244"/>
      <c r="J892" s="244"/>
      <c r="K892" s="244"/>
      <c r="L892" s="244"/>
      <c r="M892" s="244"/>
      <c r="N892" s="244"/>
      <c r="O892" s="244"/>
      <c r="P892" s="244"/>
      <c r="Q892" s="244"/>
    </row>
    <row r="893" spans="4:17" x14ac:dyDescent="0.2">
      <c r="D893" s="244"/>
      <c r="E893" s="244"/>
      <c r="F893" s="244"/>
      <c r="G893" s="244"/>
      <c r="H893" s="244"/>
      <c r="I893" s="244"/>
      <c r="J893" s="244"/>
      <c r="K893" s="244"/>
      <c r="L893" s="244"/>
      <c r="M893" s="244"/>
      <c r="N893" s="244"/>
      <c r="O893" s="244"/>
      <c r="P893" s="244"/>
      <c r="Q893" s="244"/>
    </row>
    <row r="894" spans="4:17" x14ac:dyDescent="0.2">
      <c r="D894" s="244"/>
      <c r="E894" s="244"/>
      <c r="F894" s="244"/>
      <c r="G894" s="244"/>
      <c r="H894" s="244"/>
      <c r="I894" s="244"/>
      <c r="J894" s="244"/>
      <c r="K894" s="244"/>
      <c r="L894" s="244"/>
      <c r="M894" s="244"/>
      <c r="N894" s="244"/>
      <c r="O894" s="244"/>
      <c r="P894" s="244"/>
      <c r="Q894" s="244"/>
    </row>
    <row r="895" spans="4:17" x14ac:dyDescent="0.2">
      <c r="D895" s="244"/>
      <c r="E895" s="244"/>
      <c r="F895" s="244"/>
      <c r="G895" s="244"/>
      <c r="H895" s="244"/>
      <c r="I895" s="244"/>
      <c r="J895" s="244"/>
      <c r="K895" s="244"/>
      <c r="L895" s="244"/>
      <c r="M895" s="244"/>
      <c r="N895" s="244"/>
      <c r="O895" s="244"/>
      <c r="P895" s="244"/>
      <c r="Q895" s="244"/>
    </row>
    <row r="896" spans="4:17" x14ac:dyDescent="0.2">
      <c r="D896" s="244"/>
      <c r="E896" s="244"/>
      <c r="F896" s="244"/>
      <c r="G896" s="244"/>
      <c r="H896" s="244"/>
      <c r="I896" s="244"/>
      <c r="J896" s="244"/>
      <c r="K896" s="244"/>
      <c r="L896" s="244"/>
      <c r="M896" s="244"/>
      <c r="N896" s="244"/>
      <c r="O896" s="244"/>
      <c r="P896" s="244"/>
      <c r="Q896" s="244"/>
    </row>
    <row r="897" spans="4:17" x14ac:dyDescent="0.2">
      <c r="D897" s="244"/>
      <c r="E897" s="244"/>
      <c r="F897" s="244"/>
      <c r="G897" s="244"/>
      <c r="H897" s="244"/>
      <c r="I897" s="244"/>
      <c r="J897" s="244"/>
      <c r="K897" s="244"/>
      <c r="L897" s="244"/>
      <c r="M897" s="244"/>
      <c r="N897" s="244"/>
      <c r="O897" s="244"/>
      <c r="P897" s="244"/>
      <c r="Q897" s="244"/>
    </row>
    <row r="898" spans="4:17" x14ac:dyDescent="0.2">
      <c r="D898" s="244"/>
      <c r="E898" s="244"/>
      <c r="F898" s="244"/>
      <c r="G898" s="244"/>
      <c r="H898" s="244"/>
      <c r="I898" s="244"/>
      <c r="J898" s="244"/>
      <c r="K898" s="244"/>
      <c r="L898" s="244"/>
      <c r="M898" s="244"/>
      <c r="N898" s="244"/>
      <c r="O898" s="244"/>
      <c r="P898" s="244"/>
      <c r="Q898" s="244"/>
    </row>
    <row r="899" spans="4:17" x14ac:dyDescent="0.2">
      <c r="D899" s="244"/>
      <c r="E899" s="244"/>
      <c r="F899" s="244"/>
      <c r="G899" s="244"/>
      <c r="H899" s="244"/>
      <c r="I899" s="244"/>
      <c r="J899" s="244"/>
      <c r="K899" s="244"/>
      <c r="L899" s="244"/>
      <c r="M899" s="244"/>
      <c r="N899" s="244"/>
      <c r="O899" s="244"/>
      <c r="P899" s="244"/>
      <c r="Q899" s="244"/>
    </row>
    <row r="900" spans="4:17" x14ac:dyDescent="0.2">
      <c r="D900" s="244"/>
      <c r="E900" s="244"/>
      <c r="F900" s="244"/>
      <c r="G900" s="244"/>
      <c r="H900" s="244"/>
      <c r="I900" s="244"/>
      <c r="J900" s="244"/>
      <c r="K900" s="244"/>
      <c r="L900" s="244"/>
      <c r="M900" s="244"/>
      <c r="N900" s="244"/>
      <c r="O900" s="244"/>
      <c r="P900" s="244"/>
      <c r="Q900" s="244"/>
    </row>
    <row r="901" spans="4:17" x14ac:dyDescent="0.2">
      <c r="D901" s="244"/>
      <c r="E901" s="244"/>
      <c r="F901" s="244"/>
      <c r="G901" s="244"/>
      <c r="H901" s="244"/>
      <c r="I901" s="244"/>
      <c r="J901" s="244"/>
      <c r="K901" s="244"/>
      <c r="L901" s="244"/>
      <c r="M901" s="244"/>
      <c r="N901" s="244"/>
      <c r="O901" s="244"/>
      <c r="P901" s="244"/>
      <c r="Q901" s="244"/>
    </row>
    <row r="902" spans="4:17" x14ac:dyDescent="0.2">
      <c r="D902" s="244"/>
      <c r="E902" s="244"/>
      <c r="F902" s="244"/>
      <c r="G902" s="244"/>
      <c r="H902" s="244"/>
      <c r="I902" s="244"/>
      <c r="J902" s="244"/>
      <c r="K902" s="244"/>
      <c r="L902" s="244"/>
      <c r="M902" s="244"/>
      <c r="N902" s="244"/>
      <c r="O902" s="244"/>
      <c r="P902" s="244"/>
      <c r="Q902" s="244"/>
    </row>
    <row r="903" spans="4:17" x14ac:dyDescent="0.2">
      <c r="D903" s="244"/>
      <c r="E903" s="244"/>
      <c r="F903" s="244"/>
      <c r="G903" s="244"/>
      <c r="H903" s="244"/>
      <c r="I903" s="244"/>
      <c r="J903" s="244"/>
      <c r="K903" s="244"/>
      <c r="L903" s="244"/>
      <c r="M903" s="244"/>
      <c r="N903" s="244"/>
      <c r="O903" s="244"/>
      <c r="P903" s="244"/>
      <c r="Q903" s="244"/>
    </row>
    <row r="904" spans="4:17" x14ac:dyDescent="0.2">
      <c r="D904" s="244"/>
      <c r="E904" s="244"/>
      <c r="F904" s="244"/>
      <c r="G904" s="244"/>
      <c r="H904" s="244"/>
      <c r="I904" s="244"/>
      <c r="J904" s="244"/>
      <c r="K904" s="244"/>
      <c r="L904" s="244"/>
      <c r="M904" s="244"/>
      <c r="N904" s="244"/>
      <c r="O904" s="244"/>
      <c r="P904" s="244"/>
      <c r="Q904" s="244"/>
    </row>
    <row r="905" spans="4:17" x14ac:dyDescent="0.2">
      <c r="D905" s="244"/>
      <c r="E905" s="244"/>
      <c r="F905" s="244"/>
      <c r="G905" s="244"/>
      <c r="H905" s="244"/>
      <c r="I905" s="244"/>
      <c r="J905" s="244"/>
      <c r="K905" s="244"/>
      <c r="L905" s="244"/>
      <c r="M905" s="244"/>
      <c r="N905" s="244"/>
      <c r="O905" s="244"/>
      <c r="P905" s="244"/>
      <c r="Q905" s="244"/>
    </row>
    <row r="906" spans="4:17" x14ac:dyDescent="0.2">
      <c r="D906" s="244"/>
      <c r="E906" s="244"/>
      <c r="F906" s="244"/>
      <c r="G906" s="244"/>
      <c r="H906" s="244"/>
      <c r="I906" s="244"/>
      <c r="J906" s="244"/>
      <c r="K906" s="244"/>
      <c r="L906" s="244"/>
      <c r="M906" s="244"/>
      <c r="N906" s="244"/>
      <c r="O906" s="244"/>
      <c r="P906" s="244"/>
      <c r="Q906" s="244"/>
    </row>
    <row r="907" spans="4:17" x14ac:dyDescent="0.2">
      <c r="D907" s="244"/>
      <c r="E907" s="244"/>
      <c r="F907" s="244"/>
      <c r="G907" s="244"/>
      <c r="H907" s="244"/>
      <c r="I907" s="244"/>
      <c r="J907" s="244"/>
      <c r="K907" s="244"/>
      <c r="L907" s="244"/>
      <c r="M907" s="244"/>
      <c r="N907" s="244"/>
      <c r="O907" s="244"/>
      <c r="P907" s="244"/>
      <c r="Q907" s="244"/>
    </row>
    <row r="908" spans="4:17" x14ac:dyDescent="0.2">
      <c r="D908" s="244"/>
      <c r="E908" s="244"/>
      <c r="F908" s="244"/>
      <c r="G908" s="244"/>
      <c r="H908" s="244"/>
      <c r="I908" s="244"/>
      <c r="J908" s="244"/>
      <c r="K908" s="244"/>
      <c r="L908" s="244"/>
      <c r="M908" s="244"/>
      <c r="N908" s="244"/>
      <c r="O908" s="244"/>
      <c r="P908" s="244"/>
      <c r="Q908" s="244"/>
    </row>
    <row r="909" spans="4:17" x14ac:dyDescent="0.2">
      <c r="D909" s="244"/>
      <c r="E909" s="244"/>
      <c r="F909" s="244"/>
      <c r="G909" s="244"/>
      <c r="H909" s="244"/>
      <c r="I909" s="244"/>
      <c r="J909" s="244"/>
      <c r="K909" s="244"/>
      <c r="L909" s="244"/>
      <c r="M909" s="244"/>
      <c r="N909" s="244"/>
      <c r="O909" s="244"/>
      <c r="P909" s="244"/>
      <c r="Q909" s="244"/>
    </row>
    <row r="910" spans="4:17" x14ac:dyDescent="0.2">
      <c r="D910" s="244"/>
      <c r="E910" s="244"/>
      <c r="F910" s="244"/>
      <c r="G910" s="244"/>
      <c r="H910" s="244"/>
      <c r="I910" s="244"/>
      <c r="J910" s="244"/>
      <c r="K910" s="244"/>
      <c r="L910" s="244"/>
      <c r="M910" s="244"/>
      <c r="N910" s="244"/>
      <c r="O910" s="244"/>
      <c r="P910" s="244"/>
      <c r="Q910" s="244"/>
    </row>
    <row r="911" spans="4:17" x14ac:dyDescent="0.2">
      <c r="D911" s="244"/>
      <c r="E911" s="244"/>
      <c r="F911" s="244"/>
      <c r="G911" s="244"/>
      <c r="H911" s="244"/>
      <c r="I911" s="244"/>
      <c r="J911" s="244"/>
      <c r="K911" s="244"/>
      <c r="L911" s="244"/>
      <c r="M911" s="244"/>
      <c r="N911" s="244"/>
      <c r="O911" s="244"/>
      <c r="P911" s="244"/>
      <c r="Q911" s="244"/>
    </row>
    <row r="912" spans="4:17" x14ac:dyDescent="0.2">
      <c r="D912" s="244"/>
      <c r="E912" s="244"/>
      <c r="F912" s="244"/>
      <c r="G912" s="244"/>
      <c r="H912" s="244"/>
      <c r="I912" s="244"/>
      <c r="J912" s="244"/>
      <c r="K912" s="244"/>
      <c r="L912" s="244"/>
      <c r="M912" s="244"/>
      <c r="N912" s="244"/>
      <c r="O912" s="244"/>
      <c r="P912" s="244"/>
      <c r="Q912" s="244"/>
    </row>
    <row r="913" spans="4:17" x14ac:dyDescent="0.2">
      <c r="D913" s="244"/>
      <c r="E913" s="244"/>
      <c r="F913" s="244"/>
      <c r="G913" s="244"/>
      <c r="H913" s="244"/>
      <c r="I913" s="244"/>
      <c r="J913" s="244"/>
      <c r="K913" s="244"/>
      <c r="L913" s="244"/>
      <c r="M913" s="244"/>
      <c r="N913" s="244"/>
      <c r="O913" s="244"/>
      <c r="P913" s="244"/>
      <c r="Q913" s="244"/>
    </row>
    <row r="914" spans="4:17" x14ac:dyDescent="0.2">
      <c r="D914" s="244"/>
      <c r="E914" s="244"/>
      <c r="F914" s="244"/>
      <c r="G914" s="244"/>
      <c r="H914" s="244"/>
      <c r="I914" s="244"/>
      <c r="J914" s="244"/>
      <c r="K914" s="244"/>
      <c r="L914" s="244"/>
      <c r="M914" s="244"/>
      <c r="N914" s="244"/>
      <c r="O914" s="244"/>
      <c r="P914" s="244"/>
      <c r="Q914" s="244"/>
    </row>
    <row r="915" spans="4:17" x14ac:dyDescent="0.2">
      <c r="D915" s="244"/>
      <c r="E915" s="244"/>
      <c r="F915" s="244"/>
      <c r="G915" s="244"/>
      <c r="H915" s="244"/>
      <c r="I915" s="244"/>
      <c r="J915" s="244"/>
      <c r="K915" s="244"/>
      <c r="L915" s="244"/>
      <c r="M915" s="244"/>
      <c r="N915" s="244"/>
      <c r="O915" s="244"/>
      <c r="P915" s="244"/>
      <c r="Q915" s="244"/>
    </row>
    <row r="916" spans="4:17" x14ac:dyDescent="0.2"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4"/>
      <c r="Q916" s="244"/>
    </row>
    <row r="917" spans="4:17" x14ac:dyDescent="0.2">
      <c r="D917" s="244"/>
      <c r="E917" s="244"/>
      <c r="F917" s="244"/>
      <c r="G917" s="244"/>
      <c r="H917" s="244"/>
      <c r="I917" s="244"/>
      <c r="J917" s="244"/>
      <c r="K917" s="244"/>
      <c r="L917" s="244"/>
      <c r="M917" s="244"/>
      <c r="N917" s="244"/>
      <c r="O917" s="244"/>
      <c r="P917" s="244"/>
      <c r="Q917" s="244"/>
    </row>
    <row r="918" spans="4:17" x14ac:dyDescent="0.2">
      <c r="D918" s="244"/>
      <c r="E918" s="244"/>
      <c r="F918" s="244"/>
      <c r="G918" s="244"/>
      <c r="H918" s="244"/>
      <c r="I918" s="244"/>
      <c r="J918" s="244"/>
      <c r="K918" s="244"/>
      <c r="L918" s="244"/>
      <c r="M918" s="244"/>
      <c r="N918" s="244"/>
      <c r="O918" s="244"/>
      <c r="P918" s="244"/>
      <c r="Q918" s="244"/>
    </row>
    <row r="919" spans="4:17" x14ac:dyDescent="0.2">
      <c r="D919" s="244"/>
      <c r="E919" s="244"/>
      <c r="F919" s="244"/>
      <c r="G919" s="244"/>
      <c r="H919" s="244"/>
      <c r="I919" s="244"/>
      <c r="J919" s="244"/>
      <c r="K919" s="244"/>
      <c r="L919" s="244"/>
      <c r="M919" s="244"/>
      <c r="N919" s="244"/>
      <c r="O919" s="244"/>
      <c r="P919" s="244"/>
      <c r="Q919" s="244"/>
    </row>
    <row r="920" spans="4:17" x14ac:dyDescent="0.2">
      <c r="D920" s="244"/>
      <c r="E920" s="244"/>
      <c r="F920" s="244"/>
      <c r="G920" s="244"/>
      <c r="H920" s="244"/>
      <c r="I920" s="244"/>
      <c r="J920" s="244"/>
      <c r="K920" s="244"/>
      <c r="L920" s="244"/>
      <c r="M920" s="244"/>
      <c r="N920" s="244"/>
      <c r="O920" s="244"/>
      <c r="P920" s="244"/>
      <c r="Q920" s="244"/>
    </row>
    <row r="921" spans="4:17" x14ac:dyDescent="0.2">
      <c r="D921" s="244"/>
      <c r="E921" s="244"/>
      <c r="F921" s="244"/>
      <c r="G921" s="244"/>
      <c r="H921" s="244"/>
      <c r="I921" s="244"/>
      <c r="J921" s="244"/>
      <c r="K921" s="244"/>
      <c r="L921" s="244"/>
      <c r="M921" s="244"/>
      <c r="N921" s="244"/>
      <c r="O921" s="244"/>
      <c r="P921" s="244"/>
      <c r="Q921" s="244"/>
    </row>
    <row r="922" spans="4:17" x14ac:dyDescent="0.2">
      <c r="D922" s="244"/>
      <c r="E922" s="244"/>
      <c r="F922" s="244"/>
      <c r="G922" s="244"/>
      <c r="H922" s="244"/>
      <c r="I922" s="244"/>
      <c r="J922" s="244"/>
      <c r="K922" s="244"/>
      <c r="L922" s="244"/>
      <c r="M922" s="244"/>
      <c r="N922" s="244"/>
      <c r="O922" s="244"/>
      <c r="P922" s="244"/>
      <c r="Q922" s="244"/>
    </row>
    <row r="923" spans="4:17" x14ac:dyDescent="0.2">
      <c r="D923" s="244"/>
      <c r="E923" s="244"/>
      <c r="F923" s="244"/>
      <c r="G923" s="244"/>
      <c r="H923" s="244"/>
      <c r="I923" s="244"/>
      <c r="J923" s="244"/>
      <c r="K923" s="244"/>
      <c r="L923" s="244"/>
      <c r="M923" s="244"/>
      <c r="N923" s="244"/>
      <c r="O923" s="244"/>
      <c r="P923" s="244"/>
      <c r="Q923" s="244"/>
    </row>
    <row r="924" spans="4:17" x14ac:dyDescent="0.2">
      <c r="D924" s="244"/>
      <c r="E924" s="244"/>
      <c r="F924" s="244"/>
      <c r="G924" s="244"/>
      <c r="H924" s="244"/>
      <c r="I924" s="244"/>
      <c r="J924" s="244"/>
      <c r="K924" s="244"/>
      <c r="L924" s="244"/>
      <c r="M924" s="244"/>
      <c r="N924" s="244"/>
      <c r="O924" s="244"/>
      <c r="P924" s="244"/>
      <c r="Q924" s="244"/>
    </row>
    <row r="925" spans="4:17" x14ac:dyDescent="0.2">
      <c r="D925" s="244"/>
      <c r="E925" s="244"/>
      <c r="F925" s="244"/>
      <c r="G925" s="244"/>
      <c r="H925" s="244"/>
      <c r="I925" s="244"/>
      <c r="J925" s="244"/>
      <c r="K925" s="244"/>
      <c r="L925" s="244"/>
      <c r="M925" s="244"/>
      <c r="N925" s="244"/>
      <c r="O925" s="244"/>
      <c r="P925" s="244"/>
      <c r="Q925" s="244"/>
    </row>
    <row r="926" spans="4:17" x14ac:dyDescent="0.2">
      <c r="D926" s="244"/>
      <c r="E926" s="244"/>
      <c r="F926" s="244"/>
      <c r="G926" s="244"/>
      <c r="H926" s="244"/>
      <c r="I926" s="244"/>
      <c r="J926" s="244"/>
      <c r="K926" s="244"/>
      <c r="L926" s="244"/>
      <c r="M926" s="244"/>
      <c r="N926" s="244"/>
      <c r="O926" s="244"/>
      <c r="P926" s="244"/>
      <c r="Q926" s="244"/>
    </row>
    <row r="927" spans="4:17" x14ac:dyDescent="0.2">
      <c r="D927" s="244"/>
      <c r="E927" s="244"/>
      <c r="F927" s="244"/>
      <c r="G927" s="244"/>
      <c r="H927" s="244"/>
      <c r="I927" s="244"/>
      <c r="J927" s="244"/>
      <c r="K927" s="244"/>
      <c r="L927" s="244"/>
      <c r="M927" s="244"/>
      <c r="N927" s="244"/>
      <c r="O927" s="244"/>
      <c r="P927" s="244"/>
      <c r="Q927" s="244"/>
    </row>
    <row r="928" spans="4:17" x14ac:dyDescent="0.2">
      <c r="D928" s="244"/>
      <c r="E928" s="244"/>
      <c r="F928" s="244"/>
      <c r="G928" s="244"/>
      <c r="H928" s="244"/>
      <c r="I928" s="244"/>
      <c r="J928" s="244"/>
      <c r="K928" s="244"/>
      <c r="L928" s="244"/>
      <c r="M928" s="244"/>
      <c r="N928" s="244"/>
      <c r="O928" s="244"/>
      <c r="P928" s="244"/>
      <c r="Q928" s="244"/>
    </row>
    <row r="929" spans="4:17" x14ac:dyDescent="0.2">
      <c r="D929" s="244"/>
      <c r="E929" s="244"/>
      <c r="F929" s="244"/>
      <c r="G929" s="244"/>
      <c r="H929" s="244"/>
      <c r="I929" s="244"/>
      <c r="J929" s="244"/>
      <c r="K929" s="244"/>
      <c r="L929" s="244"/>
      <c r="M929" s="244"/>
      <c r="N929" s="244"/>
      <c r="O929" s="244"/>
      <c r="P929" s="244"/>
      <c r="Q929" s="244"/>
    </row>
    <row r="930" spans="4:17" x14ac:dyDescent="0.2">
      <c r="D930" s="244"/>
      <c r="E930" s="244"/>
      <c r="F930" s="244"/>
      <c r="G930" s="244"/>
      <c r="H930" s="244"/>
      <c r="I930" s="244"/>
      <c r="J930" s="244"/>
      <c r="K930" s="244"/>
      <c r="L930" s="244"/>
      <c r="M930" s="244"/>
      <c r="N930" s="244"/>
      <c r="O930" s="244"/>
      <c r="P930" s="244"/>
      <c r="Q930" s="244"/>
    </row>
    <row r="931" spans="4:17" x14ac:dyDescent="0.2">
      <c r="D931" s="244"/>
      <c r="E931" s="244"/>
      <c r="F931" s="244"/>
      <c r="G931" s="244"/>
      <c r="H931" s="244"/>
      <c r="I931" s="244"/>
      <c r="J931" s="244"/>
      <c r="K931" s="244"/>
      <c r="L931" s="244"/>
      <c r="M931" s="244"/>
      <c r="N931" s="244"/>
      <c r="O931" s="244"/>
      <c r="P931" s="244"/>
      <c r="Q931" s="244"/>
    </row>
    <row r="932" spans="4:17" x14ac:dyDescent="0.2">
      <c r="D932" s="244"/>
      <c r="E932" s="244"/>
      <c r="F932" s="244"/>
      <c r="G932" s="244"/>
      <c r="H932" s="244"/>
      <c r="I932" s="244"/>
      <c r="J932" s="244"/>
      <c r="K932" s="244"/>
      <c r="L932" s="244"/>
      <c r="M932" s="244"/>
      <c r="N932" s="244"/>
      <c r="O932" s="244"/>
      <c r="P932" s="244"/>
      <c r="Q932" s="244"/>
    </row>
    <row r="933" spans="4:17" x14ac:dyDescent="0.2">
      <c r="D933" s="244"/>
      <c r="E933" s="244"/>
      <c r="F933" s="244"/>
      <c r="G933" s="244"/>
      <c r="H933" s="244"/>
      <c r="I933" s="244"/>
      <c r="J933" s="244"/>
      <c r="K933" s="244"/>
      <c r="L933" s="244"/>
      <c r="M933" s="244"/>
      <c r="N933" s="244"/>
      <c r="O933" s="244"/>
      <c r="P933" s="244"/>
      <c r="Q933" s="244"/>
    </row>
    <row r="934" spans="4:17" x14ac:dyDescent="0.2">
      <c r="D934" s="244"/>
      <c r="E934" s="244"/>
      <c r="F934" s="244"/>
      <c r="G934" s="244"/>
      <c r="H934" s="244"/>
      <c r="I934" s="244"/>
      <c r="J934" s="244"/>
      <c r="K934" s="244"/>
      <c r="L934" s="244"/>
      <c r="M934" s="244"/>
      <c r="N934" s="244"/>
      <c r="O934" s="244"/>
      <c r="P934" s="244"/>
      <c r="Q934" s="244"/>
    </row>
    <row r="935" spans="4:17" x14ac:dyDescent="0.2">
      <c r="D935" s="244"/>
      <c r="E935" s="244"/>
      <c r="F935" s="244"/>
      <c r="G935" s="244"/>
      <c r="H935" s="244"/>
      <c r="I935" s="244"/>
      <c r="J935" s="244"/>
      <c r="K935" s="244"/>
      <c r="L935" s="244"/>
      <c r="M935" s="244"/>
      <c r="N935" s="244"/>
      <c r="O935" s="244"/>
      <c r="P935" s="244"/>
      <c r="Q935" s="244"/>
    </row>
    <row r="936" spans="4:17" x14ac:dyDescent="0.2">
      <c r="D936" s="244"/>
      <c r="E936" s="244"/>
      <c r="F936" s="244"/>
      <c r="G936" s="244"/>
      <c r="H936" s="244"/>
      <c r="I936" s="244"/>
      <c r="J936" s="244"/>
      <c r="K936" s="244"/>
      <c r="L936" s="244"/>
      <c r="M936" s="244"/>
      <c r="N936" s="244"/>
      <c r="O936" s="244"/>
      <c r="P936" s="244"/>
      <c r="Q936" s="244"/>
    </row>
    <row r="937" spans="4:17" x14ac:dyDescent="0.2">
      <c r="D937" s="244"/>
      <c r="E937" s="244"/>
      <c r="F937" s="244"/>
      <c r="G937" s="244"/>
      <c r="H937" s="244"/>
      <c r="I937" s="244"/>
      <c r="J937" s="244"/>
      <c r="K937" s="244"/>
      <c r="L937" s="244"/>
      <c r="M937" s="244"/>
      <c r="N937" s="244"/>
      <c r="O937" s="244"/>
      <c r="P937" s="244"/>
      <c r="Q937" s="244"/>
    </row>
    <row r="938" spans="4:17" x14ac:dyDescent="0.2">
      <c r="D938" s="244"/>
      <c r="E938" s="244"/>
      <c r="F938" s="244"/>
      <c r="G938" s="244"/>
      <c r="H938" s="244"/>
      <c r="I938" s="244"/>
      <c r="J938" s="244"/>
      <c r="K938" s="244"/>
      <c r="L938" s="244"/>
      <c r="M938" s="244"/>
      <c r="N938" s="244"/>
      <c r="O938" s="244"/>
      <c r="P938" s="244"/>
      <c r="Q938" s="244"/>
    </row>
    <row r="939" spans="4:17" x14ac:dyDescent="0.2">
      <c r="D939" s="244"/>
      <c r="E939" s="244"/>
      <c r="F939" s="244"/>
      <c r="G939" s="244"/>
      <c r="H939" s="244"/>
      <c r="I939" s="244"/>
      <c r="J939" s="244"/>
      <c r="K939" s="244"/>
      <c r="L939" s="244"/>
      <c r="M939" s="244"/>
      <c r="N939" s="244"/>
      <c r="O939" s="244"/>
      <c r="P939" s="244"/>
      <c r="Q939" s="244"/>
    </row>
    <row r="940" spans="4:17" x14ac:dyDescent="0.2">
      <c r="D940" s="244"/>
      <c r="E940" s="244"/>
      <c r="F940" s="244"/>
      <c r="G940" s="244"/>
      <c r="H940" s="244"/>
      <c r="I940" s="244"/>
      <c r="J940" s="244"/>
      <c r="K940" s="244"/>
      <c r="L940" s="244"/>
      <c r="M940" s="244"/>
      <c r="N940" s="244"/>
      <c r="O940" s="244"/>
      <c r="P940" s="244"/>
      <c r="Q940" s="244"/>
    </row>
    <row r="941" spans="4:17" x14ac:dyDescent="0.2">
      <c r="D941" s="244"/>
      <c r="E941" s="244"/>
      <c r="F941" s="244"/>
      <c r="G941" s="244"/>
      <c r="H941" s="244"/>
      <c r="I941" s="244"/>
      <c r="J941" s="244"/>
      <c r="K941" s="244"/>
      <c r="L941" s="244"/>
      <c r="M941" s="244"/>
      <c r="N941" s="244"/>
      <c r="O941" s="244"/>
      <c r="P941" s="244"/>
      <c r="Q941" s="244"/>
    </row>
    <row r="942" spans="4:17" x14ac:dyDescent="0.2">
      <c r="D942" s="244"/>
      <c r="E942" s="244"/>
      <c r="F942" s="244"/>
      <c r="G942" s="244"/>
      <c r="H942" s="244"/>
      <c r="I942" s="244"/>
      <c r="J942" s="244"/>
      <c r="K942" s="244"/>
      <c r="L942" s="244"/>
      <c r="M942" s="244"/>
      <c r="N942" s="244"/>
      <c r="O942" s="244"/>
      <c r="P942" s="244"/>
      <c r="Q942" s="244"/>
    </row>
    <row r="943" spans="4:17" x14ac:dyDescent="0.2">
      <c r="D943" s="244"/>
      <c r="E943" s="244"/>
      <c r="F943" s="244"/>
      <c r="G943" s="244"/>
      <c r="H943" s="244"/>
      <c r="I943" s="244"/>
      <c r="J943" s="244"/>
      <c r="K943" s="244"/>
      <c r="L943" s="244"/>
      <c r="M943" s="244"/>
      <c r="N943" s="244"/>
      <c r="O943" s="244"/>
      <c r="P943" s="244"/>
      <c r="Q943" s="244"/>
    </row>
    <row r="944" spans="4:17" x14ac:dyDescent="0.2">
      <c r="D944" s="244"/>
      <c r="E944" s="244"/>
      <c r="F944" s="244"/>
      <c r="G944" s="244"/>
      <c r="H944" s="244"/>
      <c r="I944" s="244"/>
      <c r="J944" s="244"/>
      <c r="K944" s="244"/>
      <c r="L944" s="244"/>
      <c r="M944" s="244"/>
      <c r="N944" s="244"/>
      <c r="O944" s="244"/>
      <c r="P944" s="244"/>
      <c r="Q944" s="244"/>
    </row>
    <row r="945" spans="4:17" x14ac:dyDescent="0.2">
      <c r="D945" s="244"/>
      <c r="E945" s="244"/>
      <c r="F945" s="244"/>
      <c r="G945" s="244"/>
      <c r="H945" s="244"/>
      <c r="I945" s="244"/>
      <c r="J945" s="244"/>
      <c r="K945" s="244"/>
      <c r="L945" s="244"/>
      <c r="M945" s="244"/>
      <c r="N945" s="244"/>
      <c r="O945" s="244"/>
      <c r="P945" s="244"/>
      <c r="Q945" s="244"/>
    </row>
    <row r="946" spans="4:17" x14ac:dyDescent="0.2">
      <c r="D946" s="244"/>
      <c r="E946" s="244"/>
      <c r="F946" s="244"/>
      <c r="G946" s="244"/>
      <c r="H946" s="244"/>
      <c r="I946" s="244"/>
      <c r="J946" s="244"/>
      <c r="K946" s="244"/>
      <c r="L946" s="244"/>
      <c r="M946" s="244"/>
      <c r="N946" s="244"/>
      <c r="O946" s="244"/>
      <c r="P946" s="244"/>
      <c r="Q946" s="244"/>
    </row>
    <row r="947" spans="4:17" x14ac:dyDescent="0.2">
      <c r="D947" s="244"/>
      <c r="E947" s="244"/>
      <c r="F947" s="244"/>
      <c r="G947" s="244"/>
      <c r="H947" s="244"/>
      <c r="I947" s="244"/>
      <c r="J947" s="244"/>
      <c r="K947" s="244"/>
      <c r="L947" s="244"/>
      <c r="M947" s="244"/>
      <c r="N947" s="244"/>
      <c r="O947" s="244"/>
      <c r="P947" s="244"/>
      <c r="Q947" s="244"/>
    </row>
    <row r="948" spans="4:17" x14ac:dyDescent="0.2">
      <c r="D948" s="244"/>
      <c r="E948" s="244"/>
      <c r="F948" s="244"/>
      <c r="G948" s="244"/>
      <c r="H948" s="244"/>
      <c r="I948" s="244"/>
      <c r="J948" s="244"/>
      <c r="K948" s="244"/>
      <c r="L948" s="244"/>
      <c r="M948" s="244"/>
      <c r="N948" s="244"/>
      <c r="O948" s="244"/>
      <c r="P948" s="244"/>
      <c r="Q948" s="244"/>
    </row>
    <row r="949" spans="4:17" x14ac:dyDescent="0.2">
      <c r="D949" s="244"/>
      <c r="E949" s="244"/>
      <c r="F949" s="244"/>
      <c r="G949" s="244"/>
      <c r="H949" s="244"/>
      <c r="I949" s="244"/>
      <c r="J949" s="244"/>
      <c r="K949" s="244"/>
      <c r="L949" s="244"/>
      <c r="M949" s="244"/>
      <c r="N949" s="244"/>
      <c r="O949" s="244"/>
      <c r="P949" s="244"/>
      <c r="Q949" s="244"/>
    </row>
    <row r="950" spans="4:17" x14ac:dyDescent="0.2">
      <c r="D950" s="244"/>
      <c r="E950" s="244"/>
      <c r="F950" s="244"/>
      <c r="G950" s="244"/>
      <c r="H950" s="244"/>
      <c r="I950" s="244"/>
      <c r="J950" s="244"/>
      <c r="K950" s="244"/>
      <c r="L950" s="244"/>
      <c r="M950" s="244"/>
      <c r="N950" s="244"/>
      <c r="O950" s="244"/>
      <c r="P950" s="244"/>
      <c r="Q950" s="244"/>
    </row>
    <row r="951" spans="4:17" x14ac:dyDescent="0.2">
      <c r="D951" s="244"/>
      <c r="E951" s="244"/>
      <c r="F951" s="244"/>
      <c r="G951" s="244"/>
      <c r="H951" s="244"/>
      <c r="I951" s="244"/>
      <c r="J951" s="244"/>
      <c r="K951" s="244"/>
      <c r="L951" s="244"/>
      <c r="M951" s="244"/>
      <c r="N951" s="244"/>
      <c r="O951" s="244"/>
      <c r="P951" s="244"/>
      <c r="Q951" s="244"/>
    </row>
    <row r="952" spans="4:17" x14ac:dyDescent="0.2">
      <c r="D952" s="244"/>
      <c r="E952" s="244"/>
      <c r="F952" s="244"/>
      <c r="G952" s="244"/>
      <c r="H952" s="244"/>
      <c r="I952" s="244"/>
      <c r="J952" s="244"/>
      <c r="K952" s="244"/>
      <c r="L952" s="244"/>
      <c r="M952" s="244"/>
      <c r="N952" s="244"/>
      <c r="O952" s="244"/>
      <c r="P952" s="244"/>
      <c r="Q952" s="244"/>
    </row>
    <row r="953" spans="4:17" x14ac:dyDescent="0.2">
      <c r="D953" s="244"/>
      <c r="E953" s="244"/>
      <c r="F953" s="244"/>
      <c r="G953" s="244"/>
      <c r="H953" s="244"/>
      <c r="I953" s="244"/>
      <c r="J953" s="244"/>
      <c r="K953" s="244"/>
      <c r="L953" s="244"/>
      <c r="M953" s="244"/>
      <c r="N953" s="244"/>
      <c r="O953" s="244"/>
      <c r="P953" s="244"/>
      <c r="Q953" s="244"/>
    </row>
    <row r="954" spans="4:17" x14ac:dyDescent="0.2">
      <c r="D954" s="244"/>
      <c r="E954" s="244"/>
      <c r="F954" s="244"/>
      <c r="G954" s="244"/>
      <c r="H954" s="244"/>
      <c r="I954" s="244"/>
      <c r="J954" s="244"/>
      <c r="K954" s="244"/>
      <c r="L954" s="244"/>
      <c r="M954" s="244"/>
      <c r="N954" s="244"/>
      <c r="O954" s="244"/>
      <c r="P954" s="244"/>
      <c r="Q954" s="244"/>
    </row>
    <row r="955" spans="4:17" x14ac:dyDescent="0.2">
      <c r="D955" s="244"/>
      <c r="E955" s="244"/>
      <c r="F955" s="244"/>
      <c r="G955" s="244"/>
      <c r="H955" s="244"/>
      <c r="I955" s="244"/>
      <c r="J955" s="244"/>
      <c r="K955" s="244"/>
      <c r="L955" s="244"/>
      <c r="M955" s="244"/>
      <c r="N955" s="244"/>
      <c r="O955" s="244"/>
      <c r="P955" s="244"/>
      <c r="Q955" s="244"/>
    </row>
    <row r="956" spans="4:17" x14ac:dyDescent="0.2"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4"/>
      <c r="Q956" s="244"/>
    </row>
    <row r="957" spans="4:17" x14ac:dyDescent="0.2">
      <c r="D957" s="244"/>
      <c r="E957" s="244"/>
      <c r="F957" s="244"/>
      <c r="G957" s="244"/>
      <c r="H957" s="244"/>
      <c r="I957" s="244"/>
      <c r="J957" s="244"/>
      <c r="K957" s="244"/>
      <c r="L957" s="244"/>
      <c r="M957" s="244"/>
      <c r="N957" s="244"/>
      <c r="O957" s="244"/>
      <c r="P957" s="244"/>
      <c r="Q957" s="244"/>
    </row>
    <row r="958" spans="4:17" x14ac:dyDescent="0.2">
      <c r="D958" s="244"/>
      <c r="E958" s="244"/>
      <c r="F958" s="244"/>
      <c r="G958" s="244"/>
      <c r="H958" s="244"/>
      <c r="I958" s="244"/>
      <c r="J958" s="244"/>
      <c r="K958" s="244"/>
      <c r="L958" s="244"/>
      <c r="M958" s="244"/>
      <c r="N958" s="244"/>
      <c r="O958" s="244"/>
      <c r="P958" s="244"/>
      <c r="Q958" s="244"/>
    </row>
    <row r="959" spans="4:17" x14ac:dyDescent="0.2">
      <c r="D959" s="244"/>
      <c r="E959" s="244"/>
      <c r="F959" s="244"/>
      <c r="G959" s="244"/>
      <c r="H959" s="244"/>
      <c r="I959" s="244"/>
      <c r="J959" s="244"/>
      <c r="K959" s="244"/>
      <c r="L959" s="244"/>
      <c r="M959" s="244"/>
      <c r="N959" s="244"/>
      <c r="O959" s="244"/>
      <c r="P959" s="244"/>
      <c r="Q959" s="244"/>
    </row>
    <row r="960" spans="4:17" x14ac:dyDescent="0.2">
      <c r="D960" s="244"/>
      <c r="E960" s="244"/>
      <c r="F960" s="244"/>
      <c r="G960" s="244"/>
      <c r="H960" s="244"/>
      <c r="I960" s="244"/>
      <c r="J960" s="244"/>
      <c r="K960" s="244"/>
      <c r="L960" s="244"/>
      <c r="M960" s="244"/>
      <c r="N960" s="244"/>
      <c r="O960" s="244"/>
      <c r="P960" s="244"/>
      <c r="Q960" s="244"/>
    </row>
    <row r="961" spans="4:17" x14ac:dyDescent="0.2">
      <c r="D961" s="244"/>
      <c r="E961" s="244"/>
      <c r="F961" s="244"/>
      <c r="G961" s="244"/>
      <c r="H961" s="244"/>
      <c r="I961" s="244"/>
      <c r="J961" s="244"/>
      <c r="K961" s="244"/>
      <c r="L961" s="244"/>
      <c r="M961" s="244"/>
      <c r="N961" s="244"/>
      <c r="O961" s="244"/>
      <c r="P961" s="244"/>
      <c r="Q961" s="244"/>
    </row>
    <row r="962" spans="4:17" x14ac:dyDescent="0.2">
      <c r="D962" s="244"/>
      <c r="E962" s="244"/>
      <c r="F962" s="244"/>
      <c r="G962" s="244"/>
      <c r="H962" s="244"/>
      <c r="I962" s="244"/>
      <c r="J962" s="244"/>
      <c r="K962" s="244"/>
      <c r="L962" s="244"/>
      <c r="M962" s="244"/>
      <c r="N962" s="244"/>
      <c r="O962" s="244"/>
      <c r="P962" s="244"/>
      <c r="Q962" s="244"/>
    </row>
    <row r="963" spans="4:17" x14ac:dyDescent="0.2">
      <c r="D963" s="244"/>
      <c r="E963" s="244"/>
      <c r="F963" s="244"/>
      <c r="G963" s="244"/>
      <c r="H963" s="244"/>
      <c r="I963" s="244"/>
      <c r="J963" s="244"/>
      <c r="K963" s="244"/>
      <c r="L963" s="244"/>
      <c r="M963" s="244"/>
      <c r="N963" s="244"/>
      <c r="O963" s="244"/>
      <c r="P963" s="244"/>
      <c r="Q963" s="244"/>
    </row>
    <row r="964" spans="4:17" x14ac:dyDescent="0.2">
      <c r="D964" s="244"/>
      <c r="E964" s="244"/>
      <c r="F964" s="244"/>
      <c r="G964" s="244"/>
      <c r="H964" s="244"/>
      <c r="I964" s="244"/>
      <c r="J964" s="244"/>
      <c r="K964" s="244"/>
      <c r="L964" s="244"/>
      <c r="M964" s="244"/>
      <c r="N964" s="244"/>
      <c r="O964" s="244"/>
      <c r="P964" s="244"/>
      <c r="Q964" s="244"/>
    </row>
    <row r="965" spans="4:17" x14ac:dyDescent="0.2">
      <c r="D965" s="244"/>
      <c r="E965" s="244"/>
      <c r="F965" s="244"/>
      <c r="G965" s="244"/>
      <c r="H965" s="244"/>
      <c r="I965" s="244"/>
      <c r="J965" s="244"/>
      <c r="K965" s="244"/>
      <c r="L965" s="244"/>
      <c r="M965" s="244"/>
      <c r="N965" s="244"/>
      <c r="O965" s="244"/>
      <c r="P965" s="244"/>
      <c r="Q965" s="244"/>
    </row>
    <row r="966" spans="4:17" x14ac:dyDescent="0.2">
      <c r="D966" s="244"/>
      <c r="E966" s="244"/>
      <c r="F966" s="244"/>
      <c r="G966" s="244"/>
      <c r="H966" s="244"/>
      <c r="I966" s="244"/>
      <c r="J966" s="244"/>
      <c r="K966" s="244"/>
      <c r="L966" s="244"/>
      <c r="M966" s="244"/>
      <c r="N966" s="244"/>
      <c r="O966" s="244"/>
      <c r="P966" s="244"/>
      <c r="Q966" s="244"/>
    </row>
    <row r="967" spans="4:17" x14ac:dyDescent="0.2">
      <c r="D967" s="244"/>
      <c r="E967" s="244"/>
      <c r="F967" s="244"/>
      <c r="G967" s="244"/>
      <c r="H967" s="244"/>
      <c r="I967" s="244"/>
      <c r="J967" s="244"/>
      <c r="K967" s="244"/>
      <c r="L967" s="244"/>
      <c r="M967" s="244"/>
      <c r="N967" s="244"/>
      <c r="O967" s="244"/>
      <c r="P967" s="244"/>
      <c r="Q967" s="244"/>
    </row>
    <row r="968" spans="4:17" x14ac:dyDescent="0.2">
      <c r="D968" s="244"/>
      <c r="E968" s="244"/>
      <c r="F968" s="244"/>
      <c r="G968" s="244"/>
      <c r="H968" s="244"/>
      <c r="I968" s="244"/>
      <c r="J968" s="244"/>
      <c r="K968" s="244"/>
      <c r="L968" s="244"/>
      <c r="M968" s="244"/>
      <c r="N968" s="244"/>
      <c r="O968" s="244"/>
      <c r="P968" s="244"/>
      <c r="Q968" s="244"/>
    </row>
    <row r="969" spans="4:17" x14ac:dyDescent="0.2">
      <c r="D969" s="244"/>
      <c r="E969" s="244"/>
      <c r="F969" s="244"/>
      <c r="G969" s="244"/>
      <c r="H969" s="244"/>
      <c r="I969" s="244"/>
      <c r="J969" s="244"/>
      <c r="K969" s="244"/>
      <c r="L969" s="244"/>
      <c r="M969" s="244"/>
      <c r="N969" s="244"/>
      <c r="O969" s="244"/>
      <c r="P969" s="244"/>
      <c r="Q969" s="244"/>
    </row>
    <row r="970" spans="4:17" x14ac:dyDescent="0.2">
      <c r="D970" s="244"/>
      <c r="E970" s="244"/>
      <c r="F970" s="244"/>
      <c r="G970" s="244"/>
      <c r="H970" s="244"/>
      <c r="I970" s="244"/>
      <c r="J970" s="244"/>
      <c r="K970" s="244"/>
      <c r="L970" s="244"/>
      <c r="M970" s="244"/>
      <c r="N970" s="244"/>
      <c r="O970" s="244"/>
      <c r="P970" s="244"/>
      <c r="Q970" s="244"/>
    </row>
    <row r="971" spans="4:17" x14ac:dyDescent="0.2">
      <c r="D971" s="244"/>
      <c r="E971" s="244"/>
      <c r="F971" s="244"/>
      <c r="G971" s="244"/>
      <c r="H971" s="244"/>
      <c r="I971" s="244"/>
      <c r="J971" s="244"/>
      <c r="K971" s="244"/>
      <c r="L971" s="244"/>
      <c r="M971" s="244"/>
      <c r="N971" s="244"/>
      <c r="O971" s="244"/>
      <c r="P971" s="244"/>
      <c r="Q971" s="244"/>
    </row>
    <row r="972" spans="4:17" x14ac:dyDescent="0.2">
      <c r="D972" s="244"/>
      <c r="E972" s="244"/>
      <c r="F972" s="244"/>
      <c r="G972" s="244"/>
      <c r="H972" s="244"/>
      <c r="I972" s="244"/>
      <c r="J972" s="244"/>
      <c r="K972" s="244"/>
      <c r="L972" s="244"/>
      <c r="M972" s="244"/>
      <c r="N972" s="244"/>
      <c r="O972" s="244"/>
      <c r="P972" s="244"/>
      <c r="Q972" s="244"/>
    </row>
    <row r="973" spans="4:17" x14ac:dyDescent="0.2">
      <c r="D973" s="244"/>
      <c r="E973" s="244"/>
      <c r="F973" s="244"/>
      <c r="G973" s="244"/>
      <c r="H973" s="244"/>
      <c r="I973" s="244"/>
      <c r="J973" s="244"/>
      <c r="K973" s="244"/>
      <c r="L973" s="244"/>
      <c r="M973" s="244"/>
      <c r="N973" s="244"/>
      <c r="O973" s="244"/>
      <c r="P973" s="244"/>
      <c r="Q973" s="244"/>
    </row>
    <row r="974" spans="4:17" x14ac:dyDescent="0.2">
      <c r="D974" s="244"/>
      <c r="E974" s="244"/>
      <c r="F974" s="244"/>
      <c r="G974" s="244"/>
      <c r="H974" s="244"/>
      <c r="I974" s="244"/>
      <c r="J974" s="244"/>
      <c r="K974" s="244"/>
      <c r="L974" s="244"/>
      <c r="M974" s="244"/>
      <c r="N974" s="244"/>
      <c r="O974" s="244"/>
      <c r="P974" s="244"/>
      <c r="Q974" s="244"/>
    </row>
    <row r="975" spans="4:17" x14ac:dyDescent="0.2">
      <c r="D975" s="244"/>
      <c r="E975" s="244"/>
      <c r="F975" s="244"/>
      <c r="G975" s="244"/>
      <c r="H975" s="244"/>
      <c r="I975" s="244"/>
      <c r="J975" s="244"/>
      <c r="K975" s="244"/>
      <c r="L975" s="244"/>
      <c r="M975" s="244"/>
      <c r="N975" s="244"/>
      <c r="O975" s="244"/>
      <c r="P975" s="244"/>
      <c r="Q975" s="244"/>
    </row>
    <row r="976" spans="4:17" x14ac:dyDescent="0.2">
      <c r="D976" s="244"/>
      <c r="E976" s="244"/>
      <c r="F976" s="244"/>
      <c r="G976" s="244"/>
      <c r="H976" s="244"/>
      <c r="I976" s="244"/>
      <c r="J976" s="244"/>
      <c r="K976" s="244"/>
      <c r="L976" s="244"/>
      <c r="M976" s="244"/>
      <c r="N976" s="244"/>
      <c r="O976" s="244"/>
      <c r="P976" s="244"/>
      <c r="Q976" s="244"/>
    </row>
    <row r="977" spans="4:17" x14ac:dyDescent="0.2">
      <c r="D977" s="244"/>
      <c r="E977" s="244"/>
      <c r="F977" s="244"/>
      <c r="G977" s="244"/>
      <c r="H977" s="244"/>
      <c r="I977" s="244"/>
      <c r="J977" s="244"/>
      <c r="K977" s="244"/>
      <c r="L977" s="244"/>
      <c r="M977" s="244"/>
      <c r="N977" s="244"/>
      <c r="O977" s="244"/>
      <c r="P977" s="244"/>
      <c r="Q977" s="244"/>
    </row>
    <row r="978" spans="4:17" x14ac:dyDescent="0.2">
      <c r="D978" s="244"/>
      <c r="E978" s="244"/>
      <c r="F978" s="244"/>
      <c r="G978" s="244"/>
      <c r="H978" s="244"/>
      <c r="I978" s="244"/>
      <c r="J978" s="244"/>
      <c r="K978" s="244"/>
      <c r="L978" s="244"/>
      <c r="M978" s="244"/>
      <c r="N978" s="244"/>
      <c r="O978" s="244"/>
      <c r="P978" s="244"/>
      <c r="Q978" s="244"/>
    </row>
    <row r="979" spans="4:17" x14ac:dyDescent="0.2">
      <c r="D979" s="244"/>
      <c r="E979" s="244"/>
      <c r="F979" s="244"/>
      <c r="G979" s="244"/>
      <c r="H979" s="244"/>
      <c r="I979" s="244"/>
      <c r="J979" s="244"/>
      <c r="K979" s="244"/>
      <c r="L979" s="244"/>
      <c r="M979" s="244"/>
      <c r="N979" s="244"/>
      <c r="O979" s="244"/>
      <c r="P979" s="244"/>
      <c r="Q979" s="244"/>
    </row>
    <row r="980" spans="4:17" x14ac:dyDescent="0.2">
      <c r="D980" s="244"/>
      <c r="E980" s="244"/>
      <c r="F980" s="244"/>
      <c r="G980" s="244"/>
      <c r="H980" s="244"/>
      <c r="I980" s="244"/>
      <c r="J980" s="244"/>
      <c r="K980" s="244"/>
      <c r="L980" s="244"/>
      <c r="M980" s="244"/>
      <c r="N980" s="244"/>
      <c r="O980" s="244"/>
      <c r="P980" s="244"/>
      <c r="Q980" s="244"/>
    </row>
    <row r="981" spans="4:17" x14ac:dyDescent="0.2">
      <c r="D981" s="244"/>
      <c r="E981" s="244"/>
      <c r="F981" s="244"/>
      <c r="G981" s="244"/>
      <c r="H981" s="244"/>
      <c r="I981" s="244"/>
      <c r="J981" s="244"/>
      <c r="K981" s="244"/>
      <c r="L981" s="244"/>
      <c r="M981" s="244"/>
      <c r="N981" s="244"/>
      <c r="O981" s="244"/>
      <c r="P981" s="244"/>
      <c r="Q981" s="244"/>
    </row>
    <row r="982" spans="4:17" x14ac:dyDescent="0.2">
      <c r="D982" s="244"/>
      <c r="E982" s="244"/>
      <c r="F982" s="244"/>
      <c r="G982" s="244"/>
      <c r="H982" s="244"/>
      <c r="I982" s="244"/>
      <c r="J982" s="244"/>
      <c r="K982" s="244"/>
      <c r="L982" s="244"/>
      <c r="M982" s="244"/>
      <c r="N982" s="244"/>
      <c r="O982" s="244"/>
      <c r="P982" s="244"/>
      <c r="Q982" s="244"/>
    </row>
    <row r="983" spans="4:17" x14ac:dyDescent="0.2">
      <c r="D983" s="244"/>
      <c r="E983" s="244"/>
      <c r="F983" s="244"/>
      <c r="G983" s="244"/>
      <c r="H983" s="244"/>
      <c r="I983" s="244"/>
      <c r="J983" s="244"/>
      <c r="K983" s="244"/>
      <c r="L983" s="244"/>
      <c r="M983" s="244"/>
      <c r="N983" s="244"/>
      <c r="O983" s="244"/>
      <c r="P983" s="244"/>
      <c r="Q983" s="244"/>
    </row>
    <row r="984" spans="4:17" x14ac:dyDescent="0.2">
      <c r="D984" s="244"/>
      <c r="E984" s="244"/>
      <c r="F984" s="244"/>
      <c r="G984" s="244"/>
      <c r="H984" s="244"/>
      <c r="I984" s="244"/>
      <c r="J984" s="244"/>
      <c r="K984" s="244"/>
      <c r="L984" s="244"/>
      <c r="M984" s="244"/>
      <c r="N984" s="244"/>
      <c r="O984" s="244"/>
      <c r="P984" s="244"/>
      <c r="Q984" s="244"/>
    </row>
    <row r="985" spans="4:17" x14ac:dyDescent="0.2">
      <c r="D985" s="244"/>
      <c r="E985" s="244"/>
      <c r="F985" s="244"/>
      <c r="G985" s="244"/>
      <c r="H985" s="244"/>
      <c r="I985" s="244"/>
      <c r="J985" s="244"/>
      <c r="K985" s="244"/>
      <c r="L985" s="244"/>
      <c r="M985" s="244"/>
      <c r="N985" s="244"/>
      <c r="O985" s="244"/>
      <c r="P985" s="244"/>
      <c r="Q985" s="244"/>
    </row>
    <row r="986" spans="4:17" x14ac:dyDescent="0.2">
      <c r="D986" s="244"/>
      <c r="E986" s="244"/>
      <c r="F986" s="244"/>
      <c r="G986" s="244"/>
      <c r="H986" s="244"/>
      <c r="I986" s="244"/>
      <c r="J986" s="244"/>
      <c r="K986" s="244"/>
      <c r="L986" s="244"/>
      <c r="M986" s="244"/>
      <c r="N986" s="244"/>
      <c r="O986" s="244"/>
      <c r="P986" s="244"/>
      <c r="Q986" s="244"/>
    </row>
    <row r="987" spans="4:17" x14ac:dyDescent="0.2">
      <c r="D987" s="244"/>
      <c r="E987" s="244"/>
      <c r="F987" s="244"/>
      <c r="G987" s="244"/>
      <c r="H987" s="244"/>
      <c r="I987" s="244"/>
      <c r="J987" s="244"/>
      <c r="K987" s="244"/>
      <c r="L987" s="244"/>
      <c r="M987" s="244"/>
      <c r="N987" s="244"/>
      <c r="O987" s="244"/>
      <c r="P987" s="244"/>
      <c r="Q987" s="244"/>
    </row>
    <row r="988" spans="4:17" x14ac:dyDescent="0.2">
      <c r="D988" s="244"/>
      <c r="E988" s="244"/>
      <c r="F988" s="244"/>
      <c r="G988" s="244"/>
      <c r="H988" s="244"/>
      <c r="I988" s="244"/>
      <c r="J988" s="244"/>
      <c r="K988" s="244"/>
      <c r="L988" s="244"/>
      <c r="M988" s="244"/>
      <c r="N988" s="244"/>
      <c r="O988" s="244"/>
      <c r="P988" s="244"/>
      <c r="Q988" s="244"/>
    </row>
    <row r="989" spans="4:17" x14ac:dyDescent="0.2">
      <c r="D989" s="244"/>
      <c r="E989" s="244"/>
      <c r="F989" s="244"/>
      <c r="G989" s="244"/>
      <c r="H989" s="244"/>
      <c r="I989" s="244"/>
      <c r="J989" s="244"/>
      <c r="K989" s="244"/>
      <c r="L989" s="244"/>
      <c r="M989" s="244"/>
      <c r="N989" s="244"/>
      <c r="O989" s="244"/>
      <c r="P989" s="244"/>
      <c r="Q989" s="244"/>
    </row>
    <row r="990" spans="4:17" x14ac:dyDescent="0.2">
      <c r="D990" s="244"/>
      <c r="E990" s="244"/>
      <c r="F990" s="244"/>
      <c r="G990" s="244"/>
      <c r="H990" s="244"/>
      <c r="I990" s="244"/>
      <c r="J990" s="244"/>
      <c r="K990" s="244"/>
      <c r="L990" s="244"/>
      <c r="M990" s="244"/>
      <c r="N990" s="244"/>
      <c r="O990" s="244"/>
      <c r="P990" s="244"/>
      <c r="Q990" s="244"/>
    </row>
    <row r="991" spans="4:17" x14ac:dyDescent="0.2">
      <c r="D991" s="244"/>
      <c r="E991" s="244"/>
      <c r="F991" s="244"/>
      <c r="G991" s="244"/>
      <c r="H991" s="244"/>
      <c r="I991" s="244"/>
      <c r="J991" s="244"/>
      <c r="K991" s="244"/>
      <c r="L991" s="244"/>
      <c r="M991" s="244"/>
      <c r="N991" s="244"/>
      <c r="O991" s="244"/>
      <c r="P991" s="244"/>
      <c r="Q991" s="244"/>
    </row>
    <row r="992" spans="4:17" x14ac:dyDescent="0.2">
      <c r="D992" s="244"/>
      <c r="E992" s="244"/>
      <c r="F992" s="244"/>
      <c r="G992" s="244"/>
      <c r="H992" s="244"/>
      <c r="I992" s="244"/>
      <c r="J992" s="244"/>
      <c r="K992" s="244"/>
      <c r="L992" s="244"/>
      <c r="M992" s="244"/>
      <c r="N992" s="244"/>
      <c r="O992" s="244"/>
      <c r="P992" s="244"/>
      <c r="Q992" s="244"/>
    </row>
    <row r="993" spans="4:17" x14ac:dyDescent="0.2">
      <c r="D993" s="244"/>
      <c r="E993" s="244"/>
      <c r="F993" s="244"/>
      <c r="G993" s="244"/>
      <c r="H993" s="244"/>
      <c r="I993" s="244"/>
      <c r="J993" s="244"/>
      <c r="K993" s="244"/>
      <c r="L993" s="244"/>
      <c r="M993" s="244"/>
      <c r="N993" s="244"/>
      <c r="O993" s="244"/>
      <c r="P993" s="244"/>
      <c r="Q993" s="244"/>
    </row>
    <row r="994" spans="4:17" x14ac:dyDescent="0.2">
      <c r="D994" s="244"/>
      <c r="E994" s="244"/>
      <c r="F994" s="244"/>
      <c r="G994" s="244"/>
      <c r="H994" s="244"/>
      <c r="I994" s="244"/>
      <c r="J994" s="244"/>
      <c r="K994" s="244"/>
      <c r="L994" s="244"/>
      <c r="M994" s="244"/>
      <c r="N994" s="244"/>
      <c r="O994" s="244"/>
      <c r="P994" s="244"/>
      <c r="Q994" s="244"/>
    </row>
    <row r="995" spans="4:17" x14ac:dyDescent="0.2">
      <c r="D995" s="244"/>
      <c r="E995" s="244"/>
      <c r="F995" s="244"/>
      <c r="G995" s="244"/>
      <c r="H995" s="244"/>
      <c r="I995" s="244"/>
      <c r="J995" s="244"/>
      <c r="K995" s="244"/>
      <c r="L995" s="244"/>
      <c r="M995" s="244"/>
      <c r="N995" s="244"/>
      <c r="O995" s="244"/>
      <c r="P995" s="244"/>
      <c r="Q995" s="244"/>
    </row>
    <row r="996" spans="4:17" x14ac:dyDescent="0.2">
      <c r="D996" s="244"/>
      <c r="E996" s="244"/>
      <c r="F996" s="244"/>
      <c r="G996" s="244"/>
      <c r="H996" s="244"/>
      <c r="I996" s="244"/>
      <c r="J996" s="244"/>
      <c r="K996" s="244"/>
      <c r="L996" s="244"/>
      <c r="M996" s="244"/>
      <c r="N996" s="244"/>
      <c r="O996" s="244"/>
      <c r="P996" s="244"/>
      <c r="Q996" s="244"/>
    </row>
    <row r="997" spans="4:17" x14ac:dyDescent="0.2">
      <c r="D997" s="244"/>
      <c r="E997" s="244"/>
      <c r="F997" s="244"/>
      <c r="G997" s="244"/>
      <c r="H997" s="244"/>
      <c r="I997" s="244"/>
      <c r="J997" s="244"/>
      <c r="K997" s="244"/>
      <c r="L997" s="244"/>
      <c r="M997" s="244"/>
      <c r="N997" s="244"/>
      <c r="O997" s="244"/>
      <c r="P997" s="244"/>
      <c r="Q997" s="244"/>
    </row>
    <row r="998" spans="4:17" x14ac:dyDescent="0.2">
      <c r="D998" s="244"/>
      <c r="E998" s="244"/>
      <c r="F998" s="244"/>
      <c r="G998" s="244"/>
      <c r="H998" s="244"/>
      <c r="I998" s="244"/>
      <c r="J998" s="244"/>
      <c r="K998" s="244"/>
      <c r="L998" s="244"/>
      <c r="M998" s="244"/>
      <c r="N998" s="244"/>
      <c r="O998" s="244"/>
      <c r="P998" s="244"/>
      <c r="Q998" s="244"/>
    </row>
    <row r="999" spans="4:17" x14ac:dyDescent="0.2">
      <c r="D999" s="244"/>
      <c r="E999" s="244"/>
      <c r="F999" s="244"/>
      <c r="G999" s="244"/>
      <c r="H999" s="244"/>
      <c r="I999" s="244"/>
      <c r="J999" s="244"/>
      <c r="K999" s="244"/>
      <c r="L999" s="244"/>
      <c r="M999" s="244"/>
      <c r="N999" s="244"/>
      <c r="O999" s="244"/>
      <c r="P999" s="244"/>
      <c r="Q999" s="244"/>
    </row>
    <row r="1000" spans="4:17" x14ac:dyDescent="0.2">
      <c r="D1000" s="244"/>
      <c r="E1000" s="244"/>
      <c r="F1000" s="244"/>
      <c r="G1000" s="244"/>
      <c r="H1000" s="244"/>
      <c r="I1000" s="244"/>
      <c r="J1000" s="244"/>
      <c r="K1000" s="244"/>
      <c r="L1000" s="244"/>
      <c r="M1000" s="244"/>
      <c r="N1000" s="244"/>
      <c r="O1000" s="244"/>
      <c r="P1000" s="244"/>
      <c r="Q1000" s="244"/>
    </row>
    <row r="1001" spans="4:17" x14ac:dyDescent="0.2"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4"/>
      <c r="Q1001" s="244"/>
    </row>
    <row r="1002" spans="4:17" x14ac:dyDescent="0.2">
      <c r="D1002" s="244"/>
      <c r="E1002" s="244"/>
      <c r="F1002" s="244"/>
      <c r="G1002" s="244"/>
      <c r="H1002" s="244"/>
      <c r="I1002" s="244"/>
      <c r="J1002" s="244"/>
      <c r="K1002" s="244"/>
      <c r="L1002" s="244"/>
      <c r="M1002" s="244"/>
      <c r="N1002" s="244"/>
      <c r="O1002" s="244"/>
      <c r="P1002" s="244"/>
      <c r="Q1002" s="244"/>
    </row>
    <row r="1003" spans="4:17" x14ac:dyDescent="0.2">
      <c r="D1003" s="244"/>
      <c r="E1003" s="244"/>
      <c r="F1003" s="244"/>
      <c r="G1003" s="244"/>
      <c r="H1003" s="244"/>
      <c r="I1003" s="244"/>
      <c r="J1003" s="244"/>
      <c r="K1003" s="244"/>
      <c r="L1003" s="244"/>
      <c r="M1003" s="244"/>
      <c r="N1003" s="244"/>
      <c r="O1003" s="244"/>
      <c r="P1003" s="244"/>
      <c r="Q1003" s="244"/>
    </row>
    <row r="1004" spans="4:17" x14ac:dyDescent="0.2">
      <c r="D1004" s="244"/>
      <c r="E1004" s="244"/>
      <c r="F1004" s="244"/>
      <c r="G1004" s="244"/>
      <c r="H1004" s="244"/>
      <c r="I1004" s="244"/>
      <c r="J1004" s="244"/>
      <c r="K1004" s="244"/>
      <c r="L1004" s="244"/>
      <c r="M1004" s="244"/>
      <c r="N1004" s="244"/>
      <c r="O1004" s="244"/>
      <c r="P1004" s="244"/>
      <c r="Q1004" s="244"/>
    </row>
    <row r="1005" spans="4:17" x14ac:dyDescent="0.2">
      <c r="D1005" s="244"/>
      <c r="E1005" s="244"/>
      <c r="F1005" s="244"/>
      <c r="G1005" s="244"/>
      <c r="H1005" s="244"/>
      <c r="I1005" s="244"/>
      <c r="J1005" s="244"/>
      <c r="K1005" s="244"/>
      <c r="L1005" s="244"/>
      <c r="M1005" s="244"/>
      <c r="N1005" s="244"/>
      <c r="O1005" s="244"/>
      <c r="P1005" s="244"/>
      <c r="Q1005" s="244"/>
    </row>
    <row r="1006" spans="4:17" x14ac:dyDescent="0.2">
      <c r="D1006" s="244"/>
      <c r="E1006" s="244"/>
      <c r="F1006" s="244"/>
      <c r="G1006" s="244"/>
      <c r="H1006" s="244"/>
      <c r="I1006" s="244"/>
      <c r="J1006" s="244"/>
      <c r="K1006" s="244"/>
      <c r="L1006" s="244"/>
      <c r="M1006" s="244"/>
      <c r="N1006" s="244"/>
      <c r="O1006" s="244"/>
      <c r="P1006" s="244"/>
      <c r="Q1006" s="244"/>
    </row>
    <row r="1007" spans="4:17" x14ac:dyDescent="0.2">
      <c r="D1007" s="244"/>
      <c r="E1007" s="244"/>
      <c r="F1007" s="244"/>
      <c r="G1007" s="244"/>
      <c r="H1007" s="244"/>
      <c r="I1007" s="244"/>
      <c r="J1007" s="244"/>
      <c r="K1007" s="244"/>
      <c r="L1007" s="244"/>
      <c r="M1007" s="244"/>
      <c r="N1007" s="244"/>
      <c r="O1007" s="244"/>
      <c r="P1007" s="244"/>
      <c r="Q1007" s="244"/>
    </row>
    <row r="1008" spans="4:17" x14ac:dyDescent="0.2">
      <c r="D1008" s="244"/>
      <c r="E1008" s="244"/>
      <c r="F1008" s="244"/>
      <c r="G1008" s="244"/>
      <c r="H1008" s="244"/>
      <c r="I1008" s="244"/>
      <c r="J1008" s="244"/>
      <c r="K1008" s="244"/>
      <c r="L1008" s="244"/>
      <c r="M1008" s="244"/>
      <c r="N1008" s="244"/>
      <c r="O1008" s="244"/>
      <c r="P1008" s="244"/>
      <c r="Q1008" s="244"/>
    </row>
    <row r="1009" spans="4:17" x14ac:dyDescent="0.2">
      <c r="D1009" s="244"/>
      <c r="E1009" s="244"/>
      <c r="F1009" s="244"/>
      <c r="G1009" s="244"/>
      <c r="H1009" s="244"/>
      <c r="I1009" s="244"/>
      <c r="J1009" s="244"/>
      <c r="K1009" s="244"/>
      <c r="L1009" s="244"/>
      <c r="M1009" s="244"/>
      <c r="N1009" s="244"/>
      <c r="O1009" s="244"/>
      <c r="P1009" s="244"/>
      <c r="Q1009" s="244"/>
    </row>
    <row r="1010" spans="4:17" x14ac:dyDescent="0.2">
      <c r="D1010" s="244"/>
      <c r="E1010" s="244"/>
      <c r="F1010" s="244"/>
      <c r="G1010" s="244"/>
      <c r="H1010" s="244"/>
      <c r="I1010" s="244"/>
      <c r="J1010" s="244"/>
      <c r="K1010" s="244"/>
      <c r="L1010" s="244"/>
      <c r="M1010" s="244"/>
      <c r="N1010" s="244"/>
      <c r="O1010" s="244"/>
      <c r="P1010" s="244"/>
      <c r="Q1010" s="244"/>
    </row>
    <row r="1011" spans="4:17" x14ac:dyDescent="0.2">
      <c r="D1011" s="244"/>
      <c r="E1011" s="244"/>
      <c r="F1011" s="244"/>
      <c r="G1011" s="244"/>
      <c r="H1011" s="244"/>
      <c r="I1011" s="244"/>
      <c r="J1011" s="244"/>
      <c r="K1011" s="244"/>
      <c r="L1011" s="244"/>
      <c r="M1011" s="244"/>
      <c r="N1011" s="244"/>
      <c r="O1011" s="244"/>
      <c r="P1011" s="244"/>
      <c r="Q1011" s="244"/>
    </row>
    <row r="1012" spans="4:17" x14ac:dyDescent="0.2">
      <c r="D1012" s="244"/>
      <c r="E1012" s="244"/>
      <c r="F1012" s="244"/>
      <c r="G1012" s="244"/>
      <c r="H1012" s="244"/>
      <c r="I1012" s="244"/>
      <c r="J1012" s="244"/>
      <c r="K1012" s="244"/>
      <c r="L1012" s="244"/>
      <c r="M1012" s="244"/>
      <c r="N1012" s="244"/>
      <c r="O1012" s="244"/>
      <c r="P1012" s="244"/>
      <c r="Q1012" s="244"/>
    </row>
    <row r="1013" spans="4:17" x14ac:dyDescent="0.2">
      <c r="D1013" s="244"/>
      <c r="E1013" s="244"/>
      <c r="F1013" s="244"/>
      <c r="G1013" s="244"/>
      <c r="H1013" s="244"/>
      <c r="I1013" s="244"/>
      <c r="J1013" s="244"/>
      <c r="K1013" s="244"/>
      <c r="L1013" s="244"/>
      <c r="M1013" s="244"/>
      <c r="N1013" s="244"/>
      <c r="O1013" s="244"/>
      <c r="P1013" s="244"/>
      <c r="Q1013" s="244"/>
    </row>
    <row r="1014" spans="4:17" x14ac:dyDescent="0.2">
      <c r="D1014" s="244"/>
      <c r="E1014" s="244"/>
      <c r="F1014" s="244"/>
      <c r="G1014" s="244"/>
      <c r="H1014" s="244"/>
      <c r="I1014" s="244"/>
      <c r="J1014" s="244"/>
      <c r="K1014" s="244"/>
      <c r="L1014" s="244"/>
      <c r="M1014" s="244"/>
      <c r="N1014" s="244"/>
      <c r="O1014" s="244"/>
      <c r="P1014" s="244"/>
      <c r="Q1014" s="244"/>
    </row>
    <row r="1015" spans="4:17" x14ac:dyDescent="0.2">
      <c r="D1015" s="244"/>
      <c r="E1015" s="244"/>
      <c r="F1015" s="244"/>
      <c r="G1015" s="244"/>
      <c r="H1015" s="244"/>
      <c r="I1015" s="244"/>
      <c r="J1015" s="244"/>
      <c r="K1015" s="244"/>
      <c r="L1015" s="244"/>
      <c r="M1015" s="244"/>
      <c r="N1015" s="244"/>
      <c r="O1015" s="244"/>
      <c r="P1015" s="244"/>
      <c r="Q1015" s="244"/>
    </row>
    <row r="1016" spans="4:17" x14ac:dyDescent="0.2">
      <c r="D1016" s="244"/>
      <c r="E1016" s="244"/>
      <c r="F1016" s="244"/>
      <c r="G1016" s="244"/>
      <c r="H1016" s="244"/>
      <c r="I1016" s="244"/>
      <c r="J1016" s="244"/>
      <c r="K1016" s="244"/>
      <c r="L1016" s="244"/>
      <c r="M1016" s="244"/>
      <c r="N1016" s="244"/>
      <c r="O1016" s="244"/>
      <c r="P1016" s="244"/>
      <c r="Q1016" s="244"/>
    </row>
    <row r="1017" spans="4:17" x14ac:dyDescent="0.2">
      <c r="D1017" s="244"/>
      <c r="E1017" s="244"/>
      <c r="F1017" s="244"/>
      <c r="G1017" s="244"/>
      <c r="H1017" s="244"/>
      <c r="I1017" s="244"/>
      <c r="J1017" s="244"/>
      <c r="K1017" s="244"/>
      <c r="L1017" s="244"/>
      <c r="M1017" s="244"/>
      <c r="N1017" s="244"/>
      <c r="O1017" s="244"/>
      <c r="P1017" s="244"/>
      <c r="Q1017" s="244"/>
    </row>
    <row r="1018" spans="4:17" x14ac:dyDescent="0.2">
      <c r="D1018" s="244"/>
      <c r="E1018" s="244"/>
      <c r="F1018" s="244"/>
      <c r="G1018" s="244"/>
      <c r="H1018" s="244"/>
      <c r="I1018" s="244"/>
      <c r="J1018" s="244"/>
      <c r="K1018" s="244"/>
      <c r="L1018" s="244"/>
      <c r="M1018" s="244"/>
      <c r="N1018" s="244"/>
      <c r="O1018" s="244"/>
      <c r="P1018" s="244"/>
      <c r="Q1018" s="244"/>
    </row>
    <row r="1019" spans="4:17" x14ac:dyDescent="0.2">
      <c r="D1019" s="244"/>
      <c r="E1019" s="244"/>
      <c r="F1019" s="244"/>
      <c r="G1019" s="244"/>
      <c r="H1019" s="244"/>
      <c r="I1019" s="244"/>
      <c r="J1019" s="244"/>
      <c r="K1019" s="244"/>
      <c r="L1019" s="244"/>
      <c r="M1019" s="244"/>
      <c r="N1019" s="244"/>
      <c r="O1019" s="244"/>
      <c r="P1019" s="244"/>
      <c r="Q1019" s="244"/>
    </row>
    <row r="1020" spans="4:17" x14ac:dyDescent="0.2">
      <c r="D1020" s="244"/>
      <c r="E1020" s="244"/>
      <c r="F1020" s="244"/>
      <c r="G1020" s="244"/>
      <c r="H1020" s="244"/>
      <c r="I1020" s="244"/>
      <c r="J1020" s="244"/>
      <c r="K1020" s="244"/>
      <c r="L1020" s="244"/>
      <c r="M1020" s="244"/>
      <c r="N1020" s="244"/>
      <c r="O1020" s="244"/>
      <c r="P1020" s="244"/>
      <c r="Q1020" s="244"/>
    </row>
    <row r="1021" spans="4:17" x14ac:dyDescent="0.2">
      <c r="D1021" s="244"/>
      <c r="E1021" s="244"/>
      <c r="F1021" s="244"/>
      <c r="G1021" s="244"/>
      <c r="H1021" s="244"/>
      <c r="I1021" s="244"/>
      <c r="J1021" s="244"/>
      <c r="K1021" s="244"/>
      <c r="L1021" s="244"/>
      <c r="M1021" s="244"/>
      <c r="N1021" s="244"/>
      <c r="O1021" s="244"/>
      <c r="P1021" s="244"/>
      <c r="Q1021" s="244"/>
    </row>
    <row r="1022" spans="4:17" x14ac:dyDescent="0.2">
      <c r="D1022" s="244"/>
      <c r="E1022" s="244"/>
      <c r="F1022" s="244"/>
      <c r="G1022" s="244"/>
      <c r="H1022" s="244"/>
      <c r="I1022" s="244"/>
      <c r="J1022" s="244"/>
      <c r="K1022" s="244"/>
      <c r="L1022" s="244"/>
      <c r="M1022" s="244"/>
      <c r="N1022" s="244"/>
      <c r="O1022" s="244"/>
      <c r="P1022" s="244"/>
      <c r="Q1022" s="244"/>
    </row>
    <row r="1023" spans="4:17" x14ac:dyDescent="0.2">
      <c r="D1023" s="244"/>
      <c r="E1023" s="244"/>
      <c r="F1023" s="244"/>
      <c r="G1023" s="244"/>
      <c r="H1023" s="244"/>
      <c r="I1023" s="244"/>
      <c r="J1023" s="244"/>
      <c r="K1023" s="244"/>
      <c r="L1023" s="244"/>
      <c r="M1023" s="244"/>
      <c r="N1023" s="244"/>
      <c r="O1023" s="244"/>
      <c r="P1023" s="244"/>
      <c r="Q1023" s="244"/>
    </row>
    <row r="1024" spans="4:17" x14ac:dyDescent="0.2">
      <c r="D1024" s="244"/>
      <c r="E1024" s="244"/>
      <c r="F1024" s="244"/>
      <c r="G1024" s="244"/>
      <c r="H1024" s="244"/>
      <c r="I1024" s="244"/>
      <c r="J1024" s="244"/>
      <c r="K1024" s="244"/>
      <c r="L1024" s="244"/>
      <c r="M1024" s="244"/>
      <c r="N1024" s="244"/>
      <c r="O1024" s="244"/>
      <c r="P1024" s="244"/>
      <c r="Q1024" s="244"/>
    </row>
    <row r="1025" spans="4:17" x14ac:dyDescent="0.2">
      <c r="D1025" s="244"/>
      <c r="E1025" s="244"/>
      <c r="F1025" s="244"/>
      <c r="G1025" s="244"/>
      <c r="H1025" s="244"/>
      <c r="I1025" s="244"/>
      <c r="J1025" s="244"/>
      <c r="K1025" s="244"/>
      <c r="L1025" s="244"/>
      <c r="M1025" s="244"/>
      <c r="N1025" s="244"/>
      <c r="O1025" s="244"/>
      <c r="P1025" s="244"/>
      <c r="Q1025" s="244"/>
    </row>
    <row r="1026" spans="4:17" x14ac:dyDescent="0.2">
      <c r="D1026" s="244"/>
      <c r="E1026" s="244"/>
      <c r="F1026" s="244"/>
      <c r="G1026" s="244"/>
      <c r="H1026" s="244"/>
      <c r="I1026" s="244"/>
      <c r="J1026" s="244"/>
      <c r="K1026" s="244"/>
      <c r="L1026" s="244"/>
      <c r="M1026" s="244"/>
      <c r="N1026" s="244"/>
      <c r="O1026" s="244"/>
      <c r="P1026" s="244"/>
      <c r="Q1026" s="244"/>
    </row>
    <row r="1027" spans="4:17" x14ac:dyDescent="0.2">
      <c r="D1027" s="244"/>
      <c r="E1027" s="244"/>
      <c r="F1027" s="244"/>
      <c r="G1027" s="244"/>
      <c r="H1027" s="244"/>
      <c r="I1027" s="244"/>
      <c r="J1027" s="244"/>
      <c r="K1027" s="244"/>
      <c r="L1027" s="244"/>
      <c r="M1027" s="244"/>
      <c r="N1027" s="244"/>
      <c r="O1027" s="244"/>
      <c r="P1027" s="244"/>
      <c r="Q1027" s="244"/>
    </row>
    <row r="1028" spans="4:17" x14ac:dyDescent="0.2">
      <c r="D1028" s="244"/>
      <c r="E1028" s="244"/>
      <c r="F1028" s="244"/>
      <c r="G1028" s="244"/>
      <c r="H1028" s="244"/>
      <c r="I1028" s="244"/>
      <c r="J1028" s="244"/>
      <c r="K1028" s="244"/>
      <c r="L1028" s="244"/>
      <c r="M1028" s="244"/>
      <c r="N1028" s="244"/>
      <c r="O1028" s="244"/>
      <c r="P1028" s="244"/>
      <c r="Q1028" s="244"/>
    </row>
    <row r="1029" spans="4:17" x14ac:dyDescent="0.2">
      <c r="D1029" s="244"/>
      <c r="E1029" s="244"/>
      <c r="F1029" s="244"/>
      <c r="G1029" s="244"/>
      <c r="H1029" s="244"/>
      <c r="I1029" s="244"/>
      <c r="J1029" s="244"/>
      <c r="K1029" s="244"/>
      <c r="L1029" s="244"/>
      <c r="M1029" s="244"/>
      <c r="N1029" s="244"/>
      <c r="O1029" s="244"/>
      <c r="P1029" s="244"/>
      <c r="Q1029" s="244"/>
    </row>
    <row r="1030" spans="4:17" x14ac:dyDescent="0.2">
      <c r="D1030" s="244"/>
      <c r="E1030" s="244"/>
      <c r="F1030" s="244"/>
      <c r="G1030" s="244"/>
      <c r="H1030" s="244"/>
      <c r="I1030" s="244"/>
      <c r="J1030" s="244"/>
      <c r="K1030" s="244"/>
      <c r="L1030" s="244"/>
      <c r="M1030" s="244"/>
      <c r="N1030" s="244"/>
      <c r="O1030" s="244"/>
      <c r="P1030" s="244"/>
      <c r="Q1030" s="244"/>
    </row>
    <row r="1031" spans="4:17" x14ac:dyDescent="0.2">
      <c r="D1031" s="244"/>
      <c r="E1031" s="244"/>
      <c r="F1031" s="244"/>
      <c r="G1031" s="244"/>
      <c r="H1031" s="244"/>
      <c r="I1031" s="244"/>
      <c r="J1031" s="244"/>
      <c r="K1031" s="244"/>
      <c r="L1031" s="244"/>
      <c r="M1031" s="244"/>
      <c r="N1031" s="244"/>
      <c r="O1031" s="244"/>
      <c r="P1031" s="244"/>
      <c r="Q1031" s="244"/>
    </row>
    <row r="1032" spans="4:17" x14ac:dyDescent="0.2">
      <c r="D1032" s="244"/>
      <c r="E1032" s="244"/>
      <c r="F1032" s="244"/>
      <c r="G1032" s="244"/>
      <c r="H1032" s="244"/>
      <c r="I1032" s="244"/>
      <c r="J1032" s="244"/>
      <c r="K1032" s="244"/>
      <c r="L1032" s="244"/>
      <c r="M1032" s="244"/>
      <c r="N1032" s="244"/>
      <c r="O1032" s="244"/>
      <c r="P1032" s="244"/>
      <c r="Q1032" s="244"/>
    </row>
    <row r="1033" spans="4:17" x14ac:dyDescent="0.2">
      <c r="D1033" s="244"/>
      <c r="E1033" s="244"/>
      <c r="F1033" s="244"/>
      <c r="G1033" s="244"/>
      <c r="H1033" s="244"/>
      <c r="I1033" s="244"/>
      <c r="J1033" s="244"/>
      <c r="K1033" s="244"/>
      <c r="L1033" s="244"/>
      <c r="M1033" s="244"/>
      <c r="N1033" s="244"/>
      <c r="O1033" s="244"/>
      <c r="P1033" s="244"/>
      <c r="Q1033" s="244"/>
    </row>
    <row r="1034" spans="4:17" x14ac:dyDescent="0.2">
      <c r="D1034" s="244"/>
      <c r="E1034" s="244"/>
      <c r="F1034" s="244"/>
      <c r="G1034" s="244"/>
      <c r="H1034" s="244"/>
      <c r="I1034" s="244"/>
      <c r="J1034" s="244"/>
      <c r="K1034" s="244"/>
      <c r="L1034" s="244"/>
      <c r="M1034" s="244"/>
      <c r="N1034" s="244"/>
      <c r="O1034" s="244"/>
      <c r="P1034" s="244"/>
      <c r="Q1034" s="244"/>
    </row>
    <row r="1035" spans="4:17" x14ac:dyDescent="0.2">
      <c r="D1035" s="244"/>
      <c r="E1035" s="244"/>
      <c r="F1035" s="244"/>
      <c r="G1035" s="244"/>
      <c r="H1035" s="244"/>
      <c r="I1035" s="244"/>
      <c r="J1035" s="244"/>
      <c r="K1035" s="244"/>
      <c r="L1035" s="244"/>
      <c r="M1035" s="244"/>
      <c r="N1035" s="244"/>
      <c r="O1035" s="244"/>
      <c r="P1035" s="244"/>
      <c r="Q1035" s="244"/>
    </row>
    <row r="1036" spans="4:17" x14ac:dyDescent="0.2">
      <c r="D1036" s="244"/>
      <c r="E1036" s="244"/>
      <c r="F1036" s="244"/>
      <c r="G1036" s="244"/>
      <c r="H1036" s="244"/>
      <c r="I1036" s="244"/>
      <c r="J1036" s="244"/>
      <c r="K1036" s="244"/>
      <c r="L1036" s="244"/>
      <c r="M1036" s="244"/>
      <c r="N1036" s="244"/>
      <c r="O1036" s="244"/>
      <c r="P1036" s="244"/>
      <c r="Q1036" s="244"/>
    </row>
    <row r="1037" spans="4:17" x14ac:dyDescent="0.2">
      <c r="D1037" s="244"/>
      <c r="E1037" s="244"/>
      <c r="F1037" s="244"/>
      <c r="G1037" s="244"/>
      <c r="H1037" s="244"/>
      <c r="I1037" s="244"/>
      <c r="J1037" s="244"/>
      <c r="K1037" s="244"/>
      <c r="L1037" s="244"/>
      <c r="M1037" s="244"/>
      <c r="N1037" s="244"/>
      <c r="O1037" s="244"/>
      <c r="P1037" s="244"/>
      <c r="Q1037" s="244"/>
    </row>
    <row r="1038" spans="4:17" x14ac:dyDescent="0.2">
      <c r="D1038" s="244"/>
      <c r="E1038" s="244"/>
      <c r="F1038" s="244"/>
      <c r="G1038" s="244"/>
      <c r="H1038" s="244"/>
      <c r="I1038" s="244"/>
      <c r="J1038" s="244"/>
      <c r="K1038" s="244"/>
      <c r="L1038" s="244"/>
      <c r="M1038" s="244"/>
      <c r="N1038" s="244"/>
      <c r="O1038" s="244"/>
      <c r="P1038" s="244"/>
      <c r="Q1038" s="244"/>
    </row>
    <row r="1039" spans="4:17" x14ac:dyDescent="0.2">
      <c r="D1039" s="244"/>
      <c r="E1039" s="244"/>
      <c r="F1039" s="244"/>
      <c r="G1039" s="244"/>
      <c r="H1039" s="244"/>
      <c r="I1039" s="244"/>
      <c r="J1039" s="244"/>
      <c r="K1039" s="244"/>
      <c r="L1039" s="244"/>
      <c r="M1039" s="244"/>
      <c r="N1039" s="244"/>
      <c r="O1039" s="244"/>
      <c r="P1039" s="244"/>
      <c r="Q1039" s="244"/>
    </row>
    <row r="1040" spans="4:17" x14ac:dyDescent="0.2">
      <c r="D1040" s="244"/>
      <c r="E1040" s="244"/>
      <c r="F1040" s="244"/>
      <c r="G1040" s="244"/>
      <c r="H1040" s="244"/>
      <c r="I1040" s="244"/>
      <c r="J1040" s="244"/>
      <c r="K1040" s="244"/>
      <c r="L1040" s="244"/>
      <c r="M1040" s="244"/>
      <c r="N1040" s="244"/>
      <c r="O1040" s="244"/>
      <c r="P1040" s="244"/>
      <c r="Q1040" s="244"/>
    </row>
    <row r="1041" spans="4:17" x14ac:dyDescent="0.2"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4"/>
      <c r="Q1041" s="244"/>
    </row>
    <row r="1042" spans="4:17" x14ac:dyDescent="0.2">
      <c r="D1042" s="244"/>
      <c r="E1042" s="244"/>
      <c r="F1042" s="244"/>
      <c r="G1042" s="244"/>
      <c r="H1042" s="244"/>
      <c r="I1042" s="244"/>
      <c r="J1042" s="244"/>
      <c r="K1042" s="244"/>
      <c r="L1042" s="244"/>
      <c r="M1042" s="244"/>
      <c r="N1042" s="244"/>
      <c r="O1042" s="244"/>
      <c r="P1042" s="244"/>
      <c r="Q1042" s="244"/>
    </row>
    <row r="1043" spans="4:17" x14ac:dyDescent="0.2">
      <c r="D1043" s="244"/>
      <c r="E1043" s="244"/>
      <c r="F1043" s="244"/>
      <c r="G1043" s="244"/>
      <c r="H1043" s="244"/>
      <c r="I1043" s="244"/>
      <c r="J1043" s="244"/>
      <c r="K1043" s="244"/>
      <c r="L1043" s="244"/>
      <c r="M1043" s="244"/>
      <c r="N1043" s="244"/>
      <c r="O1043" s="244"/>
      <c r="P1043" s="244"/>
      <c r="Q1043" s="244"/>
    </row>
    <row r="1044" spans="4:17" x14ac:dyDescent="0.2">
      <c r="D1044" s="244"/>
      <c r="E1044" s="244"/>
      <c r="F1044" s="244"/>
      <c r="G1044" s="244"/>
      <c r="H1044" s="244"/>
      <c r="I1044" s="244"/>
      <c r="J1044" s="244"/>
      <c r="K1044" s="244"/>
      <c r="L1044" s="244"/>
      <c r="M1044" s="244"/>
      <c r="N1044" s="244"/>
      <c r="O1044" s="244"/>
      <c r="P1044" s="244"/>
      <c r="Q1044" s="244"/>
    </row>
    <row r="1045" spans="4:17" x14ac:dyDescent="0.2">
      <c r="D1045" s="244"/>
      <c r="E1045" s="244"/>
      <c r="F1045" s="244"/>
      <c r="G1045" s="244"/>
      <c r="H1045" s="244"/>
      <c r="I1045" s="244"/>
      <c r="J1045" s="244"/>
      <c r="K1045" s="244"/>
      <c r="L1045" s="244"/>
      <c r="M1045" s="244"/>
      <c r="N1045" s="244"/>
      <c r="O1045" s="244"/>
      <c r="P1045" s="244"/>
      <c r="Q1045" s="244"/>
    </row>
    <row r="1046" spans="4:17" x14ac:dyDescent="0.2">
      <c r="D1046" s="244"/>
      <c r="E1046" s="244"/>
      <c r="F1046" s="244"/>
      <c r="G1046" s="244"/>
      <c r="H1046" s="244"/>
      <c r="I1046" s="244"/>
      <c r="J1046" s="244"/>
      <c r="K1046" s="244"/>
      <c r="L1046" s="244"/>
      <c r="M1046" s="244"/>
      <c r="N1046" s="244"/>
      <c r="O1046" s="244"/>
      <c r="P1046" s="244"/>
      <c r="Q1046" s="244"/>
    </row>
    <row r="1047" spans="4:17" x14ac:dyDescent="0.2">
      <c r="D1047" s="244"/>
      <c r="E1047" s="244"/>
      <c r="F1047" s="244"/>
      <c r="G1047" s="244"/>
      <c r="H1047" s="244"/>
      <c r="I1047" s="244"/>
      <c r="J1047" s="244"/>
      <c r="K1047" s="244"/>
      <c r="L1047" s="244"/>
      <c r="M1047" s="244"/>
      <c r="N1047" s="244"/>
      <c r="O1047" s="244"/>
      <c r="P1047" s="244"/>
      <c r="Q1047" s="244"/>
    </row>
    <row r="1048" spans="4:17" x14ac:dyDescent="0.2">
      <c r="D1048" s="244"/>
      <c r="E1048" s="244"/>
      <c r="F1048" s="244"/>
      <c r="G1048" s="244"/>
      <c r="H1048" s="244"/>
      <c r="I1048" s="244"/>
      <c r="J1048" s="244"/>
      <c r="K1048" s="244"/>
      <c r="L1048" s="244"/>
      <c r="M1048" s="244"/>
      <c r="N1048" s="244"/>
      <c r="O1048" s="244"/>
      <c r="P1048" s="244"/>
      <c r="Q1048" s="244"/>
    </row>
    <row r="1049" spans="4:17" x14ac:dyDescent="0.2">
      <c r="D1049" s="244"/>
      <c r="E1049" s="244"/>
      <c r="F1049" s="244"/>
      <c r="G1049" s="244"/>
      <c r="H1049" s="244"/>
      <c r="I1049" s="244"/>
      <c r="J1049" s="244"/>
      <c r="K1049" s="244"/>
      <c r="L1049" s="244"/>
      <c r="M1049" s="244"/>
      <c r="N1049" s="244"/>
      <c r="O1049" s="244"/>
      <c r="P1049" s="244"/>
      <c r="Q1049" s="244"/>
    </row>
    <row r="1050" spans="4:17" x14ac:dyDescent="0.2">
      <c r="D1050" s="244"/>
      <c r="E1050" s="244"/>
      <c r="F1050" s="244"/>
      <c r="G1050" s="244"/>
      <c r="H1050" s="244"/>
      <c r="I1050" s="244"/>
      <c r="J1050" s="244"/>
      <c r="K1050" s="244"/>
      <c r="L1050" s="244"/>
      <c r="M1050" s="244"/>
      <c r="N1050" s="244"/>
      <c r="O1050" s="244"/>
      <c r="P1050" s="244"/>
      <c r="Q1050" s="244"/>
    </row>
    <row r="1051" spans="4:17" x14ac:dyDescent="0.2">
      <c r="D1051" s="244"/>
      <c r="E1051" s="244"/>
      <c r="F1051" s="244"/>
      <c r="G1051" s="244"/>
      <c r="H1051" s="244"/>
      <c r="I1051" s="244"/>
      <c r="J1051" s="244"/>
      <c r="K1051" s="244"/>
      <c r="L1051" s="244"/>
      <c r="M1051" s="244"/>
      <c r="N1051" s="244"/>
      <c r="O1051" s="244"/>
      <c r="P1051" s="244"/>
      <c r="Q1051" s="244"/>
    </row>
    <row r="1052" spans="4:17" x14ac:dyDescent="0.2">
      <c r="D1052" s="244"/>
      <c r="E1052" s="244"/>
      <c r="F1052" s="244"/>
      <c r="G1052" s="244"/>
      <c r="H1052" s="244"/>
      <c r="I1052" s="244"/>
      <c r="J1052" s="244"/>
      <c r="K1052" s="244"/>
      <c r="L1052" s="244"/>
      <c r="M1052" s="244"/>
      <c r="N1052" s="244"/>
      <c r="O1052" s="244"/>
      <c r="P1052" s="244"/>
      <c r="Q1052" s="244"/>
    </row>
    <row r="1053" spans="4:17" x14ac:dyDescent="0.2">
      <c r="D1053" s="244"/>
      <c r="E1053" s="244"/>
      <c r="F1053" s="244"/>
      <c r="G1053" s="244"/>
      <c r="H1053" s="244"/>
      <c r="I1053" s="244"/>
      <c r="J1053" s="244"/>
      <c r="K1053" s="244"/>
      <c r="L1053" s="244"/>
      <c r="M1053" s="244"/>
      <c r="N1053" s="244"/>
      <c r="O1053" s="244"/>
      <c r="P1053" s="244"/>
      <c r="Q1053" s="244"/>
    </row>
    <row r="1054" spans="4:17" x14ac:dyDescent="0.2">
      <c r="D1054" s="244"/>
      <c r="E1054" s="244"/>
      <c r="F1054" s="244"/>
      <c r="G1054" s="244"/>
      <c r="H1054" s="244"/>
      <c r="I1054" s="244"/>
      <c r="J1054" s="244"/>
      <c r="K1054" s="244"/>
      <c r="L1054" s="244"/>
      <c r="M1054" s="244"/>
      <c r="N1054" s="244"/>
      <c r="O1054" s="244"/>
      <c r="P1054" s="244"/>
      <c r="Q1054" s="244"/>
    </row>
    <row r="1055" spans="4:17" x14ac:dyDescent="0.2">
      <c r="D1055" s="244"/>
      <c r="E1055" s="244"/>
      <c r="F1055" s="244"/>
      <c r="G1055" s="244"/>
      <c r="H1055" s="244"/>
      <c r="I1055" s="244"/>
      <c r="J1055" s="244"/>
      <c r="K1055" s="244"/>
      <c r="L1055" s="244"/>
      <c r="M1055" s="244"/>
      <c r="N1055" s="244"/>
      <c r="O1055" s="244"/>
      <c r="P1055" s="244"/>
      <c r="Q1055" s="244"/>
    </row>
    <row r="1056" spans="4:17" x14ac:dyDescent="0.2">
      <c r="D1056" s="244"/>
      <c r="E1056" s="244"/>
      <c r="F1056" s="244"/>
      <c r="G1056" s="244"/>
      <c r="H1056" s="244"/>
      <c r="I1056" s="244"/>
      <c r="J1056" s="244"/>
      <c r="K1056" s="244"/>
      <c r="L1056" s="244"/>
      <c r="M1056" s="244"/>
      <c r="N1056" s="244"/>
      <c r="O1056" s="244"/>
      <c r="P1056" s="244"/>
      <c r="Q1056" s="244"/>
    </row>
    <row r="1057" spans="4:17" x14ac:dyDescent="0.2">
      <c r="D1057" s="244"/>
      <c r="E1057" s="244"/>
      <c r="F1057" s="244"/>
      <c r="G1057" s="244"/>
      <c r="H1057" s="244"/>
      <c r="I1057" s="244"/>
      <c r="J1057" s="244"/>
      <c r="K1057" s="244"/>
      <c r="L1057" s="244"/>
      <c r="M1057" s="244"/>
      <c r="N1057" s="244"/>
      <c r="O1057" s="244"/>
      <c r="P1057" s="244"/>
      <c r="Q1057" s="244"/>
    </row>
    <row r="1058" spans="4:17" x14ac:dyDescent="0.2">
      <c r="D1058" s="244"/>
      <c r="E1058" s="244"/>
      <c r="F1058" s="244"/>
      <c r="G1058" s="244"/>
      <c r="H1058" s="244"/>
      <c r="I1058" s="244"/>
      <c r="J1058" s="244"/>
      <c r="K1058" s="244"/>
      <c r="L1058" s="244"/>
      <c r="M1058" s="244"/>
      <c r="N1058" s="244"/>
      <c r="O1058" s="244"/>
      <c r="P1058" s="244"/>
      <c r="Q1058" s="244"/>
    </row>
    <row r="1059" spans="4:17" x14ac:dyDescent="0.2">
      <c r="D1059" s="244"/>
      <c r="E1059" s="244"/>
      <c r="F1059" s="244"/>
      <c r="G1059" s="244"/>
      <c r="H1059" s="244"/>
      <c r="I1059" s="244"/>
      <c r="J1059" s="244"/>
      <c r="K1059" s="244"/>
      <c r="L1059" s="244"/>
      <c r="M1059" s="244"/>
      <c r="N1059" s="244"/>
      <c r="O1059" s="244"/>
      <c r="P1059" s="244"/>
      <c r="Q1059" s="244"/>
    </row>
    <row r="1060" spans="4:17" x14ac:dyDescent="0.2">
      <c r="D1060" s="244"/>
      <c r="E1060" s="244"/>
      <c r="F1060" s="244"/>
      <c r="G1060" s="244"/>
      <c r="H1060" s="244"/>
      <c r="I1060" s="244"/>
      <c r="J1060" s="244"/>
      <c r="K1060" s="244"/>
      <c r="L1060" s="244"/>
      <c r="M1060" s="244"/>
      <c r="N1060" s="244"/>
      <c r="O1060" s="244"/>
      <c r="P1060" s="244"/>
      <c r="Q1060" s="244"/>
    </row>
    <row r="1061" spans="4:17" x14ac:dyDescent="0.2">
      <c r="D1061" s="244"/>
      <c r="E1061" s="244"/>
      <c r="F1061" s="244"/>
      <c r="G1061" s="244"/>
      <c r="H1061" s="244"/>
      <c r="I1061" s="244"/>
      <c r="J1061" s="244"/>
      <c r="K1061" s="244"/>
      <c r="L1061" s="244"/>
      <c r="M1061" s="244"/>
      <c r="N1061" s="244"/>
      <c r="O1061" s="244"/>
      <c r="P1061" s="244"/>
      <c r="Q1061" s="244"/>
    </row>
    <row r="1062" spans="4:17" x14ac:dyDescent="0.2">
      <c r="D1062" s="244"/>
      <c r="E1062" s="244"/>
      <c r="F1062" s="244"/>
      <c r="G1062" s="244"/>
      <c r="H1062" s="244"/>
      <c r="I1062" s="244"/>
      <c r="J1062" s="244"/>
      <c r="K1062" s="244"/>
      <c r="L1062" s="244"/>
      <c r="M1062" s="244"/>
      <c r="N1062" s="244"/>
      <c r="O1062" s="244"/>
      <c r="P1062" s="244"/>
      <c r="Q1062" s="244"/>
    </row>
    <row r="1063" spans="4:17" x14ac:dyDescent="0.2">
      <c r="D1063" s="244"/>
      <c r="E1063" s="244"/>
      <c r="F1063" s="244"/>
      <c r="G1063" s="244"/>
      <c r="H1063" s="244"/>
      <c r="I1063" s="244"/>
      <c r="J1063" s="244"/>
      <c r="K1063" s="244"/>
      <c r="L1063" s="244"/>
      <c r="M1063" s="244"/>
      <c r="N1063" s="244"/>
      <c r="O1063" s="244"/>
      <c r="P1063" s="244"/>
      <c r="Q1063" s="244"/>
    </row>
    <row r="1064" spans="4:17" x14ac:dyDescent="0.2">
      <c r="D1064" s="244"/>
      <c r="E1064" s="244"/>
      <c r="F1064" s="244"/>
      <c r="G1064" s="244"/>
      <c r="H1064" s="244"/>
      <c r="I1064" s="244"/>
      <c r="J1064" s="244"/>
      <c r="K1064" s="244"/>
      <c r="L1064" s="244"/>
      <c r="M1064" s="244"/>
      <c r="N1064" s="244"/>
      <c r="O1064" s="244"/>
      <c r="P1064" s="244"/>
      <c r="Q1064" s="244"/>
    </row>
    <row r="1065" spans="4:17" x14ac:dyDescent="0.2">
      <c r="D1065" s="244"/>
      <c r="E1065" s="244"/>
      <c r="F1065" s="244"/>
      <c r="G1065" s="244"/>
      <c r="H1065" s="244"/>
      <c r="I1065" s="244"/>
      <c r="J1065" s="244"/>
      <c r="K1065" s="244"/>
      <c r="L1065" s="244"/>
      <c r="M1065" s="244"/>
      <c r="N1065" s="244"/>
      <c r="O1065" s="244"/>
      <c r="P1065" s="244"/>
      <c r="Q1065" s="244"/>
    </row>
    <row r="1066" spans="4:17" x14ac:dyDescent="0.2">
      <c r="D1066" s="244"/>
      <c r="E1066" s="244"/>
      <c r="F1066" s="244"/>
      <c r="G1066" s="244"/>
      <c r="H1066" s="244"/>
      <c r="I1066" s="244"/>
      <c r="J1066" s="244"/>
      <c r="K1066" s="244"/>
      <c r="L1066" s="244"/>
      <c r="M1066" s="244"/>
      <c r="N1066" s="244"/>
      <c r="O1066" s="244"/>
      <c r="P1066" s="244"/>
      <c r="Q1066" s="244"/>
    </row>
    <row r="1067" spans="4:17" x14ac:dyDescent="0.2">
      <c r="D1067" s="244"/>
      <c r="E1067" s="244"/>
      <c r="F1067" s="244"/>
      <c r="G1067" s="244"/>
      <c r="H1067" s="244"/>
      <c r="I1067" s="244"/>
      <c r="J1067" s="244"/>
      <c r="K1067" s="244"/>
      <c r="L1067" s="244"/>
      <c r="M1067" s="244"/>
      <c r="N1067" s="244"/>
      <c r="O1067" s="244"/>
      <c r="P1067" s="244"/>
      <c r="Q1067" s="244"/>
    </row>
    <row r="1068" spans="4:17" x14ac:dyDescent="0.2">
      <c r="D1068" s="244"/>
      <c r="E1068" s="244"/>
      <c r="F1068" s="244"/>
      <c r="G1068" s="244"/>
      <c r="H1068" s="244"/>
      <c r="I1068" s="244"/>
      <c r="J1068" s="244"/>
      <c r="K1068" s="244"/>
      <c r="L1068" s="244"/>
      <c r="M1068" s="244"/>
      <c r="N1068" s="244"/>
      <c r="O1068" s="244"/>
      <c r="P1068" s="244"/>
      <c r="Q1068" s="244"/>
    </row>
    <row r="1069" spans="4:17" x14ac:dyDescent="0.2">
      <c r="D1069" s="244"/>
      <c r="E1069" s="244"/>
      <c r="F1069" s="244"/>
      <c r="G1069" s="244"/>
      <c r="H1069" s="244"/>
      <c r="I1069" s="244"/>
      <c r="J1069" s="244"/>
      <c r="K1069" s="244"/>
      <c r="L1069" s="244"/>
      <c r="M1069" s="244"/>
      <c r="N1069" s="244"/>
      <c r="O1069" s="244"/>
      <c r="P1069" s="244"/>
      <c r="Q1069" s="244"/>
    </row>
    <row r="1070" spans="4:17" x14ac:dyDescent="0.2">
      <c r="D1070" s="244"/>
      <c r="E1070" s="244"/>
      <c r="F1070" s="244"/>
      <c r="G1070" s="244"/>
      <c r="H1070" s="244"/>
      <c r="I1070" s="244"/>
      <c r="J1070" s="244"/>
      <c r="K1070" s="244"/>
      <c r="L1070" s="244"/>
      <c r="M1070" s="244"/>
      <c r="N1070" s="244"/>
      <c r="O1070" s="244"/>
      <c r="P1070" s="244"/>
      <c r="Q1070" s="244"/>
    </row>
    <row r="1071" spans="4:17" x14ac:dyDescent="0.2">
      <c r="D1071" s="244"/>
      <c r="E1071" s="244"/>
      <c r="F1071" s="244"/>
      <c r="G1071" s="244"/>
      <c r="H1071" s="244"/>
      <c r="I1071" s="244"/>
      <c r="J1071" s="244"/>
      <c r="K1071" s="244"/>
      <c r="L1071" s="244"/>
      <c r="M1071" s="244"/>
      <c r="N1071" s="244"/>
      <c r="O1071" s="244"/>
      <c r="P1071" s="244"/>
      <c r="Q1071" s="244"/>
    </row>
    <row r="1072" spans="4:17" x14ac:dyDescent="0.2">
      <c r="D1072" s="244"/>
      <c r="E1072" s="244"/>
      <c r="F1072" s="244"/>
      <c r="G1072" s="244"/>
      <c r="H1072" s="244"/>
      <c r="I1072" s="244"/>
      <c r="J1072" s="244"/>
      <c r="K1072" s="244"/>
      <c r="L1072" s="244"/>
      <c r="M1072" s="244"/>
      <c r="N1072" s="244"/>
      <c r="O1072" s="244"/>
      <c r="P1072" s="244"/>
      <c r="Q1072" s="244"/>
    </row>
    <row r="1073" spans="4:17" x14ac:dyDescent="0.2">
      <c r="D1073" s="244"/>
      <c r="E1073" s="244"/>
      <c r="F1073" s="244"/>
      <c r="G1073" s="244"/>
      <c r="H1073" s="244"/>
      <c r="I1073" s="244"/>
      <c r="J1073" s="244"/>
      <c r="K1073" s="244"/>
      <c r="L1073" s="244"/>
      <c r="M1073" s="244"/>
      <c r="N1073" s="244"/>
      <c r="O1073" s="244"/>
      <c r="P1073" s="244"/>
      <c r="Q1073" s="244"/>
    </row>
    <row r="1074" spans="4:17" x14ac:dyDescent="0.2">
      <c r="D1074" s="244"/>
      <c r="E1074" s="244"/>
      <c r="F1074" s="244"/>
      <c r="G1074" s="244"/>
      <c r="H1074" s="244"/>
      <c r="I1074" s="244"/>
      <c r="J1074" s="244"/>
      <c r="K1074" s="244"/>
      <c r="L1074" s="244"/>
      <c r="M1074" s="244"/>
      <c r="N1074" s="244"/>
      <c r="O1074" s="244"/>
      <c r="P1074" s="244"/>
      <c r="Q1074" s="244"/>
    </row>
    <row r="1075" spans="4:17" x14ac:dyDescent="0.2">
      <c r="D1075" s="244"/>
      <c r="E1075" s="244"/>
      <c r="F1075" s="244"/>
      <c r="G1075" s="244"/>
      <c r="H1075" s="244"/>
      <c r="I1075" s="244"/>
      <c r="J1075" s="244"/>
      <c r="K1075" s="244"/>
      <c r="L1075" s="244"/>
      <c r="M1075" s="244"/>
      <c r="N1075" s="244"/>
      <c r="O1075" s="244"/>
      <c r="P1075" s="244"/>
      <c r="Q1075" s="244"/>
    </row>
    <row r="1076" spans="4:17" x14ac:dyDescent="0.2">
      <c r="D1076" s="244"/>
      <c r="E1076" s="244"/>
      <c r="F1076" s="244"/>
      <c r="G1076" s="244"/>
      <c r="H1076" s="244"/>
      <c r="I1076" s="244"/>
      <c r="J1076" s="244"/>
      <c r="K1076" s="244"/>
      <c r="L1076" s="244"/>
      <c r="M1076" s="244"/>
      <c r="N1076" s="244"/>
      <c r="O1076" s="244"/>
      <c r="P1076" s="244"/>
      <c r="Q1076" s="244"/>
    </row>
    <row r="1077" spans="4:17" x14ac:dyDescent="0.2">
      <c r="D1077" s="244"/>
      <c r="E1077" s="244"/>
      <c r="F1077" s="244"/>
      <c r="G1077" s="244"/>
      <c r="H1077" s="244"/>
      <c r="I1077" s="244"/>
      <c r="J1077" s="244"/>
      <c r="K1077" s="244"/>
      <c r="L1077" s="244"/>
      <c r="M1077" s="244"/>
      <c r="N1077" s="244"/>
      <c r="O1077" s="244"/>
      <c r="P1077" s="244"/>
      <c r="Q1077" s="244"/>
    </row>
    <row r="1078" spans="4:17" x14ac:dyDescent="0.2">
      <c r="D1078" s="244"/>
      <c r="E1078" s="244"/>
      <c r="F1078" s="244"/>
      <c r="G1078" s="244"/>
      <c r="H1078" s="244"/>
      <c r="I1078" s="244"/>
      <c r="J1078" s="244"/>
      <c r="K1078" s="244"/>
      <c r="L1078" s="244"/>
      <c r="M1078" s="244"/>
      <c r="N1078" s="244"/>
      <c r="O1078" s="244"/>
      <c r="P1078" s="244"/>
      <c r="Q1078" s="244"/>
    </row>
    <row r="1079" spans="4:17" x14ac:dyDescent="0.2">
      <c r="D1079" s="244"/>
      <c r="E1079" s="244"/>
      <c r="F1079" s="244"/>
      <c r="G1079" s="244"/>
      <c r="H1079" s="244"/>
      <c r="I1079" s="244"/>
      <c r="J1079" s="244"/>
      <c r="K1079" s="244"/>
      <c r="L1079" s="244"/>
      <c r="M1079" s="244"/>
      <c r="N1079" s="244"/>
      <c r="O1079" s="244"/>
      <c r="P1079" s="244"/>
      <c r="Q1079" s="244"/>
    </row>
    <row r="1080" spans="4:17" x14ac:dyDescent="0.2">
      <c r="D1080" s="244"/>
      <c r="E1080" s="244"/>
      <c r="F1080" s="244"/>
      <c r="G1080" s="244"/>
      <c r="H1080" s="244"/>
      <c r="I1080" s="244"/>
      <c r="J1080" s="244"/>
      <c r="K1080" s="244"/>
      <c r="L1080" s="244"/>
      <c r="M1080" s="244"/>
      <c r="N1080" s="244"/>
      <c r="O1080" s="244"/>
      <c r="P1080" s="244"/>
      <c r="Q1080" s="244"/>
    </row>
    <row r="1081" spans="4:17" x14ac:dyDescent="0.2">
      <c r="D1081" s="244"/>
      <c r="E1081" s="244"/>
      <c r="F1081" s="244"/>
      <c r="G1081" s="244"/>
      <c r="H1081" s="244"/>
      <c r="I1081" s="244"/>
      <c r="J1081" s="244"/>
      <c r="K1081" s="244"/>
      <c r="L1081" s="244"/>
      <c r="M1081" s="244"/>
      <c r="N1081" s="244"/>
      <c r="O1081" s="244"/>
      <c r="P1081" s="244"/>
      <c r="Q1081" s="244"/>
    </row>
    <row r="1082" spans="4:17" x14ac:dyDescent="0.2">
      <c r="D1082" s="244"/>
      <c r="E1082" s="244"/>
      <c r="F1082" s="244"/>
      <c r="G1082" s="244"/>
      <c r="H1082" s="244"/>
      <c r="I1082" s="244"/>
      <c r="J1082" s="244"/>
      <c r="K1082" s="244"/>
      <c r="L1082" s="244"/>
      <c r="M1082" s="244"/>
      <c r="N1082" s="244"/>
      <c r="O1082" s="244"/>
      <c r="P1082" s="244"/>
      <c r="Q1082" s="244"/>
    </row>
    <row r="1083" spans="4:17" x14ac:dyDescent="0.2">
      <c r="D1083" s="244"/>
      <c r="E1083" s="244"/>
      <c r="F1083" s="244"/>
      <c r="G1083" s="244"/>
      <c r="H1083" s="244"/>
      <c r="I1083" s="244"/>
      <c r="J1083" s="244"/>
      <c r="K1083" s="244"/>
      <c r="L1083" s="244"/>
      <c r="M1083" s="244"/>
      <c r="N1083" s="244"/>
      <c r="O1083" s="244"/>
      <c r="P1083" s="244"/>
      <c r="Q1083" s="244"/>
    </row>
    <row r="1084" spans="4:17" x14ac:dyDescent="0.2">
      <c r="D1084" s="244"/>
      <c r="E1084" s="244"/>
      <c r="F1084" s="244"/>
      <c r="G1084" s="244"/>
      <c r="H1084" s="244"/>
      <c r="I1084" s="244"/>
      <c r="J1084" s="244"/>
      <c r="K1084" s="244"/>
      <c r="L1084" s="244"/>
      <c r="M1084" s="244"/>
      <c r="N1084" s="244"/>
      <c r="O1084" s="244"/>
      <c r="P1084" s="244"/>
      <c r="Q1084" s="244"/>
    </row>
    <row r="1085" spans="4:17" x14ac:dyDescent="0.2">
      <c r="D1085" s="244"/>
      <c r="E1085" s="244"/>
      <c r="F1085" s="244"/>
      <c r="G1085" s="244"/>
      <c r="H1085" s="244"/>
      <c r="I1085" s="244"/>
      <c r="J1085" s="244"/>
      <c r="K1085" s="244"/>
      <c r="L1085" s="244"/>
      <c r="M1085" s="244"/>
      <c r="N1085" s="244"/>
      <c r="O1085" s="244"/>
      <c r="P1085" s="244"/>
      <c r="Q1085" s="244"/>
    </row>
    <row r="1086" spans="4:17" x14ac:dyDescent="0.2"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4"/>
      <c r="Q1086" s="244"/>
    </row>
    <row r="1087" spans="4:17" x14ac:dyDescent="0.2">
      <c r="D1087" s="244"/>
      <c r="E1087" s="244"/>
      <c r="F1087" s="244"/>
      <c r="G1087" s="244"/>
      <c r="H1087" s="244"/>
      <c r="I1087" s="244"/>
      <c r="J1087" s="244"/>
      <c r="K1087" s="244"/>
      <c r="L1087" s="244"/>
      <c r="M1087" s="244"/>
      <c r="N1087" s="244"/>
      <c r="O1087" s="244"/>
      <c r="P1087" s="244"/>
      <c r="Q1087" s="244"/>
    </row>
    <row r="1088" spans="4:17" x14ac:dyDescent="0.2">
      <c r="D1088" s="244"/>
      <c r="E1088" s="244"/>
      <c r="F1088" s="244"/>
      <c r="G1088" s="244"/>
      <c r="H1088" s="244"/>
      <c r="I1088" s="244"/>
      <c r="J1088" s="244"/>
      <c r="K1088" s="244"/>
      <c r="L1088" s="244"/>
      <c r="M1088" s="244"/>
      <c r="N1088" s="244"/>
      <c r="O1088" s="244"/>
      <c r="P1088" s="244"/>
      <c r="Q1088" s="244"/>
    </row>
    <row r="1089" spans="4:17" x14ac:dyDescent="0.2">
      <c r="D1089" s="244"/>
      <c r="E1089" s="244"/>
      <c r="F1089" s="244"/>
      <c r="G1089" s="244"/>
      <c r="H1089" s="244"/>
      <c r="I1089" s="244"/>
      <c r="J1089" s="244"/>
      <c r="K1089" s="244"/>
      <c r="L1089" s="244"/>
      <c r="M1089" s="244"/>
      <c r="N1089" s="244"/>
      <c r="O1089" s="244"/>
      <c r="P1089" s="244"/>
      <c r="Q1089" s="244"/>
    </row>
    <row r="1090" spans="4:17" x14ac:dyDescent="0.2">
      <c r="D1090" s="244"/>
      <c r="E1090" s="244"/>
      <c r="F1090" s="244"/>
      <c r="G1090" s="244"/>
      <c r="H1090" s="244"/>
      <c r="I1090" s="244"/>
      <c r="J1090" s="244"/>
      <c r="K1090" s="244"/>
      <c r="L1090" s="244"/>
      <c r="M1090" s="244"/>
      <c r="N1090" s="244"/>
      <c r="O1090" s="244"/>
      <c r="P1090" s="244"/>
      <c r="Q1090" s="244"/>
    </row>
    <row r="1091" spans="4:17" x14ac:dyDescent="0.2">
      <c r="D1091" s="244"/>
      <c r="E1091" s="244"/>
      <c r="F1091" s="244"/>
      <c r="G1091" s="244"/>
      <c r="H1091" s="244"/>
      <c r="I1091" s="244"/>
      <c r="J1091" s="244"/>
      <c r="K1091" s="244"/>
      <c r="L1091" s="244"/>
      <c r="M1091" s="244"/>
      <c r="N1091" s="244"/>
      <c r="O1091" s="244"/>
      <c r="P1091" s="244"/>
      <c r="Q1091" s="244"/>
    </row>
    <row r="1092" spans="4:17" x14ac:dyDescent="0.2">
      <c r="D1092" s="244"/>
      <c r="E1092" s="244"/>
      <c r="F1092" s="244"/>
      <c r="G1092" s="244"/>
      <c r="H1092" s="244"/>
      <c r="I1092" s="244"/>
      <c r="J1092" s="244"/>
      <c r="K1092" s="244"/>
      <c r="L1092" s="244"/>
      <c r="M1092" s="244"/>
      <c r="N1092" s="244"/>
      <c r="O1092" s="244"/>
      <c r="P1092" s="244"/>
      <c r="Q1092" s="244"/>
    </row>
    <row r="1093" spans="4:17" x14ac:dyDescent="0.2">
      <c r="D1093" s="244"/>
      <c r="E1093" s="244"/>
      <c r="F1093" s="244"/>
      <c r="G1093" s="244"/>
      <c r="H1093" s="244"/>
      <c r="I1093" s="244"/>
      <c r="J1093" s="244"/>
      <c r="K1093" s="244"/>
      <c r="L1093" s="244"/>
      <c r="M1093" s="244"/>
      <c r="N1093" s="244"/>
      <c r="O1093" s="244"/>
      <c r="P1093" s="244"/>
      <c r="Q1093" s="244"/>
    </row>
    <row r="1094" spans="4:17" x14ac:dyDescent="0.2">
      <c r="D1094" s="244"/>
      <c r="E1094" s="244"/>
      <c r="F1094" s="244"/>
      <c r="G1094" s="244"/>
      <c r="H1094" s="244"/>
      <c r="I1094" s="244"/>
      <c r="J1094" s="244"/>
      <c r="K1094" s="244"/>
      <c r="L1094" s="244"/>
      <c r="M1094" s="244"/>
      <c r="N1094" s="244"/>
      <c r="O1094" s="244"/>
      <c r="P1094" s="244"/>
      <c r="Q1094" s="244"/>
    </row>
    <row r="1095" spans="4:17" x14ac:dyDescent="0.2">
      <c r="D1095" s="244"/>
      <c r="E1095" s="244"/>
      <c r="F1095" s="244"/>
      <c r="G1095" s="244"/>
      <c r="H1095" s="244"/>
      <c r="I1095" s="244"/>
      <c r="J1095" s="244"/>
      <c r="K1095" s="244"/>
      <c r="L1095" s="244"/>
      <c r="M1095" s="244"/>
      <c r="N1095" s="244"/>
      <c r="O1095" s="244"/>
      <c r="P1095" s="244"/>
      <c r="Q1095" s="244"/>
    </row>
    <row r="1096" spans="4:17" x14ac:dyDescent="0.2">
      <c r="D1096" s="244"/>
      <c r="E1096" s="244"/>
      <c r="F1096" s="244"/>
      <c r="G1096" s="244"/>
      <c r="H1096" s="244"/>
      <c r="I1096" s="244"/>
      <c r="J1096" s="244"/>
      <c r="K1096" s="244"/>
      <c r="L1096" s="244"/>
      <c r="M1096" s="244"/>
      <c r="N1096" s="244"/>
      <c r="O1096" s="244"/>
      <c r="P1096" s="244"/>
      <c r="Q1096" s="244"/>
    </row>
    <row r="1097" spans="4:17" x14ac:dyDescent="0.2">
      <c r="D1097" s="244"/>
      <c r="E1097" s="244"/>
      <c r="F1097" s="244"/>
      <c r="G1097" s="244"/>
      <c r="H1097" s="244"/>
      <c r="I1097" s="244"/>
      <c r="J1097" s="244"/>
      <c r="K1097" s="244"/>
      <c r="L1097" s="244"/>
      <c r="M1097" s="244"/>
      <c r="N1097" s="244"/>
      <c r="O1097" s="244"/>
      <c r="P1097" s="244"/>
      <c r="Q1097" s="244"/>
    </row>
    <row r="1098" spans="4:17" x14ac:dyDescent="0.2">
      <c r="D1098" s="244"/>
      <c r="E1098" s="244"/>
      <c r="F1098" s="244"/>
      <c r="G1098" s="244"/>
      <c r="H1098" s="244"/>
      <c r="I1098" s="244"/>
      <c r="J1098" s="244"/>
      <c r="K1098" s="244"/>
      <c r="L1098" s="244"/>
      <c r="M1098" s="244"/>
      <c r="N1098" s="244"/>
      <c r="O1098" s="244"/>
      <c r="P1098" s="244"/>
      <c r="Q1098" s="244"/>
    </row>
    <row r="1099" spans="4:17" x14ac:dyDescent="0.2">
      <c r="D1099" s="244"/>
      <c r="E1099" s="244"/>
      <c r="F1099" s="244"/>
      <c r="G1099" s="244"/>
      <c r="H1099" s="244"/>
      <c r="I1099" s="244"/>
      <c r="J1099" s="244"/>
      <c r="K1099" s="244"/>
      <c r="L1099" s="244"/>
      <c r="M1099" s="244"/>
      <c r="N1099" s="244"/>
      <c r="O1099" s="244"/>
      <c r="P1099" s="244"/>
      <c r="Q1099" s="244"/>
    </row>
    <row r="1100" spans="4:17" x14ac:dyDescent="0.2">
      <c r="D1100" s="244"/>
      <c r="E1100" s="244"/>
      <c r="F1100" s="244"/>
      <c r="G1100" s="244"/>
      <c r="H1100" s="244"/>
      <c r="I1100" s="244"/>
      <c r="J1100" s="244"/>
      <c r="K1100" s="244"/>
      <c r="L1100" s="244"/>
      <c r="M1100" s="244"/>
      <c r="N1100" s="244"/>
      <c r="O1100" s="244"/>
      <c r="P1100" s="244"/>
      <c r="Q1100" s="244"/>
    </row>
    <row r="1101" spans="4:17" x14ac:dyDescent="0.2">
      <c r="D1101" s="244"/>
      <c r="E1101" s="244"/>
      <c r="F1101" s="244"/>
      <c r="G1101" s="244"/>
      <c r="H1101" s="244"/>
      <c r="I1101" s="244"/>
      <c r="J1101" s="244"/>
      <c r="K1101" s="244"/>
      <c r="L1101" s="244"/>
      <c r="M1101" s="244"/>
      <c r="N1101" s="244"/>
      <c r="O1101" s="244"/>
      <c r="P1101" s="244"/>
      <c r="Q1101" s="244"/>
    </row>
    <row r="1102" spans="4:17" x14ac:dyDescent="0.2">
      <c r="D1102" s="244"/>
      <c r="E1102" s="244"/>
      <c r="F1102" s="244"/>
      <c r="G1102" s="244"/>
      <c r="H1102" s="244"/>
      <c r="I1102" s="244"/>
      <c r="J1102" s="244"/>
      <c r="K1102" s="244"/>
      <c r="L1102" s="244"/>
      <c r="M1102" s="244"/>
      <c r="N1102" s="244"/>
      <c r="O1102" s="244"/>
      <c r="P1102" s="244"/>
      <c r="Q1102" s="244"/>
    </row>
    <row r="1103" spans="4:17" x14ac:dyDescent="0.2">
      <c r="D1103" s="244"/>
      <c r="E1103" s="244"/>
      <c r="F1103" s="244"/>
      <c r="G1103" s="244"/>
      <c r="H1103" s="244"/>
      <c r="I1103" s="244"/>
      <c r="J1103" s="244"/>
      <c r="K1103" s="244"/>
      <c r="L1103" s="244"/>
      <c r="M1103" s="244"/>
      <c r="N1103" s="244"/>
      <c r="O1103" s="244"/>
      <c r="P1103" s="244"/>
      <c r="Q1103" s="244"/>
    </row>
    <row r="1104" spans="4:17" x14ac:dyDescent="0.2">
      <c r="D1104" s="244"/>
      <c r="E1104" s="244"/>
      <c r="F1104" s="244"/>
      <c r="G1104" s="244"/>
      <c r="H1104" s="244"/>
      <c r="I1104" s="244"/>
      <c r="J1104" s="244"/>
      <c r="K1104" s="244"/>
      <c r="L1104" s="244"/>
      <c r="M1104" s="244"/>
      <c r="N1104" s="244"/>
      <c r="O1104" s="244"/>
      <c r="P1104" s="244"/>
      <c r="Q1104" s="244"/>
    </row>
    <row r="1105" spans="4:17" x14ac:dyDescent="0.2">
      <c r="D1105" s="244"/>
      <c r="E1105" s="244"/>
      <c r="F1105" s="244"/>
      <c r="G1105" s="244"/>
      <c r="H1105" s="244"/>
      <c r="I1105" s="244"/>
      <c r="J1105" s="244"/>
      <c r="K1105" s="244"/>
      <c r="L1105" s="244"/>
      <c r="M1105" s="244"/>
      <c r="N1105" s="244"/>
      <c r="O1105" s="244"/>
      <c r="P1105" s="244"/>
      <c r="Q1105" s="244"/>
    </row>
    <row r="1106" spans="4:17" x14ac:dyDescent="0.2">
      <c r="D1106" s="244"/>
      <c r="E1106" s="244"/>
      <c r="F1106" s="244"/>
      <c r="G1106" s="244"/>
      <c r="H1106" s="244"/>
      <c r="I1106" s="244"/>
      <c r="J1106" s="244"/>
      <c r="K1106" s="244"/>
      <c r="L1106" s="244"/>
      <c r="M1106" s="244"/>
      <c r="N1106" s="244"/>
      <c r="O1106" s="244"/>
      <c r="P1106" s="244"/>
      <c r="Q1106" s="244"/>
    </row>
    <row r="1107" spans="4:17" x14ac:dyDescent="0.2">
      <c r="D1107" s="244"/>
      <c r="E1107" s="244"/>
      <c r="F1107" s="244"/>
      <c r="G1107" s="244"/>
      <c r="H1107" s="244"/>
      <c r="I1107" s="244"/>
      <c r="J1107" s="244"/>
      <c r="K1107" s="244"/>
      <c r="L1107" s="244"/>
      <c r="M1107" s="244"/>
      <c r="N1107" s="244"/>
      <c r="O1107" s="244"/>
      <c r="P1107" s="244"/>
      <c r="Q1107" s="244"/>
    </row>
    <row r="1108" spans="4:17" x14ac:dyDescent="0.2">
      <c r="D1108" s="244"/>
      <c r="E1108" s="244"/>
      <c r="F1108" s="244"/>
      <c r="G1108" s="244"/>
      <c r="H1108" s="244"/>
      <c r="I1108" s="244"/>
      <c r="J1108" s="244"/>
      <c r="K1108" s="244"/>
      <c r="L1108" s="244"/>
      <c r="M1108" s="244"/>
      <c r="N1108" s="244"/>
      <c r="O1108" s="244"/>
      <c r="P1108" s="244"/>
      <c r="Q1108" s="244"/>
    </row>
    <row r="1109" spans="4:17" x14ac:dyDescent="0.2">
      <c r="D1109" s="244"/>
      <c r="E1109" s="244"/>
      <c r="F1109" s="244"/>
      <c r="G1109" s="244"/>
      <c r="H1109" s="244"/>
      <c r="I1109" s="244"/>
      <c r="J1109" s="244"/>
      <c r="K1109" s="244"/>
      <c r="L1109" s="244"/>
      <c r="M1109" s="244"/>
      <c r="N1109" s="244"/>
      <c r="O1109" s="244"/>
      <c r="P1109" s="244"/>
      <c r="Q1109" s="244"/>
    </row>
    <row r="1110" spans="4:17" x14ac:dyDescent="0.2">
      <c r="D1110" s="244"/>
      <c r="E1110" s="244"/>
      <c r="F1110" s="244"/>
      <c r="G1110" s="244"/>
      <c r="H1110" s="244"/>
      <c r="I1110" s="244"/>
      <c r="J1110" s="244"/>
      <c r="K1110" s="244"/>
      <c r="L1110" s="244"/>
      <c r="M1110" s="244"/>
      <c r="N1110" s="244"/>
      <c r="O1110" s="244"/>
      <c r="P1110" s="244"/>
      <c r="Q1110" s="244"/>
    </row>
    <row r="1111" spans="4:17" x14ac:dyDescent="0.2">
      <c r="D1111" s="244"/>
      <c r="E1111" s="244"/>
      <c r="F1111" s="244"/>
      <c r="G1111" s="244"/>
      <c r="H1111" s="244"/>
      <c r="I1111" s="244"/>
      <c r="J1111" s="244"/>
      <c r="K1111" s="244"/>
      <c r="L1111" s="244"/>
      <c r="M1111" s="244"/>
      <c r="N1111" s="244"/>
      <c r="O1111" s="244"/>
      <c r="P1111" s="244"/>
      <c r="Q1111" s="244"/>
    </row>
    <row r="1112" spans="4:17" x14ac:dyDescent="0.2">
      <c r="D1112" s="244"/>
      <c r="E1112" s="244"/>
      <c r="F1112" s="244"/>
      <c r="G1112" s="244"/>
      <c r="H1112" s="244"/>
      <c r="I1112" s="244"/>
      <c r="J1112" s="244"/>
      <c r="K1112" s="244"/>
      <c r="L1112" s="244"/>
      <c r="M1112" s="244"/>
      <c r="N1112" s="244"/>
      <c r="O1112" s="244"/>
      <c r="P1112" s="244"/>
      <c r="Q1112" s="244"/>
    </row>
    <row r="1113" spans="4:17" x14ac:dyDescent="0.2">
      <c r="D1113" s="244"/>
      <c r="E1113" s="244"/>
      <c r="F1113" s="244"/>
      <c r="G1113" s="244"/>
      <c r="H1113" s="244"/>
      <c r="I1113" s="244"/>
      <c r="J1113" s="244"/>
      <c r="K1113" s="244"/>
      <c r="L1113" s="244"/>
      <c r="M1113" s="244"/>
      <c r="N1113" s="244"/>
      <c r="O1113" s="244"/>
      <c r="P1113" s="244"/>
      <c r="Q1113" s="244"/>
    </row>
    <row r="1114" spans="4:17" x14ac:dyDescent="0.2">
      <c r="D1114" s="244"/>
      <c r="E1114" s="244"/>
      <c r="F1114" s="244"/>
      <c r="G1114" s="244"/>
      <c r="H1114" s="244"/>
      <c r="I1114" s="244"/>
      <c r="J1114" s="244"/>
      <c r="K1114" s="244"/>
      <c r="L1114" s="244"/>
      <c r="M1114" s="244"/>
      <c r="N1114" s="244"/>
      <c r="O1114" s="244"/>
      <c r="P1114" s="244"/>
      <c r="Q1114" s="244"/>
    </row>
    <row r="1115" spans="4:17" x14ac:dyDescent="0.2">
      <c r="D1115" s="244"/>
      <c r="E1115" s="244"/>
      <c r="F1115" s="244"/>
      <c r="G1115" s="244"/>
      <c r="H1115" s="244"/>
      <c r="I1115" s="244"/>
      <c r="J1115" s="244"/>
      <c r="K1115" s="244"/>
      <c r="L1115" s="244"/>
      <c r="M1115" s="244"/>
      <c r="N1115" s="244"/>
      <c r="O1115" s="244"/>
      <c r="P1115" s="244"/>
      <c r="Q1115" s="244"/>
    </row>
    <row r="1116" spans="4:17" x14ac:dyDescent="0.2">
      <c r="D1116" s="244"/>
      <c r="E1116" s="244"/>
      <c r="F1116" s="244"/>
      <c r="G1116" s="244"/>
      <c r="H1116" s="244"/>
      <c r="I1116" s="244"/>
      <c r="J1116" s="244"/>
      <c r="K1116" s="244"/>
      <c r="L1116" s="244"/>
      <c r="M1116" s="244"/>
      <c r="N1116" s="244"/>
      <c r="O1116" s="244"/>
      <c r="P1116" s="244"/>
      <c r="Q1116" s="244"/>
    </row>
    <row r="1117" spans="4:17" x14ac:dyDescent="0.2">
      <c r="D1117" s="244"/>
      <c r="E1117" s="244"/>
      <c r="F1117" s="244"/>
      <c r="G1117" s="244"/>
      <c r="H1117" s="244"/>
      <c r="I1117" s="244"/>
      <c r="J1117" s="244"/>
      <c r="K1117" s="244"/>
      <c r="L1117" s="244"/>
      <c r="M1117" s="244"/>
      <c r="N1117" s="244"/>
      <c r="O1117" s="244"/>
      <c r="P1117" s="244"/>
      <c r="Q1117" s="244"/>
    </row>
    <row r="1118" spans="4:17" x14ac:dyDescent="0.2">
      <c r="D1118" s="244"/>
      <c r="E1118" s="244"/>
      <c r="F1118" s="244"/>
      <c r="G1118" s="244"/>
      <c r="H1118" s="244"/>
      <c r="I1118" s="244"/>
      <c r="J1118" s="244"/>
      <c r="K1118" s="244"/>
      <c r="L1118" s="244"/>
      <c r="M1118" s="244"/>
      <c r="N1118" s="244"/>
      <c r="O1118" s="244"/>
      <c r="P1118" s="244"/>
      <c r="Q1118" s="244"/>
    </row>
    <row r="1119" spans="4:17" x14ac:dyDescent="0.2">
      <c r="D1119" s="244"/>
      <c r="E1119" s="244"/>
      <c r="F1119" s="244"/>
      <c r="G1119" s="244"/>
      <c r="H1119" s="244"/>
      <c r="I1119" s="244"/>
      <c r="J1119" s="244"/>
      <c r="K1119" s="244"/>
      <c r="L1119" s="244"/>
      <c r="M1119" s="244"/>
      <c r="N1119" s="244"/>
      <c r="O1119" s="244"/>
      <c r="P1119" s="244"/>
      <c r="Q1119" s="244"/>
    </row>
    <row r="1120" spans="4:17" x14ac:dyDescent="0.2">
      <c r="D1120" s="244"/>
      <c r="E1120" s="244"/>
      <c r="F1120" s="244"/>
      <c r="G1120" s="244"/>
      <c r="H1120" s="244"/>
      <c r="I1120" s="244"/>
      <c r="J1120" s="244"/>
      <c r="K1120" s="244"/>
      <c r="L1120" s="244"/>
      <c r="M1120" s="244"/>
      <c r="N1120" s="244"/>
      <c r="O1120" s="244"/>
      <c r="P1120" s="244"/>
      <c r="Q1120" s="244"/>
    </row>
    <row r="1121" spans="4:17" x14ac:dyDescent="0.2">
      <c r="D1121" s="244"/>
      <c r="E1121" s="244"/>
      <c r="F1121" s="244"/>
      <c r="G1121" s="244"/>
      <c r="H1121" s="244"/>
      <c r="I1121" s="244"/>
      <c r="J1121" s="244"/>
      <c r="K1121" s="244"/>
      <c r="L1121" s="244"/>
      <c r="M1121" s="244"/>
      <c r="N1121" s="244"/>
      <c r="O1121" s="244"/>
      <c r="P1121" s="244"/>
      <c r="Q1121" s="244"/>
    </row>
    <row r="1122" spans="4:17" x14ac:dyDescent="0.2">
      <c r="D1122" s="244"/>
      <c r="E1122" s="244"/>
      <c r="F1122" s="244"/>
      <c r="G1122" s="244"/>
      <c r="H1122" s="244"/>
      <c r="I1122" s="244"/>
      <c r="J1122" s="244"/>
      <c r="K1122" s="244"/>
      <c r="L1122" s="244"/>
      <c r="M1122" s="244"/>
      <c r="N1122" s="244"/>
      <c r="O1122" s="244"/>
      <c r="P1122" s="244"/>
      <c r="Q1122" s="244"/>
    </row>
    <row r="1123" spans="4:17" x14ac:dyDescent="0.2">
      <c r="D1123" s="244"/>
      <c r="E1123" s="244"/>
      <c r="F1123" s="244"/>
      <c r="G1123" s="244"/>
      <c r="H1123" s="244"/>
      <c r="I1123" s="244"/>
      <c r="J1123" s="244"/>
      <c r="K1123" s="244"/>
      <c r="L1123" s="244"/>
      <c r="M1123" s="244"/>
      <c r="N1123" s="244"/>
      <c r="O1123" s="244"/>
      <c r="P1123" s="244"/>
      <c r="Q1123" s="244"/>
    </row>
    <row r="1124" spans="4:17" x14ac:dyDescent="0.2">
      <c r="D1124" s="244"/>
      <c r="E1124" s="244"/>
      <c r="F1124" s="244"/>
      <c r="G1124" s="244"/>
      <c r="H1124" s="244"/>
      <c r="I1124" s="244"/>
      <c r="J1124" s="244"/>
      <c r="K1124" s="244"/>
      <c r="L1124" s="244"/>
      <c r="M1124" s="244"/>
      <c r="N1124" s="244"/>
      <c r="O1124" s="244"/>
      <c r="P1124" s="244"/>
      <c r="Q1124" s="244"/>
    </row>
    <row r="1125" spans="4:17" x14ac:dyDescent="0.2">
      <c r="D1125" s="244"/>
      <c r="E1125" s="244"/>
      <c r="F1125" s="244"/>
      <c r="G1125" s="244"/>
      <c r="H1125" s="244"/>
      <c r="I1125" s="244"/>
      <c r="J1125" s="244"/>
      <c r="K1125" s="244"/>
      <c r="L1125" s="244"/>
      <c r="M1125" s="244"/>
      <c r="N1125" s="244"/>
      <c r="O1125" s="244"/>
      <c r="P1125" s="244"/>
      <c r="Q1125" s="244"/>
    </row>
    <row r="1126" spans="4:17" x14ac:dyDescent="0.2"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4"/>
      <c r="Q1126" s="244"/>
    </row>
    <row r="1127" spans="4:17" x14ac:dyDescent="0.2">
      <c r="D1127" s="244"/>
      <c r="E1127" s="244"/>
      <c r="F1127" s="244"/>
      <c r="G1127" s="244"/>
      <c r="H1127" s="244"/>
      <c r="I1127" s="244"/>
      <c r="J1127" s="244"/>
      <c r="K1127" s="244"/>
      <c r="L1127" s="244"/>
      <c r="M1127" s="244"/>
      <c r="N1127" s="244"/>
      <c r="O1127" s="244"/>
      <c r="P1127" s="244"/>
      <c r="Q1127" s="244"/>
    </row>
    <row r="1128" spans="4:17" x14ac:dyDescent="0.2">
      <c r="D1128" s="244"/>
      <c r="E1128" s="244"/>
      <c r="F1128" s="244"/>
      <c r="G1128" s="244"/>
      <c r="H1128" s="244"/>
      <c r="I1128" s="244"/>
      <c r="J1128" s="244"/>
      <c r="K1128" s="244"/>
      <c r="L1128" s="244"/>
      <c r="M1128" s="244"/>
      <c r="N1128" s="244"/>
      <c r="O1128" s="244"/>
      <c r="P1128" s="244"/>
      <c r="Q1128" s="244"/>
    </row>
    <row r="1129" spans="4:17" x14ac:dyDescent="0.2">
      <c r="D1129" s="244"/>
      <c r="E1129" s="244"/>
      <c r="F1129" s="244"/>
      <c r="G1129" s="244"/>
      <c r="H1129" s="244"/>
      <c r="I1129" s="244"/>
      <c r="J1129" s="244"/>
      <c r="K1129" s="244"/>
      <c r="L1129" s="244"/>
      <c r="M1129" s="244"/>
      <c r="N1129" s="244"/>
      <c r="O1129" s="244"/>
      <c r="P1129" s="244"/>
      <c r="Q1129" s="244"/>
    </row>
    <row r="1130" spans="4:17" x14ac:dyDescent="0.2">
      <c r="D1130" s="244"/>
      <c r="E1130" s="244"/>
      <c r="F1130" s="244"/>
      <c r="G1130" s="244"/>
      <c r="H1130" s="244"/>
      <c r="I1130" s="244"/>
      <c r="J1130" s="244"/>
      <c r="K1130" s="244"/>
      <c r="L1130" s="244"/>
      <c r="M1130" s="244"/>
      <c r="N1130" s="244"/>
      <c r="O1130" s="244"/>
      <c r="P1130" s="244"/>
      <c r="Q1130" s="244"/>
    </row>
    <row r="1131" spans="4:17" x14ac:dyDescent="0.2">
      <c r="D1131" s="244"/>
      <c r="E1131" s="244"/>
      <c r="F1131" s="244"/>
      <c r="G1131" s="244"/>
      <c r="H1131" s="244"/>
      <c r="I1131" s="244"/>
      <c r="J1131" s="244"/>
      <c r="K1131" s="244"/>
      <c r="L1131" s="244"/>
      <c r="M1131" s="244"/>
      <c r="N1131" s="244"/>
      <c r="O1131" s="244"/>
      <c r="P1131" s="244"/>
      <c r="Q1131" s="244"/>
    </row>
    <row r="1132" spans="4:17" x14ac:dyDescent="0.2">
      <c r="D1132" s="244"/>
      <c r="E1132" s="244"/>
      <c r="F1132" s="244"/>
      <c r="G1132" s="244"/>
      <c r="H1132" s="244"/>
      <c r="I1132" s="244"/>
      <c r="J1132" s="244"/>
      <c r="K1132" s="244"/>
      <c r="L1132" s="244"/>
      <c r="M1132" s="244"/>
      <c r="N1132" s="244"/>
      <c r="O1132" s="244"/>
      <c r="P1132" s="244"/>
      <c r="Q1132" s="244"/>
    </row>
    <row r="1133" spans="4:17" x14ac:dyDescent="0.2">
      <c r="D1133" s="244"/>
      <c r="E1133" s="244"/>
      <c r="F1133" s="244"/>
      <c r="G1133" s="244"/>
      <c r="H1133" s="244"/>
      <c r="I1133" s="244"/>
      <c r="J1133" s="244"/>
      <c r="K1133" s="244"/>
      <c r="L1133" s="244"/>
      <c r="M1133" s="244"/>
      <c r="N1133" s="244"/>
      <c r="O1133" s="244"/>
      <c r="P1133" s="244"/>
      <c r="Q1133" s="244"/>
    </row>
    <row r="1134" spans="4:17" x14ac:dyDescent="0.2">
      <c r="D1134" s="244"/>
      <c r="E1134" s="244"/>
      <c r="F1134" s="244"/>
      <c r="G1134" s="244"/>
      <c r="H1134" s="244"/>
      <c r="I1134" s="244"/>
      <c r="J1134" s="244"/>
      <c r="K1134" s="244"/>
      <c r="L1134" s="244"/>
      <c r="M1134" s="244"/>
      <c r="N1134" s="244"/>
      <c r="O1134" s="244"/>
      <c r="P1134" s="244"/>
      <c r="Q1134" s="244"/>
    </row>
    <row r="1135" spans="4:17" x14ac:dyDescent="0.2">
      <c r="D1135" s="244"/>
      <c r="E1135" s="244"/>
      <c r="F1135" s="244"/>
      <c r="G1135" s="244"/>
      <c r="H1135" s="244"/>
      <c r="I1135" s="244"/>
      <c r="J1135" s="244"/>
      <c r="K1135" s="244"/>
      <c r="L1135" s="244"/>
      <c r="M1135" s="244"/>
      <c r="N1135" s="244"/>
      <c r="O1135" s="244"/>
      <c r="P1135" s="244"/>
      <c r="Q1135" s="244"/>
    </row>
    <row r="1136" spans="4:17" x14ac:dyDescent="0.2">
      <c r="D1136" s="244"/>
      <c r="E1136" s="244"/>
      <c r="F1136" s="244"/>
      <c r="G1136" s="244"/>
      <c r="H1136" s="244"/>
      <c r="I1136" s="244"/>
      <c r="J1136" s="244"/>
      <c r="K1136" s="244"/>
      <c r="L1136" s="244"/>
      <c r="M1136" s="244"/>
      <c r="N1136" s="244"/>
      <c r="O1136" s="244"/>
      <c r="P1136" s="244"/>
      <c r="Q1136" s="244"/>
    </row>
    <row r="1137" spans="4:17" x14ac:dyDescent="0.2">
      <c r="D1137" s="244"/>
      <c r="E1137" s="244"/>
      <c r="F1137" s="244"/>
      <c r="G1137" s="244"/>
      <c r="H1137" s="244"/>
      <c r="I1137" s="244"/>
      <c r="J1137" s="244"/>
      <c r="K1137" s="244"/>
      <c r="L1137" s="244"/>
      <c r="M1137" s="244"/>
      <c r="N1137" s="244"/>
      <c r="O1137" s="244"/>
      <c r="P1137" s="244"/>
      <c r="Q1137" s="244"/>
    </row>
    <row r="1138" spans="4:17" x14ac:dyDescent="0.2">
      <c r="D1138" s="244"/>
      <c r="E1138" s="244"/>
      <c r="F1138" s="244"/>
      <c r="G1138" s="244"/>
      <c r="H1138" s="244"/>
      <c r="I1138" s="244"/>
      <c r="J1138" s="244"/>
      <c r="K1138" s="244"/>
      <c r="L1138" s="244"/>
      <c r="M1138" s="244"/>
      <c r="N1138" s="244"/>
      <c r="O1138" s="244"/>
      <c r="P1138" s="244"/>
      <c r="Q1138" s="244"/>
    </row>
    <row r="1139" spans="4:17" x14ac:dyDescent="0.2">
      <c r="D1139" s="244"/>
      <c r="E1139" s="244"/>
      <c r="F1139" s="244"/>
      <c r="G1139" s="244"/>
      <c r="H1139" s="244"/>
      <c r="I1139" s="244"/>
      <c r="J1139" s="244"/>
      <c r="K1139" s="244"/>
      <c r="L1139" s="244"/>
      <c r="M1139" s="244"/>
      <c r="N1139" s="244"/>
      <c r="O1139" s="244"/>
      <c r="P1139" s="244"/>
      <c r="Q1139" s="244"/>
    </row>
    <row r="1140" spans="4:17" x14ac:dyDescent="0.2">
      <c r="D1140" s="244"/>
      <c r="E1140" s="244"/>
      <c r="F1140" s="244"/>
      <c r="G1140" s="244"/>
      <c r="H1140" s="244"/>
      <c r="I1140" s="244"/>
      <c r="J1140" s="244"/>
      <c r="K1140" s="244"/>
      <c r="L1140" s="244"/>
      <c r="M1140" s="244"/>
      <c r="N1140" s="244"/>
      <c r="O1140" s="244"/>
      <c r="P1140" s="244"/>
      <c r="Q1140" s="244"/>
    </row>
    <row r="1141" spans="4:17" x14ac:dyDescent="0.2">
      <c r="D1141" s="244"/>
      <c r="E1141" s="244"/>
      <c r="F1141" s="244"/>
      <c r="G1141" s="244"/>
      <c r="H1141" s="244"/>
      <c r="I1141" s="244"/>
      <c r="J1141" s="244"/>
      <c r="K1141" s="244"/>
      <c r="L1141" s="244"/>
      <c r="M1141" s="244"/>
      <c r="N1141" s="244"/>
      <c r="O1141" s="244"/>
      <c r="P1141" s="244"/>
      <c r="Q1141" s="244"/>
    </row>
    <row r="1142" spans="4:17" x14ac:dyDescent="0.2">
      <c r="D1142" s="244"/>
      <c r="E1142" s="244"/>
      <c r="F1142" s="244"/>
      <c r="G1142" s="244"/>
      <c r="H1142" s="244"/>
      <c r="I1142" s="244"/>
      <c r="J1142" s="244"/>
      <c r="K1142" s="244"/>
      <c r="L1142" s="244"/>
      <c r="M1142" s="244"/>
      <c r="N1142" s="244"/>
      <c r="O1142" s="244"/>
      <c r="P1142" s="244"/>
      <c r="Q1142" s="244"/>
    </row>
    <row r="1143" spans="4:17" x14ac:dyDescent="0.2">
      <c r="D1143" s="244"/>
      <c r="E1143" s="244"/>
      <c r="F1143" s="244"/>
      <c r="G1143" s="244"/>
      <c r="H1143" s="244"/>
      <c r="I1143" s="244"/>
      <c r="J1143" s="244"/>
      <c r="K1143" s="244"/>
      <c r="L1143" s="244"/>
      <c r="M1143" s="244"/>
      <c r="N1143" s="244"/>
      <c r="O1143" s="244"/>
      <c r="P1143" s="244"/>
      <c r="Q1143" s="244"/>
    </row>
    <row r="1144" spans="4:17" x14ac:dyDescent="0.2">
      <c r="D1144" s="244"/>
      <c r="E1144" s="244"/>
      <c r="F1144" s="244"/>
      <c r="G1144" s="244"/>
      <c r="H1144" s="244"/>
      <c r="I1144" s="244"/>
      <c r="J1144" s="244"/>
      <c r="K1144" s="244"/>
      <c r="L1144" s="244"/>
      <c r="M1144" s="244"/>
      <c r="N1144" s="244"/>
      <c r="O1144" s="244"/>
      <c r="P1144" s="244"/>
      <c r="Q1144" s="244"/>
    </row>
    <row r="1145" spans="4:17" x14ac:dyDescent="0.2">
      <c r="D1145" s="244"/>
      <c r="E1145" s="244"/>
      <c r="F1145" s="244"/>
      <c r="G1145" s="244"/>
      <c r="H1145" s="244"/>
      <c r="I1145" s="244"/>
      <c r="J1145" s="244"/>
      <c r="K1145" s="244"/>
      <c r="L1145" s="244"/>
      <c r="M1145" s="244"/>
      <c r="N1145" s="244"/>
      <c r="O1145" s="244"/>
      <c r="P1145" s="244"/>
      <c r="Q1145" s="244"/>
    </row>
    <row r="1146" spans="4:17" x14ac:dyDescent="0.2">
      <c r="D1146" s="244"/>
      <c r="E1146" s="244"/>
      <c r="F1146" s="244"/>
      <c r="G1146" s="244"/>
      <c r="H1146" s="244"/>
      <c r="I1146" s="244"/>
      <c r="J1146" s="244"/>
      <c r="K1146" s="244"/>
      <c r="L1146" s="244"/>
      <c r="M1146" s="244"/>
      <c r="N1146" s="244"/>
      <c r="O1146" s="244"/>
      <c r="P1146" s="244"/>
      <c r="Q1146" s="244"/>
    </row>
    <row r="1147" spans="4:17" x14ac:dyDescent="0.2">
      <c r="D1147" s="244"/>
      <c r="E1147" s="244"/>
      <c r="F1147" s="244"/>
      <c r="G1147" s="244"/>
      <c r="H1147" s="244"/>
      <c r="I1147" s="244"/>
      <c r="J1147" s="244"/>
      <c r="K1147" s="244"/>
      <c r="L1147" s="244"/>
      <c r="M1147" s="244"/>
      <c r="N1147" s="244"/>
      <c r="O1147" s="244"/>
      <c r="P1147" s="244"/>
      <c r="Q1147" s="244"/>
    </row>
    <row r="1148" spans="4:17" x14ac:dyDescent="0.2">
      <c r="D1148" s="244"/>
      <c r="E1148" s="244"/>
      <c r="F1148" s="244"/>
      <c r="G1148" s="244"/>
      <c r="H1148" s="244"/>
      <c r="I1148" s="244"/>
      <c r="J1148" s="244"/>
      <c r="K1148" s="244"/>
      <c r="L1148" s="244"/>
      <c r="M1148" s="244"/>
      <c r="N1148" s="244"/>
      <c r="O1148" s="244"/>
      <c r="P1148" s="244"/>
      <c r="Q1148" s="244"/>
    </row>
    <row r="1149" spans="4:17" x14ac:dyDescent="0.2">
      <c r="D1149" s="244"/>
      <c r="E1149" s="244"/>
      <c r="F1149" s="244"/>
      <c r="G1149" s="244"/>
      <c r="H1149" s="244"/>
      <c r="I1149" s="244"/>
      <c r="J1149" s="244"/>
      <c r="K1149" s="244"/>
      <c r="L1149" s="244"/>
      <c r="M1149" s="244"/>
      <c r="N1149" s="244"/>
      <c r="O1149" s="244"/>
      <c r="P1149" s="244"/>
      <c r="Q1149" s="244"/>
    </row>
    <row r="1150" spans="4:17" x14ac:dyDescent="0.2">
      <c r="D1150" s="244"/>
      <c r="E1150" s="244"/>
      <c r="F1150" s="244"/>
      <c r="G1150" s="244"/>
      <c r="H1150" s="244"/>
      <c r="I1150" s="244"/>
      <c r="J1150" s="244"/>
      <c r="K1150" s="244"/>
      <c r="L1150" s="244"/>
      <c r="M1150" s="244"/>
      <c r="N1150" s="244"/>
      <c r="O1150" s="244"/>
      <c r="P1150" s="244"/>
      <c r="Q1150" s="244"/>
    </row>
    <row r="1151" spans="4:17" x14ac:dyDescent="0.2">
      <c r="D1151" s="244"/>
      <c r="E1151" s="244"/>
      <c r="F1151" s="244"/>
      <c r="G1151" s="244"/>
      <c r="H1151" s="244"/>
      <c r="I1151" s="244"/>
      <c r="J1151" s="244"/>
      <c r="K1151" s="244"/>
      <c r="L1151" s="244"/>
      <c r="M1151" s="244"/>
      <c r="N1151" s="244"/>
      <c r="O1151" s="244"/>
      <c r="P1151" s="244"/>
      <c r="Q1151" s="244"/>
    </row>
    <row r="1152" spans="4:17" x14ac:dyDescent="0.2">
      <c r="D1152" s="244"/>
      <c r="E1152" s="244"/>
      <c r="F1152" s="244"/>
      <c r="G1152" s="244"/>
      <c r="H1152" s="244"/>
      <c r="I1152" s="244"/>
      <c r="J1152" s="244"/>
      <c r="K1152" s="244"/>
      <c r="L1152" s="244"/>
      <c r="M1152" s="244"/>
      <c r="N1152" s="244"/>
      <c r="O1152" s="244"/>
      <c r="P1152" s="244"/>
      <c r="Q1152" s="244"/>
    </row>
    <row r="1153" spans="4:17" x14ac:dyDescent="0.2">
      <c r="D1153" s="244"/>
      <c r="E1153" s="244"/>
      <c r="F1153" s="244"/>
      <c r="G1153" s="244"/>
      <c r="H1153" s="244"/>
      <c r="I1153" s="244"/>
      <c r="J1153" s="244"/>
      <c r="K1153" s="244"/>
      <c r="L1153" s="244"/>
      <c r="M1153" s="244"/>
      <c r="N1153" s="244"/>
      <c r="O1153" s="244"/>
      <c r="P1153" s="244"/>
      <c r="Q1153" s="244"/>
    </row>
    <row r="1154" spans="4:17" x14ac:dyDescent="0.2">
      <c r="D1154" s="244"/>
      <c r="E1154" s="244"/>
      <c r="F1154" s="244"/>
      <c r="G1154" s="244"/>
      <c r="H1154" s="244"/>
      <c r="I1154" s="244"/>
      <c r="J1154" s="244"/>
      <c r="K1154" s="244"/>
      <c r="L1154" s="244"/>
      <c r="M1154" s="244"/>
      <c r="N1154" s="244"/>
      <c r="O1154" s="244"/>
      <c r="P1154" s="244"/>
      <c r="Q1154" s="244"/>
    </row>
    <row r="1155" spans="4:17" x14ac:dyDescent="0.2">
      <c r="D1155" s="244"/>
      <c r="E1155" s="244"/>
      <c r="F1155" s="244"/>
      <c r="G1155" s="244"/>
      <c r="H1155" s="244"/>
      <c r="I1155" s="244"/>
      <c r="J1155" s="244"/>
      <c r="K1155" s="244"/>
      <c r="L1155" s="244"/>
      <c r="M1155" s="244"/>
      <c r="N1155" s="244"/>
      <c r="O1155" s="244"/>
      <c r="P1155" s="244"/>
      <c r="Q1155" s="244"/>
    </row>
    <row r="1156" spans="4:17" x14ac:dyDescent="0.2">
      <c r="D1156" s="244"/>
      <c r="E1156" s="244"/>
      <c r="F1156" s="244"/>
      <c r="G1156" s="244"/>
      <c r="H1156" s="244"/>
      <c r="I1156" s="244"/>
      <c r="J1156" s="244"/>
      <c r="K1156" s="244"/>
      <c r="L1156" s="244"/>
      <c r="M1156" s="244"/>
      <c r="N1156" s="244"/>
      <c r="O1156" s="244"/>
      <c r="P1156" s="244"/>
      <c r="Q1156" s="244"/>
    </row>
    <row r="1157" spans="4:17" x14ac:dyDescent="0.2">
      <c r="D1157" s="244"/>
      <c r="E1157" s="244"/>
      <c r="F1157" s="244"/>
      <c r="G1157" s="244"/>
      <c r="H1157" s="244"/>
      <c r="I1157" s="244"/>
      <c r="J1157" s="244"/>
      <c r="K1157" s="244"/>
      <c r="L1157" s="244"/>
      <c r="M1157" s="244"/>
      <c r="N1157" s="244"/>
      <c r="O1157" s="244"/>
      <c r="P1157" s="244"/>
      <c r="Q1157" s="244"/>
    </row>
    <row r="1158" spans="4:17" x14ac:dyDescent="0.2">
      <c r="D1158" s="244"/>
      <c r="E1158" s="244"/>
      <c r="F1158" s="244"/>
      <c r="G1158" s="244"/>
      <c r="H1158" s="244"/>
      <c r="I1158" s="244"/>
      <c r="J1158" s="244"/>
      <c r="K1158" s="244"/>
      <c r="L1158" s="244"/>
      <c r="M1158" s="244"/>
      <c r="N1158" s="244"/>
      <c r="O1158" s="244"/>
      <c r="P1158" s="244"/>
      <c r="Q1158" s="244"/>
    </row>
    <row r="1159" spans="4:17" x14ac:dyDescent="0.2">
      <c r="D1159" s="244"/>
      <c r="E1159" s="244"/>
      <c r="F1159" s="244"/>
      <c r="G1159" s="244"/>
      <c r="H1159" s="244"/>
      <c r="I1159" s="244"/>
      <c r="J1159" s="244"/>
      <c r="K1159" s="244"/>
      <c r="L1159" s="244"/>
      <c r="M1159" s="244"/>
      <c r="N1159" s="244"/>
      <c r="O1159" s="244"/>
      <c r="P1159" s="244"/>
      <c r="Q1159" s="244"/>
    </row>
    <row r="1160" spans="4:17" x14ac:dyDescent="0.2">
      <c r="D1160" s="244"/>
      <c r="E1160" s="244"/>
      <c r="F1160" s="244"/>
      <c r="G1160" s="244"/>
      <c r="H1160" s="244"/>
      <c r="I1160" s="244"/>
      <c r="J1160" s="244"/>
      <c r="K1160" s="244"/>
      <c r="L1160" s="244"/>
      <c r="M1160" s="244"/>
      <c r="N1160" s="244"/>
      <c r="O1160" s="244"/>
      <c r="P1160" s="244"/>
      <c r="Q1160" s="244"/>
    </row>
    <row r="1161" spans="4:17" x14ac:dyDescent="0.2">
      <c r="D1161" s="244"/>
      <c r="E1161" s="244"/>
      <c r="F1161" s="244"/>
      <c r="G1161" s="244"/>
      <c r="H1161" s="244"/>
      <c r="I1161" s="244"/>
      <c r="J1161" s="244"/>
      <c r="K1161" s="244"/>
      <c r="L1161" s="244"/>
      <c r="M1161" s="244"/>
      <c r="N1161" s="244"/>
      <c r="O1161" s="244"/>
      <c r="P1161" s="244"/>
      <c r="Q1161" s="244"/>
    </row>
    <row r="1162" spans="4:17" x14ac:dyDescent="0.2">
      <c r="D1162" s="244"/>
      <c r="E1162" s="244"/>
      <c r="F1162" s="244"/>
      <c r="G1162" s="244"/>
      <c r="H1162" s="244"/>
      <c r="I1162" s="244"/>
      <c r="J1162" s="244"/>
      <c r="K1162" s="244"/>
      <c r="L1162" s="244"/>
      <c r="M1162" s="244"/>
      <c r="N1162" s="244"/>
      <c r="O1162" s="244"/>
      <c r="P1162" s="244"/>
      <c r="Q1162" s="244"/>
    </row>
    <row r="1163" spans="4:17" x14ac:dyDescent="0.2">
      <c r="D1163" s="244"/>
      <c r="E1163" s="244"/>
      <c r="F1163" s="244"/>
      <c r="G1163" s="244"/>
      <c r="H1163" s="244"/>
      <c r="I1163" s="244"/>
      <c r="J1163" s="244"/>
      <c r="K1163" s="244"/>
      <c r="L1163" s="244"/>
      <c r="M1163" s="244"/>
      <c r="N1163" s="244"/>
      <c r="O1163" s="244"/>
      <c r="P1163" s="244"/>
      <c r="Q1163" s="244"/>
    </row>
    <row r="1164" spans="4:17" x14ac:dyDescent="0.2">
      <c r="D1164" s="244"/>
      <c r="E1164" s="244"/>
      <c r="F1164" s="244"/>
      <c r="G1164" s="244"/>
      <c r="H1164" s="244"/>
      <c r="I1164" s="244"/>
      <c r="J1164" s="244"/>
      <c r="K1164" s="244"/>
      <c r="L1164" s="244"/>
      <c r="M1164" s="244"/>
      <c r="N1164" s="244"/>
      <c r="O1164" s="244"/>
      <c r="P1164" s="244"/>
      <c r="Q1164" s="244"/>
    </row>
    <row r="1165" spans="4:17" x14ac:dyDescent="0.2">
      <c r="D1165" s="244"/>
      <c r="E1165" s="244"/>
      <c r="F1165" s="244"/>
      <c r="G1165" s="244"/>
      <c r="H1165" s="244"/>
      <c r="I1165" s="244"/>
      <c r="J1165" s="244"/>
      <c r="K1165" s="244"/>
      <c r="L1165" s="244"/>
      <c r="M1165" s="244"/>
      <c r="N1165" s="244"/>
      <c r="O1165" s="244"/>
      <c r="P1165" s="244"/>
      <c r="Q1165" s="244"/>
    </row>
    <row r="1166" spans="4:17" x14ac:dyDescent="0.2">
      <c r="D1166" s="244"/>
      <c r="E1166" s="244"/>
      <c r="F1166" s="244"/>
      <c r="G1166" s="244"/>
      <c r="H1166" s="244"/>
      <c r="I1166" s="244"/>
      <c r="J1166" s="244"/>
      <c r="K1166" s="244"/>
      <c r="L1166" s="244"/>
      <c r="M1166" s="244"/>
      <c r="N1166" s="244"/>
      <c r="O1166" s="244"/>
      <c r="P1166" s="244"/>
      <c r="Q1166" s="244"/>
    </row>
    <row r="1167" spans="4:17" x14ac:dyDescent="0.2">
      <c r="D1167" s="244"/>
      <c r="E1167" s="244"/>
      <c r="F1167" s="244"/>
      <c r="G1167" s="244"/>
      <c r="H1167" s="244"/>
      <c r="I1167" s="244"/>
      <c r="J1167" s="244"/>
      <c r="K1167" s="244"/>
      <c r="L1167" s="244"/>
      <c r="M1167" s="244"/>
      <c r="N1167" s="244"/>
      <c r="O1167" s="244"/>
      <c r="P1167" s="244"/>
      <c r="Q1167" s="244"/>
    </row>
    <row r="1168" spans="4:17" x14ac:dyDescent="0.2">
      <c r="D1168" s="244"/>
      <c r="E1168" s="244"/>
      <c r="F1168" s="244"/>
      <c r="G1168" s="244"/>
      <c r="H1168" s="244"/>
      <c r="I1168" s="244"/>
      <c r="J1168" s="244"/>
      <c r="K1168" s="244"/>
      <c r="L1168" s="244"/>
      <c r="M1168" s="244"/>
      <c r="N1168" s="244"/>
      <c r="O1168" s="244"/>
      <c r="P1168" s="244"/>
      <c r="Q1168" s="244"/>
    </row>
    <row r="1169" spans="4:17" x14ac:dyDescent="0.2">
      <c r="D1169" s="244"/>
      <c r="E1169" s="244"/>
      <c r="F1169" s="244"/>
      <c r="G1169" s="244"/>
      <c r="H1169" s="244"/>
      <c r="I1169" s="244"/>
      <c r="J1169" s="244"/>
      <c r="K1169" s="244"/>
      <c r="L1169" s="244"/>
      <c r="M1169" s="244"/>
      <c r="N1169" s="244"/>
      <c r="O1169" s="244"/>
      <c r="P1169" s="244"/>
      <c r="Q1169" s="244"/>
    </row>
    <row r="1170" spans="4:17" x14ac:dyDescent="0.2">
      <c r="D1170" s="244"/>
      <c r="E1170" s="244"/>
      <c r="F1170" s="244"/>
      <c r="G1170" s="244"/>
      <c r="H1170" s="244"/>
      <c r="I1170" s="244"/>
      <c r="J1170" s="244"/>
      <c r="K1170" s="244"/>
      <c r="L1170" s="244"/>
      <c r="M1170" s="244"/>
      <c r="N1170" s="244"/>
      <c r="O1170" s="244"/>
      <c r="P1170" s="244"/>
      <c r="Q1170" s="244"/>
    </row>
    <row r="1171" spans="4:17" x14ac:dyDescent="0.2"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  <c r="P1171" s="244"/>
      <c r="Q1171" s="244"/>
    </row>
    <row r="1172" spans="4:17" x14ac:dyDescent="0.2">
      <c r="D1172" s="244"/>
      <c r="E1172" s="244"/>
      <c r="F1172" s="244"/>
      <c r="G1172" s="244"/>
      <c r="H1172" s="244"/>
      <c r="I1172" s="244"/>
      <c r="J1172" s="244"/>
      <c r="K1172" s="244"/>
      <c r="L1172" s="244"/>
      <c r="M1172" s="244"/>
      <c r="N1172" s="244"/>
      <c r="O1172" s="244"/>
      <c r="P1172" s="244"/>
      <c r="Q1172" s="244"/>
    </row>
    <row r="1173" spans="4:17" x14ac:dyDescent="0.2">
      <c r="D1173" s="244"/>
      <c r="E1173" s="244"/>
      <c r="F1173" s="244"/>
      <c r="G1173" s="244"/>
      <c r="H1173" s="244"/>
      <c r="I1173" s="244"/>
      <c r="J1173" s="244"/>
      <c r="K1173" s="244"/>
      <c r="L1173" s="244"/>
      <c r="M1173" s="244"/>
      <c r="N1173" s="244"/>
      <c r="O1173" s="244"/>
      <c r="P1173" s="244"/>
      <c r="Q1173" s="244"/>
    </row>
    <row r="1174" spans="4:17" x14ac:dyDescent="0.2">
      <c r="D1174" s="244"/>
      <c r="E1174" s="244"/>
      <c r="F1174" s="244"/>
      <c r="G1174" s="244"/>
      <c r="H1174" s="244"/>
      <c r="I1174" s="244"/>
      <c r="J1174" s="244"/>
      <c r="K1174" s="244"/>
      <c r="L1174" s="244"/>
      <c r="M1174" s="244"/>
      <c r="N1174" s="244"/>
      <c r="O1174" s="244"/>
      <c r="P1174" s="244"/>
      <c r="Q1174" s="244"/>
    </row>
    <row r="1175" spans="4:17" x14ac:dyDescent="0.2">
      <c r="D1175" s="244"/>
      <c r="E1175" s="244"/>
      <c r="F1175" s="244"/>
      <c r="G1175" s="244"/>
      <c r="H1175" s="244"/>
      <c r="I1175" s="244"/>
      <c r="J1175" s="244"/>
      <c r="K1175" s="244"/>
      <c r="L1175" s="244"/>
      <c r="M1175" s="244"/>
      <c r="N1175" s="244"/>
      <c r="O1175" s="244"/>
      <c r="P1175" s="244"/>
      <c r="Q1175" s="244"/>
    </row>
    <row r="1176" spans="4:17" x14ac:dyDescent="0.2">
      <c r="D1176" s="244"/>
      <c r="E1176" s="244"/>
      <c r="F1176" s="244"/>
      <c r="G1176" s="244"/>
      <c r="H1176" s="244"/>
      <c r="I1176" s="244"/>
      <c r="J1176" s="244"/>
      <c r="K1176" s="244"/>
      <c r="L1176" s="244"/>
      <c r="M1176" s="244"/>
      <c r="N1176" s="244"/>
      <c r="O1176" s="244"/>
      <c r="P1176" s="244"/>
      <c r="Q1176" s="244"/>
    </row>
    <row r="1177" spans="4:17" x14ac:dyDescent="0.2">
      <c r="D1177" s="244"/>
      <c r="E1177" s="244"/>
      <c r="F1177" s="244"/>
      <c r="G1177" s="244"/>
      <c r="H1177" s="244"/>
      <c r="I1177" s="244"/>
      <c r="J1177" s="244"/>
      <c r="K1177" s="244"/>
      <c r="L1177" s="244"/>
      <c r="M1177" s="244"/>
      <c r="N1177" s="244"/>
      <c r="O1177" s="244"/>
      <c r="P1177" s="244"/>
      <c r="Q1177" s="244"/>
    </row>
    <row r="1178" spans="4:17" x14ac:dyDescent="0.2">
      <c r="D1178" s="244"/>
      <c r="E1178" s="244"/>
      <c r="F1178" s="244"/>
      <c r="G1178" s="244"/>
      <c r="H1178" s="244"/>
      <c r="I1178" s="244"/>
      <c r="J1178" s="244"/>
      <c r="K1178" s="244"/>
      <c r="L1178" s="244"/>
      <c r="M1178" s="244"/>
      <c r="N1178" s="244"/>
      <c r="O1178" s="244"/>
      <c r="P1178" s="244"/>
      <c r="Q1178" s="244"/>
    </row>
    <row r="1179" spans="4:17" x14ac:dyDescent="0.2">
      <c r="D1179" s="244"/>
      <c r="E1179" s="244"/>
      <c r="F1179" s="244"/>
      <c r="G1179" s="244"/>
      <c r="H1179" s="244"/>
      <c r="I1179" s="244"/>
      <c r="J1179" s="244"/>
      <c r="K1179" s="244"/>
      <c r="L1179" s="244"/>
      <c r="M1179" s="244"/>
      <c r="N1179" s="244"/>
      <c r="O1179" s="244"/>
      <c r="P1179" s="244"/>
      <c r="Q1179" s="244"/>
    </row>
    <row r="1180" spans="4:17" x14ac:dyDescent="0.2">
      <c r="D1180" s="244"/>
      <c r="E1180" s="244"/>
      <c r="F1180" s="244"/>
      <c r="G1180" s="244"/>
      <c r="H1180" s="244"/>
      <c r="I1180" s="244"/>
      <c r="J1180" s="244"/>
      <c r="K1180" s="244"/>
      <c r="L1180" s="244"/>
      <c r="M1180" s="244"/>
      <c r="N1180" s="244"/>
      <c r="O1180" s="244"/>
      <c r="P1180" s="244"/>
      <c r="Q1180" s="244"/>
    </row>
    <row r="1181" spans="4:17" x14ac:dyDescent="0.2">
      <c r="D1181" s="244"/>
      <c r="E1181" s="244"/>
      <c r="F1181" s="244"/>
      <c r="G1181" s="244"/>
      <c r="H1181" s="244"/>
      <c r="I1181" s="244"/>
      <c r="J1181" s="244"/>
      <c r="K1181" s="244"/>
      <c r="L1181" s="244"/>
      <c r="M1181" s="244"/>
      <c r="N1181" s="244"/>
      <c r="O1181" s="244"/>
      <c r="P1181" s="244"/>
      <c r="Q1181" s="244"/>
    </row>
    <row r="1182" spans="4:17" x14ac:dyDescent="0.2">
      <c r="D1182" s="244"/>
      <c r="E1182" s="244"/>
      <c r="F1182" s="244"/>
      <c r="G1182" s="244"/>
      <c r="H1182" s="244"/>
      <c r="I1182" s="244"/>
      <c r="J1182" s="244"/>
      <c r="K1182" s="244"/>
      <c r="L1182" s="244"/>
      <c r="M1182" s="244"/>
      <c r="N1182" s="244"/>
      <c r="O1182" s="244"/>
      <c r="P1182" s="244"/>
      <c r="Q1182" s="244"/>
    </row>
    <row r="1183" spans="4:17" x14ac:dyDescent="0.2">
      <c r="D1183" s="244"/>
      <c r="E1183" s="244"/>
      <c r="F1183" s="244"/>
      <c r="G1183" s="244"/>
      <c r="H1183" s="244"/>
      <c r="I1183" s="244"/>
      <c r="J1183" s="244"/>
      <c r="K1183" s="244"/>
      <c r="L1183" s="244"/>
      <c r="M1183" s="244"/>
      <c r="N1183" s="244"/>
      <c r="O1183" s="244"/>
      <c r="P1183" s="244"/>
      <c r="Q1183" s="244"/>
    </row>
    <row r="1184" spans="4:17" x14ac:dyDescent="0.2">
      <c r="D1184" s="244"/>
      <c r="E1184" s="244"/>
      <c r="F1184" s="244"/>
      <c r="G1184" s="244"/>
      <c r="H1184" s="244"/>
      <c r="I1184" s="244"/>
      <c r="J1184" s="244"/>
      <c r="K1184" s="244"/>
      <c r="L1184" s="244"/>
      <c r="M1184" s="244"/>
      <c r="N1184" s="244"/>
      <c r="O1184" s="244"/>
      <c r="P1184" s="244"/>
      <c r="Q1184" s="244"/>
    </row>
    <row r="1185" spans="4:17" x14ac:dyDescent="0.2">
      <c r="D1185" s="244"/>
      <c r="E1185" s="244"/>
      <c r="F1185" s="244"/>
      <c r="G1185" s="244"/>
      <c r="H1185" s="244"/>
      <c r="I1185" s="244"/>
      <c r="J1185" s="244"/>
      <c r="K1185" s="244"/>
      <c r="L1185" s="244"/>
      <c r="M1185" s="244"/>
      <c r="N1185" s="244"/>
      <c r="O1185" s="244"/>
      <c r="P1185" s="244"/>
      <c r="Q1185" s="244"/>
    </row>
    <row r="1186" spans="4:17" x14ac:dyDescent="0.2">
      <c r="D1186" s="244"/>
      <c r="E1186" s="244"/>
      <c r="F1186" s="244"/>
      <c r="G1186" s="244"/>
      <c r="H1186" s="244"/>
      <c r="I1186" s="244"/>
      <c r="J1186" s="244"/>
      <c r="K1186" s="244"/>
      <c r="L1186" s="244"/>
      <c r="M1186" s="244"/>
      <c r="N1186" s="244"/>
      <c r="O1186" s="244"/>
      <c r="P1186" s="244"/>
      <c r="Q1186" s="244"/>
    </row>
    <row r="1187" spans="4:17" x14ac:dyDescent="0.2">
      <c r="D1187" s="244"/>
      <c r="E1187" s="244"/>
      <c r="F1187" s="244"/>
      <c r="G1187" s="244"/>
      <c r="H1187" s="244"/>
      <c r="I1187" s="244"/>
      <c r="J1187" s="244"/>
      <c r="K1187" s="244"/>
      <c r="L1187" s="244"/>
      <c r="M1187" s="244"/>
      <c r="N1187" s="244"/>
      <c r="O1187" s="244"/>
      <c r="P1187" s="244"/>
      <c r="Q1187" s="244"/>
    </row>
    <row r="1188" spans="4:17" x14ac:dyDescent="0.2">
      <c r="D1188" s="244"/>
      <c r="E1188" s="244"/>
      <c r="F1188" s="244"/>
      <c r="G1188" s="244"/>
      <c r="H1188" s="244"/>
      <c r="I1188" s="244"/>
      <c r="J1188" s="244"/>
      <c r="K1188" s="244"/>
      <c r="L1188" s="244"/>
      <c r="M1188" s="244"/>
      <c r="N1188" s="244"/>
      <c r="O1188" s="244"/>
      <c r="P1188" s="244"/>
      <c r="Q1188" s="244"/>
    </row>
    <row r="1189" spans="4:17" x14ac:dyDescent="0.2">
      <c r="D1189" s="244"/>
      <c r="E1189" s="244"/>
      <c r="F1189" s="244"/>
      <c r="G1189" s="244"/>
      <c r="H1189" s="244"/>
      <c r="I1189" s="244"/>
      <c r="J1189" s="244"/>
      <c r="K1189" s="244"/>
      <c r="L1189" s="244"/>
      <c r="M1189" s="244"/>
      <c r="N1189" s="244"/>
      <c r="O1189" s="244"/>
      <c r="P1189" s="244"/>
      <c r="Q1189" s="244"/>
    </row>
    <row r="1190" spans="4:17" x14ac:dyDescent="0.2">
      <c r="D1190" s="244"/>
      <c r="E1190" s="244"/>
      <c r="F1190" s="244"/>
      <c r="G1190" s="244"/>
      <c r="H1190" s="244"/>
      <c r="I1190" s="244"/>
      <c r="J1190" s="244"/>
      <c r="K1190" s="244"/>
      <c r="L1190" s="244"/>
      <c r="M1190" s="244"/>
      <c r="N1190" s="244"/>
      <c r="O1190" s="244"/>
      <c r="P1190" s="244"/>
      <c r="Q1190" s="244"/>
    </row>
    <row r="1191" spans="4:17" x14ac:dyDescent="0.2">
      <c r="D1191" s="244"/>
      <c r="E1191" s="244"/>
      <c r="F1191" s="244"/>
      <c r="G1191" s="244"/>
      <c r="H1191" s="244"/>
      <c r="I1191" s="244"/>
      <c r="J1191" s="244"/>
      <c r="K1191" s="244"/>
      <c r="L1191" s="244"/>
      <c r="M1191" s="244"/>
      <c r="N1191" s="244"/>
      <c r="O1191" s="244"/>
      <c r="P1191" s="244"/>
      <c r="Q1191" s="244"/>
    </row>
    <row r="1192" spans="4:17" x14ac:dyDescent="0.2">
      <c r="D1192" s="244"/>
      <c r="E1192" s="244"/>
      <c r="F1192" s="244"/>
      <c r="G1192" s="244"/>
      <c r="H1192" s="244"/>
      <c r="I1192" s="244"/>
      <c r="J1192" s="244"/>
      <c r="K1192" s="244"/>
      <c r="L1192" s="244"/>
      <c r="M1192" s="244"/>
      <c r="N1192" s="244"/>
      <c r="O1192" s="244"/>
      <c r="P1192" s="244"/>
      <c r="Q1192" s="244"/>
    </row>
    <row r="1193" spans="4:17" x14ac:dyDescent="0.2">
      <c r="D1193" s="244"/>
      <c r="E1193" s="244"/>
      <c r="F1193" s="244"/>
      <c r="G1193" s="244"/>
      <c r="H1193" s="244"/>
      <c r="I1193" s="244"/>
      <c r="J1193" s="244"/>
      <c r="K1193" s="244"/>
      <c r="L1193" s="244"/>
      <c r="M1193" s="244"/>
      <c r="N1193" s="244"/>
      <c r="O1193" s="244"/>
      <c r="P1193" s="244"/>
      <c r="Q1193" s="244"/>
    </row>
    <row r="1194" spans="4:17" x14ac:dyDescent="0.2">
      <c r="D1194" s="244"/>
      <c r="E1194" s="244"/>
      <c r="F1194" s="244"/>
      <c r="G1194" s="244"/>
      <c r="H1194" s="244"/>
      <c r="I1194" s="244"/>
      <c r="J1194" s="244"/>
      <c r="K1194" s="244"/>
      <c r="L1194" s="244"/>
      <c r="M1194" s="244"/>
      <c r="N1194" s="244"/>
      <c r="O1194" s="244"/>
      <c r="P1194" s="244"/>
      <c r="Q1194" s="244"/>
    </row>
    <row r="1195" spans="4:17" x14ac:dyDescent="0.2">
      <c r="D1195" s="244"/>
      <c r="E1195" s="244"/>
      <c r="F1195" s="244"/>
      <c r="G1195" s="244"/>
      <c r="H1195" s="244"/>
      <c r="I1195" s="244"/>
      <c r="J1195" s="244"/>
      <c r="K1195" s="244"/>
      <c r="L1195" s="244"/>
      <c r="M1195" s="244"/>
      <c r="N1195" s="244"/>
      <c r="O1195" s="244"/>
      <c r="P1195" s="244"/>
      <c r="Q1195" s="244"/>
    </row>
    <row r="1196" spans="4:17" x14ac:dyDescent="0.2">
      <c r="D1196" s="244"/>
      <c r="E1196" s="244"/>
      <c r="F1196" s="244"/>
      <c r="G1196" s="244"/>
      <c r="H1196" s="244"/>
      <c r="I1196" s="244"/>
      <c r="J1196" s="244"/>
      <c r="K1196" s="244"/>
      <c r="L1196" s="244"/>
      <c r="M1196" s="244"/>
      <c r="N1196" s="244"/>
      <c r="O1196" s="244"/>
      <c r="P1196" s="244"/>
      <c r="Q1196" s="244"/>
    </row>
    <row r="1197" spans="4:17" x14ac:dyDescent="0.2">
      <c r="D1197" s="244"/>
      <c r="E1197" s="244"/>
      <c r="F1197" s="244"/>
      <c r="G1197" s="244"/>
      <c r="H1197" s="244"/>
      <c r="I1197" s="244"/>
      <c r="J1197" s="244"/>
      <c r="K1197" s="244"/>
      <c r="L1197" s="244"/>
      <c r="M1197" s="244"/>
      <c r="N1197" s="244"/>
      <c r="O1197" s="244"/>
      <c r="P1197" s="244"/>
      <c r="Q1197" s="244"/>
    </row>
    <row r="1198" spans="4:17" x14ac:dyDescent="0.2">
      <c r="D1198" s="244"/>
      <c r="E1198" s="244"/>
      <c r="F1198" s="244"/>
      <c r="G1198" s="244"/>
      <c r="H1198" s="244"/>
      <c r="I1198" s="244"/>
      <c r="J1198" s="244"/>
      <c r="K1198" s="244"/>
      <c r="L1198" s="244"/>
      <c r="M1198" s="244"/>
      <c r="N1198" s="244"/>
      <c r="O1198" s="244"/>
      <c r="P1198" s="244"/>
      <c r="Q1198" s="244"/>
    </row>
    <row r="1199" spans="4:17" x14ac:dyDescent="0.2">
      <c r="D1199" s="244"/>
      <c r="E1199" s="244"/>
      <c r="F1199" s="244"/>
      <c r="G1199" s="244"/>
      <c r="H1199" s="244"/>
      <c r="I1199" s="244"/>
      <c r="J1199" s="244"/>
      <c r="K1199" s="244"/>
      <c r="L1199" s="244"/>
      <c r="M1199" s="244"/>
      <c r="N1199" s="244"/>
      <c r="O1199" s="244"/>
      <c r="P1199" s="244"/>
      <c r="Q1199" s="244"/>
    </row>
    <row r="1200" spans="4:17" x14ac:dyDescent="0.2">
      <c r="D1200" s="244"/>
      <c r="E1200" s="244"/>
      <c r="F1200" s="244"/>
      <c r="G1200" s="244"/>
      <c r="H1200" s="244"/>
      <c r="I1200" s="244"/>
      <c r="J1200" s="244"/>
      <c r="K1200" s="244"/>
      <c r="L1200" s="244"/>
      <c r="M1200" s="244"/>
      <c r="N1200" s="244"/>
      <c r="O1200" s="244"/>
      <c r="P1200" s="244"/>
      <c r="Q1200" s="244"/>
    </row>
    <row r="1201" spans="4:17" x14ac:dyDescent="0.2">
      <c r="D1201" s="244"/>
      <c r="E1201" s="244"/>
      <c r="F1201" s="244"/>
      <c r="G1201" s="244"/>
      <c r="H1201" s="244"/>
      <c r="I1201" s="244"/>
      <c r="J1201" s="244"/>
      <c r="K1201" s="244"/>
      <c r="L1201" s="244"/>
      <c r="M1201" s="244"/>
      <c r="N1201" s="244"/>
      <c r="O1201" s="244"/>
      <c r="P1201" s="244"/>
      <c r="Q1201" s="244"/>
    </row>
    <row r="1202" spans="4:17" x14ac:dyDescent="0.2">
      <c r="D1202" s="244"/>
      <c r="E1202" s="244"/>
      <c r="F1202" s="244"/>
      <c r="G1202" s="244"/>
      <c r="H1202" s="244"/>
      <c r="I1202" s="244"/>
      <c r="J1202" s="244"/>
      <c r="K1202" s="244"/>
      <c r="L1202" s="244"/>
      <c r="M1202" s="244"/>
      <c r="N1202" s="244"/>
      <c r="O1202" s="244"/>
      <c r="P1202" s="244"/>
      <c r="Q1202" s="244"/>
    </row>
    <row r="1203" spans="4:17" x14ac:dyDescent="0.2">
      <c r="D1203" s="244"/>
      <c r="E1203" s="244"/>
      <c r="F1203" s="244"/>
      <c r="G1203" s="244"/>
      <c r="H1203" s="244"/>
      <c r="I1203" s="244"/>
      <c r="J1203" s="244"/>
      <c r="K1203" s="244"/>
      <c r="L1203" s="244"/>
      <c r="M1203" s="244"/>
      <c r="N1203" s="244"/>
      <c r="O1203" s="244"/>
      <c r="P1203" s="244"/>
      <c r="Q1203" s="244"/>
    </row>
    <row r="1204" spans="4:17" x14ac:dyDescent="0.2">
      <c r="D1204" s="244"/>
      <c r="E1204" s="244"/>
      <c r="F1204" s="244"/>
      <c r="G1204" s="244"/>
      <c r="H1204" s="244"/>
      <c r="I1204" s="244"/>
      <c r="J1204" s="244"/>
      <c r="K1204" s="244"/>
      <c r="L1204" s="244"/>
      <c r="M1204" s="244"/>
      <c r="N1204" s="244"/>
      <c r="O1204" s="244"/>
      <c r="P1204" s="244"/>
      <c r="Q1204" s="244"/>
    </row>
    <row r="1205" spans="4:17" x14ac:dyDescent="0.2">
      <c r="D1205" s="244"/>
      <c r="E1205" s="244"/>
      <c r="F1205" s="244"/>
      <c r="G1205" s="244"/>
      <c r="H1205" s="244"/>
      <c r="I1205" s="244"/>
      <c r="J1205" s="244"/>
      <c r="K1205" s="244"/>
      <c r="L1205" s="244"/>
      <c r="M1205" s="244"/>
      <c r="N1205" s="244"/>
      <c r="O1205" s="244"/>
      <c r="P1205" s="244"/>
      <c r="Q1205" s="244"/>
    </row>
    <row r="1206" spans="4:17" x14ac:dyDescent="0.2">
      <c r="D1206" s="244"/>
      <c r="E1206" s="244"/>
      <c r="F1206" s="244"/>
      <c r="G1206" s="244"/>
      <c r="H1206" s="244"/>
      <c r="I1206" s="244"/>
      <c r="J1206" s="244"/>
      <c r="K1206" s="244"/>
      <c r="L1206" s="244"/>
      <c r="M1206" s="244"/>
      <c r="N1206" s="244"/>
      <c r="O1206" s="244"/>
      <c r="P1206" s="244"/>
      <c r="Q1206" s="244"/>
    </row>
    <row r="1207" spans="4:17" x14ac:dyDescent="0.2">
      <c r="D1207" s="244"/>
      <c r="E1207" s="244"/>
      <c r="F1207" s="244"/>
      <c r="G1207" s="244"/>
      <c r="H1207" s="244"/>
      <c r="I1207" s="244"/>
      <c r="J1207" s="244"/>
      <c r="K1207" s="244"/>
      <c r="L1207" s="244"/>
      <c r="M1207" s="244"/>
      <c r="N1207" s="244"/>
      <c r="O1207" s="244"/>
      <c r="P1207" s="244"/>
      <c r="Q1207" s="244"/>
    </row>
    <row r="1208" spans="4:17" x14ac:dyDescent="0.2">
      <c r="D1208" s="244"/>
      <c r="E1208" s="244"/>
      <c r="F1208" s="244"/>
      <c r="G1208" s="244"/>
      <c r="H1208" s="244"/>
      <c r="I1208" s="244"/>
      <c r="J1208" s="244"/>
      <c r="K1208" s="244"/>
      <c r="L1208" s="244"/>
      <c r="M1208" s="244"/>
      <c r="N1208" s="244"/>
      <c r="O1208" s="244"/>
      <c r="P1208" s="244"/>
      <c r="Q1208" s="244"/>
    </row>
    <row r="1209" spans="4:17" x14ac:dyDescent="0.2">
      <c r="D1209" s="244"/>
      <c r="E1209" s="244"/>
      <c r="F1209" s="244"/>
      <c r="G1209" s="244"/>
      <c r="H1209" s="244"/>
      <c r="I1209" s="244"/>
      <c r="J1209" s="244"/>
      <c r="K1209" s="244"/>
      <c r="L1209" s="244"/>
      <c r="M1209" s="244"/>
      <c r="N1209" s="244"/>
      <c r="O1209" s="244"/>
      <c r="P1209" s="244"/>
      <c r="Q1209" s="244"/>
    </row>
    <row r="1210" spans="4:17" x14ac:dyDescent="0.2">
      <c r="D1210" s="244"/>
      <c r="E1210" s="244"/>
      <c r="F1210" s="244"/>
      <c r="G1210" s="244"/>
      <c r="H1210" s="244"/>
      <c r="I1210" s="244"/>
      <c r="J1210" s="244"/>
      <c r="K1210" s="244"/>
      <c r="L1210" s="244"/>
      <c r="M1210" s="244"/>
      <c r="N1210" s="244"/>
      <c r="O1210" s="244"/>
      <c r="P1210" s="244"/>
      <c r="Q1210" s="244"/>
    </row>
    <row r="1211" spans="4:17" x14ac:dyDescent="0.2"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4"/>
      <c r="Q1211" s="244"/>
    </row>
    <row r="1212" spans="4:17" x14ac:dyDescent="0.2">
      <c r="D1212" s="244"/>
      <c r="E1212" s="244"/>
      <c r="F1212" s="244"/>
      <c r="G1212" s="244"/>
      <c r="H1212" s="244"/>
      <c r="I1212" s="244"/>
      <c r="J1212" s="244"/>
      <c r="K1212" s="244"/>
      <c r="L1212" s="244"/>
      <c r="M1212" s="244"/>
      <c r="N1212" s="244"/>
      <c r="O1212" s="244"/>
      <c r="P1212" s="244"/>
      <c r="Q1212" s="244"/>
    </row>
    <row r="1213" spans="4:17" x14ac:dyDescent="0.2">
      <c r="D1213" s="244"/>
      <c r="E1213" s="244"/>
      <c r="F1213" s="244"/>
      <c r="G1213" s="244"/>
      <c r="H1213" s="244"/>
      <c r="I1213" s="244"/>
      <c r="J1213" s="244"/>
      <c r="K1213" s="244"/>
      <c r="L1213" s="244"/>
      <c r="M1213" s="244"/>
      <c r="N1213" s="244"/>
      <c r="O1213" s="244"/>
      <c r="P1213" s="244"/>
      <c r="Q1213" s="244"/>
    </row>
    <row r="1214" spans="4:17" x14ac:dyDescent="0.2">
      <c r="D1214" s="244"/>
      <c r="E1214" s="244"/>
      <c r="F1214" s="244"/>
      <c r="G1214" s="244"/>
      <c r="H1214" s="244"/>
      <c r="I1214" s="244"/>
      <c r="J1214" s="244"/>
      <c r="K1214" s="244"/>
      <c r="L1214" s="244"/>
      <c r="M1214" s="244"/>
      <c r="N1214" s="244"/>
      <c r="O1214" s="244"/>
      <c r="P1214" s="244"/>
      <c r="Q1214" s="244"/>
    </row>
    <row r="1215" spans="4:17" x14ac:dyDescent="0.2">
      <c r="D1215" s="244"/>
      <c r="E1215" s="244"/>
      <c r="F1215" s="244"/>
      <c r="G1215" s="244"/>
      <c r="H1215" s="244"/>
      <c r="I1215" s="244"/>
      <c r="J1215" s="244"/>
      <c r="K1215" s="244"/>
      <c r="L1215" s="244"/>
      <c r="M1215" s="244"/>
      <c r="N1215" s="244"/>
      <c r="O1215" s="244"/>
      <c r="P1215" s="244"/>
      <c r="Q1215" s="244"/>
    </row>
    <row r="1216" spans="4:17" x14ac:dyDescent="0.2">
      <c r="D1216" s="244"/>
      <c r="E1216" s="244"/>
      <c r="F1216" s="244"/>
      <c r="G1216" s="244"/>
      <c r="H1216" s="244"/>
      <c r="I1216" s="244"/>
      <c r="J1216" s="244"/>
      <c r="K1216" s="244"/>
      <c r="L1216" s="244"/>
      <c r="M1216" s="244"/>
      <c r="N1216" s="244"/>
      <c r="O1216" s="244"/>
      <c r="P1216" s="244"/>
      <c r="Q1216" s="244"/>
    </row>
    <row r="1217" spans="4:17" x14ac:dyDescent="0.2">
      <c r="D1217" s="244"/>
      <c r="E1217" s="244"/>
      <c r="F1217" s="244"/>
      <c r="G1217" s="244"/>
      <c r="H1217" s="244"/>
      <c r="I1217" s="244"/>
      <c r="J1217" s="244"/>
      <c r="K1217" s="244"/>
      <c r="L1217" s="244"/>
      <c r="M1217" s="244"/>
      <c r="N1217" s="244"/>
      <c r="O1217" s="244"/>
      <c r="P1217" s="244"/>
      <c r="Q1217" s="244"/>
    </row>
    <row r="1218" spans="4:17" x14ac:dyDescent="0.2">
      <c r="D1218" s="244"/>
      <c r="E1218" s="244"/>
      <c r="F1218" s="244"/>
      <c r="G1218" s="244"/>
      <c r="H1218" s="244"/>
      <c r="I1218" s="244"/>
      <c r="J1218" s="244"/>
      <c r="K1218" s="244"/>
      <c r="L1218" s="244"/>
      <c r="M1218" s="244"/>
      <c r="N1218" s="244"/>
      <c r="O1218" s="244"/>
      <c r="P1218" s="244"/>
      <c r="Q1218" s="244"/>
    </row>
    <row r="1219" spans="4:17" x14ac:dyDescent="0.2">
      <c r="D1219" s="244"/>
      <c r="E1219" s="244"/>
      <c r="F1219" s="244"/>
      <c r="G1219" s="244"/>
      <c r="H1219" s="244"/>
      <c r="I1219" s="244"/>
      <c r="J1219" s="244"/>
      <c r="K1219" s="244"/>
      <c r="L1219" s="244"/>
      <c r="M1219" s="244"/>
      <c r="N1219" s="244"/>
      <c r="O1219" s="244"/>
      <c r="P1219" s="244"/>
      <c r="Q1219" s="244"/>
    </row>
    <row r="1220" spans="4:17" x14ac:dyDescent="0.2">
      <c r="D1220" s="244"/>
      <c r="E1220" s="244"/>
      <c r="F1220" s="244"/>
      <c r="G1220" s="244"/>
      <c r="H1220" s="244"/>
      <c r="I1220" s="244"/>
      <c r="J1220" s="244"/>
      <c r="K1220" s="244"/>
      <c r="L1220" s="244"/>
      <c r="M1220" s="244"/>
      <c r="N1220" s="244"/>
      <c r="O1220" s="244"/>
      <c r="P1220" s="244"/>
      <c r="Q1220" s="244"/>
    </row>
    <row r="1221" spans="4:17" x14ac:dyDescent="0.2">
      <c r="D1221" s="244"/>
      <c r="E1221" s="244"/>
      <c r="F1221" s="244"/>
      <c r="G1221" s="244"/>
      <c r="H1221" s="244"/>
      <c r="I1221" s="244"/>
      <c r="J1221" s="244"/>
      <c r="K1221" s="244"/>
      <c r="L1221" s="244"/>
      <c r="M1221" s="244"/>
      <c r="N1221" s="244"/>
      <c r="O1221" s="244"/>
      <c r="P1221" s="244"/>
      <c r="Q1221" s="244"/>
    </row>
    <row r="1222" spans="4:17" x14ac:dyDescent="0.2">
      <c r="D1222" s="244"/>
      <c r="E1222" s="244"/>
      <c r="F1222" s="244"/>
      <c r="G1222" s="244"/>
      <c r="H1222" s="244"/>
      <c r="I1222" s="244"/>
      <c r="J1222" s="244"/>
      <c r="K1222" s="244"/>
      <c r="L1222" s="244"/>
      <c r="M1222" s="244"/>
      <c r="N1222" s="244"/>
      <c r="O1222" s="244"/>
      <c r="P1222" s="244"/>
      <c r="Q1222" s="244"/>
    </row>
    <row r="1223" spans="4:17" x14ac:dyDescent="0.2">
      <c r="D1223" s="244"/>
      <c r="E1223" s="244"/>
      <c r="F1223" s="244"/>
      <c r="G1223" s="244"/>
      <c r="H1223" s="244"/>
      <c r="I1223" s="244"/>
      <c r="J1223" s="244"/>
      <c r="K1223" s="244"/>
      <c r="L1223" s="244"/>
      <c r="M1223" s="244"/>
      <c r="N1223" s="244"/>
      <c r="O1223" s="244"/>
      <c r="P1223" s="244"/>
      <c r="Q1223" s="244"/>
    </row>
    <row r="1224" spans="4:17" x14ac:dyDescent="0.2">
      <c r="D1224" s="244"/>
      <c r="E1224" s="244"/>
      <c r="F1224" s="244"/>
      <c r="G1224" s="244"/>
      <c r="H1224" s="244"/>
      <c r="I1224" s="244"/>
      <c r="J1224" s="244"/>
      <c r="K1224" s="244"/>
      <c r="L1224" s="244"/>
      <c r="M1224" s="244"/>
      <c r="N1224" s="244"/>
      <c r="O1224" s="244"/>
      <c r="P1224" s="244"/>
      <c r="Q1224" s="244"/>
    </row>
    <row r="1225" spans="4:17" x14ac:dyDescent="0.2">
      <c r="D1225" s="244"/>
      <c r="E1225" s="244"/>
      <c r="F1225" s="244"/>
      <c r="G1225" s="244"/>
      <c r="H1225" s="244"/>
      <c r="I1225" s="244"/>
      <c r="J1225" s="244"/>
      <c r="K1225" s="244"/>
      <c r="L1225" s="244"/>
      <c r="M1225" s="244"/>
      <c r="N1225" s="244"/>
      <c r="O1225" s="244"/>
      <c r="P1225" s="244"/>
      <c r="Q1225" s="244"/>
    </row>
    <row r="1226" spans="4:17" x14ac:dyDescent="0.2">
      <c r="D1226" s="244"/>
      <c r="E1226" s="244"/>
      <c r="F1226" s="244"/>
      <c r="G1226" s="244"/>
      <c r="H1226" s="244"/>
      <c r="I1226" s="244"/>
      <c r="J1226" s="244"/>
      <c r="K1226" s="244"/>
      <c r="L1226" s="244"/>
      <c r="M1226" s="244"/>
      <c r="N1226" s="244"/>
      <c r="O1226" s="244"/>
      <c r="P1226" s="244"/>
      <c r="Q1226" s="244"/>
    </row>
    <row r="1227" spans="4:17" x14ac:dyDescent="0.2">
      <c r="D1227" s="244"/>
      <c r="E1227" s="244"/>
      <c r="F1227" s="244"/>
      <c r="G1227" s="244"/>
      <c r="H1227" s="244"/>
      <c r="I1227" s="244"/>
      <c r="J1227" s="244"/>
      <c r="K1227" s="244"/>
      <c r="L1227" s="244"/>
      <c r="M1227" s="244"/>
      <c r="N1227" s="244"/>
      <c r="O1227" s="244"/>
      <c r="P1227" s="244"/>
      <c r="Q1227" s="244"/>
    </row>
    <row r="1228" spans="4:17" x14ac:dyDescent="0.2">
      <c r="D1228" s="244"/>
      <c r="E1228" s="244"/>
      <c r="F1228" s="244"/>
      <c r="G1228" s="244"/>
      <c r="H1228" s="244"/>
      <c r="I1228" s="244"/>
      <c r="J1228" s="244"/>
      <c r="K1228" s="244"/>
      <c r="L1228" s="244"/>
      <c r="M1228" s="244"/>
      <c r="N1228" s="244"/>
      <c r="O1228" s="244"/>
      <c r="P1228" s="244"/>
      <c r="Q1228" s="244"/>
    </row>
    <row r="1229" spans="4:17" x14ac:dyDescent="0.2">
      <c r="D1229" s="244"/>
      <c r="E1229" s="244"/>
      <c r="F1229" s="244"/>
      <c r="G1229" s="244"/>
      <c r="H1229" s="244"/>
      <c r="I1229" s="244"/>
      <c r="J1229" s="244"/>
      <c r="K1229" s="244"/>
      <c r="L1229" s="244"/>
      <c r="M1229" s="244"/>
      <c r="N1229" s="244"/>
      <c r="O1229" s="244"/>
      <c r="P1229" s="244"/>
      <c r="Q1229" s="244"/>
    </row>
    <row r="1230" spans="4:17" x14ac:dyDescent="0.2">
      <c r="D1230" s="244"/>
      <c r="E1230" s="244"/>
      <c r="F1230" s="244"/>
      <c r="G1230" s="244"/>
      <c r="H1230" s="244"/>
      <c r="I1230" s="244"/>
      <c r="J1230" s="244"/>
      <c r="K1230" s="244"/>
      <c r="L1230" s="244"/>
      <c r="M1230" s="244"/>
      <c r="N1230" s="244"/>
      <c r="O1230" s="244"/>
      <c r="P1230" s="244"/>
      <c r="Q1230" s="244"/>
    </row>
    <row r="1231" spans="4:17" x14ac:dyDescent="0.2">
      <c r="D1231" s="244"/>
      <c r="E1231" s="244"/>
      <c r="F1231" s="244"/>
      <c r="G1231" s="244"/>
      <c r="H1231" s="244"/>
      <c r="I1231" s="244"/>
      <c r="J1231" s="244"/>
      <c r="K1231" s="244"/>
      <c r="L1231" s="244"/>
      <c r="M1231" s="244"/>
      <c r="N1231" s="244"/>
      <c r="O1231" s="244"/>
      <c r="P1231" s="244"/>
      <c r="Q1231" s="244"/>
    </row>
    <row r="1232" spans="4:17" x14ac:dyDescent="0.2">
      <c r="D1232" s="244"/>
      <c r="E1232" s="244"/>
      <c r="F1232" s="244"/>
      <c r="G1232" s="244"/>
      <c r="H1232" s="244"/>
      <c r="I1232" s="244"/>
      <c r="J1232" s="244"/>
      <c r="K1232" s="244"/>
      <c r="L1232" s="244"/>
      <c r="M1232" s="244"/>
      <c r="N1232" s="244"/>
      <c r="O1232" s="244"/>
      <c r="P1232" s="244"/>
      <c r="Q1232" s="244"/>
    </row>
    <row r="1233" spans="4:17" x14ac:dyDescent="0.2">
      <c r="D1233" s="244"/>
      <c r="E1233" s="244"/>
      <c r="F1233" s="244"/>
      <c r="G1233" s="244"/>
      <c r="H1233" s="244"/>
      <c r="I1233" s="244"/>
      <c r="J1233" s="244"/>
      <c r="K1233" s="244"/>
      <c r="L1233" s="244"/>
      <c r="M1233" s="244"/>
      <c r="N1233" s="244"/>
      <c r="O1233" s="244"/>
      <c r="P1233" s="244"/>
      <c r="Q1233" s="244"/>
    </row>
    <row r="1234" spans="4:17" x14ac:dyDescent="0.2">
      <c r="D1234" s="244"/>
      <c r="E1234" s="244"/>
      <c r="F1234" s="244"/>
      <c r="G1234" s="244"/>
      <c r="H1234" s="244"/>
      <c r="I1234" s="244"/>
      <c r="J1234" s="244"/>
      <c r="K1234" s="244"/>
      <c r="L1234" s="244"/>
      <c r="M1234" s="244"/>
      <c r="N1234" s="244"/>
      <c r="O1234" s="244"/>
      <c r="P1234" s="244"/>
      <c r="Q1234" s="244"/>
    </row>
    <row r="1235" spans="4:17" x14ac:dyDescent="0.2">
      <c r="D1235" s="244"/>
      <c r="E1235" s="244"/>
      <c r="F1235" s="244"/>
      <c r="G1235" s="244"/>
      <c r="H1235" s="244"/>
      <c r="I1235" s="244"/>
      <c r="J1235" s="244"/>
      <c r="K1235" s="244"/>
      <c r="L1235" s="244"/>
      <c r="M1235" s="244"/>
      <c r="N1235" s="244"/>
      <c r="O1235" s="244"/>
      <c r="P1235" s="244"/>
      <c r="Q1235" s="244"/>
    </row>
    <row r="1236" spans="4:17" x14ac:dyDescent="0.2">
      <c r="D1236" s="244"/>
      <c r="E1236" s="244"/>
      <c r="F1236" s="244"/>
      <c r="G1236" s="244"/>
      <c r="H1236" s="244"/>
      <c r="I1236" s="244"/>
      <c r="J1236" s="244"/>
      <c r="K1236" s="244"/>
      <c r="L1236" s="244"/>
      <c r="M1236" s="244"/>
      <c r="N1236" s="244"/>
      <c r="O1236" s="244"/>
      <c r="P1236" s="244"/>
      <c r="Q1236" s="244"/>
    </row>
    <row r="1237" spans="4:17" x14ac:dyDescent="0.2">
      <c r="D1237" s="244"/>
      <c r="E1237" s="244"/>
      <c r="F1237" s="244"/>
      <c r="G1237" s="244"/>
      <c r="H1237" s="244"/>
      <c r="I1237" s="244"/>
      <c r="J1237" s="244"/>
      <c r="K1237" s="244"/>
      <c r="L1237" s="244"/>
      <c r="M1237" s="244"/>
      <c r="N1237" s="244"/>
      <c r="O1237" s="244"/>
      <c r="P1237" s="244"/>
      <c r="Q1237" s="244"/>
    </row>
    <row r="1238" spans="4:17" x14ac:dyDescent="0.2">
      <c r="D1238" s="244"/>
      <c r="E1238" s="244"/>
      <c r="F1238" s="244"/>
      <c r="G1238" s="244"/>
      <c r="H1238" s="244"/>
      <c r="I1238" s="244"/>
      <c r="J1238" s="244"/>
      <c r="K1238" s="244"/>
      <c r="L1238" s="244"/>
      <c r="M1238" s="244"/>
      <c r="N1238" s="244"/>
      <c r="O1238" s="244"/>
      <c r="P1238" s="244"/>
      <c r="Q1238" s="244"/>
    </row>
    <row r="1239" spans="4:17" x14ac:dyDescent="0.2">
      <c r="D1239" s="244"/>
      <c r="E1239" s="244"/>
      <c r="F1239" s="244"/>
      <c r="G1239" s="244"/>
      <c r="H1239" s="244"/>
      <c r="I1239" s="244"/>
      <c r="J1239" s="244"/>
      <c r="K1239" s="244"/>
      <c r="L1239" s="244"/>
      <c r="M1239" s="244"/>
      <c r="N1239" s="244"/>
      <c r="O1239" s="244"/>
      <c r="P1239" s="244"/>
      <c r="Q1239" s="244"/>
    </row>
    <row r="1240" spans="4:17" x14ac:dyDescent="0.2">
      <c r="D1240" s="244"/>
      <c r="E1240" s="244"/>
      <c r="F1240" s="244"/>
      <c r="G1240" s="244"/>
      <c r="H1240" s="244"/>
      <c r="I1240" s="244"/>
      <c r="J1240" s="244"/>
      <c r="K1240" s="244"/>
      <c r="L1240" s="244"/>
      <c r="M1240" s="244"/>
      <c r="N1240" s="244"/>
      <c r="O1240" s="244"/>
      <c r="P1240" s="244"/>
      <c r="Q1240" s="244"/>
    </row>
    <row r="1241" spans="4:17" x14ac:dyDescent="0.2">
      <c r="D1241" s="244"/>
      <c r="E1241" s="244"/>
      <c r="F1241" s="244"/>
      <c r="G1241" s="244"/>
      <c r="H1241" s="244"/>
      <c r="I1241" s="244"/>
      <c r="J1241" s="244"/>
      <c r="K1241" s="244"/>
      <c r="L1241" s="244"/>
      <c r="M1241" s="244"/>
      <c r="N1241" s="244"/>
      <c r="O1241" s="244"/>
      <c r="P1241" s="244"/>
      <c r="Q1241" s="244"/>
    </row>
    <row r="1242" spans="4:17" x14ac:dyDescent="0.2">
      <c r="D1242" s="244"/>
      <c r="E1242" s="244"/>
      <c r="F1242" s="244"/>
      <c r="G1242" s="244"/>
      <c r="H1242" s="244"/>
      <c r="I1242" s="244"/>
      <c r="J1242" s="244"/>
      <c r="K1242" s="244"/>
      <c r="L1242" s="244"/>
      <c r="M1242" s="244"/>
      <c r="N1242" s="244"/>
      <c r="O1242" s="244"/>
      <c r="P1242" s="244"/>
      <c r="Q1242" s="244"/>
    </row>
    <row r="1243" spans="4:17" x14ac:dyDescent="0.2">
      <c r="D1243" s="244"/>
      <c r="E1243" s="244"/>
      <c r="F1243" s="244"/>
      <c r="G1243" s="244"/>
      <c r="H1243" s="244"/>
      <c r="I1243" s="244"/>
      <c r="J1243" s="244"/>
      <c r="K1243" s="244"/>
      <c r="L1243" s="244"/>
      <c r="M1243" s="244"/>
      <c r="N1243" s="244"/>
      <c r="O1243" s="244"/>
      <c r="P1243" s="244"/>
      <c r="Q1243" s="244"/>
    </row>
    <row r="1244" spans="4:17" x14ac:dyDescent="0.2">
      <c r="D1244" s="244"/>
      <c r="E1244" s="244"/>
      <c r="F1244" s="244"/>
      <c r="G1244" s="244"/>
      <c r="H1244" s="244"/>
      <c r="I1244" s="244"/>
      <c r="J1244" s="244"/>
      <c r="K1244" s="244"/>
      <c r="L1244" s="244"/>
      <c r="M1244" s="244"/>
      <c r="N1244" s="244"/>
      <c r="O1244" s="244"/>
      <c r="P1244" s="244"/>
      <c r="Q1244" s="244"/>
    </row>
    <row r="1245" spans="4:17" x14ac:dyDescent="0.2">
      <c r="D1245" s="244"/>
      <c r="E1245" s="244"/>
      <c r="F1245" s="244"/>
      <c r="G1245" s="244"/>
      <c r="H1245" s="244"/>
      <c r="I1245" s="244"/>
      <c r="J1245" s="244"/>
      <c r="K1245" s="244"/>
      <c r="L1245" s="244"/>
      <c r="M1245" s="244"/>
      <c r="N1245" s="244"/>
      <c r="O1245" s="244"/>
      <c r="P1245" s="244"/>
      <c r="Q1245" s="244"/>
    </row>
    <row r="1246" spans="4:17" x14ac:dyDescent="0.2">
      <c r="D1246" s="244"/>
      <c r="E1246" s="244"/>
      <c r="F1246" s="244"/>
      <c r="G1246" s="244"/>
      <c r="H1246" s="244"/>
      <c r="I1246" s="244"/>
      <c r="J1246" s="244"/>
      <c r="K1246" s="244"/>
      <c r="L1246" s="244"/>
      <c r="M1246" s="244"/>
      <c r="N1246" s="244"/>
      <c r="O1246" s="244"/>
      <c r="P1246" s="244"/>
      <c r="Q1246" s="244"/>
    </row>
    <row r="1247" spans="4:17" x14ac:dyDescent="0.2">
      <c r="D1247" s="244"/>
      <c r="E1247" s="244"/>
      <c r="F1247" s="244"/>
      <c r="G1247" s="244"/>
      <c r="H1247" s="244"/>
      <c r="I1247" s="244"/>
      <c r="J1247" s="244"/>
      <c r="K1247" s="244"/>
      <c r="L1247" s="244"/>
      <c r="M1247" s="244"/>
      <c r="N1247" s="244"/>
      <c r="O1247" s="244"/>
      <c r="P1247" s="244"/>
      <c r="Q1247" s="244"/>
    </row>
    <row r="1248" spans="4:17" x14ac:dyDescent="0.2">
      <c r="D1248" s="244"/>
      <c r="E1248" s="244"/>
      <c r="F1248" s="244"/>
      <c r="G1248" s="244"/>
      <c r="H1248" s="244"/>
      <c r="I1248" s="244"/>
      <c r="J1248" s="244"/>
      <c r="K1248" s="244"/>
      <c r="L1248" s="244"/>
      <c r="M1248" s="244"/>
      <c r="N1248" s="244"/>
      <c r="O1248" s="244"/>
      <c r="P1248" s="244"/>
      <c r="Q1248" s="244"/>
    </row>
    <row r="1249" spans="4:17" x14ac:dyDescent="0.2">
      <c r="D1249" s="244"/>
      <c r="E1249" s="244"/>
      <c r="F1249" s="244"/>
      <c r="G1249" s="244"/>
      <c r="H1249" s="244"/>
      <c r="I1249" s="244"/>
      <c r="J1249" s="244"/>
      <c r="K1249" s="244"/>
      <c r="L1249" s="244"/>
      <c r="M1249" s="244"/>
      <c r="N1249" s="244"/>
      <c r="O1249" s="244"/>
      <c r="P1249" s="244"/>
      <c r="Q1249" s="244"/>
    </row>
    <row r="1250" spans="4:17" x14ac:dyDescent="0.2">
      <c r="D1250" s="244"/>
      <c r="E1250" s="244"/>
      <c r="F1250" s="244"/>
      <c r="G1250" s="244"/>
      <c r="H1250" s="244"/>
      <c r="I1250" s="244"/>
      <c r="J1250" s="244"/>
      <c r="K1250" s="244"/>
      <c r="L1250" s="244"/>
      <c r="M1250" s="244"/>
      <c r="N1250" s="244"/>
      <c r="O1250" s="244"/>
      <c r="P1250" s="244"/>
      <c r="Q1250" s="244"/>
    </row>
    <row r="1251" spans="4:17" x14ac:dyDescent="0.2">
      <c r="D1251" s="244"/>
      <c r="E1251" s="244"/>
      <c r="F1251" s="244"/>
      <c r="G1251" s="244"/>
      <c r="H1251" s="244"/>
      <c r="I1251" s="244"/>
      <c r="J1251" s="244"/>
      <c r="K1251" s="244"/>
      <c r="L1251" s="244"/>
      <c r="M1251" s="244"/>
      <c r="N1251" s="244"/>
      <c r="O1251" s="244"/>
      <c r="P1251" s="244"/>
      <c r="Q1251" s="244"/>
    </row>
    <row r="1252" spans="4:17" x14ac:dyDescent="0.2">
      <c r="D1252" s="244"/>
      <c r="E1252" s="244"/>
      <c r="F1252" s="244"/>
      <c r="G1252" s="244"/>
      <c r="H1252" s="244"/>
      <c r="I1252" s="244"/>
      <c r="J1252" s="244"/>
      <c r="K1252" s="244"/>
      <c r="L1252" s="244"/>
      <c r="M1252" s="244"/>
      <c r="N1252" s="244"/>
      <c r="O1252" s="244"/>
      <c r="P1252" s="244"/>
      <c r="Q1252" s="244"/>
    </row>
    <row r="1253" spans="4:17" x14ac:dyDescent="0.2">
      <c r="D1253" s="244"/>
      <c r="E1253" s="244"/>
      <c r="F1253" s="244"/>
      <c r="G1253" s="244"/>
      <c r="H1253" s="244"/>
      <c r="I1253" s="244"/>
      <c r="J1253" s="244"/>
      <c r="K1253" s="244"/>
      <c r="L1253" s="244"/>
      <c r="M1253" s="244"/>
      <c r="N1253" s="244"/>
      <c r="O1253" s="244"/>
      <c r="P1253" s="244"/>
      <c r="Q1253" s="244"/>
    </row>
    <row r="1254" spans="4:17" x14ac:dyDescent="0.2">
      <c r="D1254" s="244"/>
      <c r="E1254" s="244"/>
      <c r="F1254" s="244"/>
      <c r="G1254" s="244"/>
      <c r="H1254" s="244"/>
      <c r="I1254" s="244"/>
      <c r="J1254" s="244"/>
      <c r="K1254" s="244"/>
      <c r="L1254" s="244"/>
      <c r="M1254" s="244"/>
      <c r="N1254" s="244"/>
      <c r="O1254" s="244"/>
      <c r="P1254" s="244"/>
      <c r="Q1254" s="244"/>
    </row>
    <row r="1255" spans="4:17" x14ac:dyDescent="0.2">
      <c r="D1255" s="244"/>
      <c r="E1255" s="244"/>
      <c r="F1255" s="244"/>
      <c r="G1255" s="244"/>
      <c r="H1255" s="244"/>
      <c r="I1255" s="244"/>
      <c r="J1255" s="244"/>
      <c r="K1255" s="244"/>
      <c r="L1255" s="244"/>
      <c r="M1255" s="244"/>
      <c r="N1255" s="244"/>
      <c r="O1255" s="244"/>
      <c r="P1255" s="244"/>
      <c r="Q1255" s="244"/>
    </row>
    <row r="1256" spans="4:17" x14ac:dyDescent="0.2">
      <c r="D1256" s="244"/>
      <c r="E1256" s="244"/>
      <c r="F1256" s="244"/>
      <c r="G1256" s="244"/>
      <c r="H1256" s="244"/>
      <c r="I1256" s="244"/>
      <c r="J1256" s="244"/>
      <c r="K1256" s="244"/>
      <c r="L1256" s="244"/>
      <c r="M1256" s="244"/>
      <c r="N1256" s="244"/>
      <c r="O1256" s="244"/>
      <c r="P1256" s="244"/>
      <c r="Q1256" s="244"/>
    </row>
    <row r="1257" spans="4:17" x14ac:dyDescent="0.2">
      <c r="D1257" s="244"/>
      <c r="E1257" s="244"/>
      <c r="F1257" s="244"/>
      <c r="G1257" s="244"/>
      <c r="H1257" s="244"/>
      <c r="I1257" s="244"/>
      <c r="J1257" s="244"/>
      <c r="K1257" s="244"/>
      <c r="L1257" s="244"/>
      <c r="M1257" s="244"/>
      <c r="N1257" s="244"/>
      <c r="O1257" s="244"/>
      <c r="P1257" s="244"/>
      <c r="Q1257" s="244"/>
    </row>
    <row r="1258" spans="4:17" x14ac:dyDescent="0.2">
      <c r="D1258" s="244"/>
      <c r="E1258" s="244"/>
      <c r="F1258" s="244"/>
      <c r="G1258" s="244"/>
      <c r="H1258" s="244"/>
      <c r="I1258" s="244"/>
      <c r="J1258" s="244"/>
      <c r="K1258" s="244"/>
      <c r="L1258" s="244"/>
      <c r="M1258" s="244"/>
      <c r="N1258" s="244"/>
      <c r="O1258" s="244"/>
      <c r="P1258" s="244"/>
      <c r="Q1258" s="244"/>
    </row>
    <row r="1259" spans="4:17" x14ac:dyDescent="0.2">
      <c r="D1259" s="244"/>
      <c r="E1259" s="244"/>
      <c r="F1259" s="244"/>
      <c r="G1259" s="244"/>
      <c r="H1259" s="244"/>
      <c r="I1259" s="244"/>
      <c r="J1259" s="244"/>
      <c r="K1259" s="244"/>
      <c r="L1259" s="244"/>
      <c r="M1259" s="244"/>
      <c r="N1259" s="244"/>
      <c r="O1259" s="244"/>
      <c r="P1259" s="244"/>
      <c r="Q1259" s="244"/>
    </row>
    <row r="1260" spans="4:17" x14ac:dyDescent="0.2">
      <c r="D1260" s="244"/>
      <c r="E1260" s="244"/>
      <c r="F1260" s="244"/>
      <c r="G1260" s="244"/>
      <c r="H1260" s="244"/>
      <c r="I1260" s="244"/>
      <c r="J1260" s="244"/>
      <c r="K1260" s="244"/>
      <c r="L1260" s="244"/>
      <c r="M1260" s="244"/>
      <c r="N1260" s="244"/>
      <c r="O1260" s="244"/>
      <c r="P1260" s="244"/>
      <c r="Q1260" s="244"/>
    </row>
    <row r="1261" spans="4:17" x14ac:dyDescent="0.2">
      <c r="D1261" s="244"/>
      <c r="E1261" s="244"/>
      <c r="F1261" s="244"/>
      <c r="G1261" s="244"/>
      <c r="H1261" s="244"/>
      <c r="I1261" s="244"/>
      <c r="J1261" s="244"/>
      <c r="K1261" s="244"/>
      <c r="L1261" s="244"/>
      <c r="M1261" s="244"/>
      <c r="N1261" s="244"/>
      <c r="O1261" s="244"/>
      <c r="P1261" s="244"/>
      <c r="Q1261" s="244"/>
    </row>
    <row r="1262" spans="4:17" x14ac:dyDescent="0.2">
      <c r="D1262" s="244"/>
      <c r="E1262" s="244"/>
      <c r="F1262" s="244"/>
      <c r="G1262" s="244"/>
      <c r="H1262" s="244"/>
      <c r="I1262" s="244"/>
      <c r="J1262" s="244"/>
      <c r="K1262" s="244"/>
      <c r="L1262" s="244"/>
      <c r="M1262" s="244"/>
      <c r="N1262" s="244"/>
      <c r="O1262" s="244"/>
      <c r="P1262" s="244"/>
      <c r="Q1262" s="244"/>
    </row>
    <row r="1263" spans="4:17" x14ac:dyDescent="0.2">
      <c r="D1263" s="244"/>
      <c r="E1263" s="244"/>
      <c r="F1263" s="244"/>
      <c r="G1263" s="244"/>
      <c r="H1263" s="244"/>
      <c r="I1263" s="244"/>
      <c r="J1263" s="244"/>
      <c r="K1263" s="244"/>
      <c r="L1263" s="244"/>
      <c r="M1263" s="244"/>
      <c r="N1263" s="244"/>
      <c r="O1263" s="244"/>
      <c r="P1263" s="244"/>
      <c r="Q1263" s="244"/>
    </row>
    <row r="1264" spans="4:17" x14ac:dyDescent="0.2">
      <c r="D1264" s="244"/>
      <c r="E1264" s="244"/>
      <c r="F1264" s="244"/>
      <c r="G1264" s="244"/>
      <c r="H1264" s="244"/>
      <c r="I1264" s="244"/>
      <c r="J1264" s="244"/>
      <c r="K1264" s="244"/>
      <c r="L1264" s="244"/>
      <c r="M1264" s="244"/>
      <c r="N1264" s="244"/>
      <c r="O1264" s="244"/>
      <c r="P1264" s="244"/>
      <c r="Q1264" s="244"/>
    </row>
    <row r="1265" spans="4:17" x14ac:dyDescent="0.2">
      <c r="D1265" s="244"/>
      <c r="E1265" s="244"/>
      <c r="F1265" s="244"/>
      <c r="G1265" s="244"/>
      <c r="H1265" s="244"/>
      <c r="I1265" s="244"/>
      <c r="J1265" s="244"/>
      <c r="K1265" s="244"/>
      <c r="L1265" s="244"/>
      <c r="M1265" s="244"/>
      <c r="N1265" s="244"/>
      <c r="O1265" s="244"/>
      <c r="P1265" s="244"/>
      <c r="Q1265" s="244"/>
    </row>
    <row r="1266" spans="4:17" x14ac:dyDescent="0.2">
      <c r="D1266" s="244"/>
      <c r="E1266" s="244"/>
      <c r="F1266" s="244"/>
      <c r="G1266" s="244"/>
      <c r="H1266" s="244"/>
      <c r="I1266" s="244"/>
      <c r="J1266" s="244"/>
      <c r="K1266" s="244"/>
      <c r="L1266" s="244"/>
      <c r="M1266" s="244"/>
      <c r="N1266" s="244"/>
      <c r="O1266" s="244"/>
      <c r="P1266" s="244"/>
      <c r="Q1266" s="244"/>
    </row>
    <row r="1267" spans="4:17" x14ac:dyDescent="0.2">
      <c r="D1267" s="244"/>
      <c r="E1267" s="244"/>
      <c r="F1267" s="244"/>
      <c r="G1267" s="244"/>
      <c r="H1267" s="244"/>
      <c r="I1267" s="244"/>
      <c r="J1267" s="244"/>
      <c r="K1267" s="244"/>
      <c r="L1267" s="244"/>
      <c r="M1267" s="244"/>
      <c r="N1267" s="244"/>
      <c r="O1267" s="244"/>
      <c r="P1267" s="244"/>
      <c r="Q1267" s="244"/>
    </row>
    <row r="1268" spans="4:17" x14ac:dyDescent="0.2">
      <c r="D1268" s="244"/>
      <c r="E1268" s="244"/>
      <c r="F1268" s="244"/>
      <c r="G1268" s="244"/>
      <c r="H1268" s="244"/>
      <c r="I1268" s="244"/>
      <c r="J1268" s="244"/>
      <c r="K1268" s="244"/>
      <c r="L1268" s="244"/>
      <c r="M1268" s="244"/>
      <c r="N1268" s="244"/>
      <c r="O1268" s="244"/>
      <c r="P1268" s="244"/>
      <c r="Q1268" s="244"/>
    </row>
    <row r="1269" spans="4:17" x14ac:dyDescent="0.2">
      <c r="D1269" s="244"/>
      <c r="E1269" s="244"/>
      <c r="F1269" s="244"/>
      <c r="G1269" s="244"/>
      <c r="H1269" s="244"/>
      <c r="I1269" s="244"/>
      <c r="J1269" s="244"/>
      <c r="K1269" s="244"/>
      <c r="L1269" s="244"/>
      <c r="M1269" s="244"/>
      <c r="N1269" s="244"/>
      <c r="O1269" s="244"/>
      <c r="P1269" s="244"/>
      <c r="Q1269" s="244"/>
    </row>
    <row r="1270" spans="4:17" x14ac:dyDescent="0.2">
      <c r="D1270" s="244"/>
      <c r="E1270" s="244"/>
      <c r="F1270" s="244"/>
      <c r="G1270" s="244"/>
      <c r="H1270" s="244"/>
      <c r="I1270" s="244"/>
      <c r="J1270" s="244"/>
      <c r="K1270" s="244"/>
      <c r="L1270" s="244"/>
      <c r="M1270" s="244"/>
      <c r="N1270" s="244"/>
      <c r="O1270" s="244"/>
      <c r="P1270" s="244"/>
      <c r="Q1270" s="244"/>
    </row>
    <row r="1271" spans="4:17" x14ac:dyDescent="0.2">
      <c r="D1271" s="244"/>
      <c r="E1271" s="244"/>
      <c r="F1271" s="244"/>
      <c r="G1271" s="244"/>
      <c r="H1271" s="244"/>
      <c r="I1271" s="244"/>
      <c r="J1271" s="244"/>
      <c r="K1271" s="244"/>
      <c r="L1271" s="244"/>
      <c r="M1271" s="244"/>
      <c r="N1271" s="244"/>
      <c r="O1271" s="244"/>
      <c r="P1271" s="244"/>
      <c r="Q1271" s="244"/>
    </row>
    <row r="1272" spans="4:17" x14ac:dyDescent="0.2">
      <c r="D1272" s="244"/>
      <c r="E1272" s="244"/>
      <c r="F1272" s="244"/>
      <c r="G1272" s="244"/>
      <c r="H1272" s="244"/>
      <c r="I1272" s="244"/>
      <c r="J1272" s="244"/>
      <c r="K1272" s="244"/>
      <c r="L1272" s="244"/>
      <c r="M1272" s="244"/>
      <c r="N1272" s="244"/>
      <c r="O1272" s="244"/>
      <c r="P1272" s="244"/>
      <c r="Q1272" s="244"/>
    </row>
    <row r="1273" spans="4:17" x14ac:dyDescent="0.2">
      <c r="D1273" s="244"/>
      <c r="E1273" s="244"/>
      <c r="F1273" s="244"/>
      <c r="G1273" s="244"/>
      <c r="H1273" s="244"/>
      <c r="I1273" s="244"/>
      <c r="J1273" s="244"/>
      <c r="K1273" s="244"/>
      <c r="L1273" s="244"/>
      <c r="M1273" s="244"/>
      <c r="N1273" s="244"/>
      <c r="O1273" s="244"/>
      <c r="P1273" s="244"/>
      <c r="Q1273" s="244"/>
    </row>
    <row r="1274" spans="4:17" x14ac:dyDescent="0.2">
      <c r="D1274" s="244"/>
      <c r="E1274" s="244"/>
      <c r="F1274" s="244"/>
      <c r="G1274" s="244"/>
      <c r="H1274" s="244"/>
      <c r="I1274" s="244"/>
      <c r="J1274" s="244"/>
      <c r="K1274" s="244"/>
      <c r="L1274" s="244"/>
      <c r="M1274" s="244"/>
      <c r="N1274" s="244"/>
      <c r="O1274" s="244"/>
      <c r="P1274" s="244"/>
      <c r="Q1274" s="244"/>
    </row>
    <row r="1275" spans="4:17" x14ac:dyDescent="0.2">
      <c r="D1275" s="244"/>
      <c r="E1275" s="244"/>
      <c r="F1275" s="244"/>
      <c r="G1275" s="244"/>
      <c r="H1275" s="244"/>
      <c r="I1275" s="244"/>
      <c r="J1275" s="244"/>
      <c r="K1275" s="244"/>
      <c r="L1275" s="244"/>
      <c r="M1275" s="244"/>
      <c r="N1275" s="244"/>
      <c r="O1275" s="244"/>
      <c r="P1275" s="244"/>
      <c r="Q1275" s="244"/>
    </row>
    <row r="1276" spans="4:17" x14ac:dyDescent="0.2">
      <c r="D1276" s="244"/>
      <c r="E1276" s="244"/>
      <c r="F1276" s="244"/>
      <c r="G1276" s="244"/>
      <c r="H1276" s="244"/>
      <c r="I1276" s="244"/>
      <c r="J1276" s="244"/>
      <c r="K1276" s="244"/>
      <c r="L1276" s="244"/>
      <c r="M1276" s="244"/>
      <c r="N1276" s="244"/>
      <c r="O1276" s="244"/>
      <c r="P1276" s="244"/>
      <c r="Q1276" s="244"/>
    </row>
    <row r="1277" spans="4:17" x14ac:dyDescent="0.2">
      <c r="D1277" s="244"/>
      <c r="E1277" s="244"/>
      <c r="F1277" s="244"/>
      <c r="G1277" s="244"/>
      <c r="H1277" s="244"/>
      <c r="I1277" s="244"/>
      <c r="J1277" s="244"/>
      <c r="K1277" s="244"/>
      <c r="L1277" s="244"/>
      <c r="M1277" s="244"/>
      <c r="N1277" s="244"/>
      <c r="O1277" s="244"/>
      <c r="P1277" s="244"/>
      <c r="Q1277" s="244"/>
    </row>
    <row r="1278" spans="4:17" x14ac:dyDescent="0.2">
      <c r="D1278" s="244"/>
      <c r="E1278" s="244"/>
      <c r="F1278" s="244"/>
      <c r="G1278" s="244"/>
      <c r="H1278" s="244"/>
      <c r="I1278" s="244"/>
      <c r="J1278" s="244"/>
      <c r="K1278" s="244"/>
      <c r="L1278" s="244"/>
      <c r="M1278" s="244"/>
      <c r="N1278" s="244"/>
      <c r="O1278" s="244"/>
      <c r="P1278" s="244"/>
      <c r="Q1278" s="244"/>
    </row>
    <row r="1279" spans="4:17" x14ac:dyDescent="0.2">
      <c r="D1279" s="244"/>
      <c r="E1279" s="244"/>
      <c r="F1279" s="244"/>
      <c r="G1279" s="244"/>
      <c r="H1279" s="244"/>
      <c r="I1279" s="244"/>
      <c r="J1279" s="244"/>
      <c r="K1279" s="244"/>
      <c r="L1279" s="244"/>
      <c r="M1279" s="244"/>
      <c r="N1279" s="244"/>
      <c r="O1279" s="244"/>
      <c r="P1279" s="244"/>
      <c r="Q1279" s="244"/>
    </row>
    <row r="1280" spans="4:17" x14ac:dyDescent="0.2">
      <c r="D1280" s="244"/>
      <c r="E1280" s="244"/>
      <c r="F1280" s="244"/>
      <c r="G1280" s="244"/>
      <c r="H1280" s="244"/>
      <c r="I1280" s="244"/>
      <c r="J1280" s="244"/>
      <c r="K1280" s="244"/>
      <c r="L1280" s="244"/>
      <c r="M1280" s="244"/>
      <c r="N1280" s="244"/>
      <c r="O1280" s="244"/>
      <c r="P1280" s="244"/>
      <c r="Q1280" s="244"/>
    </row>
    <row r="1281" spans="4:17" x14ac:dyDescent="0.2">
      <c r="D1281" s="244"/>
      <c r="E1281" s="244"/>
      <c r="F1281" s="244"/>
      <c r="G1281" s="244"/>
      <c r="H1281" s="244"/>
      <c r="I1281" s="244"/>
      <c r="J1281" s="244"/>
      <c r="K1281" s="244"/>
      <c r="L1281" s="244"/>
      <c r="M1281" s="244"/>
      <c r="N1281" s="244"/>
      <c r="O1281" s="244"/>
      <c r="P1281" s="244"/>
      <c r="Q1281" s="244"/>
    </row>
    <row r="1282" spans="4:17" x14ac:dyDescent="0.2">
      <c r="D1282" s="244"/>
      <c r="E1282" s="244"/>
      <c r="F1282" s="244"/>
      <c r="G1282" s="244"/>
      <c r="H1282" s="244"/>
      <c r="I1282" s="244"/>
      <c r="J1282" s="244"/>
      <c r="K1282" s="244"/>
      <c r="L1282" s="244"/>
      <c r="M1282" s="244"/>
      <c r="N1282" s="244"/>
      <c r="O1282" s="244"/>
      <c r="P1282" s="244"/>
      <c r="Q1282" s="244"/>
    </row>
    <row r="1283" spans="4:17" x14ac:dyDescent="0.2">
      <c r="D1283" s="244"/>
      <c r="E1283" s="244"/>
      <c r="F1283" s="244"/>
      <c r="G1283" s="244"/>
      <c r="H1283" s="244"/>
      <c r="I1283" s="244"/>
      <c r="J1283" s="244"/>
      <c r="K1283" s="244"/>
      <c r="L1283" s="244"/>
      <c r="M1283" s="244"/>
      <c r="N1283" s="244"/>
      <c r="O1283" s="244"/>
      <c r="P1283" s="244"/>
      <c r="Q1283" s="244"/>
    </row>
    <row r="1284" spans="4:17" x14ac:dyDescent="0.2">
      <c r="D1284" s="244"/>
      <c r="E1284" s="244"/>
      <c r="F1284" s="244"/>
      <c r="G1284" s="244"/>
      <c r="H1284" s="244"/>
      <c r="I1284" s="244"/>
      <c r="J1284" s="244"/>
      <c r="K1284" s="244"/>
      <c r="L1284" s="244"/>
      <c r="M1284" s="244"/>
      <c r="N1284" s="244"/>
      <c r="O1284" s="244"/>
      <c r="P1284" s="244"/>
      <c r="Q1284" s="244"/>
    </row>
    <row r="1285" spans="4:17" x14ac:dyDescent="0.2">
      <c r="D1285" s="244"/>
      <c r="E1285" s="244"/>
      <c r="F1285" s="244"/>
      <c r="G1285" s="244"/>
      <c r="H1285" s="244"/>
      <c r="I1285" s="244"/>
      <c r="J1285" s="244"/>
      <c r="K1285" s="244"/>
      <c r="L1285" s="244"/>
      <c r="M1285" s="244"/>
      <c r="N1285" s="244"/>
      <c r="O1285" s="244"/>
      <c r="P1285" s="244"/>
      <c r="Q1285" s="244"/>
    </row>
    <row r="1286" spans="4:17" x14ac:dyDescent="0.2">
      <c r="D1286" s="244"/>
      <c r="E1286" s="244"/>
      <c r="F1286" s="244"/>
      <c r="G1286" s="244"/>
      <c r="H1286" s="244"/>
      <c r="I1286" s="244"/>
      <c r="J1286" s="244"/>
      <c r="K1286" s="244"/>
      <c r="L1286" s="244"/>
      <c r="M1286" s="244"/>
      <c r="N1286" s="244"/>
      <c r="O1286" s="244"/>
      <c r="P1286" s="244"/>
      <c r="Q1286" s="244"/>
    </row>
    <row r="1287" spans="4:17" x14ac:dyDescent="0.2">
      <c r="D1287" s="244"/>
      <c r="E1287" s="244"/>
      <c r="F1287" s="244"/>
      <c r="G1287" s="244"/>
      <c r="H1287" s="244"/>
      <c r="I1287" s="244"/>
      <c r="J1287" s="244"/>
      <c r="K1287" s="244"/>
      <c r="L1287" s="244"/>
      <c r="M1287" s="244"/>
      <c r="N1287" s="244"/>
      <c r="O1287" s="244"/>
      <c r="P1287" s="244"/>
      <c r="Q1287" s="244"/>
    </row>
    <row r="1288" spans="4:17" x14ac:dyDescent="0.2">
      <c r="D1288" s="244"/>
      <c r="E1288" s="244"/>
      <c r="F1288" s="244"/>
      <c r="G1288" s="244"/>
      <c r="H1288" s="244"/>
      <c r="I1288" s="244"/>
      <c r="J1288" s="244"/>
      <c r="K1288" s="244"/>
      <c r="L1288" s="244"/>
      <c r="M1288" s="244"/>
      <c r="N1288" s="244"/>
      <c r="O1288" s="244"/>
      <c r="P1288" s="244"/>
      <c r="Q1288" s="244"/>
    </row>
    <row r="1289" spans="4:17" x14ac:dyDescent="0.2">
      <c r="D1289" s="244"/>
      <c r="E1289" s="244"/>
      <c r="F1289" s="244"/>
      <c r="G1289" s="244"/>
      <c r="H1289" s="244"/>
      <c r="I1289" s="244"/>
      <c r="J1289" s="244"/>
      <c r="K1289" s="244"/>
      <c r="L1289" s="244"/>
      <c r="M1289" s="244"/>
      <c r="N1289" s="244"/>
      <c r="O1289" s="244"/>
      <c r="P1289" s="244"/>
      <c r="Q1289" s="244"/>
    </row>
    <row r="1290" spans="4:17" x14ac:dyDescent="0.2">
      <c r="D1290" s="244"/>
      <c r="E1290" s="244"/>
      <c r="F1290" s="244"/>
      <c r="G1290" s="244"/>
      <c r="H1290" s="244"/>
      <c r="I1290" s="244"/>
      <c r="J1290" s="244"/>
      <c r="K1290" s="244"/>
      <c r="L1290" s="244"/>
      <c r="M1290" s="244"/>
      <c r="N1290" s="244"/>
      <c r="O1290" s="244"/>
      <c r="P1290" s="244"/>
      <c r="Q1290" s="244"/>
    </row>
    <row r="1291" spans="4:17" x14ac:dyDescent="0.2">
      <c r="D1291" s="244"/>
      <c r="E1291" s="244"/>
      <c r="F1291" s="244"/>
      <c r="G1291" s="244"/>
      <c r="H1291" s="244"/>
      <c r="I1291" s="244"/>
      <c r="J1291" s="244"/>
      <c r="K1291" s="244"/>
      <c r="L1291" s="244"/>
      <c r="M1291" s="244"/>
      <c r="N1291" s="244"/>
      <c r="O1291" s="244"/>
      <c r="P1291" s="244"/>
      <c r="Q1291" s="244"/>
    </row>
    <row r="1292" spans="4:17" x14ac:dyDescent="0.2">
      <c r="D1292" s="244"/>
      <c r="E1292" s="244"/>
      <c r="F1292" s="244"/>
      <c r="G1292" s="244"/>
      <c r="H1292" s="244"/>
      <c r="I1292" s="244"/>
      <c r="J1292" s="244"/>
      <c r="K1292" s="244"/>
      <c r="L1292" s="244"/>
      <c r="M1292" s="244"/>
      <c r="N1292" s="244"/>
      <c r="O1292" s="244"/>
      <c r="P1292" s="244"/>
      <c r="Q1292" s="244"/>
    </row>
    <row r="1293" spans="4:17" x14ac:dyDescent="0.2">
      <c r="D1293" s="244"/>
      <c r="E1293" s="244"/>
      <c r="F1293" s="244"/>
      <c r="G1293" s="244"/>
      <c r="H1293" s="244"/>
      <c r="I1293" s="244"/>
      <c r="J1293" s="244"/>
      <c r="K1293" s="244"/>
      <c r="L1293" s="244"/>
      <c r="M1293" s="244"/>
      <c r="N1293" s="244"/>
      <c r="O1293" s="244"/>
      <c r="P1293" s="244"/>
      <c r="Q1293" s="244"/>
    </row>
    <row r="1294" spans="4:17" x14ac:dyDescent="0.2">
      <c r="D1294" s="244"/>
      <c r="E1294" s="244"/>
      <c r="F1294" s="244"/>
      <c r="G1294" s="244"/>
      <c r="H1294" s="244"/>
      <c r="I1294" s="244"/>
      <c r="J1294" s="244"/>
      <c r="K1294" s="244"/>
      <c r="L1294" s="244"/>
      <c r="M1294" s="244"/>
      <c r="N1294" s="244"/>
      <c r="O1294" s="244"/>
      <c r="P1294" s="244"/>
      <c r="Q1294" s="244"/>
    </row>
    <row r="1295" spans="4:17" x14ac:dyDescent="0.2">
      <c r="D1295" s="244"/>
      <c r="E1295" s="244"/>
      <c r="F1295" s="244"/>
      <c r="G1295" s="244"/>
      <c r="H1295" s="244"/>
      <c r="I1295" s="244"/>
      <c r="J1295" s="244"/>
      <c r="K1295" s="244"/>
      <c r="L1295" s="244"/>
      <c r="M1295" s="244"/>
      <c r="N1295" s="244"/>
      <c r="O1295" s="244"/>
      <c r="P1295" s="244"/>
      <c r="Q1295" s="244"/>
    </row>
    <row r="1296" spans="4:17" x14ac:dyDescent="0.2">
      <c r="D1296" s="244"/>
      <c r="E1296" s="244"/>
      <c r="F1296" s="244"/>
      <c r="G1296" s="244"/>
      <c r="H1296" s="244"/>
      <c r="I1296" s="244"/>
      <c r="J1296" s="244"/>
      <c r="K1296" s="244"/>
      <c r="L1296" s="244"/>
      <c r="M1296" s="244"/>
      <c r="N1296" s="244"/>
      <c r="O1296" s="244"/>
      <c r="P1296" s="244"/>
      <c r="Q1296" s="244"/>
    </row>
    <row r="1297" spans="4:17" x14ac:dyDescent="0.2">
      <c r="D1297" s="244"/>
      <c r="E1297" s="244"/>
      <c r="F1297" s="244"/>
      <c r="G1297" s="244"/>
      <c r="H1297" s="244"/>
      <c r="I1297" s="244"/>
      <c r="J1297" s="244"/>
      <c r="K1297" s="244"/>
      <c r="L1297" s="244"/>
      <c r="M1297" s="244"/>
      <c r="N1297" s="244"/>
      <c r="O1297" s="244"/>
      <c r="P1297" s="244"/>
      <c r="Q1297" s="244"/>
    </row>
    <row r="1298" spans="4:17" x14ac:dyDescent="0.2">
      <c r="D1298" s="244"/>
      <c r="E1298" s="244"/>
      <c r="F1298" s="244"/>
      <c r="G1298" s="244"/>
      <c r="H1298" s="244"/>
      <c r="I1298" s="244"/>
      <c r="J1298" s="244"/>
      <c r="K1298" s="244"/>
      <c r="L1298" s="244"/>
      <c r="M1298" s="244"/>
      <c r="N1298" s="244"/>
      <c r="O1298" s="244"/>
      <c r="P1298" s="244"/>
      <c r="Q1298" s="244"/>
    </row>
    <row r="1299" spans="4:17" x14ac:dyDescent="0.2">
      <c r="D1299" s="244"/>
      <c r="E1299" s="244"/>
      <c r="F1299" s="244"/>
      <c r="G1299" s="244"/>
      <c r="H1299" s="244"/>
      <c r="I1299" s="244"/>
      <c r="J1299" s="244"/>
      <c r="K1299" s="244"/>
      <c r="L1299" s="244"/>
      <c r="M1299" s="244"/>
      <c r="N1299" s="244"/>
      <c r="O1299" s="244"/>
      <c r="P1299" s="244"/>
      <c r="Q1299" s="244"/>
    </row>
    <row r="1300" spans="4:17" x14ac:dyDescent="0.2">
      <c r="D1300" s="244"/>
      <c r="E1300" s="244"/>
      <c r="F1300" s="244"/>
      <c r="G1300" s="244"/>
      <c r="H1300" s="244"/>
      <c r="I1300" s="244"/>
      <c r="J1300" s="244"/>
      <c r="K1300" s="244"/>
      <c r="L1300" s="244"/>
      <c r="M1300" s="244"/>
      <c r="N1300" s="244"/>
      <c r="O1300" s="244"/>
      <c r="P1300" s="244"/>
      <c r="Q1300" s="244"/>
    </row>
    <row r="1301" spans="4:17" x14ac:dyDescent="0.2">
      <c r="D1301" s="244"/>
      <c r="E1301" s="244"/>
      <c r="F1301" s="244"/>
      <c r="G1301" s="244"/>
      <c r="H1301" s="244"/>
      <c r="I1301" s="244"/>
      <c r="J1301" s="244"/>
      <c r="K1301" s="244"/>
      <c r="L1301" s="244"/>
      <c r="M1301" s="244"/>
      <c r="N1301" s="244"/>
      <c r="O1301" s="244"/>
      <c r="P1301" s="244"/>
      <c r="Q1301" s="244"/>
    </row>
    <row r="1302" spans="4:17" x14ac:dyDescent="0.2">
      <c r="D1302" s="244"/>
      <c r="E1302" s="244"/>
      <c r="F1302" s="244"/>
      <c r="G1302" s="244"/>
      <c r="H1302" s="244"/>
      <c r="I1302" s="244"/>
      <c r="J1302" s="244"/>
      <c r="K1302" s="244"/>
      <c r="L1302" s="244"/>
      <c r="M1302" s="244"/>
      <c r="N1302" s="244"/>
      <c r="O1302" s="244"/>
      <c r="P1302" s="244"/>
      <c r="Q1302" s="244"/>
    </row>
    <row r="1303" spans="4:17" x14ac:dyDescent="0.2">
      <c r="D1303" s="244"/>
      <c r="E1303" s="244"/>
      <c r="F1303" s="244"/>
      <c r="G1303" s="244"/>
      <c r="H1303" s="244"/>
      <c r="I1303" s="244"/>
      <c r="J1303" s="244"/>
      <c r="K1303" s="244"/>
      <c r="L1303" s="244"/>
      <c r="M1303" s="244"/>
      <c r="N1303" s="244"/>
      <c r="O1303" s="244"/>
      <c r="P1303" s="244"/>
      <c r="Q1303" s="244"/>
    </row>
    <row r="1304" spans="4:17" x14ac:dyDescent="0.2">
      <c r="D1304" s="244"/>
      <c r="E1304" s="244"/>
      <c r="F1304" s="244"/>
      <c r="G1304" s="244"/>
      <c r="H1304" s="244"/>
      <c r="I1304" s="244"/>
      <c r="J1304" s="244"/>
      <c r="K1304" s="244"/>
      <c r="L1304" s="244"/>
      <c r="M1304" s="244"/>
      <c r="N1304" s="244"/>
      <c r="O1304" s="244"/>
      <c r="P1304" s="244"/>
      <c r="Q1304" s="244"/>
    </row>
    <row r="1305" spans="4:17" x14ac:dyDescent="0.2">
      <c r="D1305" s="244"/>
      <c r="E1305" s="244"/>
      <c r="F1305" s="244"/>
      <c r="G1305" s="244"/>
      <c r="H1305" s="244"/>
      <c r="I1305" s="244"/>
      <c r="J1305" s="244"/>
      <c r="K1305" s="244"/>
      <c r="L1305" s="244"/>
      <c r="M1305" s="244"/>
      <c r="N1305" s="244"/>
      <c r="O1305" s="244"/>
      <c r="P1305" s="244"/>
      <c r="Q1305" s="244"/>
    </row>
    <row r="1306" spans="4:17" x14ac:dyDescent="0.2">
      <c r="D1306" s="244"/>
      <c r="E1306" s="244"/>
      <c r="F1306" s="244"/>
      <c r="G1306" s="244"/>
      <c r="H1306" s="244"/>
      <c r="I1306" s="244"/>
      <c r="J1306" s="244"/>
      <c r="K1306" s="244"/>
      <c r="L1306" s="244"/>
      <c r="M1306" s="244"/>
      <c r="N1306" s="244"/>
      <c r="O1306" s="244"/>
      <c r="P1306" s="244"/>
      <c r="Q1306" s="244"/>
    </row>
    <row r="1307" spans="4:17" x14ac:dyDescent="0.2">
      <c r="D1307" s="244"/>
      <c r="E1307" s="244"/>
      <c r="F1307" s="244"/>
      <c r="G1307" s="244"/>
      <c r="H1307" s="244"/>
      <c r="I1307" s="244"/>
      <c r="J1307" s="244"/>
      <c r="K1307" s="244"/>
      <c r="L1307" s="244"/>
      <c r="M1307" s="244"/>
      <c r="N1307" s="244"/>
      <c r="O1307" s="244"/>
      <c r="P1307" s="244"/>
      <c r="Q1307" s="244"/>
    </row>
    <row r="1308" spans="4:17" x14ac:dyDescent="0.2">
      <c r="D1308" s="244"/>
      <c r="E1308" s="244"/>
      <c r="F1308" s="244"/>
      <c r="G1308" s="244"/>
      <c r="H1308" s="244"/>
      <c r="I1308" s="244"/>
      <c r="J1308" s="244"/>
      <c r="K1308" s="244"/>
      <c r="L1308" s="244"/>
      <c r="M1308" s="244"/>
      <c r="N1308" s="244"/>
      <c r="O1308" s="244"/>
      <c r="P1308" s="244"/>
      <c r="Q1308" s="244"/>
    </row>
    <row r="1309" spans="4:17" x14ac:dyDescent="0.2">
      <c r="D1309" s="244"/>
      <c r="E1309" s="244"/>
      <c r="F1309" s="244"/>
      <c r="G1309" s="244"/>
      <c r="H1309" s="244"/>
      <c r="I1309" s="244"/>
      <c r="J1309" s="244"/>
      <c r="K1309" s="244"/>
      <c r="L1309" s="244"/>
      <c r="M1309" s="244"/>
      <c r="N1309" s="244"/>
      <c r="O1309" s="244"/>
      <c r="P1309" s="244"/>
      <c r="Q1309" s="244"/>
    </row>
    <row r="1310" spans="4:17" x14ac:dyDescent="0.2">
      <c r="D1310" s="244"/>
      <c r="E1310" s="244"/>
      <c r="F1310" s="244"/>
      <c r="G1310" s="244"/>
      <c r="H1310" s="244"/>
      <c r="I1310" s="244"/>
      <c r="J1310" s="244"/>
      <c r="K1310" s="244"/>
      <c r="L1310" s="244"/>
      <c r="M1310" s="244"/>
      <c r="N1310" s="244"/>
      <c r="O1310" s="244"/>
      <c r="P1310" s="244"/>
      <c r="Q1310" s="244"/>
    </row>
    <row r="1311" spans="4:17" x14ac:dyDescent="0.2">
      <c r="D1311" s="244"/>
      <c r="E1311" s="244"/>
      <c r="F1311" s="244"/>
      <c r="G1311" s="244"/>
      <c r="H1311" s="244"/>
      <c r="I1311" s="244"/>
      <c r="J1311" s="244"/>
      <c r="K1311" s="244"/>
      <c r="L1311" s="244"/>
      <c r="M1311" s="244"/>
      <c r="N1311" s="244"/>
      <c r="O1311" s="244"/>
      <c r="P1311" s="244"/>
      <c r="Q1311" s="244"/>
    </row>
    <row r="1312" spans="4:17" x14ac:dyDescent="0.2">
      <c r="D1312" s="244"/>
      <c r="E1312" s="244"/>
      <c r="F1312" s="244"/>
      <c r="G1312" s="244"/>
      <c r="H1312" s="244"/>
      <c r="I1312" s="244"/>
      <c r="J1312" s="244"/>
      <c r="K1312" s="244"/>
      <c r="L1312" s="244"/>
      <c r="M1312" s="244"/>
      <c r="N1312" s="244"/>
      <c r="O1312" s="244"/>
      <c r="P1312" s="244"/>
      <c r="Q1312" s="244"/>
    </row>
    <row r="1313" spans="4:17" x14ac:dyDescent="0.2">
      <c r="D1313" s="244"/>
      <c r="E1313" s="244"/>
      <c r="F1313" s="244"/>
      <c r="G1313" s="244"/>
      <c r="H1313" s="244"/>
      <c r="I1313" s="244"/>
      <c r="J1313" s="244"/>
      <c r="K1313" s="244"/>
      <c r="L1313" s="244"/>
      <c r="M1313" s="244"/>
      <c r="N1313" s="244"/>
      <c r="O1313" s="244"/>
      <c r="P1313" s="244"/>
      <c r="Q1313" s="244"/>
    </row>
    <row r="1314" spans="4:17" x14ac:dyDescent="0.2">
      <c r="D1314" s="244"/>
      <c r="E1314" s="244"/>
      <c r="F1314" s="244"/>
      <c r="G1314" s="244"/>
      <c r="H1314" s="244"/>
      <c r="I1314" s="244"/>
      <c r="J1314" s="244"/>
      <c r="K1314" s="244"/>
      <c r="L1314" s="244"/>
      <c r="M1314" s="244"/>
      <c r="N1314" s="244"/>
      <c r="O1314" s="244"/>
      <c r="P1314" s="244"/>
      <c r="Q1314" s="244"/>
    </row>
    <row r="1315" spans="4:17" x14ac:dyDescent="0.2">
      <c r="D1315" s="244"/>
      <c r="E1315" s="244"/>
      <c r="F1315" s="244"/>
      <c r="G1315" s="244"/>
      <c r="H1315" s="244"/>
      <c r="I1315" s="244"/>
      <c r="J1315" s="244"/>
      <c r="K1315" s="244"/>
      <c r="L1315" s="244"/>
      <c r="M1315" s="244"/>
      <c r="N1315" s="244"/>
      <c r="O1315" s="244"/>
      <c r="P1315" s="244"/>
      <c r="Q1315" s="244"/>
    </row>
    <row r="1316" spans="4:17" x14ac:dyDescent="0.2">
      <c r="D1316" s="244"/>
      <c r="E1316" s="244"/>
      <c r="F1316" s="244"/>
      <c r="G1316" s="244"/>
      <c r="H1316" s="244"/>
      <c r="I1316" s="244"/>
      <c r="J1316" s="244"/>
      <c r="K1316" s="244"/>
      <c r="L1316" s="244"/>
      <c r="M1316" s="244"/>
      <c r="N1316" s="244"/>
      <c r="O1316" s="244"/>
      <c r="P1316" s="244"/>
      <c r="Q1316" s="244"/>
    </row>
    <row r="1317" spans="4:17" x14ac:dyDescent="0.2">
      <c r="D1317" s="244"/>
      <c r="E1317" s="244"/>
      <c r="F1317" s="244"/>
      <c r="G1317" s="244"/>
      <c r="H1317" s="244"/>
      <c r="I1317" s="244"/>
      <c r="J1317" s="244"/>
      <c r="K1317" s="244"/>
      <c r="L1317" s="244"/>
      <c r="M1317" s="244"/>
      <c r="N1317" s="244"/>
      <c r="O1317" s="244"/>
      <c r="P1317" s="244"/>
      <c r="Q1317" s="244"/>
    </row>
    <row r="1318" spans="4:17" x14ac:dyDescent="0.2">
      <c r="D1318" s="244"/>
      <c r="E1318" s="244"/>
      <c r="F1318" s="244"/>
      <c r="G1318" s="244"/>
      <c r="H1318" s="244"/>
      <c r="I1318" s="244"/>
      <c r="J1318" s="244"/>
      <c r="K1318" s="244"/>
      <c r="L1318" s="244"/>
      <c r="M1318" s="244"/>
      <c r="N1318" s="244"/>
      <c r="O1318" s="244"/>
      <c r="P1318" s="244"/>
      <c r="Q1318" s="244"/>
    </row>
    <row r="1319" spans="4:17" x14ac:dyDescent="0.2">
      <c r="D1319" s="244"/>
      <c r="E1319" s="244"/>
      <c r="F1319" s="244"/>
      <c r="G1319" s="244"/>
      <c r="H1319" s="244"/>
      <c r="I1319" s="244"/>
      <c r="J1319" s="244"/>
      <c r="K1319" s="244"/>
      <c r="L1319" s="244"/>
      <c r="M1319" s="244"/>
      <c r="N1319" s="244"/>
      <c r="O1319" s="244"/>
      <c r="P1319" s="244"/>
      <c r="Q1319" s="244"/>
    </row>
    <row r="1320" spans="4:17" x14ac:dyDescent="0.2">
      <c r="D1320" s="244"/>
      <c r="E1320" s="244"/>
      <c r="F1320" s="244"/>
      <c r="G1320" s="244"/>
      <c r="H1320" s="244"/>
      <c r="I1320" s="244"/>
      <c r="J1320" s="244"/>
      <c r="K1320" s="244"/>
      <c r="L1320" s="244"/>
      <c r="M1320" s="244"/>
      <c r="N1320" s="244"/>
      <c r="O1320" s="244"/>
      <c r="P1320" s="244"/>
      <c r="Q1320" s="244"/>
    </row>
    <row r="1321" spans="4:17" x14ac:dyDescent="0.2">
      <c r="D1321" s="244"/>
      <c r="E1321" s="244"/>
      <c r="F1321" s="244"/>
      <c r="G1321" s="244"/>
      <c r="H1321" s="244"/>
      <c r="I1321" s="244"/>
      <c r="J1321" s="244"/>
      <c r="K1321" s="244"/>
      <c r="L1321" s="244"/>
      <c r="M1321" s="244"/>
      <c r="N1321" s="244"/>
      <c r="O1321" s="244"/>
      <c r="P1321" s="244"/>
      <c r="Q1321" s="244"/>
    </row>
    <row r="1322" spans="4:17" x14ac:dyDescent="0.2">
      <c r="D1322" s="244"/>
      <c r="E1322" s="244"/>
      <c r="F1322" s="244"/>
      <c r="G1322" s="244"/>
      <c r="H1322" s="244"/>
      <c r="I1322" s="244"/>
      <c r="J1322" s="244"/>
      <c r="K1322" s="244"/>
      <c r="L1322" s="244"/>
      <c r="M1322" s="244"/>
      <c r="N1322" s="244"/>
      <c r="O1322" s="244"/>
      <c r="P1322" s="244"/>
      <c r="Q1322" s="244"/>
    </row>
    <row r="1323" spans="4:17" x14ac:dyDescent="0.2">
      <c r="D1323" s="244"/>
      <c r="E1323" s="244"/>
      <c r="F1323" s="244"/>
      <c r="G1323" s="244"/>
      <c r="H1323" s="244"/>
      <c r="I1323" s="244"/>
      <c r="J1323" s="244"/>
      <c r="K1323" s="244"/>
      <c r="L1323" s="244"/>
      <c r="M1323" s="244"/>
      <c r="N1323" s="244"/>
      <c r="O1323" s="244"/>
      <c r="P1323" s="244"/>
      <c r="Q1323" s="244"/>
    </row>
    <row r="1324" spans="4:17" x14ac:dyDescent="0.2">
      <c r="D1324" s="244"/>
      <c r="E1324" s="244"/>
      <c r="F1324" s="244"/>
      <c r="G1324" s="244"/>
      <c r="H1324" s="244"/>
      <c r="I1324" s="244"/>
      <c r="J1324" s="244"/>
      <c r="K1324" s="244"/>
      <c r="L1324" s="244"/>
      <c r="M1324" s="244"/>
      <c r="N1324" s="244"/>
      <c r="O1324" s="244"/>
      <c r="P1324" s="244"/>
      <c r="Q1324" s="244"/>
    </row>
    <row r="1325" spans="4:17" x14ac:dyDescent="0.2">
      <c r="D1325" s="244"/>
      <c r="E1325" s="244"/>
      <c r="F1325" s="244"/>
      <c r="G1325" s="244"/>
      <c r="H1325" s="244"/>
      <c r="I1325" s="244"/>
      <c r="J1325" s="244"/>
      <c r="K1325" s="244"/>
      <c r="L1325" s="244"/>
      <c r="M1325" s="244"/>
      <c r="N1325" s="244"/>
      <c r="O1325" s="244"/>
      <c r="P1325" s="244"/>
      <c r="Q1325" s="244"/>
    </row>
    <row r="1326" spans="4:17" x14ac:dyDescent="0.2">
      <c r="D1326" s="244"/>
      <c r="E1326" s="244"/>
      <c r="F1326" s="244"/>
      <c r="G1326" s="244"/>
      <c r="H1326" s="244"/>
      <c r="I1326" s="244"/>
      <c r="J1326" s="244"/>
      <c r="K1326" s="244"/>
      <c r="L1326" s="244"/>
      <c r="M1326" s="244"/>
      <c r="N1326" s="244"/>
      <c r="O1326" s="244"/>
      <c r="P1326" s="244"/>
      <c r="Q1326" s="244"/>
    </row>
    <row r="1327" spans="4:17" x14ac:dyDescent="0.2">
      <c r="D1327" s="244"/>
      <c r="E1327" s="244"/>
      <c r="F1327" s="244"/>
      <c r="G1327" s="244"/>
      <c r="H1327" s="244"/>
      <c r="I1327" s="244"/>
      <c r="J1327" s="244"/>
      <c r="K1327" s="244"/>
      <c r="L1327" s="244"/>
      <c r="M1327" s="244"/>
      <c r="N1327" s="244"/>
      <c r="O1327" s="244"/>
      <c r="P1327" s="244"/>
      <c r="Q1327" s="244"/>
    </row>
    <row r="1328" spans="4:17" x14ac:dyDescent="0.2">
      <c r="D1328" s="244"/>
      <c r="E1328" s="244"/>
      <c r="F1328" s="244"/>
      <c r="G1328" s="244"/>
      <c r="H1328" s="244"/>
      <c r="I1328" s="244"/>
      <c r="J1328" s="244"/>
      <c r="K1328" s="244"/>
      <c r="L1328" s="244"/>
      <c r="M1328" s="244"/>
      <c r="N1328" s="244"/>
      <c r="O1328" s="244"/>
      <c r="P1328" s="244"/>
      <c r="Q1328" s="244"/>
    </row>
    <row r="1329" spans="4:17" x14ac:dyDescent="0.2">
      <c r="D1329" s="244"/>
      <c r="E1329" s="244"/>
      <c r="F1329" s="244"/>
      <c r="G1329" s="244"/>
      <c r="H1329" s="244"/>
      <c r="I1329" s="244"/>
      <c r="J1329" s="244"/>
      <c r="K1329" s="244"/>
      <c r="L1329" s="244"/>
      <c r="M1329" s="244"/>
      <c r="N1329" s="244"/>
      <c r="O1329" s="244"/>
      <c r="P1329" s="244"/>
      <c r="Q1329" s="244"/>
    </row>
    <row r="1330" spans="4:17" x14ac:dyDescent="0.2">
      <c r="D1330" s="244"/>
      <c r="E1330" s="244"/>
      <c r="F1330" s="244"/>
      <c r="G1330" s="244"/>
      <c r="H1330" s="244"/>
      <c r="I1330" s="244"/>
      <c r="J1330" s="244"/>
      <c r="K1330" s="244"/>
      <c r="L1330" s="244"/>
      <c r="M1330" s="244"/>
      <c r="N1330" s="244"/>
      <c r="O1330" s="244"/>
      <c r="P1330" s="244"/>
      <c r="Q1330" s="244"/>
    </row>
    <row r="1331" spans="4:17" x14ac:dyDescent="0.2">
      <c r="D1331" s="244"/>
      <c r="E1331" s="244"/>
      <c r="F1331" s="244"/>
      <c r="G1331" s="244"/>
      <c r="H1331" s="244"/>
      <c r="I1331" s="244"/>
      <c r="J1331" s="244"/>
      <c r="K1331" s="244"/>
      <c r="L1331" s="244"/>
      <c r="M1331" s="244"/>
      <c r="N1331" s="244"/>
      <c r="O1331" s="244"/>
      <c r="P1331" s="244"/>
      <c r="Q1331" s="244"/>
    </row>
    <row r="1332" spans="4:17" x14ac:dyDescent="0.2">
      <c r="D1332" s="244"/>
      <c r="E1332" s="244"/>
      <c r="F1332" s="244"/>
      <c r="G1332" s="244"/>
      <c r="H1332" s="244"/>
      <c r="I1332" s="244"/>
      <c r="J1332" s="244"/>
      <c r="K1332" s="244"/>
      <c r="L1332" s="244"/>
      <c r="M1332" s="244"/>
      <c r="N1332" s="244"/>
      <c r="O1332" s="244"/>
      <c r="P1332" s="244"/>
      <c r="Q1332" s="244"/>
    </row>
    <row r="1333" spans="4:17" x14ac:dyDescent="0.2">
      <c r="D1333" s="244"/>
      <c r="E1333" s="244"/>
      <c r="F1333" s="244"/>
      <c r="G1333" s="244"/>
      <c r="H1333" s="244"/>
      <c r="I1333" s="244"/>
      <c r="J1333" s="244"/>
      <c r="K1333" s="244"/>
      <c r="L1333" s="244"/>
      <c r="M1333" s="244"/>
      <c r="N1333" s="244"/>
      <c r="O1333" s="244"/>
      <c r="P1333" s="244"/>
      <c r="Q1333" s="244"/>
    </row>
    <row r="1334" spans="4:17" x14ac:dyDescent="0.2">
      <c r="D1334" s="244"/>
      <c r="E1334" s="244"/>
      <c r="F1334" s="244"/>
      <c r="G1334" s="244"/>
      <c r="H1334" s="244"/>
      <c r="I1334" s="244"/>
      <c r="J1334" s="244"/>
      <c r="K1334" s="244"/>
      <c r="L1334" s="244"/>
      <c r="M1334" s="244"/>
      <c r="N1334" s="244"/>
      <c r="O1334" s="244"/>
      <c r="P1334" s="244"/>
      <c r="Q1334" s="244"/>
    </row>
    <row r="1335" spans="4:17" x14ac:dyDescent="0.2">
      <c r="D1335" s="244"/>
      <c r="E1335" s="244"/>
      <c r="F1335" s="244"/>
      <c r="G1335" s="244"/>
      <c r="H1335" s="244"/>
      <c r="I1335" s="244"/>
      <c r="J1335" s="244"/>
      <c r="K1335" s="244"/>
      <c r="L1335" s="244"/>
      <c r="M1335" s="244"/>
      <c r="N1335" s="244"/>
      <c r="O1335" s="244"/>
      <c r="P1335" s="244"/>
      <c r="Q1335" s="244"/>
    </row>
    <row r="1336" spans="4:17" x14ac:dyDescent="0.2">
      <c r="D1336" s="244"/>
      <c r="E1336" s="244"/>
      <c r="F1336" s="244"/>
      <c r="G1336" s="244"/>
      <c r="H1336" s="244"/>
      <c r="I1336" s="244"/>
      <c r="J1336" s="244"/>
      <c r="K1336" s="244"/>
      <c r="L1336" s="244"/>
      <c r="M1336" s="244"/>
      <c r="N1336" s="244"/>
      <c r="O1336" s="244"/>
      <c r="P1336" s="244"/>
      <c r="Q1336" s="244"/>
    </row>
    <row r="1337" spans="4:17" x14ac:dyDescent="0.2">
      <c r="D1337" s="244"/>
      <c r="E1337" s="244"/>
      <c r="F1337" s="244"/>
      <c r="G1337" s="244"/>
      <c r="H1337" s="244"/>
      <c r="I1337" s="244"/>
      <c r="J1337" s="244"/>
      <c r="K1337" s="244"/>
      <c r="L1337" s="244"/>
      <c r="M1337" s="244"/>
      <c r="N1337" s="244"/>
      <c r="O1337" s="244"/>
      <c r="P1337" s="244"/>
      <c r="Q1337" s="244"/>
    </row>
    <row r="1338" spans="4:17" x14ac:dyDescent="0.2">
      <c r="D1338" s="244"/>
      <c r="E1338" s="244"/>
      <c r="F1338" s="244"/>
      <c r="G1338" s="244"/>
      <c r="H1338" s="244"/>
      <c r="I1338" s="244"/>
      <c r="J1338" s="244"/>
      <c r="K1338" s="244"/>
      <c r="L1338" s="244"/>
      <c r="M1338" s="244"/>
      <c r="N1338" s="244"/>
      <c r="O1338" s="244"/>
      <c r="P1338" s="244"/>
      <c r="Q1338" s="244"/>
    </row>
    <row r="1339" spans="4:17" x14ac:dyDescent="0.2">
      <c r="D1339" s="244"/>
      <c r="E1339" s="244"/>
      <c r="F1339" s="244"/>
      <c r="G1339" s="244"/>
      <c r="H1339" s="244"/>
      <c r="I1339" s="244"/>
      <c r="J1339" s="244"/>
      <c r="K1339" s="244"/>
      <c r="L1339" s="244"/>
      <c r="M1339" s="244"/>
      <c r="N1339" s="244"/>
      <c r="O1339" s="244"/>
      <c r="P1339" s="244"/>
      <c r="Q1339" s="244"/>
    </row>
    <row r="1340" spans="4:17" x14ac:dyDescent="0.2">
      <c r="D1340" s="244"/>
      <c r="E1340" s="244"/>
      <c r="F1340" s="244"/>
      <c r="G1340" s="244"/>
      <c r="H1340" s="244"/>
      <c r="I1340" s="244"/>
      <c r="J1340" s="244"/>
      <c r="K1340" s="244"/>
      <c r="L1340" s="244"/>
      <c r="M1340" s="244"/>
      <c r="N1340" s="244"/>
      <c r="O1340" s="244"/>
      <c r="P1340" s="244"/>
      <c r="Q1340" s="244"/>
    </row>
    <row r="1341" spans="4:17" x14ac:dyDescent="0.2">
      <c r="D1341" s="244"/>
      <c r="E1341" s="244"/>
      <c r="F1341" s="244"/>
      <c r="G1341" s="244"/>
      <c r="H1341" s="244"/>
      <c r="I1341" s="244"/>
      <c r="J1341" s="244"/>
      <c r="K1341" s="244"/>
      <c r="L1341" s="244"/>
      <c r="M1341" s="244"/>
      <c r="N1341" s="244"/>
      <c r="O1341" s="244"/>
      <c r="P1341" s="244"/>
      <c r="Q1341" s="244"/>
    </row>
    <row r="1342" spans="4:17" x14ac:dyDescent="0.2"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4"/>
      <c r="Q1342" s="244"/>
    </row>
    <row r="1343" spans="4:17" x14ac:dyDescent="0.2">
      <c r="D1343" s="244"/>
      <c r="E1343" s="244"/>
      <c r="F1343" s="244"/>
      <c r="G1343" s="244"/>
      <c r="H1343" s="244"/>
      <c r="I1343" s="244"/>
      <c r="J1343" s="244"/>
      <c r="K1343" s="244"/>
      <c r="L1343" s="244"/>
      <c r="M1343" s="244"/>
      <c r="N1343" s="244"/>
      <c r="O1343" s="244"/>
      <c r="P1343" s="244"/>
      <c r="Q1343" s="244"/>
    </row>
    <row r="1344" spans="4:17" x14ac:dyDescent="0.2">
      <c r="D1344" s="244"/>
      <c r="E1344" s="244"/>
      <c r="F1344" s="244"/>
      <c r="G1344" s="244"/>
      <c r="H1344" s="244"/>
      <c r="I1344" s="244"/>
      <c r="J1344" s="244"/>
      <c r="K1344" s="244"/>
      <c r="L1344" s="244"/>
      <c r="M1344" s="244"/>
      <c r="N1344" s="244"/>
      <c r="O1344" s="244"/>
      <c r="P1344" s="244"/>
      <c r="Q1344" s="244"/>
    </row>
    <row r="1345" spans="4:17" x14ac:dyDescent="0.2">
      <c r="D1345" s="244"/>
      <c r="E1345" s="244"/>
      <c r="F1345" s="244"/>
      <c r="G1345" s="244"/>
      <c r="H1345" s="244"/>
      <c r="I1345" s="244"/>
      <c r="J1345" s="244"/>
      <c r="K1345" s="244"/>
      <c r="L1345" s="244"/>
      <c r="M1345" s="244"/>
      <c r="N1345" s="244"/>
      <c r="O1345" s="244"/>
      <c r="P1345" s="244"/>
      <c r="Q1345" s="244"/>
    </row>
    <row r="1346" spans="4:17" x14ac:dyDescent="0.2">
      <c r="D1346" s="244"/>
      <c r="E1346" s="244"/>
      <c r="F1346" s="244"/>
      <c r="G1346" s="244"/>
      <c r="H1346" s="244"/>
      <c r="I1346" s="244"/>
      <c r="J1346" s="244"/>
      <c r="K1346" s="244"/>
      <c r="L1346" s="244"/>
      <c r="M1346" s="244"/>
      <c r="N1346" s="244"/>
      <c r="O1346" s="244"/>
      <c r="P1346" s="244"/>
      <c r="Q1346" s="244"/>
    </row>
    <row r="1347" spans="4:17" x14ac:dyDescent="0.2">
      <c r="D1347" s="244"/>
      <c r="E1347" s="244"/>
      <c r="F1347" s="244"/>
      <c r="G1347" s="244"/>
      <c r="H1347" s="244"/>
      <c r="I1347" s="244"/>
      <c r="J1347" s="244"/>
      <c r="K1347" s="244"/>
      <c r="L1347" s="244"/>
      <c r="M1347" s="244"/>
      <c r="N1347" s="244"/>
      <c r="O1347" s="244"/>
      <c r="P1347" s="244"/>
      <c r="Q1347" s="244"/>
    </row>
    <row r="1348" spans="4:17" x14ac:dyDescent="0.2">
      <c r="D1348" s="244"/>
      <c r="E1348" s="244"/>
      <c r="F1348" s="244"/>
      <c r="G1348" s="244"/>
      <c r="H1348" s="244"/>
      <c r="I1348" s="244"/>
      <c r="J1348" s="244"/>
      <c r="K1348" s="244"/>
      <c r="L1348" s="244"/>
      <c r="M1348" s="244"/>
      <c r="N1348" s="244"/>
      <c r="O1348" s="244"/>
      <c r="P1348" s="244"/>
      <c r="Q1348" s="244"/>
    </row>
    <row r="1349" spans="4:17" x14ac:dyDescent="0.2">
      <c r="D1349" s="244"/>
      <c r="E1349" s="244"/>
      <c r="F1349" s="244"/>
      <c r="G1349" s="244"/>
      <c r="H1349" s="244"/>
      <c r="I1349" s="244"/>
      <c r="J1349" s="244"/>
      <c r="K1349" s="244"/>
      <c r="L1349" s="244"/>
      <c r="M1349" s="244"/>
      <c r="N1349" s="244"/>
      <c r="O1349" s="244"/>
      <c r="P1349" s="244"/>
      <c r="Q1349" s="244"/>
    </row>
    <row r="1350" spans="4:17" x14ac:dyDescent="0.2">
      <c r="D1350" s="244"/>
      <c r="E1350" s="244"/>
      <c r="F1350" s="244"/>
      <c r="G1350" s="244"/>
      <c r="H1350" s="244"/>
      <c r="I1350" s="244"/>
      <c r="J1350" s="244"/>
      <c r="K1350" s="244"/>
      <c r="L1350" s="244"/>
      <c r="M1350" s="244"/>
      <c r="N1350" s="244"/>
      <c r="O1350" s="244"/>
      <c r="P1350" s="244"/>
      <c r="Q1350" s="244"/>
    </row>
    <row r="1351" spans="4:17" x14ac:dyDescent="0.2">
      <c r="D1351" s="244"/>
      <c r="E1351" s="244"/>
      <c r="F1351" s="244"/>
      <c r="G1351" s="244"/>
      <c r="H1351" s="244"/>
      <c r="I1351" s="244"/>
      <c r="J1351" s="244"/>
      <c r="K1351" s="244"/>
      <c r="L1351" s="244"/>
      <c r="M1351" s="244"/>
      <c r="N1351" s="244"/>
      <c r="O1351" s="244"/>
      <c r="P1351" s="244"/>
      <c r="Q1351" s="244"/>
    </row>
    <row r="1352" spans="4:17" x14ac:dyDescent="0.2">
      <c r="D1352" s="244"/>
      <c r="E1352" s="244"/>
      <c r="F1352" s="244"/>
      <c r="G1352" s="244"/>
      <c r="H1352" s="244"/>
      <c r="I1352" s="244"/>
      <c r="J1352" s="244"/>
      <c r="K1352" s="244"/>
      <c r="L1352" s="244"/>
      <c r="M1352" s="244"/>
      <c r="N1352" s="244"/>
      <c r="O1352" s="244"/>
      <c r="P1352" s="244"/>
      <c r="Q1352" s="244"/>
    </row>
    <row r="1353" spans="4:17" x14ac:dyDescent="0.2">
      <c r="D1353" s="244"/>
      <c r="E1353" s="244"/>
      <c r="F1353" s="244"/>
      <c r="G1353" s="244"/>
      <c r="H1353" s="244"/>
      <c r="I1353" s="244"/>
      <c r="J1353" s="244"/>
      <c r="K1353" s="244"/>
      <c r="L1353" s="244"/>
      <c r="M1353" s="244"/>
      <c r="N1353" s="244"/>
      <c r="O1353" s="244"/>
      <c r="P1353" s="244"/>
      <c r="Q1353" s="244"/>
    </row>
    <row r="1354" spans="4:17" x14ac:dyDescent="0.2">
      <c r="D1354" s="244"/>
      <c r="E1354" s="244"/>
      <c r="F1354" s="244"/>
      <c r="G1354" s="244"/>
      <c r="H1354" s="244"/>
      <c r="I1354" s="244"/>
      <c r="J1354" s="244"/>
      <c r="K1354" s="244"/>
      <c r="L1354" s="244"/>
      <c r="M1354" s="244"/>
      <c r="N1354" s="244"/>
      <c r="O1354" s="244"/>
      <c r="P1354" s="244"/>
      <c r="Q1354" s="244"/>
    </row>
    <row r="1355" spans="4:17" x14ac:dyDescent="0.2">
      <c r="D1355" s="244"/>
      <c r="E1355" s="244"/>
      <c r="F1355" s="244"/>
      <c r="G1355" s="244"/>
      <c r="H1355" s="244"/>
      <c r="I1355" s="244"/>
      <c r="J1355" s="244"/>
      <c r="K1355" s="244"/>
      <c r="L1355" s="244"/>
      <c r="M1355" s="244"/>
      <c r="N1355" s="244"/>
      <c r="O1355" s="244"/>
      <c r="P1355" s="244"/>
      <c r="Q1355" s="244"/>
    </row>
    <row r="1356" spans="4:17" x14ac:dyDescent="0.2">
      <c r="D1356" s="244"/>
      <c r="E1356" s="244"/>
      <c r="F1356" s="244"/>
      <c r="G1356" s="244"/>
      <c r="H1356" s="244"/>
      <c r="I1356" s="244"/>
      <c r="J1356" s="244"/>
      <c r="K1356" s="244"/>
      <c r="L1356" s="244"/>
      <c r="M1356" s="244"/>
      <c r="N1356" s="244"/>
      <c r="O1356" s="244"/>
      <c r="P1356" s="244"/>
      <c r="Q1356" s="244"/>
    </row>
    <row r="1357" spans="4:17" x14ac:dyDescent="0.2">
      <c r="D1357" s="244"/>
      <c r="E1357" s="244"/>
      <c r="F1357" s="244"/>
      <c r="G1357" s="244"/>
      <c r="H1357" s="244"/>
      <c r="I1357" s="244"/>
      <c r="J1357" s="244"/>
      <c r="K1357" s="244"/>
      <c r="L1357" s="244"/>
      <c r="M1357" s="244"/>
      <c r="N1357" s="244"/>
      <c r="O1357" s="244"/>
      <c r="P1357" s="244"/>
      <c r="Q1357" s="244"/>
    </row>
    <row r="1358" spans="4:17" x14ac:dyDescent="0.2">
      <c r="D1358" s="244"/>
      <c r="E1358" s="244"/>
      <c r="F1358" s="244"/>
      <c r="G1358" s="244"/>
      <c r="H1358" s="244"/>
      <c r="I1358" s="244"/>
      <c r="J1358" s="244"/>
      <c r="K1358" s="244"/>
      <c r="L1358" s="244"/>
      <c r="M1358" s="244"/>
      <c r="N1358" s="244"/>
      <c r="O1358" s="244"/>
      <c r="P1358" s="244"/>
      <c r="Q1358" s="244"/>
    </row>
    <row r="1359" spans="4:17" x14ac:dyDescent="0.2">
      <c r="D1359" s="244"/>
      <c r="E1359" s="244"/>
      <c r="F1359" s="244"/>
      <c r="G1359" s="244"/>
      <c r="H1359" s="244"/>
      <c r="I1359" s="244"/>
      <c r="J1359" s="244"/>
      <c r="K1359" s="244"/>
      <c r="L1359" s="244"/>
      <c r="M1359" s="244"/>
      <c r="N1359" s="244"/>
      <c r="O1359" s="244"/>
      <c r="P1359" s="244"/>
      <c r="Q1359" s="244"/>
    </row>
    <row r="1360" spans="4:17" x14ac:dyDescent="0.2">
      <c r="D1360" s="244"/>
      <c r="E1360" s="244"/>
      <c r="F1360" s="244"/>
      <c r="G1360" s="244"/>
      <c r="H1360" s="244"/>
      <c r="I1360" s="244"/>
      <c r="J1360" s="244"/>
      <c r="K1360" s="244"/>
      <c r="L1360" s="244"/>
      <c r="M1360" s="244"/>
      <c r="N1360" s="244"/>
      <c r="O1360" s="244"/>
      <c r="P1360" s="244"/>
      <c r="Q1360" s="244"/>
    </row>
    <row r="1361" spans="4:17" x14ac:dyDescent="0.2">
      <c r="D1361" s="244"/>
      <c r="E1361" s="244"/>
      <c r="F1361" s="244"/>
      <c r="G1361" s="244"/>
      <c r="H1361" s="244"/>
      <c r="I1361" s="244"/>
      <c r="J1361" s="244"/>
      <c r="K1361" s="244"/>
      <c r="L1361" s="244"/>
      <c r="M1361" s="244"/>
      <c r="N1361" s="244"/>
      <c r="O1361" s="244"/>
      <c r="P1361" s="244"/>
      <c r="Q1361" s="244"/>
    </row>
    <row r="1362" spans="4:17" x14ac:dyDescent="0.2">
      <c r="D1362" s="244"/>
      <c r="E1362" s="244"/>
      <c r="F1362" s="244"/>
      <c r="G1362" s="244"/>
      <c r="H1362" s="244"/>
      <c r="I1362" s="244"/>
      <c r="J1362" s="244"/>
      <c r="K1362" s="244"/>
      <c r="L1362" s="244"/>
      <c r="M1362" s="244"/>
      <c r="N1362" s="244"/>
      <c r="O1362" s="244"/>
      <c r="P1362" s="244"/>
      <c r="Q1362" s="244"/>
    </row>
    <row r="1363" spans="4:17" x14ac:dyDescent="0.2">
      <c r="D1363" s="244"/>
      <c r="E1363" s="244"/>
      <c r="F1363" s="244"/>
      <c r="G1363" s="244"/>
      <c r="H1363" s="244"/>
      <c r="I1363" s="244"/>
      <c r="J1363" s="244"/>
      <c r="K1363" s="244"/>
      <c r="L1363" s="244"/>
      <c r="M1363" s="244"/>
      <c r="N1363" s="244"/>
      <c r="O1363" s="244"/>
      <c r="P1363" s="244"/>
      <c r="Q1363" s="244"/>
    </row>
    <row r="1364" spans="4:17" x14ac:dyDescent="0.2">
      <c r="D1364" s="244"/>
      <c r="E1364" s="244"/>
      <c r="F1364" s="244"/>
      <c r="G1364" s="244"/>
      <c r="H1364" s="244"/>
      <c r="I1364" s="244"/>
      <c r="J1364" s="244"/>
      <c r="K1364" s="244"/>
      <c r="L1364" s="244"/>
      <c r="M1364" s="244"/>
      <c r="N1364" s="244"/>
      <c r="O1364" s="244"/>
      <c r="P1364" s="244"/>
      <c r="Q1364" s="244"/>
    </row>
    <row r="1365" spans="4:17" x14ac:dyDescent="0.2">
      <c r="D1365" s="244"/>
      <c r="E1365" s="244"/>
      <c r="F1365" s="244"/>
      <c r="G1365" s="244"/>
      <c r="H1365" s="244"/>
      <c r="I1365" s="244"/>
      <c r="J1365" s="244"/>
      <c r="K1365" s="244"/>
      <c r="L1365" s="244"/>
      <c r="M1365" s="244"/>
      <c r="N1365" s="244"/>
      <c r="O1365" s="244"/>
      <c r="P1365" s="244"/>
      <c r="Q1365" s="244"/>
    </row>
    <row r="1366" spans="4:17" x14ac:dyDescent="0.2">
      <c r="D1366" s="244"/>
      <c r="E1366" s="244"/>
      <c r="F1366" s="244"/>
      <c r="G1366" s="244"/>
      <c r="H1366" s="244"/>
      <c r="I1366" s="244"/>
      <c r="J1366" s="244"/>
      <c r="K1366" s="244"/>
      <c r="L1366" s="244"/>
      <c r="M1366" s="244"/>
      <c r="N1366" s="244"/>
      <c r="O1366" s="244"/>
      <c r="P1366" s="244"/>
      <c r="Q1366" s="244"/>
    </row>
    <row r="1367" spans="4:17" x14ac:dyDescent="0.2">
      <c r="D1367" s="244"/>
      <c r="E1367" s="244"/>
      <c r="F1367" s="244"/>
      <c r="G1367" s="244"/>
      <c r="H1367" s="244"/>
      <c r="I1367" s="244"/>
      <c r="J1367" s="244"/>
      <c r="K1367" s="244"/>
      <c r="L1367" s="244"/>
      <c r="M1367" s="244"/>
      <c r="N1367" s="244"/>
      <c r="O1367" s="244"/>
      <c r="P1367" s="244"/>
      <c r="Q1367" s="244"/>
    </row>
    <row r="1368" spans="4:17" x14ac:dyDescent="0.2">
      <c r="D1368" s="244"/>
      <c r="E1368" s="244"/>
      <c r="F1368" s="244"/>
      <c r="G1368" s="244"/>
      <c r="H1368" s="244"/>
      <c r="I1368" s="244"/>
      <c r="J1368" s="244"/>
      <c r="K1368" s="244"/>
      <c r="L1368" s="244"/>
      <c r="M1368" s="244"/>
      <c r="N1368" s="244"/>
      <c r="O1368" s="244"/>
      <c r="P1368" s="244"/>
      <c r="Q1368" s="244"/>
    </row>
    <row r="1369" spans="4:17" x14ac:dyDescent="0.2">
      <c r="D1369" s="244"/>
      <c r="E1369" s="244"/>
      <c r="F1369" s="244"/>
      <c r="G1369" s="244"/>
      <c r="H1369" s="244"/>
      <c r="I1369" s="244"/>
      <c r="J1369" s="244"/>
      <c r="K1369" s="244"/>
      <c r="L1369" s="244"/>
      <c r="M1369" s="244"/>
      <c r="N1369" s="244"/>
      <c r="O1369" s="244"/>
      <c r="P1369" s="244"/>
      <c r="Q1369" s="244"/>
    </row>
    <row r="1370" spans="4:17" x14ac:dyDescent="0.2">
      <c r="D1370" s="244"/>
      <c r="E1370" s="244"/>
      <c r="F1370" s="244"/>
      <c r="G1370" s="244"/>
      <c r="H1370" s="244"/>
      <c r="I1370" s="244"/>
      <c r="J1370" s="244"/>
      <c r="K1370" s="244"/>
      <c r="L1370" s="244"/>
      <c r="M1370" s="244"/>
      <c r="N1370" s="244"/>
      <c r="O1370" s="244"/>
      <c r="P1370" s="244"/>
      <c r="Q1370" s="244"/>
    </row>
    <row r="1371" spans="4:17" x14ac:dyDescent="0.2">
      <c r="D1371" s="244"/>
      <c r="E1371" s="244"/>
      <c r="F1371" s="244"/>
      <c r="G1371" s="244"/>
      <c r="H1371" s="244"/>
      <c r="I1371" s="244"/>
      <c r="J1371" s="244"/>
      <c r="K1371" s="244"/>
      <c r="L1371" s="244"/>
      <c r="M1371" s="244"/>
      <c r="N1371" s="244"/>
      <c r="O1371" s="244"/>
      <c r="P1371" s="244"/>
      <c r="Q1371" s="244"/>
    </row>
    <row r="1372" spans="4:17" x14ac:dyDescent="0.2">
      <c r="D1372" s="244"/>
      <c r="E1372" s="244"/>
      <c r="F1372" s="244"/>
      <c r="G1372" s="244"/>
      <c r="H1372" s="244"/>
      <c r="I1372" s="244"/>
      <c r="J1372" s="244"/>
      <c r="K1372" s="244"/>
      <c r="L1372" s="244"/>
      <c r="M1372" s="244"/>
      <c r="N1372" s="244"/>
      <c r="O1372" s="244"/>
      <c r="P1372" s="244"/>
      <c r="Q1372" s="244"/>
    </row>
    <row r="1373" spans="4:17" x14ac:dyDescent="0.2">
      <c r="D1373" s="244"/>
      <c r="E1373" s="244"/>
      <c r="F1373" s="244"/>
      <c r="G1373" s="244"/>
      <c r="H1373" s="244"/>
      <c r="I1373" s="244"/>
      <c r="J1373" s="244"/>
      <c r="K1373" s="244"/>
      <c r="L1373" s="244"/>
      <c r="M1373" s="244"/>
      <c r="N1373" s="244"/>
      <c r="O1373" s="244"/>
      <c r="P1373" s="244"/>
      <c r="Q1373" s="244"/>
    </row>
    <row r="1374" spans="4:17" x14ac:dyDescent="0.2">
      <c r="D1374" s="244"/>
      <c r="E1374" s="244"/>
      <c r="F1374" s="244"/>
      <c r="G1374" s="244"/>
      <c r="H1374" s="244"/>
      <c r="I1374" s="244"/>
      <c r="J1374" s="244"/>
      <c r="K1374" s="244"/>
      <c r="L1374" s="244"/>
      <c r="M1374" s="244"/>
      <c r="N1374" s="244"/>
      <c r="O1374" s="244"/>
      <c r="P1374" s="244"/>
      <c r="Q1374" s="244"/>
    </row>
    <row r="1375" spans="4:17" x14ac:dyDescent="0.2">
      <c r="D1375" s="244"/>
      <c r="E1375" s="244"/>
      <c r="F1375" s="244"/>
      <c r="G1375" s="244"/>
      <c r="H1375" s="244"/>
      <c r="I1375" s="244"/>
      <c r="J1375" s="244"/>
      <c r="K1375" s="244"/>
      <c r="L1375" s="244"/>
      <c r="M1375" s="244"/>
      <c r="N1375" s="244"/>
      <c r="O1375" s="244"/>
      <c r="P1375" s="244"/>
      <c r="Q1375" s="244"/>
    </row>
    <row r="1376" spans="4:17" x14ac:dyDescent="0.2">
      <c r="D1376" s="244"/>
      <c r="E1376" s="244"/>
      <c r="F1376" s="244"/>
      <c r="G1376" s="244"/>
      <c r="H1376" s="244"/>
      <c r="I1376" s="244"/>
      <c r="J1376" s="244"/>
      <c r="K1376" s="244"/>
      <c r="L1376" s="244"/>
      <c r="M1376" s="244"/>
      <c r="N1376" s="244"/>
      <c r="O1376" s="244"/>
      <c r="P1376" s="244"/>
      <c r="Q1376" s="244"/>
    </row>
    <row r="1377" spans="4:17" x14ac:dyDescent="0.2">
      <c r="D1377" s="244"/>
      <c r="E1377" s="244"/>
      <c r="F1377" s="244"/>
      <c r="G1377" s="244"/>
      <c r="H1377" s="244"/>
      <c r="I1377" s="244"/>
      <c r="J1377" s="244"/>
      <c r="K1377" s="244"/>
      <c r="L1377" s="244"/>
      <c r="M1377" s="244"/>
      <c r="N1377" s="244"/>
      <c r="O1377" s="244"/>
      <c r="P1377" s="244"/>
      <c r="Q1377" s="244"/>
    </row>
    <row r="1378" spans="4:17" x14ac:dyDescent="0.2">
      <c r="D1378" s="244"/>
      <c r="E1378" s="244"/>
      <c r="F1378" s="244"/>
      <c r="G1378" s="244"/>
      <c r="H1378" s="244"/>
      <c r="I1378" s="244"/>
      <c r="J1378" s="244"/>
      <c r="K1378" s="244"/>
      <c r="L1378" s="244"/>
      <c r="M1378" s="244"/>
      <c r="N1378" s="244"/>
      <c r="O1378" s="244"/>
      <c r="P1378" s="244"/>
      <c r="Q1378" s="244"/>
    </row>
    <row r="1379" spans="4:17" x14ac:dyDescent="0.2">
      <c r="D1379" s="244"/>
      <c r="E1379" s="244"/>
      <c r="F1379" s="244"/>
      <c r="G1379" s="244"/>
      <c r="H1379" s="244"/>
      <c r="I1379" s="244"/>
      <c r="J1379" s="244"/>
      <c r="K1379" s="244"/>
      <c r="L1379" s="244"/>
      <c r="M1379" s="244"/>
      <c r="N1379" s="244"/>
      <c r="O1379" s="244"/>
      <c r="P1379" s="244"/>
      <c r="Q1379" s="244"/>
    </row>
    <row r="1380" spans="4:17" x14ac:dyDescent="0.2">
      <c r="D1380" s="244"/>
      <c r="E1380" s="244"/>
      <c r="F1380" s="244"/>
      <c r="G1380" s="244"/>
      <c r="H1380" s="244"/>
      <c r="I1380" s="244"/>
      <c r="J1380" s="244"/>
      <c r="K1380" s="244"/>
      <c r="L1380" s="244"/>
      <c r="M1380" s="244"/>
      <c r="N1380" s="244"/>
      <c r="O1380" s="244"/>
      <c r="P1380" s="244"/>
      <c r="Q1380" s="244"/>
    </row>
    <row r="1381" spans="4:17" x14ac:dyDescent="0.2">
      <c r="D1381" s="244"/>
      <c r="E1381" s="244"/>
      <c r="F1381" s="244"/>
      <c r="G1381" s="244"/>
      <c r="H1381" s="244"/>
      <c r="I1381" s="244"/>
      <c r="J1381" s="244"/>
      <c r="K1381" s="244"/>
      <c r="L1381" s="244"/>
      <c r="M1381" s="244"/>
      <c r="N1381" s="244"/>
      <c r="O1381" s="244"/>
      <c r="P1381" s="244"/>
      <c r="Q1381" s="244"/>
    </row>
    <row r="1382" spans="4:17" x14ac:dyDescent="0.2"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4"/>
      <c r="Q1382" s="244"/>
    </row>
    <row r="1383" spans="4:17" x14ac:dyDescent="0.2">
      <c r="D1383" s="244"/>
      <c r="E1383" s="244"/>
      <c r="F1383" s="244"/>
      <c r="G1383" s="244"/>
      <c r="H1383" s="244"/>
      <c r="I1383" s="244"/>
      <c r="J1383" s="244"/>
      <c r="K1383" s="244"/>
      <c r="L1383" s="244"/>
      <c r="M1383" s="244"/>
      <c r="N1383" s="244"/>
      <c r="O1383" s="244"/>
      <c r="P1383" s="244"/>
      <c r="Q1383" s="244"/>
    </row>
    <row r="1384" spans="4:17" x14ac:dyDescent="0.2">
      <c r="D1384" s="244"/>
      <c r="E1384" s="244"/>
      <c r="F1384" s="244"/>
      <c r="G1384" s="244"/>
      <c r="H1384" s="244"/>
      <c r="I1384" s="244"/>
      <c r="J1384" s="244"/>
      <c r="K1384" s="244"/>
      <c r="L1384" s="244"/>
      <c r="M1384" s="244"/>
      <c r="N1384" s="244"/>
      <c r="O1384" s="244"/>
      <c r="P1384" s="244"/>
      <c r="Q1384" s="244"/>
    </row>
    <row r="1385" spans="4:17" x14ac:dyDescent="0.2">
      <c r="D1385" s="244"/>
      <c r="E1385" s="244"/>
      <c r="F1385" s="244"/>
      <c r="G1385" s="244"/>
      <c r="H1385" s="244"/>
      <c r="I1385" s="244"/>
      <c r="J1385" s="244"/>
      <c r="K1385" s="244"/>
      <c r="L1385" s="244"/>
      <c r="M1385" s="244"/>
      <c r="N1385" s="244"/>
      <c r="O1385" s="244"/>
      <c r="P1385" s="244"/>
      <c r="Q1385" s="244"/>
    </row>
    <row r="1386" spans="4:17" x14ac:dyDescent="0.2">
      <c r="D1386" s="244"/>
      <c r="E1386" s="244"/>
      <c r="F1386" s="244"/>
      <c r="G1386" s="244"/>
      <c r="H1386" s="244"/>
      <c r="I1386" s="244"/>
      <c r="J1386" s="244"/>
      <c r="K1386" s="244"/>
      <c r="L1386" s="244"/>
      <c r="M1386" s="244"/>
      <c r="N1386" s="244"/>
      <c r="O1386" s="244"/>
      <c r="P1386" s="244"/>
      <c r="Q1386" s="244"/>
    </row>
    <row r="1387" spans="4:17" x14ac:dyDescent="0.2">
      <c r="D1387" s="244"/>
      <c r="E1387" s="244"/>
      <c r="F1387" s="244"/>
      <c r="G1387" s="244"/>
      <c r="H1387" s="244"/>
      <c r="I1387" s="244"/>
      <c r="J1387" s="244"/>
      <c r="K1387" s="244"/>
      <c r="L1387" s="244"/>
      <c r="M1387" s="244"/>
      <c r="N1387" s="244"/>
      <c r="O1387" s="244"/>
      <c r="P1387" s="244"/>
      <c r="Q1387" s="244"/>
    </row>
    <row r="1388" spans="4:17" x14ac:dyDescent="0.2">
      <c r="D1388" s="244"/>
      <c r="E1388" s="244"/>
      <c r="F1388" s="244"/>
      <c r="G1388" s="244"/>
      <c r="H1388" s="244"/>
      <c r="I1388" s="244"/>
      <c r="J1388" s="244"/>
      <c r="K1388" s="244"/>
      <c r="L1388" s="244"/>
      <c r="M1388" s="244"/>
      <c r="N1388" s="244"/>
      <c r="O1388" s="244"/>
      <c r="P1388" s="244"/>
      <c r="Q1388" s="244"/>
    </row>
    <row r="1389" spans="4:17" x14ac:dyDescent="0.2">
      <c r="D1389" s="244"/>
      <c r="E1389" s="244"/>
      <c r="F1389" s="244"/>
      <c r="G1389" s="244"/>
      <c r="H1389" s="244"/>
      <c r="I1389" s="244"/>
      <c r="J1389" s="244"/>
      <c r="K1389" s="244"/>
      <c r="L1389" s="244"/>
      <c r="M1389" s="244"/>
      <c r="N1389" s="244"/>
      <c r="O1389" s="244"/>
      <c r="P1389" s="244"/>
      <c r="Q1389" s="244"/>
    </row>
    <row r="1390" spans="4:17" x14ac:dyDescent="0.2">
      <c r="D1390" s="244"/>
      <c r="E1390" s="244"/>
      <c r="F1390" s="244"/>
      <c r="G1390" s="244"/>
      <c r="H1390" s="244"/>
      <c r="I1390" s="244"/>
      <c r="J1390" s="244"/>
      <c r="K1390" s="244"/>
      <c r="L1390" s="244"/>
      <c r="M1390" s="244"/>
      <c r="N1390" s="244"/>
      <c r="O1390" s="244"/>
      <c r="P1390" s="244"/>
      <c r="Q1390" s="244"/>
    </row>
    <row r="1391" spans="4:17" x14ac:dyDescent="0.2">
      <c r="D1391" s="244"/>
      <c r="E1391" s="244"/>
      <c r="F1391" s="244"/>
      <c r="G1391" s="244"/>
      <c r="H1391" s="244"/>
      <c r="I1391" s="244"/>
      <c r="J1391" s="244"/>
      <c r="K1391" s="244"/>
      <c r="L1391" s="244"/>
      <c r="M1391" s="244"/>
      <c r="N1391" s="244"/>
      <c r="O1391" s="244"/>
      <c r="P1391" s="244"/>
      <c r="Q1391" s="244"/>
    </row>
    <row r="1392" spans="4:17" x14ac:dyDescent="0.2">
      <c r="D1392" s="244"/>
      <c r="E1392" s="244"/>
      <c r="F1392" s="244"/>
      <c r="G1392" s="244"/>
      <c r="H1392" s="244"/>
      <c r="I1392" s="244"/>
      <c r="J1392" s="244"/>
      <c r="K1392" s="244"/>
      <c r="L1392" s="244"/>
      <c r="M1392" s="244"/>
      <c r="N1392" s="244"/>
      <c r="O1392" s="244"/>
      <c r="P1392" s="244"/>
      <c r="Q1392" s="244"/>
    </row>
    <row r="1393" spans="4:17" x14ac:dyDescent="0.2">
      <c r="D1393" s="244"/>
      <c r="E1393" s="244"/>
      <c r="F1393" s="244"/>
      <c r="G1393" s="244"/>
      <c r="H1393" s="244"/>
      <c r="I1393" s="244"/>
      <c r="J1393" s="244"/>
      <c r="K1393" s="244"/>
      <c r="L1393" s="244"/>
      <c r="M1393" s="244"/>
      <c r="N1393" s="244"/>
      <c r="O1393" s="244"/>
      <c r="P1393" s="244"/>
      <c r="Q1393" s="244"/>
    </row>
    <row r="1394" spans="4:17" x14ac:dyDescent="0.2">
      <c r="D1394" s="244"/>
      <c r="E1394" s="244"/>
      <c r="F1394" s="244"/>
      <c r="G1394" s="244"/>
      <c r="H1394" s="244"/>
      <c r="I1394" s="244"/>
      <c r="J1394" s="244"/>
      <c r="K1394" s="244"/>
      <c r="L1394" s="244"/>
      <c r="M1394" s="244"/>
      <c r="N1394" s="244"/>
      <c r="O1394" s="244"/>
      <c r="P1394" s="244"/>
      <c r="Q1394" s="244"/>
    </row>
    <row r="1395" spans="4:17" x14ac:dyDescent="0.2">
      <c r="D1395" s="244"/>
      <c r="E1395" s="244"/>
      <c r="F1395" s="244"/>
      <c r="G1395" s="244"/>
      <c r="H1395" s="244"/>
      <c r="I1395" s="244"/>
      <c r="J1395" s="244"/>
      <c r="K1395" s="244"/>
      <c r="L1395" s="244"/>
      <c r="M1395" s="244"/>
      <c r="N1395" s="244"/>
      <c r="O1395" s="244"/>
      <c r="P1395" s="244"/>
      <c r="Q1395" s="244"/>
    </row>
    <row r="1396" spans="4:17" x14ac:dyDescent="0.2">
      <c r="D1396" s="244"/>
      <c r="E1396" s="244"/>
      <c r="F1396" s="244"/>
      <c r="G1396" s="244"/>
      <c r="H1396" s="244"/>
      <c r="I1396" s="244"/>
      <c r="J1396" s="244"/>
      <c r="K1396" s="244"/>
      <c r="L1396" s="244"/>
      <c r="M1396" s="244"/>
      <c r="N1396" s="244"/>
      <c r="O1396" s="244"/>
      <c r="P1396" s="244"/>
      <c r="Q1396" s="244"/>
    </row>
    <row r="1397" spans="4:17" x14ac:dyDescent="0.2">
      <c r="D1397" s="244"/>
      <c r="E1397" s="244"/>
      <c r="F1397" s="244"/>
      <c r="G1397" s="244"/>
      <c r="H1397" s="244"/>
      <c r="I1397" s="244"/>
      <c r="J1397" s="244"/>
      <c r="K1397" s="244"/>
      <c r="L1397" s="244"/>
      <c r="M1397" s="244"/>
      <c r="N1397" s="244"/>
      <c r="O1397" s="244"/>
      <c r="P1397" s="244"/>
      <c r="Q1397" s="244"/>
    </row>
    <row r="1398" spans="4:17" x14ac:dyDescent="0.2">
      <c r="D1398" s="244"/>
      <c r="E1398" s="244"/>
      <c r="F1398" s="244"/>
      <c r="G1398" s="244"/>
      <c r="H1398" s="244"/>
      <c r="I1398" s="244"/>
      <c r="J1398" s="244"/>
      <c r="K1398" s="244"/>
      <c r="L1398" s="244"/>
      <c r="M1398" s="244"/>
      <c r="N1398" s="244"/>
      <c r="O1398" s="244"/>
      <c r="P1398" s="244"/>
      <c r="Q1398" s="244"/>
    </row>
    <row r="1399" spans="4:17" x14ac:dyDescent="0.2">
      <c r="D1399" s="244"/>
      <c r="E1399" s="244"/>
      <c r="F1399" s="244"/>
      <c r="G1399" s="244"/>
      <c r="H1399" s="244"/>
      <c r="I1399" s="244"/>
      <c r="J1399" s="244"/>
      <c r="K1399" s="244"/>
      <c r="L1399" s="244"/>
      <c r="M1399" s="244"/>
      <c r="N1399" s="244"/>
      <c r="O1399" s="244"/>
      <c r="P1399" s="244"/>
      <c r="Q1399" s="244"/>
    </row>
    <row r="1400" spans="4:17" x14ac:dyDescent="0.2">
      <c r="D1400" s="244"/>
      <c r="E1400" s="244"/>
      <c r="F1400" s="244"/>
      <c r="G1400" s="244"/>
      <c r="H1400" s="244"/>
      <c r="I1400" s="244"/>
      <c r="J1400" s="244"/>
      <c r="K1400" s="244"/>
      <c r="L1400" s="244"/>
      <c r="M1400" s="244"/>
      <c r="N1400" s="244"/>
      <c r="O1400" s="244"/>
      <c r="P1400" s="244"/>
      <c r="Q1400" s="244"/>
    </row>
    <row r="1401" spans="4:17" x14ac:dyDescent="0.2">
      <c r="D1401" s="244"/>
      <c r="E1401" s="244"/>
      <c r="F1401" s="244"/>
      <c r="G1401" s="244"/>
      <c r="H1401" s="244"/>
      <c r="I1401" s="244"/>
      <c r="J1401" s="244"/>
      <c r="K1401" s="244"/>
      <c r="L1401" s="244"/>
      <c r="M1401" s="244"/>
      <c r="N1401" s="244"/>
      <c r="O1401" s="244"/>
      <c r="P1401" s="244"/>
      <c r="Q1401" s="244"/>
    </row>
    <row r="1402" spans="4:17" x14ac:dyDescent="0.2">
      <c r="D1402" s="244"/>
      <c r="E1402" s="244"/>
      <c r="F1402" s="244"/>
      <c r="G1402" s="244"/>
      <c r="H1402" s="244"/>
      <c r="I1402" s="244"/>
      <c r="J1402" s="244"/>
      <c r="K1402" s="244"/>
      <c r="L1402" s="244"/>
      <c r="M1402" s="244"/>
      <c r="N1402" s="244"/>
      <c r="O1402" s="244"/>
      <c r="P1402" s="244"/>
      <c r="Q1402" s="244"/>
    </row>
    <row r="1403" spans="4:17" x14ac:dyDescent="0.2">
      <c r="D1403" s="244"/>
      <c r="E1403" s="244"/>
      <c r="F1403" s="244"/>
      <c r="G1403" s="244"/>
      <c r="H1403" s="244"/>
      <c r="I1403" s="244"/>
      <c r="J1403" s="244"/>
      <c r="K1403" s="244"/>
      <c r="L1403" s="244"/>
      <c r="M1403" s="244"/>
      <c r="N1403" s="244"/>
      <c r="O1403" s="244"/>
      <c r="P1403" s="244"/>
      <c r="Q1403" s="244"/>
    </row>
    <row r="1404" spans="4:17" x14ac:dyDescent="0.2">
      <c r="D1404" s="244"/>
      <c r="E1404" s="244"/>
      <c r="F1404" s="244"/>
      <c r="G1404" s="244"/>
      <c r="H1404" s="244"/>
      <c r="I1404" s="244"/>
      <c r="J1404" s="244"/>
      <c r="K1404" s="244"/>
      <c r="L1404" s="244"/>
      <c r="M1404" s="244"/>
      <c r="N1404" s="244"/>
      <c r="O1404" s="244"/>
      <c r="P1404" s="244"/>
      <c r="Q1404" s="244"/>
    </row>
    <row r="1405" spans="4:17" x14ac:dyDescent="0.2">
      <c r="D1405" s="244"/>
      <c r="E1405" s="244"/>
      <c r="F1405" s="244"/>
      <c r="G1405" s="244"/>
      <c r="H1405" s="244"/>
      <c r="I1405" s="244"/>
      <c r="J1405" s="244"/>
      <c r="K1405" s="244"/>
      <c r="L1405" s="244"/>
      <c r="M1405" s="244"/>
      <c r="N1405" s="244"/>
      <c r="O1405" s="244"/>
      <c r="P1405" s="244"/>
      <c r="Q1405" s="244"/>
    </row>
    <row r="1406" spans="4:17" x14ac:dyDescent="0.2">
      <c r="D1406" s="244"/>
      <c r="E1406" s="244"/>
      <c r="F1406" s="244"/>
      <c r="G1406" s="244"/>
      <c r="H1406" s="244"/>
      <c r="I1406" s="244"/>
      <c r="J1406" s="244"/>
      <c r="K1406" s="244"/>
      <c r="L1406" s="244"/>
      <c r="M1406" s="244"/>
      <c r="N1406" s="244"/>
      <c r="O1406" s="244"/>
      <c r="P1406" s="244"/>
      <c r="Q1406" s="244"/>
    </row>
    <row r="1407" spans="4:17" x14ac:dyDescent="0.2">
      <c r="D1407" s="244"/>
      <c r="E1407" s="244"/>
      <c r="F1407" s="244"/>
      <c r="G1407" s="244"/>
      <c r="H1407" s="244"/>
      <c r="I1407" s="244"/>
      <c r="J1407" s="244"/>
      <c r="K1407" s="244"/>
      <c r="L1407" s="244"/>
      <c r="M1407" s="244"/>
      <c r="N1407" s="244"/>
      <c r="O1407" s="244"/>
      <c r="P1407" s="244"/>
      <c r="Q1407" s="244"/>
    </row>
    <row r="1408" spans="4:17" x14ac:dyDescent="0.2">
      <c r="D1408" s="244"/>
      <c r="E1408" s="244"/>
      <c r="F1408" s="244"/>
      <c r="G1408" s="244"/>
      <c r="H1408" s="244"/>
      <c r="I1408" s="244"/>
      <c r="J1408" s="244"/>
      <c r="K1408" s="244"/>
      <c r="L1408" s="244"/>
      <c r="M1408" s="244"/>
      <c r="N1408" s="244"/>
      <c r="O1408" s="244"/>
      <c r="P1408" s="244"/>
      <c r="Q1408" s="244"/>
    </row>
    <row r="1409" spans="4:17" x14ac:dyDescent="0.2">
      <c r="D1409" s="244"/>
      <c r="E1409" s="244"/>
      <c r="F1409" s="244"/>
      <c r="G1409" s="244"/>
      <c r="H1409" s="244"/>
      <c r="I1409" s="244"/>
      <c r="J1409" s="244"/>
      <c r="K1409" s="244"/>
      <c r="L1409" s="244"/>
      <c r="M1409" s="244"/>
      <c r="N1409" s="244"/>
      <c r="O1409" s="244"/>
      <c r="P1409" s="244"/>
      <c r="Q1409" s="244"/>
    </row>
    <row r="1410" spans="4:17" x14ac:dyDescent="0.2">
      <c r="D1410" s="244"/>
      <c r="E1410" s="244"/>
      <c r="F1410" s="244"/>
      <c r="G1410" s="244"/>
      <c r="H1410" s="244"/>
      <c r="I1410" s="244"/>
      <c r="J1410" s="244"/>
      <c r="K1410" s="244"/>
      <c r="L1410" s="244"/>
      <c r="M1410" s="244"/>
      <c r="N1410" s="244"/>
      <c r="O1410" s="244"/>
      <c r="P1410" s="244"/>
      <c r="Q1410" s="244"/>
    </row>
    <row r="1411" spans="4:17" x14ac:dyDescent="0.2">
      <c r="D1411" s="244"/>
      <c r="E1411" s="244"/>
      <c r="F1411" s="244"/>
      <c r="G1411" s="244"/>
      <c r="H1411" s="244"/>
      <c r="I1411" s="244"/>
      <c r="J1411" s="244"/>
      <c r="K1411" s="244"/>
      <c r="L1411" s="244"/>
      <c r="M1411" s="244"/>
      <c r="N1411" s="244"/>
      <c r="O1411" s="244"/>
      <c r="P1411" s="244"/>
      <c r="Q1411" s="244"/>
    </row>
    <row r="1412" spans="4:17" x14ac:dyDescent="0.2">
      <c r="D1412" s="244"/>
      <c r="E1412" s="244"/>
      <c r="F1412" s="244"/>
      <c r="G1412" s="244"/>
      <c r="H1412" s="244"/>
      <c r="I1412" s="244"/>
      <c r="J1412" s="244"/>
      <c r="K1412" s="244"/>
      <c r="L1412" s="244"/>
      <c r="M1412" s="244"/>
      <c r="N1412" s="244"/>
      <c r="O1412" s="244"/>
      <c r="P1412" s="244"/>
      <c r="Q1412" s="244"/>
    </row>
    <row r="1413" spans="4:17" x14ac:dyDescent="0.2">
      <c r="D1413" s="244"/>
      <c r="E1413" s="244"/>
      <c r="F1413" s="244"/>
      <c r="G1413" s="244"/>
      <c r="H1413" s="244"/>
      <c r="I1413" s="244"/>
      <c r="J1413" s="244"/>
      <c r="K1413" s="244"/>
      <c r="L1413" s="244"/>
      <c r="M1413" s="244"/>
      <c r="N1413" s="244"/>
      <c r="O1413" s="244"/>
      <c r="P1413" s="244"/>
      <c r="Q1413" s="244"/>
    </row>
    <row r="1414" spans="4:17" x14ac:dyDescent="0.2">
      <c r="D1414" s="244"/>
      <c r="E1414" s="244"/>
      <c r="F1414" s="244"/>
      <c r="G1414" s="244"/>
      <c r="H1414" s="244"/>
      <c r="I1414" s="244"/>
      <c r="J1414" s="244"/>
      <c r="K1414" s="244"/>
      <c r="L1414" s="244"/>
      <c r="M1414" s="244"/>
      <c r="N1414" s="244"/>
      <c r="O1414" s="244"/>
      <c r="P1414" s="244"/>
      <c r="Q1414" s="244"/>
    </row>
    <row r="1415" spans="4:17" x14ac:dyDescent="0.2">
      <c r="D1415" s="244"/>
      <c r="E1415" s="244"/>
      <c r="F1415" s="244"/>
      <c r="G1415" s="244"/>
      <c r="H1415" s="244"/>
      <c r="I1415" s="244"/>
      <c r="J1415" s="244"/>
      <c r="K1415" s="244"/>
      <c r="L1415" s="244"/>
      <c r="M1415" s="244"/>
      <c r="N1415" s="244"/>
      <c r="O1415" s="244"/>
      <c r="P1415" s="244"/>
      <c r="Q1415" s="244"/>
    </row>
    <row r="1416" spans="4:17" x14ac:dyDescent="0.2">
      <c r="D1416" s="244"/>
      <c r="E1416" s="244"/>
      <c r="F1416" s="244"/>
      <c r="G1416" s="244"/>
      <c r="H1416" s="244"/>
      <c r="I1416" s="244"/>
      <c r="J1416" s="244"/>
      <c r="K1416" s="244"/>
      <c r="L1416" s="244"/>
      <c r="M1416" s="244"/>
      <c r="N1416" s="244"/>
      <c r="O1416" s="244"/>
      <c r="P1416" s="244"/>
      <c r="Q1416" s="244"/>
    </row>
    <row r="1417" spans="4:17" x14ac:dyDescent="0.2">
      <c r="D1417" s="244"/>
      <c r="E1417" s="244"/>
      <c r="F1417" s="244"/>
      <c r="G1417" s="244"/>
      <c r="H1417" s="244"/>
      <c r="I1417" s="244"/>
      <c r="J1417" s="244"/>
      <c r="K1417" s="244"/>
      <c r="L1417" s="244"/>
      <c r="M1417" s="244"/>
      <c r="N1417" s="244"/>
      <c r="O1417" s="244"/>
      <c r="P1417" s="244"/>
      <c r="Q1417" s="244"/>
    </row>
    <row r="1418" spans="4:17" x14ac:dyDescent="0.2">
      <c r="D1418" s="244"/>
      <c r="E1418" s="244"/>
      <c r="F1418" s="244"/>
      <c r="G1418" s="244"/>
      <c r="H1418" s="244"/>
      <c r="I1418" s="244"/>
      <c r="J1418" s="244"/>
      <c r="K1418" s="244"/>
      <c r="L1418" s="244"/>
      <c r="M1418" s="244"/>
      <c r="N1418" s="244"/>
      <c r="O1418" s="244"/>
      <c r="P1418" s="244"/>
      <c r="Q1418" s="244"/>
    </row>
    <row r="1419" spans="4:17" x14ac:dyDescent="0.2">
      <c r="D1419" s="244"/>
      <c r="E1419" s="244"/>
      <c r="F1419" s="244"/>
      <c r="G1419" s="244"/>
      <c r="H1419" s="244"/>
      <c r="I1419" s="244"/>
      <c r="J1419" s="244"/>
      <c r="K1419" s="244"/>
      <c r="L1419" s="244"/>
      <c r="M1419" s="244"/>
      <c r="N1419" s="244"/>
      <c r="O1419" s="244"/>
      <c r="P1419" s="244"/>
      <c r="Q1419" s="244"/>
    </row>
    <row r="1420" spans="4:17" x14ac:dyDescent="0.2">
      <c r="D1420" s="244"/>
      <c r="E1420" s="244"/>
      <c r="F1420" s="244"/>
      <c r="G1420" s="244"/>
      <c r="H1420" s="244"/>
      <c r="I1420" s="244"/>
      <c r="J1420" s="244"/>
      <c r="K1420" s="244"/>
      <c r="L1420" s="244"/>
      <c r="M1420" s="244"/>
      <c r="N1420" s="244"/>
      <c r="O1420" s="244"/>
      <c r="P1420" s="244"/>
      <c r="Q1420" s="244"/>
    </row>
    <row r="1421" spans="4:17" x14ac:dyDescent="0.2">
      <c r="D1421" s="244"/>
      <c r="E1421" s="244"/>
      <c r="F1421" s="244"/>
      <c r="G1421" s="244"/>
      <c r="H1421" s="244"/>
      <c r="I1421" s="244"/>
      <c r="J1421" s="244"/>
      <c r="K1421" s="244"/>
      <c r="L1421" s="244"/>
      <c r="M1421" s="244"/>
      <c r="N1421" s="244"/>
      <c r="O1421" s="244"/>
      <c r="P1421" s="244"/>
      <c r="Q1421" s="244"/>
    </row>
    <row r="1422" spans="4:17" x14ac:dyDescent="0.2">
      <c r="D1422" s="244"/>
      <c r="E1422" s="244"/>
      <c r="F1422" s="244"/>
      <c r="G1422" s="244"/>
      <c r="H1422" s="244"/>
      <c r="I1422" s="244"/>
      <c r="J1422" s="244"/>
      <c r="K1422" s="244"/>
      <c r="L1422" s="244"/>
      <c r="M1422" s="244"/>
      <c r="N1422" s="244"/>
      <c r="O1422" s="244"/>
      <c r="P1422" s="244"/>
      <c r="Q1422" s="244"/>
    </row>
    <row r="1423" spans="4:17" x14ac:dyDescent="0.2">
      <c r="D1423" s="244"/>
      <c r="E1423" s="244"/>
      <c r="F1423" s="244"/>
      <c r="G1423" s="244"/>
      <c r="H1423" s="244"/>
      <c r="I1423" s="244"/>
      <c r="J1423" s="244"/>
      <c r="K1423" s="244"/>
      <c r="L1423" s="244"/>
      <c r="M1423" s="244"/>
      <c r="N1423" s="244"/>
      <c r="O1423" s="244"/>
      <c r="P1423" s="244"/>
      <c r="Q1423" s="244"/>
    </row>
    <row r="1424" spans="4:17" x14ac:dyDescent="0.2">
      <c r="D1424" s="244"/>
      <c r="E1424" s="244"/>
      <c r="F1424" s="244"/>
      <c r="G1424" s="244"/>
      <c r="H1424" s="244"/>
      <c r="I1424" s="244"/>
      <c r="J1424" s="244"/>
      <c r="K1424" s="244"/>
      <c r="L1424" s="244"/>
      <c r="M1424" s="244"/>
      <c r="N1424" s="244"/>
      <c r="O1424" s="244"/>
      <c r="P1424" s="244"/>
      <c r="Q1424" s="244"/>
    </row>
    <row r="1425" spans="4:17" x14ac:dyDescent="0.2">
      <c r="D1425" s="244"/>
      <c r="E1425" s="244"/>
      <c r="F1425" s="244"/>
      <c r="G1425" s="244"/>
      <c r="H1425" s="244"/>
      <c r="I1425" s="244"/>
      <c r="J1425" s="244"/>
      <c r="K1425" s="244"/>
      <c r="L1425" s="244"/>
      <c r="M1425" s="244"/>
      <c r="N1425" s="244"/>
      <c r="O1425" s="244"/>
      <c r="P1425" s="244"/>
      <c r="Q1425" s="244"/>
    </row>
    <row r="1426" spans="4:17" x14ac:dyDescent="0.2">
      <c r="D1426" s="244"/>
      <c r="E1426" s="244"/>
      <c r="F1426" s="244"/>
      <c r="G1426" s="244"/>
      <c r="H1426" s="244"/>
      <c r="I1426" s="244"/>
      <c r="J1426" s="244"/>
      <c r="K1426" s="244"/>
      <c r="L1426" s="244"/>
      <c r="M1426" s="244"/>
      <c r="N1426" s="244"/>
      <c r="O1426" s="244"/>
      <c r="P1426" s="244"/>
      <c r="Q1426" s="244"/>
    </row>
    <row r="1427" spans="4:17" x14ac:dyDescent="0.2">
      <c r="D1427" s="244"/>
      <c r="E1427" s="244"/>
      <c r="F1427" s="244"/>
      <c r="G1427" s="244"/>
      <c r="H1427" s="244"/>
      <c r="I1427" s="244"/>
      <c r="J1427" s="244"/>
      <c r="K1427" s="244"/>
      <c r="L1427" s="244"/>
      <c r="M1427" s="244"/>
      <c r="N1427" s="244"/>
      <c r="O1427" s="244"/>
      <c r="P1427" s="244"/>
      <c r="Q1427" s="244"/>
    </row>
    <row r="1428" spans="4:17" x14ac:dyDescent="0.2"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4"/>
      <c r="Q1428" s="244"/>
    </row>
    <row r="1429" spans="4:17" x14ac:dyDescent="0.2">
      <c r="D1429" s="244"/>
      <c r="E1429" s="244"/>
      <c r="F1429" s="244"/>
      <c r="G1429" s="244"/>
      <c r="H1429" s="244"/>
      <c r="I1429" s="244"/>
      <c r="J1429" s="244"/>
      <c r="K1429" s="244"/>
      <c r="L1429" s="244"/>
      <c r="M1429" s="244"/>
      <c r="N1429" s="244"/>
      <c r="O1429" s="244"/>
      <c r="P1429" s="244"/>
      <c r="Q1429" s="244"/>
    </row>
    <row r="1430" spans="4:17" x14ac:dyDescent="0.2">
      <c r="D1430" s="244"/>
      <c r="E1430" s="244"/>
      <c r="F1430" s="244"/>
      <c r="G1430" s="244"/>
      <c r="H1430" s="244"/>
      <c r="I1430" s="244"/>
      <c r="J1430" s="244"/>
      <c r="K1430" s="244"/>
      <c r="L1430" s="244"/>
      <c r="M1430" s="244"/>
      <c r="N1430" s="244"/>
      <c r="O1430" s="244"/>
      <c r="P1430" s="244"/>
      <c r="Q1430" s="244"/>
    </row>
    <row r="1431" spans="4:17" x14ac:dyDescent="0.2">
      <c r="D1431" s="244"/>
      <c r="E1431" s="244"/>
      <c r="F1431" s="244"/>
      <c r="G1431" s="244"/>
      <c r="H1431" s="244"/>
      <c r="I1431" s="244"/>
      <c r="J1431" s="244"/>
      <c r="K1431" s="244"/>
      <c r="L1431" s="244"/>
      <c r="M1431" s="244"/>
      <c r="N1431" s="244"/>
      <c r="O1431" s="244"/>
      <c r="P1431" s="244"/>
      <c r="Q1431" s="244"/>
    </row>
    <row r="1432" spans="4:17" x14ac:dyDescent="0.2">
      <c r="D1432" s="244"/>
      <c r="E1432" s="244"/>
      <c r="F1432" s="244"/>
      <c r="G1432" s="244"/>
      <c r="H1432" s="244"/>
      <c r="I1432" s="244"/>
      <c r="J1432" s="244"/>
      <c r="K1432" s="244"/>
      <c r="L1432" s="244"/>
      <c r="M1432" s="244"/>
      <c r="N1432" s="244"/>
      <c r="O1432" s="244"/>
      <c r="P1432" s="244"/>
      <c r="Q1432" s="244"/>
    </row>
    <row r="1433" spans="4:17" x14ac:dyDescent="0.2">
      <c r="D1433" s="244"/>
      <c r="E1433" s="244"/>
      <c r="F1433" s="244"/>
      <c r="G1433" s="244"/>
      <c r="H1433" s="244"/>
      <c r="I1433" s="244"/>
      <c r="J1433" s="244"/>
      <c r="K1433" s="244"/>
      <c r="L1433" s="244"/>
      <c r="M1433" s="244"/>
      <c r="N1433" s="244"/>
      <c r="O1433" s="244"/>
      <c r="P1433" s="244"/>
      <c r="Q1433" s="244"/>
    </row>
    <row r="1434" spans="4:17" x14ac:dyDescent="0.2">
      <c r="D1434" s="244"/>
      <c r="E1434" s="244"/>
      <c r="F1434" s="244"/>
      <c r="G1434" s="244"/>
      <c r="H1434" s="244"/>
      <c r="I1434" s="244"/>
      <c r="J1434" s="244"/>
      <c r="K1434" s="244"/>
      <c r="L1434" s="244"/>
      <c r="M1434" s="244"/>
      <c r="N1434" s="244"/>
      <c r="O1434" s="244"/>
      <c r="P1434" s="244"/>
      <c r="Q1434" s="244"/>
    </row>
    <row r="1435" spans="4:17" x14ac:dyDescent="0.2">
      <c r="D1435" s="244"/>
      <c r="E1435" s="244"/>
      <c r="F1435" s="244"/>
      <c r="G1435" s="244"/>
      <c r="H1435" s="244"/>
      <c r="I1435" s="244"/>
      <c r="J1435" s="244"/>
      <c r="K1435" s="244"/>
      <c r="L1435" s="244"/>
      <c r="M1435" s="244"/>
      <c r="N1435" s="244"/>
      <c r="O1435" s="244"/>
      <c r="P1435" s="244"/>
      <c r="Q1435" s="244"/>
    </row>
    <row r="1436" spans="4:17" x14ac:dyDescent="0.2">
      <c r="D1436" s="244"/>
      <c r="E1436" s="244"/>
      <c r="F1436" s="244"/>
      <c r="G1436" s="244"/>
      <c r="H1436" s="244"/>
      <c r="I1436" s="244"/>
      <c r="J1436" s="244"/>
      <c r="K1436" s="244"/>
      <c r="L1436" s="244"/>
      <c r="M1436" s="244"/>
      <c r="N1436" s="244"/>
      <c r="O1436" s="244"/>
      <c r="P1436" s="244"/>
      <c r="Q1436" s="244"/>
    </row>
    <row r="1437" spans="4:17" x14ac:dyDescent="0.2">
      <c r="D1437" s="244"/>
      <c r="E1437" s="244"/>
      <c r="F1437" s="244"/>
      <c r="G1437" s="244"/>
      <c r="H1437" s="244"/>
      <c r="I1437" s="244"/>
      <c r="J1437" s="244"/>
      <c r="K1437" s="244"/>
      <c r="L1437" s="244"/>
      <c r="M1437" s="244"/>
      <c r="N1437" s="244"/>
      <c r="O1437" s="244"/>
      <c r="P1437" s="244"/>
      <c r="Q1437" s="244"/>
    </row>
    <row r="1438" spans="4:17" x14ac:dyDescent="0.2">
      <c r="D1438" s="244"/>
      <c r="E1438" s="244"/>
      <c r="F1438" s="244"/>
      <c r="G1438" s="244"/>
      <c r="H1438" s="244"/>
      <c r="I1438" s="244"/>
      <c r="J1438" s="244"/>
      <c r="K1438" s="244"/>
      <c r="L1438" s="244"/>
      <c r="M1438" s="244"/>
      <c r="N1438" s="244"/>
      <c r="O1438" s="244"/>
      <c r="P1438" s="244"/>
      <c r="Q1438" s="244"/>
    </row>
    <row r="1439" spans="4:17" x14ac:dyDescent="0.2">
      <c r="D1439" s="244"/>
      <c r="E1439" s="244"/>
      <c r="F1439" s="244"/>
      <c r="G1439" s="244"/>
      <c r="H1439" s="244"/>
      <c r="I1439" s="244"/>
      <c r="J1439" s="244"/>
      <c r="K1439" s="244"/>
      <c r="L1439" s="244"/>
      <c r="M1439" s="244"/>
      <c r="N1439" s="244"/>
      <c r="O1439" s="244"/>
      <c r="P1439" s="244"/>
      <c r="Q1439" s="244"/>
    </row>
    <row r="1440" spans="4:17" x14ac:dyDescent="0.2">
      <c r="D1440" s="244"/>
      <c r="E1440" s="244"/>
      <c r="F1440" s="244"/>
      <c r="G1440" s="244"/>
      <c r="H1440" s="244"/>
      <c r="I1440" s="244"/>
      <c r="J1440" s="244"/>
      <c r="K1440" s="244"/>
      <c r="L1440" s="244"/>
      <c r="M1440" s="244"/>
      <c r="N1440" s="244"/>
      <c r="O1440" s="244"/>
      <c r="P1440" s="244"/>
      <c r="Q1440" s="244"/>
    </row>
    <row r="1441" spans="4:17" x14ac:dyDescent="0.2">
      <c r="D1441" s="244"/>
      <c r="E1441" s="244"/>
      <c r="F1441" s="244"/>
      <c r="G1441" s="244"/>
      <c r="H1441" s="244"/>
      <c r="I1441" s="244"/>
      <c r="J1441" s="244"/>
      <c r="K1441" s="244"/>
      <c r="L1441" s="244"/>
      <c r="M1441" s="244"/>
      <c r="N1441" s="244"/>
      <c r="O1441" s="244"/>
      <c r="P1441" s="244"/>
      <c r="Q1441" s="244"/>
    </row>
    <row r="1442" spans="4:17" x14ac:dyDescent="0.2">
      <c r="D1442" s="244"/>
      <c r="E1442" s="244"/>
      <c r="F1442" s="244"/>
      <c r="G1442" s="244"/>
      <c r="H1442" s="244"/>
      <c r="I1442" s="244"/>
      <c r="J1442" s="244"/>
      <c r="K1442" s="244"/>
      <c r="L1442" s="244"/>
      <c r="M1442" s="244"/>
      <c r="N1442" s="244"/>
      <c r="O1442" s="244"/>
      <c r="P1442" s="244"/>
      <c r="Q1442" s="244"/>
    </row>
    <row r="1443" spans="4:17" x14ac:dyDescent="0.2">
      <c r="D1443" s="244"/>
      <c r="E1443" s="244"/>
      <c r="F1443" s="244"/>
      <c r="G1443" s="244"/>
      <c r="H1443" s="244"/>
      <c r="I1443" s="244"/>
      <c r="J1443" s="244"/>
      <c r="K1443" s="244"/>
      <c r="L1443" s="244"/>
      <c r="M1443" s="244"/>
      <c r="N1443" s="244"/>
      <c r="O1443" s="244"/>
      <c r="P1443" s="244"/>
      <c r="Q1443" s="244"/>
    </row>
    <row r="1444" spans="4:17" x14ac:dyDescent="0.2">
      <c r="D1444" s="244"/>
      <c r="E1444" s="244"/>
      <c r="F1444" s="244"/>
      <c r="G1444" s="244"/>
      <c r="H1444" s="244"/>
      <c r="I1444" s="244"/>
      <c r="J1444" s="244"/>
      <c r="K1444" s="244"/>
      <c r="L1444" s="244"/>
      <c r="M1444" s="244"/>
      <c r="N1444" s="244"/>
      <c r="O1444" s="244"/>
      <c r="P1444" s="244"/>
      <c r="Q1444" s="244"/>
    </row>
    <row r="1445" spans="4:17" x14ac:dyDescent="0.2">
      <c r="D1445" s="244"/>
      <c r="E1445" s="244"/>
      <c r="F1445" s="244"/>
      <c r="G1445" s="244"/>
      <c r="H1445" s="244"/>
      <c r="I1445" s="244"/>
      <c r="J1445" s="244"/>
      <c r="K1445" s="244"/>
      <c r="L1445" s="244"/>
      <c r="M1445" s="244"/>
      <c r="N1445" s="244"/>
      <c r="O1445" s="244"/>
      <c r="P1445" s="244"/>
      <c r="Q1445" s="244"/>
    </row>
    <row r="1446" spans="4:17" x14ac:dyDescent="0.2">
      <c r="D1446" s="244"/>
      <c r="E1446" s="244"/>
      <c r="F1446" s="244"/>
      <c r="G1446" s="244"/>
      <c r="H1446" s="244"/>
      <c r="I1446" s="244"/>
      <c r="J1446" s="244"/>
      <c r="K1446" s="244"/>
      <c r="L1446" s="244"/>
      <c r="M1446" s="244"/>
      <c r="N1446" s="244"/>
      <c r="O1446" s="244"/>
      <c r="P1446" s="244"/>
      <c r="Q1446" s="244"/>
    </row>
    <row r="1447" spans="4:17" x14ac:dyDescent="0.2">
      <c r="D1447" s="244"/>
      <c r="E1447" s="244"/>
      <c r="F1447" s="244"/>
      <c r="G1447" s="244"/>
      <c r="H1447" s="244"/>
      <c r="I1447" s="244"/>
      <c r="J1447" s="244"/>
      <c r="K1447" s="244"/>
      <c r="L1447" s="244"/>
      <c r="M1447" s="244"/>
      <c r="N1447" s="244"/>
      <c r="O1447" s="244"/>
      <c r="P1447" s="244"/>
      <c r="Q1447" s="244"/>
    </row>
    <row r="1448" spans="4:17" x14ac:dyDescent="0.2">
      <c r="D1448" s="244"/>
      <c r="E1448" s="244"/>
      <c r="F1448" s="244"/>
      <c r="G1448" s="244"/>
      <c r="H1448" s="244"/>
      <c r="I1448" s="244"/>
      <c r="J1448" s="244"/>
      <c r="K1448" s="244"/>
      <c r="L1448" s="244"/>
      <c r="M1448" s="244"/>
      <c r="N1448" s="244"/>
      <c r="O1448" s="244"/>
      <c r="P1448" s="244"/>
      <c r="Q1448" s="244"/>
    </row>
    <row r="1449" spans="4:17" x14ac:dyDescent="0.2">
      <c r="D1449" s="244"/>
      <c r="E1449" s="244"/>
      <c r="F1449" s="244"/>
      <c r="G1449" s="244"/>
      <c r="H1449" s="244"/>
      <c r="I1449" s="244"/>
      <c r="J1449" s="244"/>
      <c r="K1449" s="244"/>
      <c r="L1449" s="244"/>
      <c r="M1449" s="244"/>
      <c r="N1449" s="244"/>
      <c r="O1449" s="244"/>
      <c r="P1449" s="244"/>
      <c r="Q1449" s="244"/>
    </row>
    <row r="1450" spans="4:17" x14ac:dyDescent="0.2">
      <c r="D1450" s="244"/>
      <c r="E1450" s="244"/>
      <c r="F1450" s="244"/>
      <c r="G1450" s="244"/>
      <c r="H1450" s="244"/>
      <c r="I1450" s="244"/>
      <c r="J1450" s="244"/>
      <c r="K1450" s="244"/>
      <c r="L1450" s="244"/>
      <c r="M1450" s="244"/>
      <c r="N1450" s="244"/>
      <c r="O1450" s="244"/>
      <c r="P1450" s="244"/>
      <c r="Q1450" s="244"/>
    </row>
    <row r="1451" spans="4:17" x14ac:dyDescent="0.2">
      <c r="D1451" s="244"/>
      <c r="E1451" s="244"/>
      <c r="F1451" s="244"/>
      <c r="G1451" s="244"/>
      <c r="H1451" s="244"/>
      <c r="I1451" s="244"/>
      <c r="J1451" s="244"/>
      <c r="K1451" s="244"/>
      <c r="L1451" s="244"/>
      <c r="M1451" s="244"/>
      <c r="N1451" s="244"/>
      <c r="O1451" s="244"/>
      <c r="P1451" s="244"/>
      <c r="Q1451" s="244"/>
    </row>
    <row r="1452" spans="4:17" x14ac:dyDescent="0.2">
      <c r="D1452" s="244"/>
      <c r="E1452" s="244"/>
      <c r="F1452" s="244"/>
      <c r="G1452" s="244"/>
      <c r="H1452" s="244"/>
      <c r="I1452" s="244"/>
      <c r="J1452" s="244"/>
      <c r="K1452" s="244"/>
      <c r="L1452" s="244"/>
      <c r="M1452" s="244"/>
      <c r="N1452" s="244"/>
      <c r="O1452" s="244"/>
      <c r="P1452" s="244"/>
      <c r="Q1452" s="244"/>
    </row>
    <row r="1453" spans="4:17" x14ac:dyDescent="0.2">
      <c r="D1453" s="244"/>
      <c r="E1453" s="244"/>
      <c r="F1453" s="244"/>
      <c r="G1453" s="244"/>
      <c r="H1453" s="244"/>
      <c r="I1453" s="244"/>
      <c r="J1453" s="244"/>
      <c r="K1453" s="244"/>
      <c r="L1453" s="244"/>
      <c r="M1453" s="244"/>
      <c r="N1453" s="244"/>
      <c r="O1453" s="244"/>
      <c r="P1453" s="244"/>
      <c r="Q1453" s="244"/>
    </row>
    <row r="1454" spans="4:17" x14ac:dyDescent="0.2">
      <c r="D1454" s="244"/>
      <c r="E1454" s="244"/>
      <c r="F1454" s="244"/>
      <c r="G1454" s="244"/>
      <c r="H1454" s="244"/>
      <c r="I1454" s="244"/>
      <c r="J1454" s="244"/>
      <c r="K1454" s="244"/>
      <c r="L1454" s="244"/>
      <c r="M1454" s="244"/>
      <c r="N1454" s="244"/>
      <c r="O1454" s="244"/>
      <c r="P1454" s="244"/>
      <c r="Q1454" s="244"/>
    </row>
    <row r="1455" spans="4:17" x14ac:dyDescent="0.2">
      <c r="D1455" s="244"/>
      <c r="E1455" s="244"/>
      <c r="F1455" s="244"/>
      <c r="G1455" s="244"/>
      <c r="H1455" s="244"/>
      <c r="I1455" s="244"/>
      <c r="J1455" s="244"/>
      <c r="K1455" s="244"/>
      <c r="L1455" s="244"/>
      <c r="M1455" s="244"/>
      <c r="N1455" s="244"/>
      <c r="O1455" s="244"/>
      <c r="P1455" s="244"/>
      <c r="Q1455" s="244"/>
    </row>
    <row r="1456" spans="4:17" x14ac:dyDescent="0.2">
      <c r="D1456" s="244"/>
      <c r="E1456" s="244"/>
      <c r="F1456" s="244"/>
      <c r="G1456" s="244"/>
      <c r="H1456" s="244"/>
      <c r="I1456" s="244"/>
      <c r="J1456" s="244"/>
      <c r="K1456" s="244"/>
      <c r="L1456" s="244"/>
      <c r="M1456" s="244"/>
      <c r="N1456" s="244"/>
      <c r="O1456" s="244"/>
      <c r="P1456" s="244"/>
      <c r="Q1456" s="244"/>
    </row>
    <row r="1457" spans="4:17" x14ac:dyDescent="0.2">
      <c r="D1457" s="244"/>
      <c r="E1457" s="244"/>
      <c r="F1457" s="244"/>
      <c r="G1457" s="244"/>
      <c r="H1457" s="244"/>
      <c r="I1457" s="244"/>
      <c r="J1457" s="244"/>
      <c r="K1457" s="244"/>
      <c r="L1457" s="244"/>
      <c r="M1457" s="244"/>
      <c r="N1457" s="244"/>
      <c r="O1457" s="244"/>
      <c r="P1457" s="244"/>
      <c r="Q1457" s="244"/>
    </row>
    <row r="1458" spans="4:17" x14ac:dyDescent="0.2">
      <c r="D1458" s="244"/>
      <c r="E1458" s="244"/>
      <c r="F1458" s="244"/>
      <c r="G1458" s="244"/>
      <c r="H1458" s="244"/>
      <c r="I1458" s="244"/>
      <c r="J1458" s="244"/>
      <c r="K1458" s="244"/>
      <c r="L1458" s="244"/>
      <c r="M1458" s="244"/>
      <c r="N1458" s="244"/>
      <c r="O1458" s="244"/>
      <c r="P1458" s="244"/>
      <c r="Q1458" s="244"/>
    </row>
    <row r="1459" spans="4:17" x14ac:dyDescent="0.2">
      <c r="D1459" s="244"/>
      <c r="E1459" s="244"/>
      <c r="F1459" s="244"/>
      <c r="G1459" s="244"/>
      <c r="H1459" s="244"/>
      <c r="I1459" s="244"/>
      <c r="J1459" s="244"/>
      <c r="K1459" s="244"/>
      <c r="L1459" s="244"/>
      <c r="M1459" s="244"/>
      <c r="N1459" s="244"/>
      <c r="O1459" s="244"/>
      <c r="P1459" s="244"/>
      <c r="Q1459" s="244"/>
    </row>
    <row r="1460" spans="4:17" x14ac:dyDescent="0.2">
      <c r="D1460" s="244"/>
      <c r="E1460" s="244"/>
      <c r="F1460" s="244"/>
      <c r="G1460" s="244"/>
      <c r="H1460" s="244"/>
      <c r="I1460" s="244"/>
      <c r="J1460" s="244"/>
      <c r="K1460" s="244"/>
      <c r="L1460" s="244"/>
      <c r="M1460" s="244"/>
      <c r="N1460" s="244"/>
      <c r="O1460" s="244"/>
      <c r="P1460" s="244"/>
      <c r="Q1460" s="244"/>
    </row>
    <row r="1461" spans="4:17" x14ac:dyDescent="0.2">
      <c r="D1461" s="244"/>
      <c r="E1461" s="244"/>
      <c r="F1461" s="244"/>
      <c r="G1461" s="244"/>
      <c r="H1461" s="244"/>
      <c r="I1461" s="244"/>
      <c r="J1461" s="244"/>
      <c r="K1461" s="244"/>
      <c r="L1461" s="244"/>
      <c r="M1461" s="244"/>
      <c r="N1461" s="244"/>
      <c r="O1461" s="244"/>
      <c r="P1461" s="244"/>
      <c r="Q1461" s="244"/>
    </row>
    <row r="1462" spans="4:17" x14ac:dyDescent="0.2">
      <c r="D1462" s="244"/>
      <c r="E1462" s="244"/>
      <c r="F1462" s="244"/>
      <c r="G1462" s="244"/>
      <c r="H1462" s="244"/>
      <c r="I1462" s="244"/>
      <c r="J1462" s="244"/>
      <c r="K1462" s="244"/>
      <c r="L1462" s="244"/>
      <c r="M1462" s="244"/>
      <c r="N1462" s="244"/>
      <c r="O1462" s="244"/>
      <c r="P1462" s="244"/>
      <c r="Q1462" s="244"/>
    </row>
    <row r="1463" spans="4:17" x14ac:dyDescent="0.2">
      <c r="D1463" s="244"/>
      <c r="E1463" s="244"/>
      <c r="F1463" s="244"/>
      <c r="G1463" s="244"/>
      <c r="H1463" s="244"/>
      <c r="I1463" s="244"/>
      <c r="J1463" s="244"/>
      <c r="K1463" s="244"/>
      <c r="L1463" s="244"/>
      <c r="M1463" s="244"/>
      <c r="N1463" s="244"/>
      <c r="O1463" s="244"/>
      <c r="P1463" s="244"/>
      <c r="Q1463" s="244"/>
    </row>
    <row r="1464" spans="4:17" x14ac:dyDescent="0.2">
      <c r="D1464" s="244"/>
      <c r="E1464" s="244"/>
      <c r="F1464" s="244"/>
      <c r="G1464" s="244"/>
      <c r="H1464" s="244"/>
      <c r="I1464" s="244"/>
      <c r="J1464" s="244"/>
      <c r="K1464" s="244"/>
      <c r="L1464" s="244"/>
      <c r="M1464" s="244"/>
      <c r="N1464" s="244"/>
      <c r="O1464" s="244"/>
      <c r="P1464" s="244"/>
      <c r="Q1464" s="244"/>
    </row>
    <row r="1465" spans="4:17" x14ac:dyDescent="0.2">
      <c r="D1465" s="244"/>
      <c r="E1465" s="244"/>
      <c r="F1465" s="244"/>
      <c r="G1465" s="244"/>
      <c r="H1465" s="244"/>
      <c r="I1465" s="244"/>
      <c r="J1465" s="244"/>
      <c r="K1465" s="244"/>
      <c r="L1465" s="244"/>
      <c r="M1465" s="244"/>
      <c r="N1465" s="244"/>
      <c r="O1465" s="244"/>
      <c r="P1465" s="244"/>
      <c r="Q1465" s="244"/>
    </row>
    <row r="1466" spans="4:17" x14ac:dyDescent="0.2">
      <c r="D1466" s="244"/>
      <c r="E1466" s="244"/>
      <c r="F1466" s="244"/>
      <c r="G1466" s="244"/>
      <c r="H1466" s="244"/>
      <c r="I1466" s="244"/>
      <c r="J1466" s="244"/>
      <c r="K1466" s="244"/>
      <c r="L1466" s="244"/>
      <c r="M1466" s="244"/>
      <c r="N1466" s="244"/>
      <c r="O1466" s="244"/>
      <c r="P1466" s="244"/>
      <c r="Q1466" s="244"/>
    </row>
    <row r="1467" spans="4:17" x14ac:dyDescent="0.2">
      <c r="D1467" s="244"/>
      <c r="E1467" s="244"/>
      <c r="F1467" s="244"/>
      <c r="G1467" s="244"/>
      <c r="H1467" s="244"/>
      <c r="I1467" s="244"/>
      <c r="J1467" s="244"/>
      <c r="K1467" s="244"/>
      <c r="L1467" s="244"/>
      <c r="M1467" s="244"/>
      <c r="N1467" s="244"/>
      <c r="O1467" s="244"/>
      <c r="P1467" s="244"/>
      <c r="Q1467" s="244"/>
    </row>
    <row r="1468" spans="4:17" x14ac:dyDescent="0.2"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4"/>
      <c r="Q1468" s="244"/>
    </row>
    <row r="1469" spans="4:17" x14ac:dyDescent="0.2">
      <c r="D1469" s="244"/>
      <c r="E1469" s="244"/>
      <c r="F1469" s="244"/>
      <c r="G1469" s="244"/>
      <c r="H1469" s="244"/>
      <c r="I1469" s="244"/>
      <c r="J1469" s="244"/>
      <c r="K1469" s="244"/>
      <c r="L1469" s="244"/>
      <c r="M1469" s="244"/>
      <c r="N1469" s="244"/>
      <c r="O1469" s="244"/>
      <c r="P1469" s="244"/>
      <c r="Q1469" s="244"/>
    </row>
    <row r="1470" spans="4:17" x14ac:dyDescent="0.2">
      <c r="D1470" s="244"/>
      <c r="E1470" s="244"/>
      <c r="F1470" s="244"/>
      <c r="G1470" s="244"/>
      <c r="H1470" s="244"/>
      <c r="I1470" s="244"/>
      <c r="J1470" s="244"/>
      <c r="K1470" s="244"/>
      <c r="L1470" s="244"/>
      <c r="M1470" s="244"/>
      <c r="N1470" s="244"/>
      <c r="O1470" s="244"/>
      <c r="P1470" s="244"/>
      <c r="Q1470" s="244"/>
    </row>
    <row r="1471" spans="4:17" x14ac:dyDescent="0.2">
      <c r="D1471" s="244"/>
      <c r="E1471" s="244"/>
      <c r="F1471" s="244"/>
      <c r="G1471" s="244"/>
      <c r="H1471" s="244"/>
      <c r="I1471" s="244"/>
      <c r="J1471" s="244"/>
      <c r="K1471" s="244"/>
      <c r="L1471" s="244"/>
      <c r="M1471" s="244"/>
      <c r="N1471" s="244"/>
      <c r="O1471" s="244"/>
      <c r="P1471" s="244"/>
      <c r="Q1471" s="244"/>
    </row>
    <row r="1472" spans="4:17" x14ac:dyDescent="0.2">
      <c r="D1472" s="244"/>
      <c r="E1472" s="244"/>
      <c r="F1472" s="244"/>
      <c r="G1472" s="244"/>
      <c r="H1472" s="244"/>
      <c r="I1472" s="244"/>
      <c r="J1472" s="244"/>
      <c r="K1472" s="244"/>
      <c r="L1472" s="244"/>
      <c r="M1472" s="244"/>
      <c r="N1472" s="244"/>
      <c r="O1472" s="244"/>
      <c r="P1472" s="244"/>
      <c r="Q1472" s="244"/>
    </row>
    <row r="1473" spans="4:17" x14ac:dyDescent="0.2">
      <c r="D1473" s="244"/>
      <c r="E1473" s="244"/>
      <c r="F1473" s="244"/>
      <c r="G1473" s="244"/>
      <c r="H1473" s="244"/>
      <c r="I1473" s="244"/>
      <c r="J1473" s="244"/>
      <c r="K1473" s="244"/>
      <c r="L1473" s="244"/>
      <c r="M1473" s="244"/>
      <c r="N1473" s="244"/>
      <c r="O1473" s="244"/>
      <c r="P1473" s="244"/>
      <c r="Q1473" s="244"/>
    </row>
    <row r="1474" spans="4:17" x14ac:dyDescent="0.2">
      <c r="D1474" s="244"/>
      <c r="E1474" s="244"/>
      <c r="F1474" s="244"/>
      <c r="G1474" s="244"/>
      <c r="H1474" s="244"/>
      <c r="I1474" s="244"/>
      <c r="J1474" s="244"/>
      <c r="K1474" s="244"/>
      <c r="L1474" s="244"/>
      <c r="M1474" s="244"/>
      <c r="N1474" s="244"/>
      <c r="O1474" s="244"/>
      <c r="P1474" s="244"/>
      <c r="Q1474" s="244"/>
    </row>
    <row r="1475" spans="4:17" x14ac:dyDescent="0.2">
      <c r="D1475" s="244"/>
      <c r="E1475" s="244"/>
      <c r="F1475" s="244"/>
      <c r="G1475" s="244"/>
      <c r="H1475" s="244"/>
      <c r="I1475" s="244"/>
      <c r="J1475" s="244"/>
      <c r="K1475" s="244"/>
      <c r="L1475" s="244"/>
      <c r="M1475" s="244"/>
      <c r="N1475" s="244"/>
      <c r="O1475" s="244"/>
      <c r="P1475" s="244"/>
      <c r="Q1475" s="244"/>
    </row>
    <row r="1476" spans="4:17" x14ac:dyDescent="0.2">
      <c r="D1476" s="244"/>
      <c r="E1476" s="244"/>
      <c r="F1476" s="244"/>
      <c r="G1476" s="244"/>
      <c r="H1476" s="244"/>
      <c r="I1476" s="244"/>
      <c r="J1476" s="244"/>
      <c r="K1476" s="244"/>
      <c r="L1476" s="244"/>
      <c r="M1476" s="244"/>
      <c r="N1476" s="244"/>
      <c r="O1476" s="244"/>
      <c r="P1476" s="244"/>
      <c r="Q1476" s="244"/>
    </row>
    <row r="1477" spans="4:17" x14ac:dyDescent="0.2">
      <c r="D1477" s="244"/>
      <c r="E1477" s="244"/>
      <c r="F1477" s="244"/>
      <c r="G1477" s="244"/>
      <c r="H1477" s="244"/>
      <c r="I1477" s="244"/>
      <c r="J1477" s="244"/>
      <c r="K1477" s="244"/>
      <c r="L1477" s="244"/>
      <c r="M1477" s="244"/>
      <c r="N1477" s="244"/>
      <c r="O1477" s="244"/>
      <c r="P1477" s="244"/>
      <c r="Q1477" s="244"/>
    </row>
    <row r="1478" spans="4:17" x14ac:dyDescent="0.2">
      <c r="D1478" s="244"/>
      <c r="E1478" s="244"/>
      <c r="F1478" s="244"/>
      <c r="G1478" s="244"/>
      <c r="H1478" s="244"/>
      <c r="I1478" s="244"/>
      <c r="J1478" s="244"/>
      <c r="K1478" s="244"/>
      <c r="L1478" s="244"/>
      <c r="M1478" s="244"/>
      <c r="N1478" s="244"/>
      <c r="O1478" s="244"/>
      <c r="P1478" s="244"/>
      <c r="Q1478" s="244"/>
    </row>
    <row r="1479" spans="4:17" x14ac:dyDescent="0.2">
      <c r="D1479" s="244"/>
      <c r="E1479" s="244"/>
      <c r="F1479" s="244"/>
      <c r="G1479" s="244"/>
      <c r="H1479" s="244"/>
      <c r="I1479" s="244"/>
      <c r="J1479" s="244"/>
      <c r="K1479" s="244"/>
      <c r="L1479" s="244"/>
      <c r="M1479" s="244"/>
      <c r="N1479" s="244"/>
      <c r="O1479" s="244"/>
      <c r="P1479" s="244"/>
      <c r="Q1479" s="244"/>
    </row>
    <row r="1480" spans="4:17" x14ac:dyDescent="0.2">
      <c r="D1480" s="244"/>
      <c r="E1480" s="244"/>
      <c r="F1480" s="244"/>
      <c r="G1480" s="244"/>
      <c r="H1480" s="244"/>
      <c r="I1480" s="244"/>
      <c r="J1480" s="244"/>
      <c r="K1480" s="244"/>
      <c r="L1480" s="244"/>
      <c r="M1480" s="244"/>
      <c r="N1480" s="244"/>
      <c r="O1480" s="244"/>
      <c r="P1480" s="244"/>
      <c r="Q1480" s="244"/>
    </row>
    <row r="1481" spans="4:17" x14ac:dyDescent="0.2">
      <c r="D1481" s="244"/>
      <c r="E1481" s="244"/>
      <c r="F1481" s="244"/>
      <c r="G1481" s="244"/>
      <c r="H1481" s="244"/>
      <c r="I1481" s="244"/>
      <c r="J1481" s="244"/>
      <c r="K1481" s="244"/>
      <c r="L1481" s="244"/>
      <c r="M1481" s="244"/>
      <c r="N1481" s="244"/>
      <c r="O1481" s="244"/>
      <c r="P1481" s="244"/>
      <c r="Q1481" s="244"/>
    </row>
    <row r="1482" spans="4:17" x14ac:dyDescent="0.2">
      <c r="D1482" s="244"/>
      <c r="E1482" s="244"/>
      <c r="F1482" s="244"/>
      <c r="G1482" s="244"/>
      <c r="H1482" s="244"/>
      <c r="I1482" s="244"/>
      <c r="J1482" s="244"/>
      <c r="K1482" s="244"/>
      <c r="L1482" s="244"/>
      <c r="M1482" s="244"/>
      <c r="N1482" s="244"/>
      <c r="O1482" s="244"/>
      <c r="P1482" s="244"/>
      <c r="Q1482" s="244"/>
    </row>
    <row r="1483" spans="4:17" x14ac:dyDescent="0.2">
      <c r="D1483" s="244"/>
      <c r="E1483" s="244"/>
      <c r="F1483" s="244"/>
      <c r="G1483" s="244"/>
      <c r="H1483" s="244"/>
      <c r="I1483" s="244"/>
      <c r="J1483" s="244"/>
      <c r="K1483" s="244"/>
      <c r="L1483" s="244"/>
      <c r="M1483" s="244"/>
      <c r="N1483" s="244"/>
      <c r="O1483" s="244"/>
      <c r="P1483" s="244"/>
      <c r="Q1483" s="244"/>
    </row>
    <row r="1484" spans="4:17" x14ac:dyDescent="0.2">
      <c r="D1484" s="244"/>
      <c r="E1484" s="244"/>
      <c r="F1484" s="244"/>
      <c r="G1484" s="244"/>
      <c r="H1484" s="244"/>
      <c r="I1484" s="244"/>
      <c r="J1484" s="244"/>
      <c r="K1484" s="244"/>
      <c r="L1484" s="244"/>
      <c r="M1484" s="244"/>
      <c r="N1484" s="244"/>
      <c r="O1484" s="244"/>
      <c r="P1484" s="244"/>
      <c r="Q1484" s="244"/>
    </row>
    <row r="1485" spans="4:17" x14ac:dyDescent="0.2">
      <c r="D1485" s="244"/>
      <c r="E1485" s="244"/>
      <c r="F1485" s="244"/>
      <c r="G1485" s="244"/>
      <c r="H1485" s="244"/>
      <c r="I1485" s="244"/>
      <c r="J1485" s="244"/>
      <c r="K1485" s="244"/>
      <c r="L1485" s="244"/>
      <c r="M1485" s="244"/>
      <c r="N1485" s="244"/>
      <c r="O1485" s="244"/>
      <c r="P1485" s="244"/>
      <c r="Q1485" s="244"/>
    </row>
    <row r="1486" spans="4:17" x14ac:dyDescent="0.2">
      <c r="D1486" s="244"/>
      <c r="E1486" s="244"/>
      <c r="F1486" s="244"/>
      <c r="G1486" s="244"/>
      <c r="H1486" s="244"/>
      <c r="I1486" s="244"/>
      <c r="J1486" s="244"/>
      <c r="K1486" s="244"/>
      <c r="L1486" s="244"/>
      <c r="M1486" s="244"/>
      <c r="N1486" s="244"/>
      <c r="O1486" s="244"/>
      <c r="P1486" s="244"/>
      <c r="Q1486" s="244"/>
    </row>
    <row r="1487" spans="4:17" x14ac:dyDescent="0.2">
      <c r="D1487" s="244"/>
      <c r="E1487" s="244"/>
      <c r="F1487" s="244"/>
      <c r="G1487" s="244"/>
      <c r="H1487" s="244"/>
      <c r="I1487" s="244"/>
      <c r="J1487" s="244"/>
      <c r="K1487" s="244"/>
      <c r="L1487" s="244"/>
      <c r="M1487" s="244"/>
      <c r="N1487" s="244"/>
      <c r="O1487" s="244"/>
      <c r="P1487" s="244"/>
      <c r="Q1487" s="244"/>
    </row>
    <row r="1488" spans="4:17" x14ac:dyDescent="0.2">
      <c r="D1488" s="244"/>
      <c r="E1488" s="244"/>
      <c r="F1488" s="244"/>
      <c r="G1488" s="244"/>
      <c r="H1488" s="244"/>
      <c r="I1488" s="244"/>
      <c r="J1488" s="244"/>
      <c r="K1488" s="244"/>
      <c r="L1488" s="244"/>
      <c r="M1488" s="244"/>
      <c r="N1488" s="244"/>
      <c r="O1488" s="244"/>
      <c r="P1488" s="244"/>
      <c r="Q1488" s="244"/>
    </row>
    <row r="1489" spans="4:17" x14ac:dyDescent="0.2">
      <c r="D1489" s="244"/>
      <c r="E1489" s="244"/>
      <c r="F1489" s="244"/>
      <c r="G1489" s="244"/>
      <c r="H1489" s="244"/>
      <c r="I1489" s="244"/>
      <c r="J1489" s="244"/>
      <c r="K1489" s="244"/>
      <c r="L1489" s="244"/>
      <c r="M1489" s="244"/>
      <c r="N1489" s="244"/>
      <c r="O1489" s="244"/>
      <c r="P1489" s="244"/>
      <c r="Q1489" s="244"/>
    </row>
    <row r="1490" spans="4:17" x14ac:dyDescent="0.2">
      <c r="D1490" s="244"/>
      <c r="E1490" s="244"/>
      <c r="F1490" s="244"/>
      <c r="G1490" s="244"/>
      <c r="H1490" s="244"/>
      <c r="I1490" s="244"/>
      <c r="J1490" s="244"/>
      <c r="K1490" s="244"/>
      <c r="L1490" s="244"/>
      <c r="M1490" s="244"/>
      <c r="N1490" s="244"/>
      <c r="O1490" s="244"/>
      <c r="P1490" s="244"/>
      <c r="Q1490" s="244"/>
    </row>
    <row r="1491" spans="4:17" x14ac:dyDescent="0.2">
      <c r="D1491" s="244"/>
      <c r="E1491" s="244"/>
      <c r="F1491" s="244"/>
      <c r="G1491" s="244"/>
      <c r="H1491" s="244"/>
      <c r="I1491" s="244"/>
      <c r="J1491" s="244"/>
      <c r="K1491" s="244"/>
      <c r="L1491" s="244"/>
      <c r="M1491" s="244"/>
      <c r="N1491" s="244"/>
      <c r="O1491" s="244"/>
      <c r="P1491" s="244"/>
      <c r="Q1491" s="244"/>
    </row>
    <row r="1492" spans="4:17" x14ac:dyDescent="0.2">
      <c r="D1492" s="244"/>
      <c r="E1492" s="244"/>
      <c r="F1492" s="244"/>
      <c r="G1492" s="244"/>
      <c r="H1492" s="244"/>
      <c r="I1492" s="244"/>
      <c r="J1492" s="244"/>
      <c r="K1492" s="244"/>
      <c r="L1492" s="244"/>
      <c r="M1492" s="244"/>
      <c r="N1492" s="244"/>
      <c r="O1492" s="244"/>
      <c r="P1492" s="244"/>
      <c r="Q1492" s="244"/>
    </row>
    <row r="1493" spans="4:17" x14ac:dyDescent="0.2">
      <c r="D1493" s="244"/>
      <c r="E1493" s="244"/>
      <c r="F1493" s="244"/>
      <c r="G1493" s="244"/>
      <c r="H1493" s="244"/>
      <c r="I1493" s="244"/>
      <c r="J1493" s="244"/>
      <c r="K1493" s="244"/>
      <c r="L1493" s="244"/>
      <c r="M1493" s="244"/>
      <c r="N1493" s="244"/>
      <c r="O1493" s="244"/>
      <c r="P1493" s="244"/>
      <c r="Q1493" s="244"/>
    </row>
    <row r="1494" spans="4:17" x14ac:dyDescent="0.2">
      <c r="D1494" s="244"/>
      <c r="E1494" s="244"/>
      <c r="F1494" s="244"/>
      <c r="G1494" s="244"/>
      <c r="H1494" s="244"/>
      <c r="I1494" s="244"/>
      <c r="J1494" s="244"/>
      <c r="K1494" s="244"/>
      <c r="L1494" s="244"/>
      <c r="M1494" s="244"/>
      <c r="N1494" s="244"/>
      <c r="O1494" s="244"/>
      <c r="P1494" s="244"/>
      <c r="Q1494" s="244"/>
    </row>
    <row r="1495" spans="4:17" x14ac:dyDescent="0.2">
      <c r="D1495" s="244"/>
      <c r="E1495" s="244"/>
      <c r="F1495" s="244"/>
      <c r="G1495" s="244"/>
      <c r="H1495" s="244"/>
      <c r="I1495" s="244"/>
      <c r="J1495" s="244"/>
      <c r="K1495" s="244"/>
      <c r="L1495" s="244"/>
      <c r="M1495" s="244"/>
      <c r="N1495" s="244"/>
      <c r="O1495" s="244"/>
      <c r="P1495" s="244"/>
      <c r="Q1495" s="244"/>
    </row>
    <row r="1496" spans="4:17" x14ac:dyDescent="0.2">
      <c r="D1496" s="244"/>
      <c r="E1496" s="244"/>
      <c r="F1496" s="244"/>
      <c r="G1496" s="244"/>
      <c r="H1496" s="244"/>
      <c r="I1496" s="244"/>
      <c r="J1496" s="244"/>
      <c r="K1496" s="244"/>
      <c r="L1496" s="244"/>
      <c r="M1496" s="244"/>
      <c r="N1496" s="244"/>
      <c r="O1496" s="244"/>
      <c r="P1496" s="244"/>
      <c r="Q1496" s="244"/>
    </row>
    <row r="1497" spans="4:17" x14ac:dyDescent="0.2">
      <c r="D1497" s="244"/>
      <c r="E1497" s="244"/>
      <c r="F1497" s="244"/>
      <c r="G1497" s="244"/>
      <c r="H1497" s="244"/>
      <c r="I1497" s="244"/>
      <c r="J1497" s="244"/>
      <c r="K1497" s="244"/>
      <c r="L1497" s="244"/>
      <c r="M1497" s="244"/>
      <c r="N1497" s="244"/>
      <c r="O1497" s="244"/>
      <c r="P1497" s="244"/>
      <c r="Q1497" s="244"/>
    </row>
    <row r="1498" spans="4:17" x14ac:dyDescent="0.2">
      <c r="D1498" s="244"/>
      <c r="E1498" s="244"/>
      <c r="F1498" s="244"/>
      <c r="G1498" s="244"/>
      <c r="H1498" s="244"/>
      <c r="I1498" s="244"/>
      <c r="J1498" s="244"/>
      <c r="K1498" s="244"/>
      <c r="L1498" s="244"/>
      <c r="M1498" s="244"/>
      <c r="N1498" s="244"/>
      <c r="O1498" s="244"/>
      <c r="P1498" s="244"/>
      <c r="Q1498" s="244"/>
    </row>
    <row r="1499" spans="4:17" x14ac:dyDescent="0.2">
      <c r="D1499" s="244"/>
      <c r="E1499" s="244"/>
      <c r="F1499" s="244"/>
      <c r="G1499" s="244"/>
      <c r="H1499" s="244"/>
      <c r="I1499" s="244"/>
      <c r="J1499" s="244"/>
      <c r="K1499" s="244"/>
      <c r="L1499" s="244"/>
      <c r="M1499" s="244"/>
      <c r="N1499" s="244"/>
      <c r="O1499" s="244"/>
      <c r="P1499" s="244"/>
      <c r="Q1499" s="244"/>
    </row>
    <row r="1500" spans="4:17" x14ac:dyDescent="0.2">
      <c r="D1500" s="244"/>
      <c r="E1500" s="244"/>
      <c r="F1500" s="244"/>
      <c r="G1500" s="244"/>
      <c r="H1500" s="244"/>
      <c r="I1500" s="244"/>
      <c r="J1500" s="244"/>
      <c r="K1500" s="244"/>
      <c r="L1500" s="244"/>
      <c r="M1500" s="244"/>
      <c r="N1500" s="244"/>
      <c r="O1500" s="244"/>
      <c r="P1500" s="244"/>
      <c r="Q1500" s="244"/>
    </row>
    <row r="1501" spans="4:17" x14ac:dyDescent="0.2">
      <c r="D1501" s="244"/>
      <c r="E1501" s="244"/>
      <c r="F1501" s="244"/>
      <c r="G1501" s="244"/>
      <c r="H1501" s="244"/>
      <c r="I1501" s="244"/>
      <c r="J1501" s="244"/>
      <c r="K1501" s="244"/>
      <c r="L1501" s="244"/>
      <c r="M1501" s="244"/>
      <c r="N1501" s="244"/>
      <c r="O1501" s="244"/>
      <c r="P1501" s="244"/>
      <c r="Q1501" s="244"/>
    </row>
    <row r="1502" spans="4:17" x14ac:dyDescent="0.2">
      <c r="D1502" s="244"/>
      <c r="E1502" s="244"/>
      <c r="F1502" s="244"/>
      <c r="G1502" s="244"/>
      <c r="H1502" s="244"/>
      <c r="I1502" s="244"/>
      <c r="J1502" s="244"/>
      <c r="K1502" s="244"/>
      <c r="L1502" s="244"/>
      <c r="M1502" s="244"/>
      <c r="N1502" s="244"/>
      <c r="O1502" s="244"/>
      <c r="P1502" s="244"/>
      <c r="Q1502" s="244"/>
    </row>
    <row r="1503" spans="4:17" x14ac:dyDescent="0.2">
      <c r="D1503" s="244"/>
      <c r="E1503" s="244"/>
      <c r="F1503" s="244"/>
      <c r="G1503" s="244"/>
      <c r="H1503" s="244"/>
      <c r="I1503" s="244"/>
      <c r="J1503" s="244"/>
      <c r="K1503" s="244"/>
      <c r="L1503" s="244"/>
      <c r="M1503" s="244"/>
      <c r="N1503" s="244"/>
      <c r="O1503" s="244"/>
      <c r="P1503" s="244"/>
      <c r="Q1503" s="244"/>
    </row>
    <row r="1504" spans="4:17" x14ac:dyDescent="0.2">
      <c r="D1504" s="244"/>
      <c r="E1504" s="244"/>
      <c r="F1504" s="244"/>
      <c r="G1504" s="244"/>
      <c r="H1504" s="244"/>
      <c r="I1504" s="244"/>
      <c r="J1504" s="244"/>
      <c r="K1504" s="244"/>
      <c r="L1504" s="244"/>
      <c r="M1504" s="244"/>
      <c r="N1504" s="244"/>
      <c r="O1504" s="244"/>
      <c r="P1504" s="244"/>
      <c r="Q1504" s="244"/>
    </row>
    <row r="1505" spans="4:17" x14ac:dyDescent="0.2">
      <c r="D1505" s="244"/>
      <c r="E1505" s="244"/>
      <c r="F1505" s="244"/>
      <c r="G1505" s="244"/>
      <c r="H1505" s="244"/>
      <c r="I1505" s="244"/>
      <c r="J1505" s="244"/>
      <c r="K1505" s="244"/>
      <c r="L1505" s="244"/>
      <c r="M1505" s="244"/>
      <c r="N1505" s="244"/>
      <c r="O1505" s="244"/>
      <c r="P1505" s="244"/>
      <c r="Q1505" s="244"/>
    </row>
    <row r="1506" spans="4:17" x14ac:dyDescent="0.2">
      <c r="D1506" s="244"/>
      <c r="E1506" s="244"/>
      <c r="F1506" s="244"/>
      <c r="G1506" s="244"/>
      <c r="H1506" s="244"/>
      <c r="I1506" s="244"/>
      <c r="J1506" s="244"/>
      <c r="K1506" s="244"/>
      <c r="L1506" s="244"/>
      <c r="M1506" s="244"/>
      <c r="N1506" s="244"/>
      <c r="O1506" s="244"/>
      <c r="P1506" s="244"/>
      <c r="Q1506" s="244"/>
    </row>
    <row r="1507" spans="4:17" x14ac:dyDescent="0.2">
      <c r="D1507" s="244"/>
      <c r="E1507" s="244"/>
      <c r="F1507" s="244"/>
      <c r="G1507" s="244"/>
      <c r="H1507" s="244"/>
      <c r="I1507" s="244"/>
      <c r="J1507" s="244"/>
      <c r="K1507" s="244"/>
      <c r="L1507" s="244"/>
      <c r="M1507" s="244"/>
      <c r="N1507" s="244"/>
      <c r="O1507" s="244"/>
      <c r="P1507" s="244"/>
      <c r="Q1507" s="244"/>
    </row>
    <row r="1508" spans="4:17" x14ac:dyDescent="0.2">
      <c r="D1508" s="244"/>
      <c r="E1508" s="244"/>
      <c r="F1508" s="244"/>
      <c r="G1508" s="244"/>
      <c r="H1508" s="244"/>
      <c r="I1508" s="244"/>
      <c r="J1508" s="244"/>
      <c r="K1508" s="244"/>
      <c r="L1508" s="244"/>
      <c r="M1508" s="244"/>
      <c r="N1508" s="244"/>
      <c r="O1508" s="244"/>
      <c r="P1508" s="244"/>
      <c r="Q1508" s="244"/>
    </row>
    <row r="1509" spans="4:17" x14ac:dyDescent="0.2">
      <c r="D1509" s="244"/>
      <c r="E1509" s="244"/>
      <c r="F1509" s="244"/>
      <c r="G1509" s="244"/>
      <c r="H1509" s="244"/>
      <c r="I1509" s="244"/>
      <c r="J1509" s="244"/>
      <c r="K1509" s="244"/>
      <c r="L1509" s="244"/>
      <c r="M1509" s="244"/>
      <c r="N1509" s="244"/>
      <c r="O1509" s="244"/>
      <c r="P1509" s="244"/>
      <c r="Q1509" s="244"/>
    </row>
    <row r="1510" spans="4:17" x14ac:dyDescent="0.2">
      <c r="D1510" s="244"/>
      <c r="E1510" s="244"/>
      <c r="F1510" s="244"/>
      <c r="G1510" s="244"/>
      <c r="H1510" s="244"/>
      <c r="I1510" s="244"/>
      <c r="J1510" s="244"/>
      <c r="K1510" s="244"/>
      <c r="L1510" s="244"/>
      <c r="M1510" s="244"/>
      <c r="N1510" s="244"/>
      <c r="O1510" s="244"/>
      <c r="P1510" s="244"/>
      <c r="Q1510" s="244"/>
    </row>
    <row r="1511" spans="4:17" x14ac:dyDescent="0.2">
      <c r="D1511" s="244"/>
      <c r="E1511" s="244"/>
      <c r="F1511" s="244"/>
      <c r="G1511" s="244"/>
      <c r="H1511" s="244"/>
      <c r="I1511" s="244"/>
      <c r="J1511" s="244"/>
      <c r="K1511" s="244"/>
      <c r="L1511" s="244"/>
      <c r="M1511" s="244"/>
      <c r="N1511" s="244"/>
      <c r="O1511" s="244"/>
      <c r="P1511" s="244"/>
      <c r="Q1511" s="244"/>
    </row>
    <row r="1512" spans="4:17" x14ac:dyDescent="0.2">
      <c r="D1512" s="244"/>
      <c r="E1512" s="244"/>
      <c r="F1512" s="244"/>
      <c r="G1512" s="244"/>
      <c r="H1512" s="244"/>
      <c r="I1512" s="244"/>
      <c r="J1512" s="244"/>
      <c r="K1512" s="244"/>
      <c r="L1512" s="244"/>
      <c r="M1512" s="244"/>
      <c r="N1512" s="244"/>
      <c r="O1512" s="244"/>
      <c r="P1512" s="244"/>
      <c r="Q1512" s="244"/>
    </row>
    <row r="1513" spans="4:17" x14ac:dyDescent="0.2">
      <c r="D1513" s="244"/>
      <c r="E1513" s="244"/>
      <c r="F1513" s="244"/>
      <c r="G1513" s="244"/>
      <c r="H1513" s="244"/>
      <c r="I1513" s="244"/>
      <c r="J1513" s="244"/>
      <c r="K1513" s="244"/>
      <c r="L1513" s="244"/>
      <c r="M1513" s="244"/>
      <c r="N1513" s="244"/>
      <c r="O1513" s="244"/>
      <c r="P1513" s="244"/>
      <c r="Q1513" s="244"/>
    </row>
    <row r="1514" spans="4:17" x14ac:dyDescent="0.2">
      <c r="D1514" s="244"/>
      <c r="E1514" s="244"/>
      <c r="F1514" s="244"/>
      <c r="G1514" s="244"/>
      <c r="H1514" s="244"/>
      <c r="I1514" s="244"/>
      <c r="J1514" s="244"/>
      <c r="K1514" s="244"/>
      <c r="L1514" s="244"/>
      <c r="M1514" s="244"/>
      <c r="N1514" s="244"/>
      <c r="O1514" s="244"/>
      <c r="P1514" s="244"/>
      <c r="Q1514" s="244"/>
    </row>
    <row r="1515" spans="4:17" x14ac:dyDescent="0.2">
      <c r="D1515" s="244"/>
      <c r="E1515" s="244"/>
      <c r="F1515" s="244"/>
      <c r="G1515" s="244"/>
      <c r="H1515" s="244"/>
      <c r="I1515" s="244"/>
      <c r="J1515" s="244"/>
      <c r="K1515" s="244"/>
      <c r="L1515" s="244"/>
      <c r="M1515" s="244"/>
      <c r="N1515" s="244"/>
      <c r="O1515" s="244"/>
      <c r="P1515" s="244"/>
      <c r="Q1515" s="244"/>
    </row>
    <row r="1516" spans="4:17" x14ac:dyDescent="0.2">
      <c r="D1516" s="244"/>
      <c r="E1516" s="244"/>
      <c r="F1516" s="244"/>
      <c r="G1516" s="244"/>
      <c r="H1516" s="244"/>
      <c r="I1516" s="244"/>
      <c r="J1516" s="244"/>
      <c r="K1516" s="244"/>
      <c r="L1516" s="244"/>
      <c r="M1516" s="244"/>
      <c r="N1516" s="244"/>
      <c r="O1516" s="244"/>
      <c r="P1516" s="244"/>
      <c r="Q1516" s="244"/>
    </row>
    <row r="1517" spans="4:17" x14ac:dyDescent="0.2">
      <c r="D1517" s="244"/>
      <c r="E1517" s="244"/>
      <c r="F1517" s="244"/>
      <c r="G1517" s="244"/>
      <c r="H1517" s="244"/>
      <c r="I1517" s="244"/>
      <c r="J1517" s="244"/>
      <c r="K1517" s="244"/>
      <c r="L1517" s="244"/>
      <c r="M1517" s="244"/>
      <c r="N1517" s="244"/>
      <c r="O1517" s="244"/>
      <c r="P1517" s="244"/>
      <c r="Q1517" s="244"/>
    </row>
    <row r="1518" spans="4:17" x14ac:dyDescent="0.2">
      <c r="D1518" s="244"/>
      <c r="E1518" s="244"/>
      <c r="F1518" s="244"/>
      <c r="G1518" s="244"/>
      <c r="H1518" s="244"/>
      <c r="I1518" s="244"/>
      <c r="J1518" s="244"/>
      <c r="K1518" s="244"/>
      <c r="L1518" s="244"/>
      <c r="M1518" s="244"/>
      <c r="N1518" s="244"/>
      <c r="O1518" s="244"/>
      <c r="P1518" s="244"/>
      <c r="Q1518" s="244"/>
    </row>
    <row r="1519" spans="4:17" x14ac:dyDescent="0.2">
      <c r="D1519" s="244"/>
      <c r="E1519" s="244"/>
      <c r="F1519" s="244"/>
      <c r="G1519" s="244"/>
      <c r="H1519" s="244"/>
      <c r="I1519" s="244"/>
      <c r="J1519" s="244"/>
      <c r="K1519" s="244"/>
      <c r="L1519" s="244"/>
      <c r="M1519" s="244"/>
      <c r="N1519" s="244"/>
      <c r="O1519" s="244"/>
      <c r="P1519" s="244"/>
      <c r="Q1519" s="244"/>
    </row>
    <row r="1520" spans="4:17" x14ac:dyDescent="0.2">
      <c r="D1520" s="244"/>
      <c r="E1520" s="244"/>
      <c r="F1520" s="244"/>
      <c r="G1520" s="244"/>
      <c r="H1520" s="244"/>
      <c r="I1520" s="244"/>
      <c r="J1520" s="244"/>
      <c r="K1520" s="244"/>
      <c r="L1520" s="244"/>
      <c r="M1520" s="244"/>
      <c r="N1520" s="244"/>
      <c r="O1520" s="244"/>
      <c r="P1520" s="244"/>
      <c r="Q1520" s="244"/>
    </row>
    <row r="1521" spans="4:17" x14ac:dyDescent="0.2">
      <c r="D1521" s="244"/>
      <c r="E1521" s="244"/>
      <c r="F1521" s="244"/>
      <c r="G1521" s="244"/>
      <c r="H1521" s="244"/>
      <c r="I1521" s="244"/>
      <c r="J1521" s="244"/>
      <c r="K1521" s="244"/>
      <c r="L1521" s="244"/>
      <c r="M1521" s="244"/>
      <c r="N1521" s="244"/>
      <c r="O1521" s="244"/>
      <c r="P1521" s="244"/>
      <c r="Q1521" s="244"/>
    </row>
    <row r="1522" spans="4:17" x14ac:dyDescent="0.2">
      <c r="D1522" s="244"/>
      <c r="E1522" s="244"/>
      <c r="F1522" s="244"/>
      <c r="G1522" s="244"/>
      <c r="H1522" s="244"/>
      <c r="I1522" s="244"/>
      <c r="J1522" s="244"/>
      <c r="K1522" s="244"/>
      <c r="L1522" s="244"/>
      <c r="M1522" s="244"/>
      <c r="N1522" s="244"/>
      <c r="O1522" s="244"/>
      <c r="P1522" s="244"/>
      <c r="Q1522" s="244"/>
    </row>
    <row r="1523" spans="4:17" x14ac:dyDescent="0.2">
      <c r="D1523" s="244"/>
      <c r="E1523" s="244"/>
      <c r="F1523" s="244"/>
      <c r="G1523" s="244"/>
      <c r="H1523" s="244"/>
      <c r="I1523" s="244"/>
      <c r="J1523" s="244"/>
      <c r="K1523" s="244"/>
      <c r="L1523" s="244"/>
      <c r="M1523" s="244"/>
      <c r="N1523" s="244"/>
      <c r="O1523" s="244"/>
      <c r="P1523" s="244"/>
      <c r="Q1523" s="244"/>
    </row>
    <row r="1524" spans="4:17" x14ac:dyDescent="0.2">
      <c r="D1524" s="244"/>
      <c r="E1524" s="244"/>
      <c r="F1524" s="244"/>
      <c r="G1524" s="244"/>
      <c r="H1524" s="244"/>
      <c r="I1524" s="244"/>
      <c r="J1524" s="244"/>
      <c r="K1524" s="244"/>
      <c r="L1524" s="244"/>
      <c r="M1524" s="244"/>
      <c r="N1524" s="244"/>
      <c r="O1524" s="244"/>
      <c r="P1524" s="244"/>
      <c r="Q1524" s="244"/>
    </row>
    <row r="1525" spans="4:17" x14ac:dyDescent="0.2">
      <c r="D1525" s="244"/>
      <c r="E1525" s="244"/>
      <c r="F1525" s="244"/>
      <c r="G1525" s="244"/>
      <c r="H1525" s="244"/>
      <c r="I1525" s="244"/>
      <c r="J1525" s="244"/>
      <c r="K1525" s="244"/>
      <c r="L1525" s="244"/>
      <c r="M1525" s="244"/>
      <c r="N1525" s="244"/>
      <c r="O1525" s="244"/>
      <c r="P1525" s="244"/>
      <c r="Q1525" s="244"/>
    </row>
    <row r="1526" spans="4:17" x14ac:dyDescent="0.2">
      <c r="D1526" s="244"/>
      <c r="E1526" s="244"/>
      <c r="F1526" s="244"/>
      <c r="G1526" s="244"/>
      <c r="H1526" s="244"/>
      <c r="I1526" s="244"/>
      <c r="J1526" s="244"/>
      <c r="K1526" s="244"/>
      <c r="L1526" s="244"/>
      <c r="M1526" s="244"/>
      <c r="N1526" s="244"/>
      <c r="O1526" s="244"/>
      <c r="P1526" s="244"/>
      <c r="Q1526" s="244"/>
    </row>
    <row r="1527" spans="4:17" x14ac:dyDescent="0.2">
      <c r="D1527" s="244"/>
      <c r="E1527" s="244"/>
      <c r="F1527" s="244"/>
      <c r="G1527" s="244"/>
      <c r="H1527" s="244"/>
      <c r="I1527" s="244"/>
      <c r="J1527" s="244"/>
      <c r="K1527" s="244"/>
      <c r="L1527" s="244"/>
      <c r="M1527" s="244"/>
      <c r="N1527" s="244"/>
      <c r="O1527" s="244"/>
      <c r="P1527" s="244"/>
      <c r="Q1527" s="244"/>
    </row>
    <row r="1528" spans="4:17" x14ac:dyDescent="0.2">
      <c r="D1528" s="244"/>
      <c r="E1528" s="244"/>
      <c r="F1528" s="244"/>
      <c r="G1528" s="244"/>
      <c r="H1528" s="244"/>
      <c r="I1528" s="244"/>
      <c r="J1528" s="244"/>
      <c r="K1528" s="244"/>
      <c r="L1528" s="244"/>
      <c r="M1528" s="244"/>
      <c r="N1528" s="244"/>
      <c r="O1528" s="244"/>
      <c r="P1528" s="244"/>
      <c r="Q1528" s="244"/>
    </row>
    <row r="1529" spans="4:17" x14ac:dyDescent="0.2">
      <c r="D1529" s="244"/>
      <c r="E1529" s="244"/>
      <c r="F1529" s="244"/>
      <c r="G1529" s="244"/>
      <c r="H1529" s="244"/>
      <c r="I1529" s="244"/>
      <c r="J1529" s="244"/>
      <c r="K1529" s="244"/>
      <c r="L1529" s="244"/>
      <c r="M1529" s="244"/>
      <c r="N1529" s="244"/>
      <c r="O1529" s="244"/>
      <c r="P1529" s="244"/>
      <c r="Q1529" s="244"/>
    </row>
    <row r="1530" spans="4:17" x14ac:dyDescent="0.2">
      <c r="D1530" s="244"/>
      <c r="E1530" s="244"/>
      <c r="F1530" s="244"/>
      <c r="G1530" s="244"/>
      <c r="H1530" s="244"/>
      <c r="I1530" s="244"/>
      <c r="J1530" s="244"/>
      <c r="K1530" s="244"/>
      <c r="L1530" s="244"/>
      <c r="M1530" s="244"/>
      <c r="N1530" s="244"/>
      <c r="O1530" s="244"/>
      <c r="P1530" s="244"/>
      <c r="Q1530" s="244"/>
    </row>
    <row r="1531" spans="4:17" x14ac:dyDescent="0.2">
      <c r="D1531" s="244"/>
      <c r="E1531" s="244"/>
      <c r="F1531" s="244"/>
      <c r="G1531" s="244"/>
      <c r="H1531" s="244"/>
      <c r="I1531" s="244"/>
      <c r="J1531" s="244"/>
      <c r="K1531" s="244"/>
      <c r="L1531" s="244"/>
      <c r="M1531" s="244"/>
      <c r="N1531" s="244"/>
      <c r="O1531" s="244"/>
      <c r="P1531" s="244"/>
      <c r="Q1531" s="244"/>
    </row>
    <row r="1532" spans="4:17" x14ac:dyDescent="0.2">
      <c r="D1532" s="244"/>
      <c r="E1532" s="244"/>
      <c r="F1532" s="244"/>
      <c r="G1532" s="244"/>
      <c r="H1532" s="244"/>
      <c r="I1532" s="244"/>
      <c r="J1532" s="244"/>
      <c r="K1532" s="244"/>
      <c r="L1532" s="244"/>
      <c r="M1532" s="244"/>
      <c r="N1532" s="244"/>
      <c r="O1532" s="244"/>
      <c r="P1532" s="244"/>
      <c r="Q1532" s="244"/>
    </row>
    <row r="1533" spans="4:17" x14ac:dyDescent="0.2">
      <c r="D1533" s="244"/>
      <c r="E1533" s="244"/>
      <c r="F1533" s="244"/>
      <c r="G1533" s="244"/>
      <c r="H1533" s="244"/>
      <c r="I1533" s="244"/>
      <c r="J1533" s="244"/>
      <c r="K1533" s="244"/>
      <c r="L1533" s="244"/>
      <c r="M1533" s="244"/>
      <c r="N1533" s="244"/>
      <c r="O1533" s="244"/>
      <c r="P1533" s="244"/>
      <c r="Q1533" s="244"/>
    </row>
    <row r="1534" spans="4:17" x14ac:dyDescent="0.2">
      <c r="D1534" s="244"/>
      <c r="E1534" s="244"/>
      <c r="F1534" s="244"/>
      <c r="G1534" s="244"/>
      <c r="H1534" s="244"/>
      <c r="I1534" s="244"/>
      <c r="J1534" s="244"/>
      <c r="K1534" s="244"/>
      <c r="L1534" s="244"/>
      <c r="M1534" s="244"/>
      <c r="N1534" s="244"/>
      <c r="O1534" s="244"/>
      <c r="P1534" s="244"/>
      <c r="Q1534" s="244"/>
    </row>
    <row r="1535" spans="4:17" x14ac:dyDescent="0.2">
      <c r="D1535" s="244"/>
      <c r="E1535" s="244"/>
      <c r="F1535" s="244"/>
      <c r="G1535" s="244"/>
      <c r="H1535" s="244"/>
      <c r="I1535" s="244"/>
      <c r="J1535" s="244"/>
      <c r="K1535" s="244"/>
      <c r="L1535" s="244"/>
      <c r="M1535" s="244"/>
      <c r="N1535" s="244"/>
      <c r="O1535" s="244"/>
      <c r="P1535" s="244"/>
      <c r="Q1535" s="244"/>
    </row>
    <row r="1536" spans="4:17" x14ac:dyDescent="0.2">
      <c r="D1536" s="244"/>
      <c r="E1536" s="244"/>
      <c r="F1536" s="244"/>
      <c r="G1536" s="244"/>
      <c r="H1536" s="244"/>
      <c r="I1536" s="244"/>
      <c r="J1536" s="244"/>
      <c r="K1536" s="244"/>
      <c r="L1536" s="244"/>
      <c r="M1536" s="244"/>
      <c r="N1536" s="244"/>
      <c r="O1536" s="244"/>
      <c r="P1536" s="244"/>
      <c r="Q1536" s="244"/>
    </row>
    <row r="1537" spans="4:17" x14ac:dyDescent="0.2">
      <c r="D1537" s="244"/>
      <c r="E1537" s="244"/>
      <c r="F1537" s="244"/>
      <c r="G1537" s="244"/>
      <c r="H1537" s="244"/>
      <c r="I1537" s="244"/>
      <c r="J1537" s="244"/>
      <c r="K1537" s="244"/>
      <c r="L1537" s="244"/>
      <c r="M1537" s="244"/>
      <c r="N1537" s="244"/>
      <c r="O1537" s="244"/>
      <c r="P1537" s="244"/>
      <c r="Q1537" s="244"/>
    </row>
    <row r="1538" spans="4:17" x14ac:dyDescent="0.2">
      <c r="D1538" s="244"/>
      <c r="E1538" s="244"/>
      <c r="F1538" s="244"/>
      <c r="G1538" s="244"/>
      <c r="H1538" s="244"/>
      <c r="I1538" s="244"/>
      <c r="J1538" s="244"/>
      <c r="K1538" s="244"/>
      <c r="L1538" s="244"/>
      <c r="M1538" s="244"/>
      <c r="N1538" s="244"/>
      <c r="O1538" s="244"/>
      <c r="P1538" s="244"/>
      <c r="Q1538" s="244"/>
    </row>
    <row r="1539" spans="4:17" x14ac:dyDescent="0.2">
      <c r="D1539" s="244"/>
      <c r="E1539" s="244"/>
      <c r="F1539" s="244"/>
      <c r="G1539" s="244"/>
      <c r="H1539" s="244"/>
      <c r="I1539" s="244"/>
      <c r="J1539" s="244"/>
      <c r="K1539" s="244"/>
      <c r="L1539" s="244"/>
      <c r="M1539" s="244"/>
      <c r="N1539" s="244"/>
      <c r="O1539" s="244"/>
      <c r="P1539" s="244"/>
      <c r="Q1539" s="244"/>
    </row>
    <row r="1540" spans="4:17" x14ac:dyDescent="0.2">
      <c r="D1540" s="244"/>
      <c r="E1540" s="244"/>
      <c r="F1540" s="244"/>
      <c r="G1540" s="244"/>
      <c r="H1540" s="244"/>
      <c r="I1540" s="244"/>
      <c r="J1540" s="244"/>
      <c r="K1540" s="244"/>
      <c r="L1540" s="244"/>
      <c r="M1540" s="244"/>
      <c r="N1540" s="244"/>
      <c r="O1540" s="244"/>
      <c r="P1540" s="244"/>
      <c r="Q1540" s="244"/>
    </row>
    <row r="1541" spans="4:17" x14ac:dyDescent="0.2">
      <c r="D1541" s="244"/>
      <c r="E1541" s="244"/>
      <c r="F1541" s="244"/>
      <c r="G1541" s="244"/>
      <c r="H1541" s="244"/>
      <c r="I1541" s="244"/>
      <c r="J1541" s="244"/>
      <c r="K1541" s="244"/>
      <c r="L1541" s="244"/>
      <c r="M1541" s="244"/>
      <c r="N1541" s="244"/>
      <c r="O1541" s="244"/>
      <c r="P1541" s="244"/>
      <c r="Q1541" s="244"/>
    </row>
    <row r="1542" spans="4:17" x14ac:dyDescent="0.2">
      <c r="D1542" s="244"/>
      <c r="E1542" s="244"/>
      <c r="F1542" s="244"/>
      <c r="G1542" s="244"/>
      <c r="H1542" s="244"/>
      <c r="I1542" s="244"/>
      <c r="J1542" s="244"/>
      <c r="K1542" s="244"/>
      <c r="L1542" s="244"/>
      <c r="M1542" s="244"/>
      <c r="N1542" s="244"/>
      <c r="O1542" s="244"/>
      <c r="P1542" s="244"/>
      <c r="Q1542" s="244"/>
    </row>
    <row r="1543" spans="4:17" x14ac:dyDescent="0.2">
      <c r="D1543" s="244"/>
      <c r="E1543" s="244"/>
      <c r="F1543" s="244"/>
      <c r="G1543" s="244"/>
      <c r="H1543" s="244"/>
      <c r="I1543" s="244"/>
      <c r="J1543" s="244"/>
      <c r="K1543" s="244"/>
      <c r="L1543" s="244"/>
      <c r="M1543" s="244"/>
      <c r="N1543" s="244"/>
      <c r="O1543" s="244"/>
      <c r="P1543" s="244"/>
      <c r="Q1543" s="244"/>
    </row>
    <row r="1544" spans="4:17" x14ac:dyDescent="0.2">
      <c r="D1544" s="244"/>
      <c r="E1544" s="244"/>
      <c r="F1544" s="244"/>
      <c r="G1544" s="244"/>
      <c r="H1544" s="244"/>
      <c r="I1544" s="244"/>
      <c r="J1544" s="244"/>
      <c r="K1544" s="244"/>
      <c r="L1544" s="244"/>
      <c r="M1544" s="244"/>
      <c r="N1544" s="244"/>
      <c r="O1544" s="244"/>
      <c r="P1544" s="244"/>
      <c r="Q1544" s="244"/>
    </row>
    <row r="1545" spans="4:17" x14ac:dyDescent="0.2">
      <c r="D1545" s="244"/>
      <c r="E1545" s="244"/>
      <c r="F1545" s="244"/>
      <c r="G1545" s="244"/>
      <c r="H1545" s="244"/>
      <c r="I1545" s="244"/>
      <c r="J1545" s="244"/>
      <c r="K1545" s="244"/>
      <c r="L1545" s="244"/>
      <c r="M1545" s="244"/>
      <c r="N1545" s="244"/>
      <c r="O1545" s="244"/>
      <c r="P1545" s="244"/>
      <c r="Q1545" s="244"/>
    </row>
    <row r="1546" spans="4:17" x14ac:dyDescent="0.2">
      <c r="D1546" s="244"/>
      <c r="E1546" s="244"/>
      <c r="F1546" s="244"/>
      <c r="G1546" s="244"/>
      <c r="H1546" s="244"/>
      <c r="I1546" s="244"/>
      <c r="J1546" s="244"/>
      <c r="K1546" s="244"/>
      <c r="L1546" s="244"/>
      <c r="M1546" s="244"/>
      <c r="N1546" s="244"/>
      <c r="O1546" s="244"/>
      <c r="P1546" s="244"/>
      <c r="Q1546" s="244"/>
    </row>
    <row r="1547" spans="4:17" x14ac:dyDescent="0.2">
      <c r="D1547" s="244"/>
      <c r="E1547" s="244"/>
      <c r="F1547" s="244"/>
      <c r="G1547" s="244"/>
      <c r="H1547" s="244"/>
      <c r="I1547" s="244"/>
      <c r="J1547" s="244"/>
      <c r="K1547" s="244"/>
      <c r="L1547" s="244"/>
      <c r="M1547" s="244"/>
      <c r="N1547" s="244"/>
      <c r="O1547" s="244"/>
      <c r="P1547" s="244"/>
      <c r="Q1547" s="244"/>
    </row>
    <row r="1548" spans="4:17" x14ac:dyDescent="0.2">
      <c r="D1548" s="244"/>
      <c r="E1548" s="244"/>
      <c r="F1548" s="244"/>
      <c r="G1548" s="244"/>
      <c r="H1548" s="244"/>
      <c r="I1548" s="244"/>
      <c r="J1548" s="244"/>
      <c r="K1548" s="244"/>
      <c r="L1548" s="244"/>
      <c r="M1548" s="244"/>
      <c r="N1548" s="244"/>
      <c r="O1548" s="244"/>
      <c r="P1548" s="244"/>
      <c r="Q1548" s="244"/>
    </row>
    <row r="1549" spans="4:17" x14ac:dyDescent="0.2">
      <c r="D1549" s="244"/>
      <c r="E1549" s="244"/>
      <c r="F1549" s="244"/>
      <c r="G1549" s="244"/>
      <c r="H1549" s="244"/>
      <c r="I1549" s="244"/>
      <c r="J1549" s="244"/>
      <c r="K1549" s="244"/>
      <c r="L1549" s="244"/>
      <c r="M1549" s="244"/>
      <c r="N1549" s="244"/>
      <c r="O1549" s="244"/>
      <c r="P1549" s="244"/>
      <c r="Q1549" s="244"/>
    </row>
    <row r="1550" spans="4:17" x14ac:dyDescent="0.2">
      <c r="D1550" s="244"/>
      <c r="E1550" s="244"/>
      <c r="F1550" s="244"/>
      <c r="G1550" s="244"/>
      <c r="H1550" s="244"/>
      <c r="I1550" s="244"/>
      <c r="J1550" s="244"/>
      <c r="K1550" s="244"/>
      <c r="L1550" s="244"/>
      <c r="M1550" s="244"/>
      <c r="N1550" s="244"/>
      <c r="O1550" s="244"/>
      <c r="P1550" s="244"/>
      <c r="Q1550" s="244"/>
    </row>
    <row r="1551" spans="4:17" x14ac:dyDescent="0.2">
      <c r="D1551" s="244"/>
      <c r="E1551" s="244"/>
      <c r="F1551" s="244"/>
      <c r="G1551" s="244"/>
      <c r="H1551" s="244"/>
      <c r="I1551" s="244"/>
      <c r="J1551" s="244"/>
      <c r="K1551" s="244"/>
      <c r="L1551" s="244"/>
      <c r="M1551" s="244"/>
      <c r="N1551" s="244"/>
      <c r="O1551" s="244"/>
      <c r="P1551" s="244"/>
      <c r="Q1551" s="244"/>
    </row>
    <row r="1552" spans="4:17" x14ac:dyDescent="0.2">
      <c r="D1552" s="244"/>
      <c r="E1552" s="244"/>
      <c r="F1552" s="244"/>
      <c r="G1552" s="244"/>
      <c r="H1552" s="244"/>
      <c r="I1552" s="244"/>
      <c r="J1552" s="244"/>
      <c r="K1552" s="244"/>
      <c r="L1552" s="244"/>
      <c r="M1552" s="244"/>
      <c r="N1552" s="244"/>
      <c r="O1552" s="244"/>
      <c r="P1552" s="244"/>
      <c r="Q1552" s="244"/>
    </row>
    <row r="1553" spans="4:17" x14ac:dyDescent="0.2">
      <c r="D1553" s="244"/>
      <c r="E1553" s="244"/>
      <c r="F1553" s="244"/>
      <c r="G1553" s="244"/>
      <c r="H1553" s="244"/>
      <c r="I1553" s="244"/>
      <c r="J1553" s="244"/>
      <c r="K1553" s="244"/>
      <c r="L1553" s="244"/>
      <c r="M1553" s="244"/>
      <c r="N1553" s="244"/>
      <c r="O1553" s="244"/>
      <c r="P1553" s="244"/>
      <c r="Q1553" s="244"/>
    </row>
    <row r="1554" spans="4:17" x14ac:dyDescent="0.2">
      <c r="D1554" s="244"/>
      <c r="E1554" s="244"/>
      <c r="F1554" s="244"/>
      <c r="G1554" s="244"/>
      <c r="H1554" s="244"/>
      <c r="I1554" s="244"/>
      <c r="J1554" s="244"/>
      <c r="K1554" s="244"/>
      <c r="L1554" s="244"/>
      <c r="M1554" s="244"/>
      <c r="N1554" s="244"/>
      <c r="O1554" s="244"/>
      <c r="P1554" s="244"/>
      <c r="Q1554" s="244"/>
    </row>
    <row r="1555" spans="4:17" x14ac:dyDescent="0.2">
      <c r="D1555" s="244"/>
      <c r="E1555" s="244"/>
      <c r="F1555" s="244"/>
      <c r="G1555" s="244"/>
      <c r="H1555" s="244"/>
      <c r="I1555" s="244"/>
      <c r="J1555" s="244"/>
      <c r="K1555" s="244"/>
      <c r="L1555" s="244"/>
      <c r="M1555" s="244"/>
      <c r="N1555" s="244"/>
      <c r="O1555" s="244"/>
      <c r="P1555" s="244"/>
      <c r="Q1555" s="244"/>
    </row>
    <row r="1556" spans="4:17" x14ac:dyDescent="0.2">
      <c r="D1556" s="244"/>
      <c r="E1556" s="244"/>
      <c r="F1556" s="244"/>
      <c r="G1556" s="244"/>
      <c r="H1556" s="244"/>
      <c r="I1556" s="244"/>
      <c r="J1556" s="244"/>
      <c r="K1556" s="244"/>
      <c r="L1556" s="244"/>
      <c r="M1556" s="244"/>
      <c r="N1556" s="244"/>
      <c r="O1556" s="244"/>
      <c r="P1556" s="244"/>
      <c r="Q1556" s="244"/>
    </row>
    <row r="1557" spans="4:17" x14ac:dyDescent="0.2">
      <c r="D1557" s="244"/>
      <c r="E1557" s="244"/>
      <c r="F1557" s="244"/>
      <c r="G1557" s="244"/>
      <c r="H1557" s="244"/>
      <c r="I1557" s="244"/>
      <c r="J1557" s="244"/>
      <c r="K1557" s="244"/>
      <c r="L1557" s="244"/>
      <c r="M1557" s="244"/>
      <c r="N1557" s="244"/>
      <c r="O1557" s="244"/>
      <c r="P1557" s="244"/>
      <c r="Q1557" s="244"/>
    </row>
    <row r="1558" spans="4:17" x14ac:dyDescent="0.2">
      <c r="D1558" s="244"/>
      <c r="E1558" s="244"/>
      <c r="F1558" s="244"/>
      <c r="G1558" s="244"/>
      <c r="H1558" s="244"/>
      <c r="I1558" s="244"/>
      <c r="J1558" s="244"/>
      <c r="K1558" s="244"/>
      <c r="L1558" s="244"/>
      <c r="M1558" s="244"/>
      <c r="N1558" s="244"/>
      <c r="O1558" s="244"/>
      <c r="P1558" s="244"/>
      <c r="Q1558" s="244"/>
    </row>
    <row r="1559" spans="4:17" x14ac:dyDescent="0.2">
      <c r="D1559" s="244"/>
      <c r="E1559" s="244"/>
      <c r="F1559" s="244"/>
      <c r="G1559" s="244"/>
      <c r="H1559" s="244"/>
      <c r="I1559" s="244"/>
      <c r="J1559" s="244"/>
      <c r="K1559" s="244"/>
      <c r="L1559" s="244"/>
      <c r="M1559" s="244"/>
      <c r="N1559" s="244"/>
      <c r="O1559" s="244"/>
      <c r="P1559" s="244"/>
      <c r="Q1559" s="244"/>
    </row>
    <row r="1560" spans="4:17" x14ac:dyDescent="0.2">
      <c r="D1560" s="244"/>
      <c r="E1560" s="244"/>
      <c r="F1560" s="244"/>
      <c r="G1560" s="244"/>
      <c r="H1560" s="244"/>
      <c r="I1560" s="244"/>
      <c r="J1560" s="244"/>
      <c r="K1560" s="244"/>
      <c r="L1560" s="244"/>
      <c r="M1560" s="244"/>
      <c r="N1560" s="244"/>
      <c r="O1560" s="244"/>
      <c r="P1560" s="244"/>
      <c r="Q1560" s="244"/>
    </row>
    <row r="1561" spans="4:17" x14ac:dyDescent="0.2">
      <c r="D1561" s="244"/>
      <c r="E1561" s="244"/>
      <c r="F1561" s="244"/>
      <c r="G1561" s="244"/>
      <c r="H1561" s="244"/>
      <c r="I1561" s="244"/>
      <c r="J1561" s="244"/>
      <c r="K1561" s="244"/>
      <c r="L1561" s="244"/>
      <c r="M1561" s="244"/>
      <c r="N1561" s="244"/>
      <c r="O1561" s="244"/>
      <c r="P1561" s="244"/>
      <c r="Q1561" s="244"/>
    </row>
    <row r="1562" spans="4:17" x14ac:dyDescent="0.2">
      <c r="D1562" s="244"/>
      <c r="E1562" s="244"/>
      <c r="F1562" s="244"/>
      <c r="G1562" s="244"/>
      <c r="H1562" s="244"/>
      <c r="I1562" s="244"/>
      <c r="J1562" s="244"/>
      <c r="K1562" s="244"/>
      <c r="L1562" s="244"/>
      <c r="M1562" s="244"/>
      <c r="N1562" s="244"/>
      <c r="O1562" s="244"/>
      <c r="P1562" s="244"/>
      <c r="Q1562" s="244"/>
    </row>
    <row r="1563" spans="4:17" x14ac:dyDescent="0.2">
      <c r="D1563" s="244"/>
      <c r="E1563" s="244"/>
      <c r="F1563" s="244"/>
      <c r="G1563" s="244"/>
      <c r="H1563" s="244"/>
      <c r="I1563" s="244"/>
      <c r="J1563" s="244"/>
      <c r="K1563" s="244"/>
      <c r="L1563" s="244"/>
      <c r="M1563" s="244"/>
      <c r="N1563" s="244"/>
      <c r="O1563" s="244"/>
      <c r="P1563" s="244"/>
      <c r="Q1563" s="244"/>
    </row>
    <row r="1564" spans="4:17" x14ac:dyDescent="0.2">
      <c r="D1564" s="244"/>
      <c r="E1564" s="244"/>
      <c r="F1564" s="244"/>
      <c r="G1564" s="244"/>
      <c r="H1564" s="244"/>
      <c r="I1564" s="244"/>
      <c r="J1564" s="244"/>
      <c r="K1564" s="244"/>
      <c r="L1564" s="244"/>
      <c r="M1564" s="244"/>
      <c r="N1564" s="244"/>
      <c r="O1564" s="244"/>
      <c r="P1564" s="244"/>
      <c r="Q1564" s="244"/>
    </row>
    <row r="1565" spans="4:17" x14ac:dyDescent="0.2">
      <c r="D1565" s="244"/>
      <c r="E1565" s="244"/>
      <c r="F1565" s="244"/>
      <c r="G1565" s="244"/>
      <c r="H1565" s="244"/>
      <c r="I1565" s="244"/>
      <c r="J1565" s="244"/>
      <c r="K1565" s="244"/>
      <c r="L1565" s="244"/>
      <c r="M1565" s="244"/>
      <c r="N1565" s="244"/>
      <c r="O1565" s="244"/>
      <c r="P1565" s="244"/>
      <c r="Q1565" s="244"/>
    </row>
    <row r="1566" spans="4:17" x14ac:dyDescent="0.2">
      <c r="D1566" s="244"/>
      <c r="E1566" s="244"/>
      <c r="F1566" s="244"/>
      <c r="G1566" s="244"/>
      <c r="H1566" s="244"/>
      <c r="I1566" s="244"/>
      <c r="J1566" s="244"/>
      <c r="K1566" s="244"/>
      <c r="L1566" s="244"/>
      <c r="M1566" s="244"/>
      <c r="N1566" s="244"/>
      <c r="O1566" s="244"/>
      <c r="P1566" s="244"/>
      <c r="Q1566" s="244"/>
    </row>
    <row r="1567" spans="4:17" x14ac:dyDescent="0.2">
      <c r="D1567" s="244"/>
      <c r="E1567" s="244"/>
      <c r="F1567" s="244"/>
      <c r="G1567" s="244"/>
      <c r="H1567" s="244"/>
      <c r="I1567" s="244"/>
      <c r="J1567" s="244"/>
      <c r="K1567" s="244"/>
      <c r="L1567" s="244"/>
      <c r="M1567" s="244"/>
      <c r="N1567" s="244"/>
      <c r="O1567" s="244"/>
      <c r="P1567" s="244"/>
      <c r="Q1567" s="244"/>
    </row>
    <row r="1568" spans="4:17" x14ac:dyDescent="0.2">
      <c r="D1568" s="244"/>
      <c r="E1568" s="244"/>
      <c r="F1568" s="244"/>
      <c r="G1568" s="244"/>
      <c r="H1568" s="244"/>
      <c r="I1568" s="244"/>
      <c r="J1568" s="244"/>
      <c r="K1568" s="244"/>
      <c r="L1568" s="244"/>
      <c r="M1568" s="244"/>
      <c r="N1568" s="244"/>
      <c r="O1568" s="244"/>
      <c r="P1568" s="244"/>
      <c r="Q1568" s="244"/>
    </row>
    <row r="1569" spans="4:17" x14ac:dyDescent="0.2">
      <c r="D1569" s="244"/>
      <c r="E1569" s="244"/>
      <c r="F1569" s="244"/>
      <c r="G1569" s="244"/>
      <c r="H1569" s="244"/>
      <c r="I1569" s="244"/>
      <c r="J1569" s="244"/>
      <c r="K1569" s="244"/>
      <c r="L1569" s="244"/>
      <c r="M1569" s="244"/>
      <c r="N1569" s="244"/>
      <c r="O1569" s="244"/>
      <c r="P1569" s="244"/>
      <c r="Q1569" s="244"/>
    </row>
    <row r="1570" spans="4:17" x14ac:dyDescent="0.2">
      <c r="D1570" s="244"/>
      <c r="E1570" s="244"/>
      <c r="F1570" s="244"/>
      <c r="G1570" s="244"/>
      <c r="H1570" s="244"/>
      <c r="I1570" s="244"/>
      <c r="J1570" s="244"/>
      <c r="K1570" s="244"/>
      <c r="L1570" s="244"/>
      <c r="M1570" s="244"/>
      <c r="N1570" s="244"/>
      <c r="O1570" s="244"/>
      <c r="P1570" s="244"/>
      <c r="Q1570" s="244"/>
    </row>
    <row r="1571" spans="4:17" x14ac:dyDescent="0.2">
      <c r="D1571" s="244"/>
      <c r="E1571" s="244"/>
      <c r="F1571" s="244"/>
      <c r="G1571" s="244"/>
      <c r="H1571" s="244"/>
      <c r="I1571" s="244"/>
      <c r="J1571" s="244"/>
      <c r="K1571" s="244"/>
      <c r="L1571" s="244"/>
      <c r="M1571" s="244"/>
      <c r="N1571" s="244"/>
      <c r="O1571" s="244"/>
      <c r="P1571" s="244"/>
      <c r="Q1571" s="244"/>
    </row>
    <row r="1572" spans="4:17" x14ac:dyDescent="0.2">
      <c r="D1572" s="244"/>
      <c r="E1572" s="244"/>
      <c r="F1572" s="244"/>
      <c r="G1572" s="244"/>
      <c r="H1572" s="244"/>
      <c r="I1572" s="244"/>
      <c r="J1572" s="244"/>
      <c r="K1572" s="244"/>
      <c r="L1572" s="244"/>
      <c r="M1572" s="244"/>
      <c r="N1572" s="244"/>
      <c r="O1572" s="244"/>
      <c r="P1572" s="244"/>
      <c r="Q1572" s="244"/>
    </row>
    <row r="1573" spans="4:17" x14ac:dyDescent="0.2">
      <c r="D1573" s="244"/>
      <c r="E1573" s="244"/>
      <c r="F1573" s="244"/>
      <c r="G1573" s="244"/>
      <c r="H1573" s="244"/>
      <c r="I1573" s="244"/>
      <c r="J1573" s="244"/>
      <c r="K1573" s="244"/>
      <c r="L1573" s="244"/>
      <c r="M1573" s="244"/>
      <c r="N1573" s="244"/>
      <c r="O1573" s="244"/>
      <c r="P1573" s="244"/>
      <c r="Q1573" s="244"/>
    </row>
    <row r="1574" spans="4:17" x14ac:dyDescent="0.2">
      <c r="D1574" s="244"/>
      <c r="E1574" s="244"/>
      <c r="F1574" s="244"/>
      <c r="G1574" s="244"/>
      <c r="H1574" s="244"/>
      <c r="I1574" s="244"/>
      <c r="J1574" s="244"/>
      <c r="K1574" s="244"/>
      <c r="L1574" s="244"/>
      <c r="M1574" s="244"/>
      <c r="N1574" s="244"/>
      <c r="O1574" s="244"/>
      <c r="P1574" s="244"/>
      <c r="Q1574" s="244"/>
    </row>
    <row r="1575" spans="4:17" x14ac:dyDescent="0.2">
      <c r="D1575" s="244"/>
      <c r="E1575" s="244"/>
      <c r="F1575" s="244"/>
      <c r="G1575" s="244"/>
      <c r="H1575" s="244"/>
      <c r="I1575" s="244"/>
      <c r="J1575" s="244"/>
      <c r="K1575" s="244"/>
      <c r="L1575" s="244"/>
      <c r="M1575" s="244"/>
      <c r="N1575" s="244"/>
      <c r="O1575" s="244"/>
      <c r="P1575" s="244"/>
      <c r="Q1575" s="244"/>
    </row>
    <row r="1576" spans="4:17" x14ac:dyDescent="0.2">
      <c r="D1576" s="244"/>
      <c r="E1576" s="244"/>
      <c r="F1576" s="244"/>
      <c r="G1576" s="244"/>
      <c r="H1576" s="244"/>
      <c r="I1576" s="244"/>
      <c r="J1576" s="244"/>
      <c r="K1576" s="244"/>
      <c r="L1576" s="244"/>
      <c r="M1576" s="244"/>
      <c r="N1576" s="244"/>
      <c r="O1576" s="244"/>
      <c r="P1576" s="244"/>
      <c r="Q1576" s="244"/>
    </row>
    <row r="1577" spans="4:17" x14ac:dyDescent="0.2">
      <c r="D1577" s="244"/>
      <c r="E1577" s="244"/>
      <c r="F1577" s="244"/>
      <c r="G1577" s="244"/>
      <c r="H1577" s="244"/>
      <c r="I1577" s="244"/>
      <c r="J1577" s="244"/>
      <c r="K1577" s="244"/>
      <c r="L1577" s="244"/>
      <c r="M1577" s="244"/>
      <c r="N1577" s="244"/>
      <c r="O1577" s="244"/>
      <c r="P1577" s="244"/>
      <c r="Q1577" s="244"/>
    </row>
    <row r="1578" spans="4:17" x14ac:dyDescent="0.2">
      <c r="D1578" s="244"/>
      <c r="E1578" s="244"/>
      <c r="F1578" s="244"/>
      <c r="G1578" s="244"/>
      <c r="H1578" s="244"/>
      <c r="I1578" s="244"/>
      <c r="J1578" s="244"/>
      <c r="K1578" s="244"/>
      <c r="L1578" s="244"/>
      <c r="M1578" s="244"/>
      <c r="N1578" s="244"/>
      <c r="O1578" s="244"/>
      <c r="P1578" s="244"/>
      <c r="Q1578" s="244"/>
    </row>
    <row r="1579" spans="4:17" x14ac:dyDescent="0.2">
      <c r="D1579" s="244"/>
      <c r="E1579" s="244"/>
      <c r="F1579" s="244"/>
      <c r="G1579" s="244"/>
      <c r="H1579" s="244"/>
      <c r="I1579" s="244"/>
      <c r="J1579" s="244"/>
      <c r="K1579" s="244"/>
      <c r="L1579" s="244"/>
      <c r="M1579" s="244"/>
      <c r="N1579" s="244"/>
      <c r="O1579" s="244"/>
      <c r="P1579" s="244"/>
      <c r="Q1579" s="244"/>
    </row>
    <row r="1580" spans="4:17" x14ac:dyDescent="0.2">
      <c r="D1580" s="244"/>
      <c r="E1580" s="244"/>
      <c r="F1580" s="244"/>
      <c r="G1580" s="244"/>
      <c r="H1580" s="244"/>
      <c r="I1580" s="244"/>
      <c r="J1580" s="244"/>
      <c r="K1580" s="244"/>
      <c r="L1580" s="244"/>
      <c r="M1580" s="244"/>
      <c r="N1580" s="244"/>
      <c r="O1580" s="244"/>
      <c r="P1580" s="244"/>
      <c r="Q1580" s="244"/>
    </row>
    <row r="1581" spans="4:17" x14ac:dyDescent="0.2">
      <c r="D1581" s="244"/>
      <c r="E1581" s="244"/>
      <c r="F1581" s="244"/>
      <c r="G1581" s="244"/>
      <c r="H1581" s="244"/>
      <c r="I1581" s="244"/>
      <c r="J1581" s="244"/>
      <c r="K1581" s="244"/>
      <c r="L1581" s="244"/>
      <c r="M1581" s="244"/>
      <c r="N1581" s="244"/>
      <c r="O1581" s="244"/>
      <c r="P1581" s="244"/>
      <c r="Q1581" s="244"/>
    </row>
    <row r="1582" spans="4:17" x14ac:dyDescent="0.2">
      <c r="D1582" s="244"/>
      <c r="E1582" s="244"/>
      <c r="F1582" s="244"/>
      <c r="G1582" s="244"/>
      <c r="H1582" s="244"/>
      <c r="I1582" s="244"/>
      <c r="J1582" s="244"/>
      <c r="K1582" s="244"/>
      <c r="L1582" s="244"/>
      <c r="M1582" s="244"/>
      <c r="N1582" s="244"/>
      <c r="O1582" s="244"/>
      <c r="P1582" s="244"/>
      <c r="Q1582" s="244"/>
    </row>
    <row r="1583" spans="4:17" x14ac:dyDescent="0.2">
      <c r="D1583" s="244"/>
      <c r="E1583" s="244"/>
      <c r="F1583" s="244"/>
      <c r="G1583" s="244"/>
      <c r="H1583" s="244"/>
      <c r="I1583" s="244"/>
      <c r="J1583" s="244"/>
      <c r="K1583" s="244"/>
      <c r="L1583" s="244"/>
      <c r="M1583" s="244"/>
      <c r="N1583" s="244"/>
      <c r="O1583" s="244"/>
      <c r="P1583" s="244"/>
      <c r="Q1583" s="244"/>
    </row>
    <row r="1584" spans="4:17" x14ac:dyDescent="0.2">
      <c r="D1584" s="244"/>
      <c r="E1584" s="244"/>
      <c r="F1584" s="244"/>
      <c r="G1584" s="244"/>
      <c r="H1584" s="244"/>
      <c r="I1584" s="244"/>
      <c r="J1584" s="244"/>
      <c r="K1584" s="244"/>
      <c r="L1584" s="244"/>
      <c r="M1584" s="244"/>
      <c r="N1584" s="244"/>
      <c r="O1584" s="244"/>
      <c r="P1584" s="244"/>
      <c r="Q1584" s="244"/>
    </row>
    <row r="1585" spans="4:17" x14ac:dyDescent="0.2">
      <c r="D1585" s="244"/>
      <c r="E1585" s="244"/>
      <c r="F1585" s="244"/>
      <c r="G1585" s="244"/>
      <c r="H1585" s="244"/>
      <c r="I1585" s="244"/>
      <c r="J1585" s="244"/>
      <c r="K1585" s="244"/>
      <c r="L1585" s="244"/>
      <c r="M1585" s="244"/>
      <c r="N1585" s="244"/>
      <c r="O1585" s="244"/>
      <c r="P1585" s="244"/>
      <c r="Q1585" s="244"/>
    </row>
    <row r="1586" spans="4:17" x14ac:dyDescent="0.2">
      <c r="D1586" s="244"/>
      <c r="E1586" s="244"/>
      <c r="F1586" s="244"/>
      <c r="G1586" s="244"/>
      <c r="H1586" s="244"/>
      <c r="I1586" s="244"/>
      <c r="J1586" s="244"/>
      <c r="K1586" s="244"/>
      <c r="L1586" s="244"/>
      <c r="M1586" s="244"/>
      <c r="N1586" s="244"/>
      <c r="O1586" s="244"/>
      <c r="P1586" s="244"/>
      <c r="Q1586" s="244"/>
    </row>
    <row r="1587" spans="4:17" x14ac:dyDescent="0.2">
      <c r="D1587" s="244"/>
      <c r="E1587" s="244"/>
      <c r="F1587" s="244"/>
      <c r="G1587" s="244"/>
      <c r="H1587" s="244"/>
      <c r="I1587" s="244"/>
      <c r="J1587" s="244"/>
      <c r="K1587" s="244"/>
      <c r="L1587" s="244"/>
      <c r="M1587" s="244"/>
      <c r="N1587" s="244"/>
      <c r="O1587" s="244"/>
      <c r="P1587" s="244"/>
      <c r="Q1587" s="244"/>
    </row>
    <row r="1588" spans="4:17" x14ac:dyDescent="0.2">
      <c r="D1588" s="244"/>
      <c r="E1588" s="244"/>
      <c r="F1588" s="244"/>
      <c r="G1588" s="244"/>
      <c r="H1588" s="244"/>
      <c r="I1588" s="244"/>
      <c r="J1588" s="244"/>
      <c r="K1588" s="244"/>
      <c r="L1588" s="244"/>
      <c r="M1588" s="244"/>
      <c r="N1588" s="244"/>
      <c r="O1588" s="244"/>
      <c r="P1588" s="244"/>
      <c r="Q1588" s="244"/>
    </row>
    <row r="1589" spans="4:17" x14ac:dyDescent="0.2">
      <c r="D1589" s="244"/>
      <c r="E1589" s="244"/>
      <c r="F1589" s="244"/>
      <c r="G1589" s="244"/>
      <c r="H1589" s="244"/>
      <c r="I1589" s="244"/>
      <c r="J1589" s="244"/>
      <c r="K1589" s="244"/>
      <c r="L1589" s="244"/>
      <c r="M1589" s="244"/>
      <c r="N1589" s="244"/>
      <c r="O1589" s="244"/>
      <c r="P1589" s="244"/>
      <c r="Q1589" s="244"/>
    </row>
    <row r="1590" spans="4:17" x14ac:dyDescent="0.2">
      <c r="D1590" s="244"/>
      <c r="E1590" s="244"/>
      <c r="F1590" s="244"/>
      <c r="G1590" s="244"/>
      <c r="H1590" s="244"/>
      <c r="I1590" s="244"/>
      <c r="J1590" s="244"/>
      <c r="K1590" s="244"/>
      <c r="L1590" s="244"/>
      <c r="M1590" s="244"/>
      <c r="N1590" s="244"/>
      <c r="O1590" s="244"/>
      <c r="P1590" s="244"/>
      <c r="Q1590" s="244"/>
    </row>
    <row r="1591" spans="4:17" x14ac:dyDescent="0.2">
      <c r="D1591" s="244"/>
      <c r="E1591" s="244"/>
      <c r="F1591" s="244"/>
      <c r="G1591" s="244"/>
      <c r="H1591" s="244"/>
      <c r="I1591" s="244"/>
      <c r="J1591" s="244"/>
      <c r="K1591" s="244"/>
      <c r="L1591" s="244"/>
      <c r="M1591" s="244"/>
      <c r="N1591" s="244"/>
      <c r="O1591" s="244"/>
      <c r="P1591" s="244"/>
      <c r="Q1591" s="244"/>
    </row>
    <row r="1592" spans="4:17" x14ac:dyDescent="0.2">
      <c r="D1592" s="244"/>
      <c r="E1592" s="244"/>
      <c r="F1592" s="244"/>
      <c r="G1592" s="244"/>
      <c r="H1592" s="244"/>
      <c r="I1592" s="244"/>
      <c r="J1592" s="244"/>
      <c r="K1592" s="244"/>
      <c r="L1592" s="244"/>
      <c r="M1592" s="244"/>
      <c r="N1592" s="244"/>
      <c r="O1592" s="244"/>
      <c r="P1592" s="244"/>
      <c r="Q1592" s="244"/>
    </row>
    <row r="1593" spans="4:17" x14ac:dyDescent="0.2">
      <c r="D1593" s="244"/>
      <c r="E1593" s="244"/>
      <c r="F1593" s="244"/>
      <c r="G1593" s="244"/>
      <c r="H1593" s="244"/>
      <c r="I1593" s="244"/>
      <c r="J1593" s="244"/>
      <c r="K1593" s="244"/>
      <c r="L1593" s="244"/>
      <c r="M1593" s="244"/>
      <c r="N1593" s="244"/>
      <c r="O1593" s="244"/>
      <c r="P1593" s="244"/>
      <c r="Q1593" s="244"/>
    </row>
    <row r="1594" spans="4:17" x14ac:dyDescent="0.2">
      <c r="D1594" s="244"/>
      <c r="E1594" s="244"/>
      <c r="F1594" s="244"/>
      <c r="G1594" s="244"/>
      <c r="H1594" s="244"/>
      <c r="I1594" s="244"/>
      <c r="J1594" s="244"/>
      <c r="K1594" s="244"/>
      <c r="L1594" s="244"/>
      <c r="M1594" s="244"/>
      <c r="N1594" s="244"/>
      <c r="O1594" s="244"/>
      <c r="P1594" s="244"/>
      <c r="Q1594" s="244"/>
    </row>
    <row r="1595" spans="4:17" x14ac:dyDescent="0.2">
      <c r="D1595" s="244"/>
      <c r="E1595" s="244"/>
      <c r="F1595" s="244"/>
      <c r="G1595" s="244"/>
      <c r="H1595" s="244"/>
      <c r="I1595" s="244"/>
      <c r="J1595" s="244"/>
      <c r="K1595" s="244"/>
      <c r="L1595" s="244"/>
      <c r="M1595" s="244"/>
      <c r="N1595" s="244"/>
      <c r="O1595" s="244"/>
      <c r="P1595" s="244"/>
      <c r="Q1595" s="244"/>
    </row>
    <row r="1596" spans="4:17" x14ac:dyDescent="0.2">
      <c r="D1596" s="244"/>
      <c r="E1596" s="244"/>
      <c r="F1596" s="244"/>
      <c r="G1596" s="244"/>
      <c r="H1596" s="244"/>
      <c r="I1596" s="244"/>
      <c r="J1596" s="244"/>
      <c r="K1596" s="244"/>
      <c r="L1596" s="244"/>
      <c r="M1596" s="244"/>
      <c r="N1596" s="244"/>
      <c r="O1596" s="244"/>
      <c r="P1596" s="244"/>
      <c r="Q1596" s="244"/>
    </row>
    <row r="1597" spans="4:17" x14ac:dyDescent="0.2">
      <c r="D1597" s="244"/>
      <c r="E1597" s="244"/>
      <c r="F1597" s="244"/>
      <c r="G1597" s="244"/>
      <c r="H1597" s="244"/>
      <c r="I1597" s="244"/>
      <c r="J1597" s="244"/>
      <c r="K1597" s="244"/>
      <c r="L1597" s="244"/>
      <c r="M1597" s="244"/>
      <c r="N1597" s="244"/>
      <c r="O1597" s="244"/>
      <c r="P1597" s="244"/>
      <c r="Q1597" s="244"/>
    </row>
    <row r="1598" spans="4:17" x14ac:dyDescent="0.2">
      <c r="D1598" s="244"/>
      <c r="E1598" s="244"/>
      <c r="F1598" s="244"/>
      <c r="G1598" s="244"/>
      <c r="H1598" s="244"/>
      <c r="I1598" s="244"/>
      <c r="J1598" s="244"/>
      <c r="K1598" s="244"/>
      <c r="L1598" s="244"/>
      <c r="M1598" s="244"/>
      <c r="N1598" s="244"/>
      <c r="O1598" s="244"/>
      <c r="P1598" s="244"/>
      <c r="Q1598" s="244"/>
    </row>
    <row r="1599" spans="4:17" x14ac:dyDescent="0.2">
      <c r="D1599" s="244"/>
      <c r="E1599" s="244"/>
      <c r="F1599" s="244"/>
      <c r="G1599" s="244"/>
      <c r="H1599" s="244"/>
      <c r="I1599" s="244"/>
      <c r="J1599" s="244"/>
      <c r="K1599" s="244"/>
      <c r="L1599" s="244"/>
      <c r="M1599" s="244"/>
      <c r="N1599" s="244"/>
      <c r="O1599" s="244"/>
      <c r="P1599" s="244"/>
      <c r="Q1599" s="244"/>
    </row>
    <row r="1600" spans="4:17" x14ac:dyDescent="0.2">
      <c r="D1600" s="244"/>
      <c r="E1600" s="244"/>
      <c r="F1600" s="244"/>
      <c r="G1600" s="244"/>
      <c r="H1600" s="244"/>
      <c r="I1600" s="244"/>
      <c r="J1600" s="244"/>
      <c r="K1600" s="244"/>
      <c r="L1600" s="244"/>
      <c r="M1600" s="244"/>
      <c r="N1600" s="244"/>
      <c r="O1600" s="244"/>
      <c r="P1600" s="244"/>
      <c r="Q1600" s="244"/>
    </row>
    <row r="1601" spans="4:17" x14ac:dyDescent="0.2">
      <c r="D1601" s="244"/>
      <c r="E1601" s="244"/>
      <c r="F1601" s="244"/>
      <c r="G1601" s="244"/>
      <c r="H1601" s="244"/>
      <c r="I1601" s="244"/>
      <c r="J1601" s="244"/>
      <c r="K1601" s="244"/>
      <c r="L1601" s="244"/>
      <c r="M1601" s="244"/>
      <c r="N1601" s="244"/>
      <c r="O1601" s="244"/>
      <c r="P1601" s="244"/>
      <c r="Q1601" s="244"/>
    </row>
    <row r="1602" spans="4:17" x14ac:dyDescent="0.2">
      <c r="D1602" s="244"/>
      <c r="E1602" s="244"/>
      <c r="F1602" s="244"/>
      <c r="G1602" s="244"/>
      <c r="H1602" s="244"/>
      <c r="I1602" s="244"/>
      <c r="J1602" s="244"/>
      <c r="K1602" s="244"/>
      <c r="L1602" s="244"/>
      <c r="M1602" s="244"/>
      <c r="N1602" s="244"/>
      <c r="O1602" s="244"/>
      <c r="P1602" s="244"/>
      <c r="Q1602" s="244"/>
    </row>
    <row r="1603" spans="4:17" x14ac:dyDescent="0.2">
      <c r="D1603" s="244"/>
      <c r="E1603" s="244"/>
      <c r="F1603" s="244"/>
      <c r="G1603" s="244"/>
      <c r="H1603" s="244"/>
      <c r="I1603" s="244"/>
      <c r="J1603" s="244"/>
      <c r="K1603" s="244"/>
      <c r="L1603" s="244"/>
      <c r="M1603" s="244"/>
      <c r="N1603" s="244"/>
      <c r="O1603" s="244"/>
      <c r="P1603" s="244"/>
      <c r="Q1603" s="244"/>
    </row>
    <row r="1604" spans="4:17" x14ac:dyDescent="0.2">
      <c r="D1604" s="244"/>
      <c r="E1604" s="244"/>
      <c r="F1604" s="244"/>
      <c r="G1604" s="244"/>
      <c r="H1604" s="244"/>
      <c r="I1604" s="244"/>
      <c r="J1604" s="244"/>
      <c r="K1604" s="244"/>
      <c r="L1604" s="244"/>
      <c r="M1604" s="244"/>
      <c r="N1604" s="244"/>
      <c r="O1604" s="244"/>
      <c r="P1604" s="244"/>
      <c r="Q1604" s="244"/>
    </row>
    <row r="1605" spans="4:17" x14ac:dyDescent="0.2">
      <c r="D1605" s="244"/>
      <c r="E1605" s="244"/>
      <c r="F1605" s="244"/>
      <c r="G1605" s="244"/>
      <c r="H1605" s="244"/>
      <c r="I1605" s="244"/>
      <c r="J1605" s="244"/>
      <c r="K1605" s="244"/>
      <c r="L1605" s="244"/>
      <c r="M1605" s="244"/>
      <c r="N1605" s="244"/>
      <c r="O1605" s="244"/>
      <c r="P1605" s="244"/>
      <c r="Q1605" s="244"/>
    </row>
    <row r="1606" spans="4:17" x14ac:dyDescent="0.2">
      <c r="D1606" s="244"/>
      <c r="E1606" s="244"/>
      <c r="F1606" s="244"/>
      <c r="G1606" s="244"/>
      <c r="H1606" s="244"/>
      <c r="I1606" s="244"/>
      <c r="J1606" s="244"/>
      <c r="K1606" s="244"/>
      <c r="L1606" s="244"/>
      <c r="M1606" s="244"/>
      <c r="N1606" s="244"/>
      <c r="O1606" s="244"/>
      <c r="P1606" s="244"/>
      <c r="Q1606" s="244"/>
    </row>
    <row r="1607" spans="4:17" x14ac:dyDescent="0.2">
      <c r="D1607" s="244"/>
      <c r="E1607" s="244"/>
      <c r="F1607" s="244"/>
      <c r="G1607" s="244"/>
      <c r="H1607" s="244"/>
      <c r="I1607" s="244"/>
      <c r="J1607" s="244"/>
      <c r="K1607" s="244"/>
      <c r="L1607" s="244"/>
      <c r="M1607" s="244"/>
      <c r="N1607" s="244"/>
      <c r="O1607" s="244"/>
      <c r="P1607" s="244"/>
      <c r="Q1607" s="244"/>
    </row>
    <row r="1608" spans="4:17" x14ac:dyDescent="0.2">
      <c r="D1608" s="244"/>
      <c r="E1608" s="244"/>
      <c r="F1608" s="244"/>
      <c r="G1608" s="244"/>
      <c r="H1608" s="244"/>
      <c r="I1608" s="244"/>
      <c r="J1608" s="244"/>
      <c r="K1608" s="244"/>
      <c r="L1608" s="244"/>
      <c r="M1608" s="244"/>
      <c r="N1608" s="244"/>
      <c r="O1608" s="244"/>
      <c r="P1608" s="244"/>
      <c r="Q1608" s="244"/>
    </row>
    <row r="1609" spans="4:17" x14ac:dyDescent="0.2">
      <c r="D1609" s="244"/>
      <c r="E1609" s="244"/>
      <c r="F1609" s="244"/>
      <c r="G1609" s="244"/>
      <c r="H1609" s="244"/>
      <c r="I1609" s="244"/>
      <c r="J1609" s="244"/>
      <c r="K1609" s="244"/>
      <c r="L1609" s="244"/>
      <c r="M1609" s="244"/>
      <c r="N1609" s="244"/>
      <c r="O1609" s="244"/>
      <c r="P1609" s="244"/>
      <c r="Q1609" s="244"/>
    </row>
    <row r="1610" spans="4:17" x14ac:dyDescent="0.2">
      <c r="D1610" s="244"/>
      <c r="E1610" s="244"/>
      <c r="F1610" s="244"/>
      <c r="G1610" s="244"/>
      <c r="H1610" s="244"/>
      <c r="I1610" s="244"/>
      <c r="J1610" s="244"/>
      <c r="K1610" s="244"/>
      <c r="L1610" s="244"/>
      <c r="M1610" s="244"/>
      <c r="N1610" s="244"/>
      <c r="O1610" s="244"/>
      <c r="P1610" s="244"/>
      <c r="Q1610" s="244"/>
    </row>
    <row r="1611" spans="4:17" x14ac:dyDescent="0.2">
      <c r="D1611" s="244"/>
      <c r="E1611" s="244"/>
      <c r="F1611" s="244"/>
      <c r="G1611" s="244"/>
      <c r="H1611" s="244"/>
      <c r="I1611" s="244"/>
      <c r="J1611" s="244"/>
      <c r="K1611" s="244"/>
      <c r="L1611" s="244"/>
      <c r="M1611" s="244"/>
      <c r="N1611" s="244"/>
      <c r="O1611" s="244"/>
      <c r="P1611" s="244"/>
      <c r="Q1611" s="244"/>
    </row>
    <row r="1612" spans="4:17" x14ac:dyDescent="0.2">
      <c r="D1612" s="244"/>
      <c r="E1612" s="244"/>
      <c r="F1612" s="244"/>
      <c r="G1612" s="244"/>
      <c r="H1612" s="244"/>
      <c r="I1612" s="244"/>
      <c r="J1612" s="244"/>
      <c r="K1612" s="244"/>
      <c r="L1612" s="244"/>
      <c r="M1612" s="244"/>
      <c r="N1612" s="244"/>
      <c r="O1612" s="244"/>
      <c r="P1612" s="244"/>
      <c r="Q1612" s="244"/>
    </row>
    <row r="1613" spans="4:17" x14ac:dyDescent="0.2">
      <c r="D1613" s="244"/>
      <c r="E1613" s="244"/>
      <c r="F1613" s="244"/>
      <c r="G1613" s="244"/>
      <c r="H1613" s="244"/>
      <c r="I1613" s="244"/>
      <c r="J1613" s="244"/>
      <c r="K1613" s="244"/>
      <c r="L1613" s="244"/>
      <c r="M1613" s="244"/>
      <c r="N1613" s="244"/>
      <c r="O1613" s="244"/>
      <c r="P1613" s="244"/>
      <c r="Q1613" s="244"/>
    </row>
    <row r="1614" spans="4:17" x14ac:dyDescent="0.2">
      <c r="D1614" s="244"/>
      <c r="E1614" s="244"/>
      <c r="F1614" s="244"/>
      <c r="G1614" s="244"/>
      <c r="H1614" s="244"/>
      <c r="I1614" s="244"/>
      <c r="J1614" s="244"/>
      <c r="K1614" s="244"/>
      <c r="L1614" s="244"/>
      <c r="M1614" s="244"/>
      <c r="N1614" s="244"/>
      <c r="O1614" s="244"/>
      <c r="P1614" s="244"/>
      <c r="Q1614" s="244"/>
    </row>
    <row r="1615" spans="4:17" x14ac:dyDescent="0.2">
      <c r="D1615" s="244"/>
      <c r="E1615" s="244"/>
      <c r="F1615" s="244"/>
      <c r="G1615" s="244"/>
      <c r="H1615" s="244"/>
      <c r="I1615" s="244"/>
      <c r="J1615" s="244"/>
      <c r="K1615" s="244"/>
      <c r="L1615" s="244"/>
      <c r="M1615" s="244"/>
      <c r="N1615" s="244"/>
      <c r="O1615" s="244"/>
      <c r="P1615" s="244"/>
      <c r="Q1615" s="244"/>
    </row>
    <row r="1616" spans="4:17" x14ac:dyDescent="0.2">
      <c r="D1616" s="244"/>
      <c r="E1616" s="244"/>
      <c r="F1616" s="244"/>
      <c r="G1616" s="244"/>
      <c r="H1616" s="244"/>
      <c r="I1616" s="244"/>
      <c r="J1616" s="244"/>
      <c r="K1616" s="244"/>
      <c r="L1616" s="244"/>
      <c r="M1616" s="244"/>
      <c r="N1616" s="244"/>
      <c r="O1616" s="244"/>
      <c r="P1616" s="244"/>
      <c r="Q1616" s="244"/>
    </row>
  </sheetData>
  <mergeCells count="2">
    <mergeCell ref="G3:BT3"/>
    <mergeCell ref="G182:BT182"/>
  </mergeCells>
  <pageMargins left="0.70866141732283472" right="0.70866141732283472" top="0.74803149606299213" bottom="0.74803149606299213" header="0.31496062992125984" footer="0.31496062992125984"/>
  <pageSetup scale="25" fitToWidth="2" fitToHeight="2" orientation="portrait" r:id="rId1"/>
  <rowBreaks count="1" manualBreakCount="1">
    <brk id="178" min="3" max="14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0"/>
  <sheetViews>
    <sheetView view="pageBreakPreview" topLeftCell="BB1" zoomScale="120" zoomScaleNormal="100" zoomScaleSheetLayoutView="120" workbookViewId="0">
      <selection activeCell="C28" sqref="C28"/>
    </sheetView>
  </sheetViews>
  <sheetFormatPr defaultColWidth="10" defaultRowHeight="12.75" x14ac:dyDescent="0.2"/>
  <cols>
    <col min="1" max="1" width="1.85546875" style="243" customWidth="1"/>
    <col min="2" max="3" width="1" style="243" customWidth="1"/>
    <col min="4" max="4" width="34" style="243" customWidth="1"/>
    <col min="5" max="6" width="1" style="243" customWidth="1"/>
    <col min="7" max="7" width="17.85546875" style="243" customWidth="1"/>
    <col min="8" max="11" width="1" style="243" customWidth="1"/>
    <col min="12" max="12" width="17.85546875" style="243" customWidth="1"/>
    <col min="13" max="16" width="1" style="243" customWidth="1"/>
    <col min="17" max="17" width="17.85546875" style="243" customWidth="1"/>
    <col min="18" max="21" width="1" style="243" customWidth="1"/>
    <col min="22" max="22" width="17.85546875" style="243" customWidth="1"/>
    <col min="23" max="26" width="1" style="243" customWidth="1"/>
    <col min="27" max="27" width="17.85546875" style="243" customWidth="1"/>
    <col min="28" max="31" width="1" style="243" customWidth="1"/>
    <col min="32" max="32" width="17.85546875" style="243" customWidth="1"/>
    <col min="33" max="36" width="1" style="243" customWidth="1"/>
    <col min="37" max="37" width="17.85546875" style="243" customWidth="1"/>
    <col min="38" max="41" width="1" style="243" customWidth="1"/>
    <col min="42" max="42" width="17.85546875" style="243" customWidth="1"/>
    <col min="43" max="46" width="1" style="243" customWidth="1"/>
    <col min="47" max="47" width="17.85546875" style="243" customWidth="1"/>
    <col min="48" max="51" width="1" style="243" customWidth="1"/>
    <col min="52" max="52" width="17.85546875" style="243" customWidth="1"/>
    <col min="53" max="56" width="1" style="243" customWidth="1"/>
    <col min="57" max="57" width="17.85546875" style="243" customWidth="1"/>
    <col min="58" max="61" width="1" style="243" customWidth="1"/>
    <col min="62" max="62" width="17.85546875" style="243" customWidth="1"/>
    <col min="63" max="66" width="1" style="243" customWidth="1"/>
    <col min="67" max="67" width="17.85546875" style="243" customWidth="1"/>
    <col min="68" max="71" width="1" style="243" customWidth="1"/>
    <col min="72" max="72" width="17.85546875" style="243" customWidth="1"/>
    <col min="73" max="74" width="1" style="243" customWidth="1"/>
    <col min="75" max="75" width="2" style="243" customWidth="1"/>
    <col min="76" max="76" width="6.42578125" style="243" customWidth="1"/>
    <col min="77" max="77" width="17.42578125" style="243" customWidth="1"/>
    <col min="78" max="78" width="12.28515625" style="243" customWidth="1"/>
    <col min="79" max="187" width="10" style="243"/>
    <col min="188" max="188" width="1.85546875" style="243" customWidth="1"/>
    <col min="189" max="190" width="1" style="243" customWidth="1"/>
    <col min="191" max="191" width="34" style="243" customWidth="1"/>
    <col min="192" max="193" width="1" style="243" customWidth="1"/>
    <col min="194" max="194" width="17.85546875" style="243" customWidth="1"/>
    <col min="195" max="196" width="1" style="243" customWidth="1"/>
    <col min="197" max="251" width="0" style="243" hidden="1" customWidth="1"/>
    <col min="252" max="253" width="1" style="243" customWidth="1"/>
    <col min="254" max="254" width="17.85546875" style="243" customWidth="1"/>
    <col min="255" max="258" width="1" style="243" customWidth="1"/>
    <col min="259" max="259" width="17.85546875" style="243" customWidth="1"/>
    <col min="260" max="263" width="1" style="243" customWidth="1"/>
    <col min="264" max="264" width="17.85546875" style="243" customWidth="1"/>
    <col min="265" max="266" width="1" style="243" customWidth="1"/>
    <col min="267" max="321" width="0" style="243" hidden="1" customWidth="1"/>
    <col min="322" max="323" width="1" style="243" customWidth="1"/>
    <col min="324" max="324" width="17.85546875" style="243" customWidth="1"/>
    <col min="325" max="328" width="1" style="243" customWidth="1"/>
    <col min="329" max="329" width="17.85546875" style="243" customWidth="1"/>
    <col min="330" max="330" width="1" style="243" customWidth="1"/>
    <col min="331" max="331" width="2" style="243" customWidth="1"/>
    <col min="332" max="332" width="6.42578125" style="243" customWidth="1"/>
    <col min="333" max="333" width="17.42578125" style="243" customWidth="1"/>
    <col min="334" max="334" width="12.28515625" style="243" customWidth="1"/>
    <col min="335" max="443" width="10" style="243"/>
    <col min="444" max="444" width="1.85546875" style="243" customWidth="1"/>
    <col min="445" max="446" width="1" style="243" customWidth="1"/>
    <col min="447" max="447" width="34" style="243" customWidth="1"/>
    <col min="448" max="449" width="1" style="243" customWidth="1"/>
    <col min="450" max="450" width="17.85546875" style="243" customWidth="1"/>
    <col min="451" max="452" width="1" style="243" customWidth="1"/>
    <col min="453" max="507" width="0" style="243" hidden="1" customWidth="1"/>
    <col min="508" max="509" width="1" style="243" customWidth="1"/>
    <col min="510" max="510" width="17.85546875" style="243" customWidth="1"/>
    <col min="511" max="514" width="1" style="243" customWidth="1"/>
    <col min="515" max="515" width="17.85546875" style="243" customWidth="1"/>
    <col min="516" max="519" width="1" style="243" customWidth="1"/>
    <col min="520" max="520" width="17.85546875" style="243" customWidth="1"/>
    <col min="521" max="522" width="1" style="243" customWidth="1"/>
    <col min="523" max="577" width="0" style="243" hidden="1" customWidth="1"/>
    <col min="578" max="579" width="1" style="243" customWidth="1"/>
    <col min="580" max="580" width="17.85546875" style="243" customWidth="1"/>
    <col min="581" max="584" width="1" style="243" customWidth="1"/>
    <col min="585" max="585" width="17.85546875" style="243" customWidth="1"/>
    <col min="586" max="586" width="1" style="243" customWidth="1"/>
    <col min="587" max="587" width="2" style="243" customWidth="1"/>
    <col min="588" max="588" width="6.42578125" style="243" customWidth="1"/>
    <col min="589" max="589" width="17.42578125" style="243" customWidth="1"/>
    <col min="590" max="590" width="12.28515625" style="243" customWidth="1"/>
    <col min="591" max="699" width="10" style="243"/>
    <col min="700" max="700" width="1.85546875" style="243" customWidth="1"/>
    <col min="701" max="702" width="1" style="243" customWidth="1"/>
    <col min="703" max="703" width="34" style="243" customWidth="1"/>
    <col min="704" max="705" width="1" style="243" customWidth="1"/>
    <col min="706" max="706" width="17.85546875" style="243" customWidth="1"/>
    <col min="707" max="708" width="1" style="243" customWidth="1"/>
    <col min="709" max="763" width="0" style="243" hidden="1" customWidth="1"/>
    <col min="764" max="765" width="1" style="243" customWidth="1"/>
    <col min="766" max="766" width="17.85546875" style="243" customWidth="1"/>
    <col min="767" max="770" width="1" style="243" customWidth="1"/>
    <col min="771" max="771" width="17.85546875" style="243" customWidth="1"/>
    <col min="772" max="775" width="1" style="243" customWidth="1"/>
    <col min="776" max="776" width="17.85546875" style="243" customWidth="1"/>
    <col min="777" max="778" width="1" style="243" customWidth="1"/>
    <col min="779" max="833" width="0" style="243" hidden="1" customWidth="1"/>
    <col min="834" max="835" width="1" style="243" customWidth="1"/>
    <col min="836" max="836" width="17.85546875" style="243" customWidth="1"/>
    <col min="837" max="840" width="1" style="243" customWidth="1"/>
    <col min="841" max="841" width="17.85546875" style="243" customWidth="1"/>
    <col min="842" max="842" width="1" style="243" customWidth="1"/>
    <col min="843" max="843" width="2" style="243" customWidth="1"/>
    <col min="844" max="844" width="6.42578125" style="243" customWidth="1"/>
    <col min="845" max="845" width="17.42578125" style="243" customWidth="1"/>
    <col min="846" max="846" width="12.28515625" style="243" customWidth="1"/>
    <col min="847" max="955" width="10" style="243"/>
    <col min="956" max="956" width="1.85546875" style="243" customWidth="1"/>
    <col min="957" max="958" width="1" style="243" customWidth="1"/>
    <col min="959" max="959" width="34" style="243" customWidth="1"/>
    <col min="960" max="961" width="1" style="243" customWidth="1"/>
    <col min="962" max="962" width="17.85546875" style="243" customWidth="1"/>
    <col min="963" max="964" width="1" style="243" customWidth="1"/>
    <col min="965" max="1019" width="0" style="243" hidden="1" customWidth="1"/>
    <col min="1020" max="1021" width="1" style="243" customWidth="1"/>
    <col min="1022" max="1022" width="17.85546875" style="243" customWidth="1"/>
    <col min="1023" max="1026" width="1" style="243" customWidth="1"/>
    <col min="1027" max="1027" width="17.85546875" style="243" customWidth="1"/>
    <col min="1028" max="1031" width="1" style="243" customWidth="1"/>
    <col min="1032" max="1032" width="17.85546875" style="243" customWidth="1"/>
    <col min="1033" max="1034" width="1" style="243" customWidth="1"/>
    <col min="1035" max="1089" width="0" style="243" hidden="1" customWidth="1"/>
    <col min="1090" max="1091" width="1" style="243" customWidth="1"/>
    <col min="1092" max="1092" width="17.85546875" style="243" customWidth="1"/>
    <col min="1093" max="1096" width="1" style="243" customWidth="1"/>
    <col min="1097" max="1097" width="17.85546875" style="243" customWidth="1"/>
    <col min="1098" max="1098" width="1" style="243" customWidth="1"/>
    <col min="1099" max="1099" width="2" style="243" customWidth="1"/>
    <col min="1100" max="1100" width="6.42578125" style="243" customWidth="1"/>
    <col min="1101" max="1101" width="17.42578125" style="243" customWidth="1"/>
    <col min="1102" max="1102" width="12.28515625" style="243" customWidth="1"/>
    <col min="1103" max="1211" width="10" style="243"/>
    <col min="1212" max="1212" width="1.85546875" style="243" customWidth="1"/>
    <col min="1213" max="1214" width="1" style="243" customWidth="1"/>
    <col min="1215" max="1215" width="34" style="243" customWidth="1"/>
    <col min="1216" max="1217" width="1" style="243" customWidth="1"/>
    <col min="1218" max="1218" width="17.85546875" style="243" customWidth="1"/>
    <col min="1219" max="1220" width="1" style="243" customWidth="1"/>
    <col min="1221" max="1275" width="0" style="243" hidden="1" customWidth="1"/>
    <col min="1276" max="1277" width="1" style="243" customWidth="1"/>
    <col min="1278" max="1278" width="17.85546875" style="243" customWidth="1"/>
    <col min="1279" max="1282" width="1" style="243" customWidth="1"/>
    <col min="1283" max="1283" width="17.85546875" style="243" customWidth="1"/>
    <col min="1284" max="1287" width="1" style="243" customWidth="1"/>
    <col min="1288" max="1288" width="17.85546875" style="243" customWidth="1"/>
    <col min="1289" max="1290" width="1" style="243" customWidth="1"/>
    <col min="1291" max="1345" width="0" style="243" hidden="1" customWidth="1"/>
    <col min="1346" max="1347" width="1" style="243" customWidth="1"/>
    <col min="1348" max="1348" width="17.85546875" style="243" customWidth="1"/>
    <col min="1349" max="1352" width="1" style="243" customWidth="1"/>
    <col min="1353" max="1353" width="17.85546875" style="243" customWidth="1"/>
    <col min="1354" max="1354" width="1" style="243" customWidth="1"/>
    <col min="1355" max="1355" width="2" style="243" customWidth="1"/>
    <col min="1356" max="1356" width="6.42578125" style="243" customWidth="1"/>
    <col min="1357" max="1357" width="17.42578125" style="243" customWidth="1"/>
    <col min="1358" max="1358" width="12.28515625" style="243" customWidth="1"/>
    <col min="1359" max="1467" width="10" style="243"/>
    <col min="1468" max="1468" width="1.85546875" style="243" customWidth="1"/>
    <col min="1469" max="1470" width="1" style="243" customWidth="1"/>
    <col min="1471" max="1471" width="34" style="243" customWidth="1"/>
    <col min="1472" max="1473" width="1" style="243" customWidth="1"/>
    <col min="1474" max="1474" width="17.85546875" style="243" customWidth="1"/>
    <col min="1475" max="1476" width="1" style="243" customWidth="1"/>
    <col min="1477" max="1531" width="0" style="243" hidden="1" customWidth="1"/>
    <col min="1532" max="1533" width="1" style="243" customWidth="1"/>
    <col min="1534" max="1534" width="17.85546875" style="243" customWidth="1"/>
    <col min="1535" max="1538" width="1" style="243" customWidth="1"/>
    <col min="1539" max="1539" width="17.85546875" style="243" customWidth="1"/>
    <col min="1540" max="1543" width="1" style="243" customWidth="1"/>
    <col min="1544" max="1544" width="17.85546875" style="243" customWidth="1"/>
    <col min="1545" max="1546" width="1" style="243" customWidth="1"/>
    <col min="1547" max="1601" width="0" style="243" hidden="1" customWidth="1"/>
    <col min="1602" max="1603" width="1" style="243" customWidth="1"/>
    <col min="1604" max="1604" width="17.85546875" style="243" customWidth="1"/>
    <col min="1605" max="1608" width="1" style="243" customWidth="1"/>
    <col min="1609" max="1609" width="17.85546875" style="243" customWidth="1"/>
    <col min="1610" max="1610" width="1" style="243" customWidth="1"/>
    <col min="1611" max="1611" width="2" style="243" customWidth="1"/>
    <col min="1612" max="1612" width="6.42578125" style="243" customWidth="1"/>
    <col min="1613" max="1613" width="17.42578125" style="243" customWidth="1"/>
    <col min="1614" max="1614" width="12.28515625" style="243" customWidth="1"/>
    <col min="1615" max="1723" width="10" style="243"/>
    <col min="1724" max="1724" width="1.85546875" style="243" customWidth="1"/>
    <col min="1725" max="1726" width="1" style="243" customWidth="1"/>
    <col min="1727" max="1727" width="34" style="243" customWidth="1"/>
    <col min="1728" max="1729" width="1" style="243" customWidth="1"/>
    <col min="1730" max="1730" width="17.85546875" style="243" customWidth="1"/>
    <col min="1731" max="1732" width="1" style="243" customWidth="1"/>
    <col min="1733" max="1787" width="0" style="243" hidden="1" customWidth="1"/>
    <col min="1788" max="1789" width="1" style="243" customWidth="1"/>
    <col min="1790" max="1790" width="17.85546875" style="243" customWidth="1"/>
    <col min="1791" max="1794" width="1" style="243" customWidth="1"/>
    <col min="1795" max="1795" width="17.85546875" style="243" customWidth="1"/>
    <col min="1796" max="1799" width="1" style="243" customWidth="1"/>
    <col min="1800" max="1800" width="17.85546875" style="243" customWidth="1"/>
    <col min="1801" max="1802" width="1" style="243" customWidth="1"/>
    <col min="1803" max="1857" width="0" style="243" hidden="1" customWidth="1"/>
    <col min="1858" max="1859" width="1" style="243" customWidth="1"/>
    <col min="1860" max="1860" width="17.85546875" style="243" customWidth="1"/>
    <col min="1861" max="1864" width="1" style="243" customWidth="1"/>
    <col min="1865" max="1865" width="17.85546875" style="243" customWidth="1"/>
    <col min="1866" max="1866" width="1" style="243" customWidth="1"/>
    <col min="1867" max="1867" width="2" style="243" customWidth="1"/>
    <col min="1868" max="1868" width="6.42578125" style="243" customWidth="1"/>
    <col min="1869" max="1869" width="17.42578125" style="243" customWidth="1"/>
    <col min="1870" max="1870" width="12.28515625" style="243" customWidth="1"/>
    <col min="1871" max="1979" width="10" style="243"/>
    <col min="1980" max="1980" width="1.85546875" style="243" customWidth="1"/>
    <col min="1981" max="1982" width="1" style="243" customWidth="1"/>
    <col min="1983" max="1983" width="34" style="243" customWidth="1"/>
    <col min="1984" max="1985" width="1" style="243" customWidth="1"/>
    <col min="1986" max="1986" width="17.85546875" style="243" customWidth="1"/>
    <col min="1987" max="1988" width="1" style="243" customWidth="1"/>
    <col min="1989" max="2043" width="0" style="243" hidden="1" customWidth="1"/>
    <col min="2044" max="2045" width="1" style="243" customWidth="1"/>
    <col min="2046" max="2046" width="17.85546875" style="243" customWidth="1"/>
    <col min="2047" max="2050" width="1" style="243" customWidth="1"/>
    <col min="2051" max="2051" width="17.85546875" style="243" customWidth="1"/>
    <col min="2052" max="2055" width="1" style="243" customWidth="1"/>
    <col min="2056" max="2056" width="17.85546875" style="243" customWidth="1"/>
    <col min="2057" max="2058" width="1" style="243" customWidth="1"/>
    <col min="2059" max="2113" width="0" style="243" hidden="1" customWidth="1"/>
    <col min="2114" max="2115" width="1" style="243" customWidth="1"/>
    <col min="2116" max="2116" width="17.85546875" style="243" customWidth="1"/>
    <col min="2117" max="2120" width="1" style="243" customWidth="1"/>
    <col min="2121" max="2121" width="17.85546875" style="243" customWidth="1"/>
    <col min="2122" max="2122" width="1" style="243" customWidth="1"/>
    <col min="2123" max="2123" width="2" style="243" customWidth="1"/>
    <col min="2124" max="2124" width="6.42578125" style="243" customWidth="1"/>
    <col min="2125" max="2125" width="17.42578125" style="243" customWidth="1"/>
    <col min="2126" max="2126" width="12.28515625" style="243" customWidth="1"/>
    <col min="2127" max="2235" width="10" style="243"/>
    <col min="2236" max="2236" width="1.85546875" style="243" customWidth="1"/>
    <col min="2237" max="2238" width="1" style="243" customWidth="1"/>
    <col min="2239" max="2239" width="34" style="243" customWidth="1"/>
    <col min="2240" max="2241" width="1" style="243" customWidth="1"/>
    <col min="2242" max="2242" width="17.85546875" style="243" customWidth="1"/>
    <col min="2243" max="2244" width="1" style="243" customWidth="1"/>
    <col min="2245" max="2299" width="0" style="243" hidden="1" customWidth="1"/>
    <col min="2300" max="2301" width="1" style="243" customWidth="1"/>
    <col min="2302" max="2302" width="17.85546875" style="243" customWidth="1"/>
    <col min="2303" max="2306" width="1" style="243" customWidth="1"/>
    <col min="2307" max="2307" width="17.85546875" style="243" customWidth="1"/>
    <col min="2308" max="2311" width="1" style="243" customWidth="1"/>
    <col min="2312" max="2312" width="17.85546875" style="243" customWidth="1"/>
    <col min="2313" max="2314" width="1" style="243" customWidth="1"/>
    <col min="2315" max="2369" width="0" style="243" hidden="1" customWidth="1"/>
    <col min="2370" max="2371" width="1" style="243" customWidth="1"/>
    <col min="2372" max="2372" width="17.85546875" style="243" customWidth="1"/>
    <col min="2373" max="2376" width="1" style="243" customWidth="1"/>
    <col min="2377" max="2377" width="17.85546875" style="243" customWidth="1"/>
    <col min="2378" max="2378" width="1" style="243" customWidth="1"/>
    <col min="2379" max="2379" width="2" style="243" customWidth="1"/>
    <col min="2380" max="2380" width="6.42578125" style="243" customWidth="1"/>
    <col min="2381" max="2381" width="17.42578125" style="243" customWidth="1"/>
    <col min="2382" max="2382" width="12.28515625" style="243" customWidth="1"/>
    <col min="2383" max="2491" width="10" style="243"/>
    <col min="2492" max="2492" width="1.85546875" style="243" customWidth="1"/>
    <col min="2493" max="2494" width="1" style="243" customWidth="1"/>
    <col min="2495" max="2495" width="34" style="243" customWidth="1"/>
    <col min="2496" max="2497" width="1" style="243" customWidth="1"/>
    <col min="2498" max="2498" width="17.85546875" style="243" customWidth="1"/>
    <col min="2499" max="2500" width="1" style="243" customWidth="1"/>
    <col min="2501" max="2555" width="0" style="243" hidden="1" customWidth="1"/>
    <col min="2556" max="2557" width="1" style="243" customWidth="1"/>
    <col min="2558" max="2558" width="17.85546875" style="243" customWidth="1"/>
    <col min="2559" max="2562" width="1" style="243" customWidth="1"/>
    <col min="2563" max="2563" width="17.85546875" style="243" customWidth="1"/>
    <col min="2564" max="2567" width="1" style="243" customWidth="1"/>
    <col min="2568" max="2568" width="17.85546875" style="243" customWidth="1"/>
    <col min="2569" max="2570" width="1" style="243" customWidth="1"/>
    <col min="2571" max="2625" width="0" style="243" hidden="1" customWidth="1"/>
    <col min="2626" max="2627" width="1" style="243" customWidth="1"/>
    <col min="2628" max="2628" width="17.85546875" style="243" customWidth="1"/>
    <col min="2629" max="2632" width="1" style="243" customWidth="1"/>
    <col min="2633" max="2633" width="17.85546875" style="243" customWidth="1"/>
    <col min="2634" max="2634" width="1" style="243" customWidth="1"/>
    <col min="2635" max="2635" width="2" style="243" customWidth="1"/>
    <col min="2636" max="2636" width="6.42578125" style="243" customWidth="1"/>
    <col min="2637" max="2637" width="17.42578125" style="243" customWidth="1"/>
    <col min="2638" max="2638" width="12.28515625" style="243" customWidth="1"/>
    <col min="2639" max="2747" width="10" style="243"/>
    <col min="2748" max="2748" width="1.85546875" style="243" customWidth="1"/>
    <col min="2749" max="2750" width="1" style="243" customWidth="1"/>
    <col min="2751" max="2751" width="34" style="243" customWidth="1"/>
    <col min="2752" max="2753" width="1" style="243" customWidth="1"/>
    <col min="2754" max="2754" width="17.85546875" style="243" customWidth="1"/>
    <col min="2755" max="2756" width="1" style="243" customWidth="1"/>
    <col min="2757" max="2811" width="0" style="243" hidden="1" customWidth="1"/>
    <col min="2812" max="2813" width="1" style="243" customWidth="1"/>
    <col min="2814" max="2814" width="17.85546875" style="243" customWidth="1"/>
    <col min="2815" max="2818" width="1" style="243" customWidth="1"/>
    <col min="2819" max="2819" width="17.85546875" style="243" customWidth="1"/>
    <col min="2820" max="2823" width="1" style="243" customWidth="1"/>
    <col min="2824" max="2824" width="17.85546875" style="243" customWidth="1"/>
    <col min="2825" max="2826" width="1" style="243" customWidth="1"/>
    <col min="2827" max="2881" width="0" style="243" hidden="1" customWidth="1"/>
    <col min="2882" max="2883" width="1" style="243" customWidth="1"/>
    <col min="2884" max="2884" width="17.85546875" style="243" customWidth="1"/>
    <col min="2885" max="2888" width="1" style="243" customWidth="1"/>
    <col min="2889" max="2889" width="17.85546875" style="243" customWidth="1"/>
    <col min="2890" max="2890" width="1" style="243" customWidth="1"/>
    <col min="2891" max="2891" width="2" style="243" customWidth="1"/>
    <col min="2892" max="2892" width="6.42578125" style="243" customWidth="1"/>
    <col min="2893" max="2893" width="17.42578125" style="243" customWidth="1"/>
    <col min="2894" max="2894" width="12.28515625" style="243" customWidth="1"/>
    <col min="2895" max="3003" width="10" style="243"/>
    <col min="3004" max="3004" width="1.85546875" style="243" customWidth="1"/>
    <col min="3005" max="3006" width="1" style="243" customWidth="1"/>
    <col min="3007" max="3007" width="34" style="243" customWidth="1"/>
    <col min="3008" max="3009" width="1" style="243" customWidth="1"/>
    <col min="3010" max="3010" width="17.85546875" style="243" customWidth="1"/>
    <col min="3011" max="3012" width="1" style="243" customWidth="1"/>
    <col min="3013" max="3067" width="0" style="243" hidden="1" customWidth="1"/>
    <col min="3068" max="3069" width="1" style="243" customWidth="1"/>
    <col min="3070" max="3070" width="17.85546875" style="243" customWidth="1"/>
    <col min="3071" max="3074" width="1" style="243" customWidth="1"/>
    <col min="3075" max="3075" width="17.85546875" style="243" customWidth="1"/>
    <col min="3076" max="3079" width="1" style="243" customWidth="1"/>
    <col min="3080" max="3080" width="17.85546875" style="243" customWidth="1"/>
    <col min="3081" max="3082" width="1" style="243" customWidth="1"/>
    <col min="3083" max="3137" width="0" style="243" hidden="1" customWidth="1"/>
    <col min="3138" max="3139" width="1" style="243" customWidth="1"/>
    <col min="3140" max="3140" width="17.85546875" style="243" customWidth="1"/>
    <col min="3141" max="3144" width="1" style="243" customWidth="1"/>
    <col min="3145" max="3145" width="17.85546875" style="243" customWidth="1"/>
    <col min="3146" max="3146" width="1" style="243" customWidth="1"/>
    <col min="3147" max="3147" width="2" style="243" customWidth="1"/>
    <col min="3148" max="3148" width="6.42578125" style="243" customWidth="1"/>
    <col min="3149" max="3149" width="17.42578125" style="243" customWidth="1"/>
    <col min="3150" max="3150" width="12.28515625" style="243" customWidth="1"/>
    <col min="3151" max="3259" width="10" style="243"/>
    <col min="3260" max="3260" width="1.85546875" style="243" customWidth="1"/>
    <col min="3261" max="3262" width="1" style="243" customWidth="1"/>
    <col min="3263" max="3263" width="34" style="243" customWidth="1"/>
    <col min="3264" max="3265" width="1" style="243" customWidth="1"/>
    <col min="3266" max="3266" width="17.85546875" style="243" customWidth="1"/>
    <col min="3267" max="3268" width="1" style="243" customWidth="1"/>
    <col min="3269" max="3323" width="0" style="243" hidden="1" customWidth="1"/>
    <col min="3324" max="3325" width="1" style="243" customWidth="1"/>
    <col min="3326" max="3326" width="17.85546875" style="243" customWidth="1"/>
    <col min="3327" max="3330" width="1" style="243" customWidth="1"/>
    <col min="3331" max="3331" width="17.85546875" style="243" customWidth="1"/>
    <col min="3332" max="3335" width="1" style="243" customWidth="1"/>
    <col min="3336" max="3336" width="17.85546875" style="243" customWidth="1"/>
    <col min="3337" max="3338" width="1" style="243" customWidth="1"/>
    <col min="3339" max="3393" width="0" style="243" hidden="1" customWidth="1"/>
    <col min="3394" max="3395" width="1" style="243" customWidth="1"/>
    <col min="3396" max="3396" width="17.85546875" style="243" customWidth="1"/>
    <col min="3397" max="3400" width="1" style="243" customWidth="1"/>
    <col min="3401" max="3401" width="17.85546875" style="243" customWidth="1"/>
    <col min="3402" max="3402" width="1" style="243" customWidth="1"/>
    <col min="3403" max="3403" width="2" style="243" customWidth="1"/>
    <col min="3404" max="3404" width="6.42578125" style="243" customWidth="1"/>
    <col min="3405" max="3405" width="17.42578125" style="243" customWidth="1"/>
    <col min="3406" max="3406" width="12.28515625" style="243" customWidth="1"/>
    <col min="3407" max="3515" width="10" style="243"/>
    <col min="3516" max="3516" width="1.85546875" style="243" customWidth="1"/>
    <col min="3517" max="3518" width="1" style="243" customWidth="1"/>
    <col min="3519" max="3519" width="34" style="243" customWidth="1"/>
    <col min="3520" max="3521" width="1" style="243" customWidth="1"/>
    <col min="3522" max="3522" width="17.85546875" style="243" customWidth="1"/>
    <col min="3523" max="3524" width="1" style="243" customWidth="1"/>
    <col min="3525" max="3579" width="0" style="243" hidden="1" customWidth="1"/>
    <col min="3580" max="3581" width="1" style="243" customWidth="1"/>
    <col min="3582" max="3582" width="17.85546875" style="243" customWidth="1"/>
    <col min="3583" max="3586" width="1" style="243" customWidth="1"/>
    <col min="3587" max="3587" width="17.85546875" style="243" customWidth="1"/>
    <col min="3588" max="3591" width="1" style="243" customWidth="1"/>
    <col min="3592" max="3592" width="17.85546875" style="243" customWidth="1"/>
    <col min="3593" max="3594" width="1" style="243" customWidth="1"/>
    <col min="3595" max="3649" width="0" style="243" hidden="1" customWidth="1"/>
    <col min="3650" max="3651" width="1" style="243" customWidth="1"/>
    <col min="3652" max="3652" width="17.85546875" style="243" customWidth="1"/>
    <col min="3653" max="3656" width="1" style="243" customWidth="1"/>
    <col min="3657" max="3657" width="17.85546875" style="243" customWidth="1"/>
    <col min="3658" max="3658" width="1" style="243" customWidth="1"/>
    <col min="3659" max="3659" width="2" style="243" customWidth="1"/>
    <col min="3660" max="3660" width="6.42578125" style="243" customWidth="1"/>
    <col min="3661" max="3661" width="17.42578125" style="243" customWidth="1"/>
    <col min="3662" max="3662" width="12.28515625" style="243" customWidth="1"/>
    <col min="3663" max="3771" width="10" style="243"/>
    <col min="3772" max="3772" width="1.85546875" style="243" customWidth="1"/>
    <col min="3773" max="3774" width="1" style="243" customWidth="1"/>
    <col min="3775" max="3775" width="34" style="243" customWidth="1"/>
    <col min="3776" max="3777" width="1" style="243" customWidth="1"/>
    <col min="3778" max="3778" width="17.85546875" style="243" customWidth="1"/>
    <col min="3779" max="3780" width="1" style="243" customWidth="1"/>
    <col min="3781" max="3835" width="0" style="243" hidden="1" customWidth="1"/>
    <col min="3836" max="3837" width="1" style="243" customWidth="1"/>
    <col min="3838" max="3838" width="17.85546875" style="243" customWidth="1"/>
    <col min="3839" max="3842" width="1" style="243" customWidth="1"/>
    <col min="3843" max="3843" width="17.85546875" style="243" customWidth="1"/>
    <col min="3844" max="3847" width="1" style="243" customWidth="1"/>
    <col min="3848" max="3848" width="17.85546875" style="243" customWidth="1"/>
    <col min="3849" max="3850" width="1" style="243" customWidth="1"/>
    <col min="3851" max="3905" width="0" style="243" hidden="1" customWidth="1"/>
    <col min="3906" max="3907" width="1" style="243" customWidth="1"/>
    <col min="3908" max="3908" width="17.85546875" style="243" customWidth="1"/>
    <col min="3909" max="3912" width="1" style="243" customWidth="1"/>
    <col min="3913" max="3913" width="17.85546875" style="243" customWidth="1"/>
    <col min="3914" max="3914" width="1" style="243" customWidth="1"/>
    <col min="3915" max="3915" width="2" style="243" customWidth="1"/>
    <col min="3916" max="3916" width="6.42578125" style="243" customWidth="1"/>
    <col min="3917" max="3917" width="17.42578125" style="243" customWidth="1"/>
    <col min="3918" max="3918" width="12.28515625" style="243" customWidth="1"/>
    <col min="3919" max="4027" width="10" style="243"/>
    <col min="4028" max="4028" width="1.85546875" style="243" customWidth="1"/>
    <col min="4029" max="4030" width="1" style="243" customWidth="1"/>
    <col min="4031" max="4031" width="34" style="243" customWidth="1"/>
    <col min="4032" max="4033" width="1" style="243" customWidth="1"/>
    <col min="4034" max="4034" width="17.85546875" style="243" customWidth="1"/>
    <col min="4035" max="4036" width="1" style="243" customWidth="1"/>
    <col min="4037" max="4091" width="0" style="243" hidden="1" customWidth="1"/>
    <col min="4092" max="4093" width="1" style="243" customWidth="1"/>
    <col min="4094" max="4094" width="17.85546875" style="243" customWidth="1"/>
    <col min="4095" max="4098" width="1" style="243" customWidth="1"/>
    <col min="4099" max="4099" width="17.85546875" style="243" customWidth="1"/>
    <col min="4100" max="4103" width="1" style="243" customWidth="1"/>
    <col min="4104" max="4104" width="17.85546875" style="243" customWidth="1"/>
    <col min="4105" max="4106" width="1" style="243" customWidth="1"/>
    <col min="4107" max="4161" width="0" style="243" hidden="1" customWidth="1"/>
    <col min="4162" max="4163" width="1" style="243" customWidth="1"/>
    <col min="4164" max="4164" width="17.85546875" style="243" customWidth="1"/>
    <col min="4165" max="4168" width="1" style="243" customWidth="1"/>
    <col min="4169" max="4169" width="17.85546875" style="243" customWidth="1"/>
    <col min="4170" max="4170" width="1" style="243" customWidth="1"/>
    <col min="4171" max="4171" width="2" style="243" customWidth="1"/>
    <col min="4172" max="4172" width="6.42578125" style="243" customWidth="1"/>
    <col min="4173" max="4173" width="17.42578125" style="243" customWidth="1"/>
    <col min="4174" max="4174" width="12.28515625" style="243" customWidth="1"/>
    <col min="4175" max="4283" width="10" style="243"/>
    <col min="4284" max="4284" width="1.85546875" style="243" customWidth="1"/>
    <col min="4285" max="4286" width="1" style="243" customWidth="1"/>
    <col min="4287" max="4287" width="34" style="243" customWidth="1"/>
    <col min="4288" max="4289" width="1" style="243" customWidth="1"/>
    <col min="4290" max="4290" width="17.85546875" style="243" customWidth="1"/>
    <col min="4291" max="4292" width="1" style="243" customWidth="1"/>
    <col min="4293" max="4347" width="0" style="243" hidden="1" customWidth="1"/>
    <col min="4348" max="4349" width="1" style="243" customWidth="1"/>
    <col min="4350" max="4350" width="17.85546875" style="243" customWidth="1"/>
    <col min="4351" max="4354" width="1" style="243" customWidth="1"/>
    <col min="4355" max="4355" width="17.85546875" style="243" customWidth="1"/>
    <col min="4356" max="4359" width="1" style="243" customWidth="1"/>
    <col min="4360" max="4360" width="17.85546875" style="243" customWidth="1"/>
    <col min="4361" max="4362" width="1" style="243" customWidth="1"/>
    <col min="4363" max="4417" width="0" style="243" hidden="1" customWidth="1"/>
    <col min="4418" max="4419" width="1" style="243" customWidth="1"/>
    <col min="4420" max="4420" width="17.85546875" style="243" customWidth="1"/>
    <col min="4421" max="4424" width="1" style="243" customWidth="1"/>
    <col min="4425" max="4425" width="17.85546875" style="243" customWidth="1"/>
    <col min="4426" max="4426" width="1" style="243" customWidth="1"/>
    <col min="4427" max="4427" width="2" style="243" customWidth="1"/>
    <col min="4428" max="4428" width="6.42578125" style="243" customWidth="1"/>
    <col min="4429" max="4429" width="17.42578125" style="243" customWidth="1"/>
    <col min="4430" max="4430" width="12.28515625" style="243" customWidth="1"/>
    <col min="4431" max="4539" width="10" style="243"/>
    <col min="4540" max="4540" width="1.85546875" style="243" customWidth="1"/>
    <col min="4541" max="4542" width="1" style="243" customWidth="1"/>
    <col min="4543" max="4543" width="34" style="243" customWidth="1"/>
    <col min="4544" max="4545" width="1" style="243" customWidth="1"/>
    <col min="4546" max="4546" width="17.85546875" style="243" customWidth="1"/>
    <col min="4547" max="4548" width="1" style="243" customWidth="1"/>
    <col min="4549" max="4603" width="0" style="243" hidden="1" customWidth="1"/>
    <col min="4604" max="4605" width="1" style="243" customWidth="1"/>
    <col min="4606" max="4606" width="17.85546875" style="243" customWidth="1"/>
    <col min="4607" max="4610" width="1" style="243" customWidth="1"/>
    <col min="4611" max="4611" width="17.85546875" style="243" customWidth="1"/>
    <col min="4612" max="4615" width="1" style="243" customWidth="1"/>
    <col min="4616" max="4616" width="17.85546875" style="243" customWidth="1"/>
    <col min="4617" max="4618" width="1" style="243" customWidth="1"/>
    <col min="4619" max="4673" width="0" style="243" hidden="1" customWidth="1"/>
    <col min="4674" max="4675" width="1" style="243" customWidth="1"/>
    <col min="4676" max="4676" width="17.85546875" style="243" customWidth="1"/>
    <col min="4677" max="4680" width="1" style="243" customWidth="1"/>
    <col min="4681" max="4681" width="17.85546875" style="243" customWidth="1"/>
    <col min="4682" max="4682" width="1" style="243" customWidth="1"/>
    <col min="4683" max="4683" width="2" style="243" customWidth="1"/>
    <col min="4684" max="4684" width="6.42578125" style="243" customWidth="1"/>
    <col min="4685" max="4685" width="17.42578125" style="243" customWidth="1"/>
    <col min="4686" max="4686" width="12.28515625" style="243" customWidth="1"/>
    <col min="4687" max="4795" width="10" style="243"/>
    <col min="4796" max="4796" width="1.85546875" style="243" customWidth="1"/>
    <col min="4797" max="4798" width="1" style="243" customWidth="1"/>
    <col min="4799" max="4799" width="34" style="243" customWidth="1"/>
    <col min="4800" max="4801" width="1" style="243" customWidth="1"/>
    <col min="4802" max="4802" width="17.85546875" style="243" customWidth="1"/>
    <col min="4803" max="4804" width="1" style="243" customWidth="1"/>
    <col min="4805" max="4859" width="0" style="243" hidden="1" customWidth="1"/>
    <col min="4860" max="4861" width="1" style="243" customWidth="1"/>
    <col min="4862" max="4862" width="17.85546875" style="243" customWidth="1"/>
    <col min="4863" max="4866" width="1" style="243" customWidth="1"/>
    <col min="4867" max="4867" width="17.85546875" style="243" customWidth="1"/>
    <col min="4868" max="4871" width="1" style="243" customWidth="1"/>
    <col min="4872" max="4872" width="17.85546875" style="243" customWidth="1"/>
    <col min="4873" max="4874" width="1" style="243" customWidth="1"/>
    <col min="4875" max="4929" width="0" style="243" hidden="1" customWidth="1"/>
    <col min="4930" max="4931" width="1" style="243" customWidth="1"/>
    <col min="4932" max="4932" width="17.85546875" style="243" customWidth="1"/>
    <col min="4933" max="4936" width="1" style="243" customWidth="1"/>
    <col min="4937" max="4937" width="17.85546875" style="243" customWidth="1"/>
    <col min="4938" max="4938" width="1" style="243" customWidth="1"/>
    <col min="4939" max="4939" width="2" style="243" customWidth="1"/>
    <col min="4940" max="4940" width="6.42578125" style="243" customWidth="1"/>
    <col min="4941" max="4941" width="17.42578125" style="243" customWidth="1"/>
    <col min="4942" max="4942" width="12.28515625" style="243" customWidth="1"/>
    <col min="4943" max="5051" width="10" style="243"/>
    <col min="5052" max="5052" width="1.85546875" style="243" customWidth="1"/>
    <col min="5053" max="5054" width="1" style="243" customWidth="1"/>
    <col min="5055" max="5055" width="34" style="243" customWidth="1"/>
    <col min="5056" max="5057" width="1" style="243" customWidth="1"/>
    <col min="5058" max="5058" width="17.85546875" style="243" customWidth="1"/>
    <col min="5059" max="5060" width="1" style="243" customWidth="1"/>
    <col min="5061" max="5115" width="0" style="243" hidden="1" customWidth="1"/>
    <col min="5116" max="5117" width="1" style="243" customWidth="1"/>
    <col min="5118" max="5118" width="17.85546875" style="243" customWidth="1"/>
    <col min="5119" max="5122" width="1" style="243" customWidth="1"/>
    <col min="5123" max="5123" width="17.85546875" style="243" customWidth="1"/>
    <col min="5124" max="5127" width="1" style="243" customWidth="1"/>
    <col min="5128" max="5128" width="17.85546875" style="243" customWidth="1"/>
    <col min="5129" max="5130" width="1" style="243" customWidth="1"/>
    <col min="5131" max="5185" width="0" style="243" hidden="1" customWidth="1"/>
    <col min="5186" max="5187" width="1" style="243" customWidth="1"/>
    <col min="5188" max="5188" width="17.85546875" style="243" customWidth="1"/>
    <col min="5189" max="5192" width="1" style="243" customWidth="1"/>
    <col min="5193" max="5193" width="17.85546875" style="243" customWidth="1"/>
    <col min="5194" max="5194" width="1" style="243" customWidth="1"/>
    <col min="5195" max="5195" width="2" style="243" customWidth="1"/>
    <col min="5196" max="5196" width="6.42578125" style="243" customWidth="1"/>
    <col min="5197" max="5197" width="17.42578125" style="243" customWidth="1"/>
    <col min="5198" max="5198" width="12.28515625" style="243" customWidth="1"/>
    <col min="5199" max="5307" width="10" style="243"/>
    <col min="5308" max="5308" width="1.85546875" style="243" customWidth="1"/>
    <col min="5309" max="5310" width="1" style="243" customWidth="1"/>
    <col min="5311" max="5311" width="34" style="243" customWidth="1"/>
    <col min="5312" max="5313" width="1" style="243" customWidth="1"/>
    <col min="5314" max="5314" width="17.85546875" style="243" customWidth="1"/>
    <col min="5315" max="5316" width="1" style="243" customWidth="1"/>
    <col min="5317" max="5371" width="0" style="243" hidden="1" customWidth="1"/>
    <col min="5372" max="5373" width="1" style="243" customWidth="1"/>
    <col min="5374" max="5374" width="17.85546875" style="243" customWidth="1"/>
    <col min="5375" max="5378" width="1" style="243" customWidth="1"/>
    <col min="5379" max="5379" width="17.85546875" style="243" customWidth="1"/>
    <col min="5380" max="5383" width="1" style="243" customWidth="1"/>
    <col min="5384" max="5384" width="17.85546875" style="243" customWidth="1"/>
    <col min="5385" max="5386" width="1" style="243" customWidth="1"/>
    <col min="5387" max="5441" width="0" style="243" hidden="1" customWidth="1"/>
    <col min="5442" max="5443" width="1" style="243" customWidth="1"/>
    <col min="5444" max="5444" width="17.85546875" style="243" customWidth="1"/>
    <col min="5445" max="5448" width="1" style="243" customWidth="1"/>
    <col min="5449" max="5449" width="17.85546875" style="243" customWidth="1"/>
    <col min="5450" max="5450" width="1" style="243" customWidth="1"/>
    <col min="5451" max="5451" width="2" style="243" customWidth="1"/>
    <col min="5452" max="5452" width="6.42578125" style="243" customWidth="1"/>
    <col min="5453" max="5453" width="17.42578125" style="243" customWidth="1"/>
    <col min="5454" max="5454" width="12.28515625" style="243" customWidth="1"/>
    <col min="5455" max="5563" width="10" style="243"/>
    <col min="5564" max="5564" width="1.85546875" style="243" customWidth="1"/>
    <col min="5565" max="5566" width="1" style="243" customWidth="1"/>
    <col min="5567" max="5567" width="34" style="243" customWidth="1"/>
    <col min="5568" max="5569" width="1" style="243" customWidth="1"/>
    <col min="5570" max="5570" width="17.85546875" style="243" customWidth="1"/>
    <col min="5571" max="5572" width="1" style="243" customWidth="1"/>
    <col min="5573" max="5627" width="0" style="243" hidden="1" customWidth="1"/>
    <col min="5628" max="5629" width="1" style="243" customWidth="1"/>
    <col min="5630" max="5630" width="17.85546875" style="243" customWidth="1"/>
    <col min="5631" max="5634" width="1" style="243" customWidth="1"/>
    <col min="5635" max="5635" width="17.85546875" style="243" customWidth="1"/>
    <col min="5636" max="5639" width="1" style="243" customWidth="1"/>
    <col min="5640" max="5640" width="17.85546875" style="243" customWidth="1"/>
    <col min="5641" max="5642" width="1" style="243" customWidth="1"/>
    <col min="5643" max="5697" width="0" style="243" hidden="1" customWidth="1"/>
    <col min="5698" max="5699" width="1" style="243" customWidth="1"/>
    <col min="5700" max="5700" width="17.85546875" style="243" customWidth="1"/>
    <col min="5701" max="5704" width="1" style="243" customWidth="1"/>
    <col min="5705" max="5705" width="17.85546875" style="243" customWidth="1"/>
    <col min="5706" max="5706" width="1" style="243" customWidth="1"/>
    <col min="5707" max="5707" width="2" style="243" customWidth="1"/>
    <col min="5708" max="5708" width="6.42578125" style="243" customWidth="1"/>
    <col min="5709" max="5709" width="17.42578125" style="243" customWidth="1"/>
    <col min="5710" max="5710" width="12.28515625" style="243" customWidth="1"/>
    <col min="5711" max="5819" width="10" style="243"/>
    <col min="5820" max="5820" width="1.85546875" style="243" customWidth="1"/>
    <col min="5821" max="5822" width="1" style="243" customWidth="1"/>
    <col min="5823" max="5823" width="34" style="243" customWidth="1"/>
    <col min="5824" max="5825" width="1" style="243" customWidth="1"/>
    <col min="5826" max="5826" width="17.85546875" style="243" customWidth="1"/>
    <col min="5827" max="5828" width="1" style="243" customWidth="1"/>
    <col min="5829" max="5883" width="0" style="243" hidden="1" customWidth="1"/>
    <col min="5884" max="5885" width="1" style="243" customWidth="1"/>
    <col min="5886" max="5886" width="17.85546875" style="243" customWidth="1"/>
    <col min="5887" max="5890" width="1" style="243" customWidth="1"/>
    <col min="5891" max="5891" width="17.85546875" style="243" customWidth="1"/>
    <col min="5892" max="5895" width="1" style="243" customWidth="1"/>
    <col min="5896" max="5896" width="17.85546875" style="243" customWidth="1"/>
    <col min="5897" max="5898" width="1" style="243" customWidth="1"/>
    <col min="5899" max="5953" width="0" style="243" hidden="1" customWidth="1"/>
    <col min="5954" max="5955" width="1" style="243" customWidth="1"/>
    <col min="5956" max="5956" width="17.85546875" style="243" customWidth="1"/>
    <col min="5957" max="5960" width="1" style="243" customWidth="1"/>
    <col min="5961" max="5961" width="17.85546875" style="243" customWidth="1"/>
    <col min="5962" max="5962" width="1" style="243" customWidth="1"/>
    <col min="5963" max="5963" width="2" style="243" customWidth="1"/>
    <col min="5964" max="5964" width="6.42578125" style="243" customWidth="1"/>
    <col min="5965" max="5965" width="17.42578125" style="243" customWidth="1"/>
    <col min="5966" max="5966" width="12.28515625" style="243" customWidth="1"/>
    <col min="5967" max="6075" width="10" style="243"/>
    <col min="6076" max="6076" width="1.85546875" style="243" customWidth="1"/>
    <col min="6077" max="6078" width="1" style="243" customWidth="1"/>
    <col min="6079" max="6079" width="34" style="243" customWidth="1"/>
    <col min="6080" max="6081" width="1" style="243" customWidth="1"/>
    <col min="6082" max="6082" width="17.85546875" style="243" customWidth="1"/>
    <col min="6083" max="6084" width="1" style="243" customWidth="1"/>
    <col min="6085" max="6139" width="0" style="243" hidden="1" customWidth="1"/>
    <col min="6140" max="6141" width="1" style="243" customWidth="1"/>
    <col min="6142" max="6142" width="17.85546875" style="243" customWidth="1"/>
    <col min="6143" max="6146" width="1" style="243" customWidth="1"/>
    <col min="6147" max="6147" width="17.85546875" style="243" customWidth="1"/>
    <col min="6148" max="6151" width="1" style="243" customWidth="1"/>
    <col min="6152" max="6152" width="17.85546875" style="243" customWidth="1"/>
    <col min="6153" max="6154" width="1" style="243" customWidth="1"/>
    <col min="6155" max="6209" width="0" style="243" hidden="1" customWidth="1"/>
    <col min="6210" max="6211" width="1" style="243" customWidth="1"/>
    <col min="6212" max="6212" width="17.85546875" style="243" customWidth="1"/>
    <col min="6213" max="6216" width="1" style="243" customWidth="1"/>
    <col min="6217" max="6217" width="17.85546875" style="243" customWidth="1"/>
    <col min="6218" max="6218" width="1" style="243" customWidth="1"/>
    <col min="6219" max="6219" width="2" style="243" customWidth="1"/>
    <col min="6220" max="6220" width="6.42578125" style="243" customWidth="1"/>
    <col min="6221" max="6221" width="17.42578125" style="243" customWidth="1"/>
    <col min="6222" max="6222" width="12.28515625" style="243" customWidth="1"/>
    <col min="6223" max="6331" width="10" style="243"/>
    <col min="6332" max="6332" width="1.85546875" style="243" customWidth="1"/>
    <col min="6333" max="6334" width="1" style="243" customWidth="1"/>
    <col min="6335" max="6335" width="34" style="243" customWidth="1"/>
    <col min="6336" max="6337" width="1" style="243" customWidth="1"/>
    <col min="6338" max="6338" width="17.85546875" style="243" customWidth="1"/>
    <col min="6339" max="6340" width="1" style="243" customWidth="1"/>
    <col min="6341" max="6395" width="0" style="243" hidden="1" customWidth="1"/>
    <col min="6396" max="6397" width="1" style="243" customWidth="1"/>
    <col min="6398" max="6398" width="17.85546875" style="243" customWidth="1"/>
    <col min="6399" max="6402" width="1" style="243" customWidth="1"/>
    <col min="6403" max="6403" width="17.85546875" style="243" customWidth="1"/>
    <col min="6404" max="6407" width="1" style="243" customWidth="1"/>
    <col min="6408" max="6408" width="17.85546875" style="243" customWidth="1"/>
    <col min="6409" max="6410" width="1" style="243" customWidth="1"/>
    <col min="6411" max="6465" width="0" style="243" hidden="1" customWidth="1"/>
    <col min="6466" max="6467" width="1" style="243" customWidth="1"/>
    <col min="6468" max="6468" width="17.85546875" style="243" customWidth="1"/>
    <col min="6469" max="6472" width="1" style="243" customWidth="1"/>
    <col min="6473" max="6473" width="17.85546875" style="243" customWidth="1"/>
    <col min="6474" max="6474" width="1" style="243" customWidth="1"/>
    <col min="6475" max="6475" width="2" style="243" customWidth="1"/>
    <col min="6476" max="6476" width="6.42578125" style="243" customWidth="1"/>
    <col min="6477" max="6477" width="17.42578125" style="243" customWidth="1"/>
    <col min="6478" max="6478" width="12.28515625" style="243" customWidth="1"/>
    <col min="6479" max="6587" width="10" style="243"/>
    <col min="6588" max="6588" width="1.85546875" style="243" customWidth="1"/>
    <col min="6589" max="6590" width="1" style="243" customWidth="1"/>
    <col min="6591" max="6591" width="34" style="243" customWidth="1"/>
    <col min="6592" max="6593" width="1" style="243" customWidth="1"/>
    <col min="6594" max="6594" width="17.85546875" style="243" customWidth="1"/>
    <col min="6595" max="6596" width="1" style="243" customWidth="1"/>
    <col min="6597" max="6651" width="0" style="243" hidden="1" customWidth="1"/>
    <col min="6652" max="6653" width="1" style="243" customWidth="1"/>
    <col min="6654" max="6654" width="17.85546875" style="243" customWidth="1"/>
    <col min="6655" max="6658" width="1" style="243" customWidth="1"/>
    <col min="6659" max="6659" width="17.85546875" style="243" customWidth="1"/>
    <col min="6660" max="6663" width="1" style="243" customWidth="1"/>
    <col min="6664" max="6664" width="17.85546875" style="243" customWidth="1"/>
    <col min="6665" max="6666" width="1" style="243" customWidth="1"/>
    <col min="6667" max="6721" width="0" style="243" hidden="1" customWidth="1"/>
    <col min="6722" max="6723" width="1" style="243" customWidth="1"/>
    <col min="6724" max="6724" width="17.85546875" style="243" customWidth="1"/>
    <col min="6725" max="6728" width="1" style="243" customWidth="1"/>
    <col min="6729" max="6729" width="17.85546875" style="243" customWidth="1"/>
    <col min="6730" max="6730" width="1" style="243" customWidth="1"/>
    <col min="6731" max="6731" width="2" style="243" customWidth="1"/>
    <col min="6732" max="6732" width="6.42578125" style="243" customWidth="1"/>
    <col min="6733" max="6733" width="17.42578125" style="243" customWidth="1"/>
    <col min="6734" max="6734" width="12.28515625" style="243" customWidth="1"/>
    <col min="6735" max="6843" width="10" style="243"/>
    <col min="6844" max="6844" width="1.85546875" style="243" customWidth="1"/>
    <col min="6845" max="6846" width="1" style="243" customWidth="1"/>
    <col min="6847" max="6847" width="34" style="243" customWidth="1"/>
    <col min="6848" max="6849" width="1" style="243" customWidth="1"/>
    <col min="6850" max="6850" width="17.85546875" style="243" customWidth="1"/>
    <col min="6851" max="6852" width="1" style="243" customWidth="1"/>
    <col min="6853" max="6907" width="0" style="243" hidden="1" customWidth="1"/>
    <col min="6908" max="6909" width="1" style="243" customWidth="1"/>
    <col min="6910" max="6910" width="17.85546875" style="243" customWidth="1"/>
    <col min="6911" max="6914" width="1" style="243" customWidth="1"/>
    <col min="6915" max="6915" width="17.85546875" style="243" customWidth="1"/>
    <col min="6916" max="6919" width="1" style="243" customWidth="1"/>
    <col min="6920" max="6920" width="17.85546875" style="243" customWidth="1"/>
    <col min="6921" max="6922" width="1" style="243" customWidth="1"/>
    <col min="6923" max="6977" width="0" style="243" hidden="1" customWidth="1"/>
    <col min="6978" max="6979" width="1" style="243" customWidth="1"/>
    <col min="6980" max="6980" width="17.85546875" style="243" customWidth="1"/>
    <col min="6981" max="6984" width="1" style="243" customWidth="1"/>
    <col min="6985" max="6985" width="17.85546875" style="243" customWidth="1"/>
    <col min="6986" max="6986" width="1" style="243" customWidth="1"/>
    <col min="6987" max="6987" width="2" style="243" customWidth="1"/>
    <col min="6988" max="6988" width="6.42578125" style="243" customWidth="1"/>
    <col min="6989" max="6989" width="17.42578125" style="243" customWidth="1"/>
    <col min="6990" max="6990" width="12.28515625" style="243" customWidth="1"/>
    <col min="6991" max="7099" width="10" style="243"/>
    <col min="7100" max="7100" width="1.85546875" style="243" customWidth="1"/>
    <col min="7101" max="7102" width="1" style="243" customWidth="1"/>
    <col min="7103" max="7103" width="34" style="243" customWidth="1"/>
    <col min="7104" max="7105" width="1" style="243" customWidth="1"/>
    <col min="7106" max="7106" width="17.85546875" style="243" customWidth="1"/>
    <col min="7107" max="7108" width="1" style="243" customWidth="1"/>
    <col min="7109" max="7163" width="0" style="243" hidden="1" customWidth="1"/>
    <col min="7164" max="7165" width="1" style="243" customWidth="1"/>
    <col min="7166" max="7166" width="17.85546875" style="243" customWidth="1"/>
    <col min="7167" max="7170" width="1" style="243" customWidth="1"/>
    <col min="7171" max="7171" width="17.85546875" style="243" customWidth="1"/>
    <col min="7172" max="7175" width="1" style="243" customWidth="1"/>
    <col min="7176" max="7176" width="17.85546875" style="243" customWidth="1"/>
    <col min="7177" max="7178" width="1" style="243" customWidth="1"/>
    <col min="7179" max="7233" width="0" style="243" hidden="1" customWidth="1"/>
    <col min="7234" max="7235" width="1" style="243" customWidth="1"/>
    <col min="7236" max="7236" width="17.85546875" style="243" customWidth="1"/>
    <col min="7237" max="7240" width="1" style="243" customWidth="1"/>
    <col min="7241" max="7241" width="17.85546875" style="243" customWidth="1"/>
    <col min="7242" max="7242" width="1" style="243" customWidth="1"/>
    <col min="7243" max="7243" width="2" style="243" customWidth="1"/>
    <col min="7244" max="7244" width="6.42578125" style="243" customWidth="1"/>
    <col min="7245" max="7245" width="17.42578125" style="243" customWidth="1"/>
    <col min="7246" max="7246" width="12.28515625" style="243" customWidth="1"/>
    <col min="7247" max="7355" width="10" style="243"/>
    <col min="7356" max="7356" width="1.85546875" style="243" customWidth="1"/>
    <col min="7357" max="7358" width="1" style="243" customWidth="1"/>
    <col min="7359" max="7359" width="34" style="243" customWidth="1"/>
    <col min="7360" max="7361" width="1" style="243" customWidth="1"/>
    <col min="7362" max="7362" width="17.85546875" style="243" customWidth="1"/>
    <col min="7363" max="7364" width="1" style="243" customWidth="1"/>
    <col min="7365" max="7419" width="0" style="243" hidden="1" customWidth="1"/>
    <col min="7420" max="7421" width="1" style="243" customWidth="1"/>
    <col min="7422" max="7422" width="17.85546875" style="243" customWidth="1"/>
    <col min="7423" max="7426" width="1" style="243" customWidth="1"/>
    <col min="7427" max="7427" width="17.85546875" style="243" customWidth="1"/>
    <col min="7428" max="7431" width="1" style="243" customWidth="1"/>
    <col min="7432" max="7432" width="17.85546875" style="243" customWidth="1"/>
    <col min="7433" max="7434" width="1" style="243" customWidth="1"/>
    <col min="7435" max="7489" width="0" style="243" hidden="1" customWidth="1"/>
    <col min="7490" max="7491" width="1" style="243" customWidth="1"/>
    <col min="7492" max="7492" width="17.85546875" style="243" customWidth="1"/>
    <col min="7493" max="7496" width="1" style="243" customWidth="1"/>
    <col min="7497" max="7497" width="17.85546875" style="243" customWidth="1"/>
    <col min="7498" max="7498" width="1" style="243" customWidth="1"/>
    <col min="7499" max="7499" width="2" style="243" customWidth="1"/>
    <col min="7500" max="7500" width="6.42578125" style="243" customWidth="1"/>
    <col min="7501" max="7501" width="17.42578125" style="243" customWidth="1"/>
    <col min="7502" max="7502" width="12.28515625" style="243" customWidth="1"/>
    <col min="7503" max="7611" width="10" style="243"/>
    <col min="7612" max="7612" width="1.85546875" style="243" customWidth="1"/>
    <col min="7613" max="7614" width="1" style="243" customWidth="1"/>
    <col min="7615" max="7615" width="34" style="243" customWidth="1"/>
    <col min="7616" max="7617" width="1" style="243" customWidth="1"/>
    <col min="7618" max="7618" width="17.85546875" style="243" customWidth="1"/>
    <col min="7619" max="7620" width="1" style="243" customWidth="1"/>
    <col min="7621" max="7675" width="0" style="243" hidden="1" customWidth="1"/>
    <col min="7676" max="7677" width="1" style="243" customWidth="1"/>
    <col min="7678" max="7678" width="17.85546875" style="243" customWidth="1"/>
    <col min="7679" max="7682" width="1" style="243" customWidth="1"/>
    <col min="7683" max="7683" width="17.85546875" style="243" customWidth="1"/>
    <col min="7684" max="7687" width="1" style="243" customWidth="1"/>
    <col min="7688" max="7688" width="17.85546875" style="243" customWidth="1"/>
    <col min="7689" max="7690" width="1" style="243" customWidth="1"/>
    <col min="7691" max="7745" width="0" style="243" hidden="1" customWidth="1"/>
    <col min="7746" max="7747" width="1" style="243" customWidth="1"/>
    <col min="7748" max="7748" width="17.85546875" style="243" customWidth="1"/>
    <col min="7749" max="7752" width="1" style="243" customWidth="1"/>
    <col min="7753" max="7753" width="17.85546875" style="243" customWidth="1"/>
    <col min="7754" max="7754" width="1" style="243" customWidth="1"/>
    <col min="7755" max="7755" width="2" style="243" customWidth="1"/>
    <col min="7756" max="7756" width="6.42578125" style="243" customWidth="1"/>
    <col min="7757" max="7757" width="17.42578125" style="243" customWidth="1"/>
    <col min="7758" max="7758" width="12.28515625" style="243" customWidth="1"/>
    <col min="7759" max="7867" width="10" style="243"/>
    <col min="7868" max="7868" width="1.85546875" style="243" customWidth="1"/>
    <col min="7869" max="7870" width="1" style="243" customWidth="1"/>
    <col min="7871" max="7871" width="34" style="243" customWidth="1"/>
    <col min="7872" max="7873" width="1" style="243" customWidth="1"/>
    <col min="7874" max="7874" width="17.85546875" style="243" customWidth="1"/>
    <col min="7875" max="7876" width="1" style="243" customWidth="1"/>
    <col min="7877" max="7931" width="0" style="243" hidden="1" customWidth="1"/>
    <col min="7932" max="7933" width="1" style="243" customWidth="1"/>
    <col min="7934" max="7934" width="17.85546875" style="243" customWidth="1"/>
    <col min="7935" max="7938" width="1" style="243" customWidth="1"/>
    <col min="7939" max="7939" width="17.85546875" style="243" customWidth="1"/>
    <col min="7940" max="7943" width="1" style="243" customWidth="1"/>
    <col min="7944" max="7944" width="17.85546875" style="243" customWidth="1"/>
    <col min="7945" max="7946" width="1" style="243" customWidth="1"/>
    <col min="7947" max="8001" width="0" style="243" hidden="1" customWidth="1"/>
    <col min="8002" max="8003" width="1" style="243" customWidth="1"/>
    <col min="8004" max="8004" width="17.85546875" style="243" customWidth="1"/>
    <col min="8005" max="8008" width="1" style="243" customWidth="1"/>
    <col min="8009" max="8009" width="17.85546875" style="243" customWidth="1"/>
    <col min="8010" max="8010" width="1" style="243" customWidth="1"/>
    <col min="8011" max="8011" width="2" style="243" customWidth="1"/>
    <col min="8012" max="8012" width="6.42578125" style="243" customWidth="1"/>
    <col min="8013" max="8013" width="17.42578125" style="243" customWidth="1"/>
    <col min="8014" max="8014" width="12.28515625" style="243" customWidth="1"/>
    <col min="8015" max="8123" width="10" style="243"/>
    <col min="8124" max="8124" width="1.85546875" style="243" customWidth="1"/>
    <col min="8125" max="8126" width="1" style="243" customWidth="1"/>
    <col min="8127" max="8127" width="34" style="243" customWidth="1"/>
    <col min="8128" max="8129" width="1" style="243" customWidth="1"/>
    <col min="8130" max="8130" width="17.85546875" style="243" customWidth="1"/>
    <col min="8131" max="8132" width="1" style="243" customWidth="1"/>
    <col min="8133" max="8187" width="0" style="243" hidden="1" customWidth="1"/>
    <col min="8188" max="8189" width="1" style="243" customWidth="1"/>
    <col min="8190" max="8190" width="17.85546875" style="243" customWidth="1"/>
    <col min="8191" max="8194" width="1" style="243" customWidth="1"/>
    <col min="8195" max="8195" width="17.85546875" style="243" customWidth="1"/>
    <col min="8196" max="8199" width="1" style="243" customWidth="1"/>
    <col min="8200" max="8200" width="17.85546875" style="243" customWidth="1"/>
    <col min="8201" max="8202" width="1" style="243" customWidth="1"/>
    <col min="8203" max="8257" width="0" style="243" hidden="1" customWidth="1"/>
    <col min="8258" max="8259" width="1" style="243" customWidth="1"/>
    <col min="8260" max="8260" width="17.85546875" style="243" customWidth="1"/>
    <col min="8261" max="8264" width="1" style="243" customWidth="1"/>
    <col min="8265" max="8265" width="17.85546875" style="243" customWidth="1"/>
    <col min="8266" max="8266" width="1" style="243" customWidth="1"/>
    <col min="8267" max="8267" width="2" style="243" customWidth="1"/>
    <col min="8268" max="8268" width="6.42578125" style="243" customWidth="1"/>
    <col min="8269" max="8269" width="17.42578125" style="243" customWidth="1"/>
    <col min="8270" max="8270" width="12.28515625" style="243" customWidth="1"/>
    <col min="8271" max="8379" width="10" style="243"/>
    <col min="8380" max="8380" width="1.85546875" style="243" customWidth="1"/>
    <col min="8381" max="8382" width="1" style="243" customWidth="1"/>
    <col min="8383" max="8383" width="34" style="243" customWidth="1"/>
    <col min="8384" max="8385" width="1" style="243" customWidth="1"/>
    <col min="8386" max="8386" width="17.85546875" style="243" customWidth="1"/>
    <col min="8387" max="8388" width="1" style="243" customWidth="1"/>
    <col min="8389" max="8443" width="0" style="243" hidden="1" customWidth="1"/>
    <col min="8444" max="8445" width="1" style="243" customWidth="1"/>
    <col min="8446" max="8446" width="17.85546875" style="243" customWidth="1"/>
    <col min="8447" max="8450" width="1" style="243" customWidth="1"/>
    <col min="8451" max="8451" width="17.85546875" style="243" customWidth="1"/>
    <col min="8452" max="8455" width="1" style="243" customWidth="1"/>
    <col min="8456" max="8456" width="17.85546875" style="243" customWidth="1"/>
    <col min="8457" max="8458" width="1" style="243" customWidth="1"/>
    <col min="8459" max="8513" width="0" style="243" hidden="1" customWidth="1"/>
    <col min="8514" max="8515" width="1" style="243" customWidth="1"/>
    <col min="8516" max="8516" width="17.85546875" style="243" customWidth="1"/>
    <col min="8517" max="8520" width="1" style="243" customWidth="1"/>
    <col min="8521" max="8521" width="17.85546875" style="243" customWidth="1"/>
    <col min="8522" max="8522" width="1" style="243" customWidth="1"/>
    <col min="8523" max="8523" width="2" style="243" customWidth="1"/>
    <col min="8524" max="8524" width="6.42578125" style="243" customWidth="1"/>
    <col min="8525" max="8525" width="17.42578125" style="243" customWidth="1"/>
    <col min="8526" max="8526" width="12.28515625" style="243" customWidth="1"/>
    <col min="8527" max="8635" width="10" style="243"/>
    <col min="8636" max="8636" width="1.85546875" style="243" customWidth="1"/>
    <col min="8637" max="8638" width="1" style="243" customWidth="1"/>
    <col min="8639" max="8639" width="34" style="243" customWidth="1"/>
    <col min="8640" max="8641" width="1" style="243" customWidth="1"/>
    <col min="8642" max="8642" width="17.85546875" style="243" customWidth="1"/>
    <col min="8643" max="8644" width="1" style="243" customWidth="1"/>
    <col min="8645" max="8699" width="0" style="243" hidden="1" customWidth="1"/>
    <col min="8700" max="8701" width="1" style="243" customWidth="1"/>
    <col min="8702" max="8702" width="17.85546875" style="243" customWidth="1"/>
    <col min="8703" max="8706" width="1" style="243" customWidth="1"/>
    <col min="8707" max="8707" width="17.85546875" style="243" customWidth="1"/>
    <col min="8708" max="8711" width="1" style="243" customWidth="1"/>
    <col min="8712" max="8712" width="17.85546875" style="243" customWidth="1"/>
    <col min="8713" max="8714" width="1" style="243" customWidth="1"/>
    <col min="8715" max="8769" width="0" style="243" hidden="1" customWidth="1"/>
    <col min="8770" max="8771" width="1" style="243" customWidth="1"/>
    <col min="8772" max="8772" width="17.85546875" style="243" customWidth="1"/>
    <col min="8773" max="8776" width="1" style="243" customWidth="1"/>
    <col min="8777" max="8777" width="17.85546875" style="243" customWidth="1"/>
    <col min="8778" max="8778" width="1" style="243" customWidth="1"/>
    <col min="8779" max="8779" width="2" style="243" customWidth="1"/>
    <col min="8780" max="8780" width="6.42578125" style="243" customWidth="1"/>
    <col min="8781" max="8781" width="17.42578125" style="243" customWidth="1"/>
    <col min="8782" max="8782" width="12.28515625" style="243" customWidth="1"/>
    <col min="8783" max="8891" width="10" style="243"/>
    <col min="8892" max="8892" width="1.85546875" style="243" customWidth="1"/>
    <col min="8893" max="8894" width="1" style="243" customWidth="1"/>
    <col min="8895" max="8895" width="34" style="243" customWidth="1"/>
    <col min="8896" max="8897" width="1" style="243" customWidth="1"/>
    <col min="8898" max="8898" width="17.85546875" style="243" customWidth="1"/>
    <col min="8899" max="8900" width="1" style="243" customWidth="1"/>
    <col min="8901" max="8955" width="0" style="243" hidden="1" customWidth="1"/>
    <col min="8956" max="8957" width="1" style="243" customWidth="1"/>
    <col min="8958" max="8958" width="17.85546875" style="243" customWidth="1"/>
    <col min="8959" max="8962" width="1" style="243" customWidth="1"/>
    <col min="8963" max="8963" width="17.85546875" style="243" customWidth="1"/>
    <col min="8964" max="8967" width="1" style="243" customWidth="1"/>
    <col min="8968" max="8968" width="17.85546875" style="243" customWidth="1"/>
    <col min="8969" max="8970" width="1" style="243" customWidth="1"/>
    <col min="8971" max="9025" width="0" style="243" hidden="1" customWidth="1"/>
    <col min="9026" max="9027" width="1" style="243" customWidth="1"/>
    <col min="9028" max="9028" width="17.85546875" style="243" customWidth="1"/>
    <col min="9029" max="9032" width="1" style="243" customWidth="1"/>
    <col min="9033" max="9033" width="17.85546875" style="243" customWidth="1"/>
    <col min="9034" max="9034" width="1" style="243" customWidth="1"/>
    <col min="9035" max="9035" width="2" style="243" customWidth="1"/>
    <col min="9036" max="9036" width="6.42578125" style="243" customWidth="1"/>
    <col min="9037" max="9037" width="17.42578125" style="243" customWidth="1"/>
    <col min="9038" max="9038" width="12.28515625" style="243" customWidth="1"/>
    <col min="9039" max="9147" width="10" style="243"/>
    <col min="9148" max="9148" width="1.85546875" style="243" customWidth="1"/>
    <col min="9149" max="9150" width="1" style="243" customWidth="1"/>
    <col min="9151" max="9151" width="34" style="243" customWidth="1"/>
    <col min="9152" max="9153" width="1" style="243" customWidth="1"/>
    <col min="9154" max="9154" width="17.85546875" style="243" customWidth="1"/>
    <col min="9155" max="9156" width="1" style="243" customWidth="1"/>
    <col min="9157" max="9211" width="0" style="243" hidden="1" customWidth="1"/>
    <col min="9212" max="9213" width="1" style="243" customWidth="1"/>
    <col min="9214" max="9214" width="17.85546875" style="243" customWidth="1"/>
    <col min="9215" max="9218" width="1" style="243" customWidth="1"/>
    <col min="9219" max="9219" width="17.85546875" style="243" customWidth="1"/>
    <col min="9220" max="9223" width="1" style="243" customWidth="1"/>
    <col min="9224" max="9224" width="17.85546875" style="243" customWidth="1"/>
    <col min="9225" max="9226" width="1" style="243" customWidth="1"/>
    <col min="9227" max="9281" width="0" style="243" hidden="1" customWidth="1"/>
    <col min="9282" max="9283" width="1" style="243" customWidth="1"/>
    <col min="9284" max="9284" width="17.85546875" style="243" customWidth="1"/>
    <col min="9285" max="9288" width="1" style="243" customWidth="1"/>
    <col min="9289" max="9289" width="17.85546875" style="243" customWidth="1"/>
    <col min="9290" max="9290" width="1" style="243" customWidth="1"/>
    <col min="9291" max="9291" width="2" style="243" customWidth="1"/>
    <col min="9292" max="9292" width="6.42578125" style="243" customWidth="1"/>
    <col min="9293" max="9293" width="17.42578125" style="243" customWidth="1"/>
    <col min="9294" max="9294" width="12.28515625" style="243" customWidth="1"/>
    <col min="9295" max="9403" width="10" style="243"/>
    <col min="9404" max="9404" width="1.85546875" style="243" customWidth="1"/>
    <col min="9405" max="9406" width="1" style="243" customWidth="1"/>
    <col min="9407" max="9407" width="34" style="243" customWidth="1"/>
    <col min="9408" max="9409" width="1" style="243" customWidth="1"/>
    <col min="9410" max="9410" width="17.85546875" style="243" customWidth="1"/>
    <col min="9411" max="9412" width="1" style="243" customWidth="1"/>
    <col min="9413" max="9467" width="0" style="243" hidden="1" customWidth="1"/>
    <col min="9468" max="9469" width="1" style="243" customWidth="1"/>
    <col min="9470" max="9470" width="17.85546875" style="243" customWidth="1"/>
    <col min="9471" max="9474" width="1" style="243" customWidth="1"/>
    <col min="9475" max="9475" width="17.85546875" style="243" customWidth="1"/>
    <col min="9476" max="9479" width="1" style="243" customWidth="1"/>
    <col min="9480" max="9480" width="17.85546875" style="243" customWidth="1"/>
    <col min="9481" max="9482" width="1" style="243" customWidth="1"/>
    <col min="9483" max="9537" width="0" style="243" hidden="1" customWidth="1"/>
    <col min="9538" max="9539" width="1" style="243" customWidth="1"/>
    <col min="9540" max="9540" width="17.85546875" style="243" customWidth="1"/>
    <col min="9541" max="9544" width="1" style="243" customWidth="1"/>
    <col min="9545" max="9545" width="17.85546875" style="243" customWidth="1"/>
    <col min="9546" max="9546" width="1" style="243" customWidth="1"/>
    <col min="9547" max="9547" width="2" style="243" customWidth="1"/>
    <col min="9548" max="9548" width="6.42578125" style="243" customWidth="1"/>
    <col min="9549" max="9549" width="17.42578125" style="243" customWidth="1"/>
    <col min="9550" max="9550" width="12.28515625" style="243" customWidth="1"/>
    <col min="9551" max="9659" width="10" style="243"/>
    <col min="9660" max="9660" width="1.85546875" style="243" customWidth="1"/>
    <col min="9661" max="9662" width="1" style="243" customWidth="1"/>
    <col min="9663" max="9663" width="34" style="243" customWidth="1"/>
    <col min="9664" max="9665" width="1" style="243" customWidth="1"/>
    <col min="9666" max="9666" width="17.85546875" style="243" customWidth="1"/>
    <col min="9667" max="9668" width="1" style="243" customWidth="1"/>
    <col min="9669" max="9723" width="0" style="243" hidden="1" customWidth="1"/>
    <col min="9724" max="9725" width="1" style="243" customWidth="1"/>
    <col min="9726" max="9726" width="17.85546875" style="243" customWidth="1"/>
    <col min="9727" max="9730" width="1" style="243" customWidth="1"/>
    <col min="9731" max="9731" width="17.85546875" style="243" customWidth="1"/>
    <col min="9732" max="9735" width="1" style="243" customWidth="1"/>
    <col min="9736" max="9736" width="17.85546875" style="243" customWidth="1"/>
    <col min="9737" max="9738" width="1" style="243" customWidth="1"/>
    <col min="9739" max="9793" width="0" style="243" hidden="1" customWidth="1"/>
    <col min="9794" max="9795" width="1" style="243" customWidth="1"/>
    <col min="9796" max="9796" width="17.85546875" style="243" customWidth="1"/>
    <col min="9797" max="9800" width="1" style="243" customWidth="1"/>
    <col min="9801" max="9801" width="17.85546875" style="243" customWidth="1"/>
    <col min="9802" max="9802" width="1" style="243" customWidth="1"/>
    <col min="9803" max="9803" width="2" style="243" customWidth="1"/>
    <col min="9804" max="9804" width="6.42578125" style="243" customWidth="1"/>
    <col min="9805" max="9805" width="17.42578125" style="243" customWidth="1"/>
    <col min="9806" max="9806" width="12.28515625" style="243" customWidth="1"/>
    <col min="9807" max="9915" width="10" style="243"/>
    <col min="9916" max="9916" width="1.85546875" style="243" customWidth="1"/>
    <col min="9917" max="9918" width="1" style="243" customWidth="1"/>
    <col min="9919" max="9919" width="34" style="243" customWidth="1"/>
    <col min="9920" max="9921" width="1" style="243" customWidth="1"/>
    <col min="9922" max="9922" width="17.85546875" style="243" customWidth="1"/>
    <col min="9923" max="9924" width="1" style="243" customWidth="1"/>
    <col min="9925" max="9979" width="0" style="243" hidden="1" customWidth="1"/>
    <col min="9980" max="9981" width="1" style="243" customWidth="1"/>
    <col min="9982" max="9982" width="17.85546875" style="243" customWidth="1"/>
    <col min="9983" max="9986" width="1" style="243" customWidth="1"/>
    <col min="9987" max="9987" width="17.85546875" style="243" customWidth="1"/>
    <col min="9988" max="9991" width="1" style="243" customWidth="1"/>
    <col min="9992" max="9992" width="17.85546875" style="243" customWidth="1"/>
    <col min="9993" max="9994" width="1" style="243" customWidth="1"/>
    <col min="9995" max="10049" width="0" style="243" hidden="1" customWidth="1"/>
    <col min="10050" max="10051" width="1" style="243" customWidth="1"/>
    <col min="10052" max="10052" width="17.85546875" style="243" customWidth="1"/>
    <col min="10053" max="10056" width="1" style="243" customWidth="1"/>
    <col min="10057" max="10057" width="17.85546875" style="243" customWidth="1"/>
    <col min="10058" max="10058" width="1" style="243" customWidth="1"/>
    <col min="10059" max="10059" width="2" style="243" customWidth="1"/>
    <col min="10060" max="10060" width="6.42578125" style="243" customWidth="1"/>
    <col min="10061" max="10061" width="17.42578125" style="243" customWidth="1"/>
    <col min="10062" max="10062" width="12.28515625" style="243" customWidth="1"/>
    <col min="10063" max="10171" width="10" style="243"/>
    <col min="10172" max="10172" width="1.85546875" style="243" customWidth="1"/>
    <col min="10173" max="10174" width="1" style="243" customWidth="1"/>
    <col min="10175" max="10175" width="34" style="243" customWidth="1"/>
    <col min="10176" max="10177" width="1" style="243" customWidth="1"/>
    <col min="10178" max="10178" width="17.85546875" style="243" customWidth="1"/>
    <col min="10179" max="10180" width="1" style="243" customWidth="1"/>
    <col min="10181" max="10235" width="0" style="243" hidden="1" customWidth="1"/>
    <col min="10236" max="10237" width="1" style="243" customWidth="1"/>
    <col min="10238" max="10238" width="17.85546875" style="243" customWidth="1"/>
    <col min="10239" max="10242" width="1" style="243" customWidth="1"/>
    <col min="10243" max="10243" width="17.85546875" style="243" customWidth="1"/>
    <col min="10244" max="10247" width="1" style="243" customWidth="1"/>
    <col min="10248" max="10248" width="17.85546875" style="243" customWidth="1"/>
    <col min="10249" max="10250" width="1" style="243" customWidth="1"/>
    <col min="10251" max="10305" width="0" style="243" hidden="1" customWidth="1"/>
    <col min="10306" max="10307" width="1" style="243" customWidth="1"/>
    <col min="10308" max="10308" width="17.85546875" style="243" customWidth="1"/>
    <col min="10309" max="10312" width="1" style="243" customWidth="1"/>
    <col min="10313" max="10313" width="17.85546875" style="243" customWidth="1"/>
    <col min="10314" max="10314" width="1" style="243" customWidth="1"/>
    <col min="10315" max="10315" width="2" style="243" customWidth="1"/>
    <col min="10316" max="10316" width="6.42578125" style="243" customWidth="1"/>
    <col min="10317" max="10317" width="17.42578125" style="243" customWidth="1"/>
    <col min="10318" max="10318" width="12.28515625" style="243" customWidth="1"/>
    <col min="10319" max="10427" width="10" style="243"/>
    <col min="10428" max="10428" width="1.85546875" style="243" customWidth="1"/>
    <col min="10429" max="10430" width="1" style="243" customWidth="1"/>
    <col min="10431" max="10431" width="34" style="243" customWidth="1"/>
    <col min="10432" max="10433" width="1" style="243" customWidth="1"/>
    <col min="10434" max="10434" width="17.85546875" style="243" customWidth="1"/>
    <col min="10435" max="10436" width="1" style="243" customWidth="1"/>
    <col min="10437" max="10491" width="0" style="243" hidden="1" customWidth="1"/>
    <col min="10492" max="10493" width="1" style="243" customWidth="1"/>
    <col min="10494" max="10494" width="17.85546875" style="243" customWidth="1"/>
    <col min="10495" max="10498" width="1" style="243" customWidth="1"/>
    <col min="10499" max="10499" width="17.85546875" style="243" customWidth="1"/>
    <col min="10500" max="10503" width="1" style="243" customWidth="1"/>
    <col min="10504" max="10504" width="17.85546875" style="243" customWidth="1"/>
    <col min="10505" max="10506" width="1" style="243" customWidth="1"/>
    <col min="10507" max="10561" width="0" style="243" hidden="1" customWidth="1"/>
    <col min="10562" max="10563" width="1" style="243" customWidth="1"/>
    <col min="10564" max="10564" width="17.85546875" style="243" customWidth="1"/>
    <col min="10565" max="10568" width="1" style="243" customWidth="1"/>
    <col min="10569" max="10569" width="17.85546875" style="243" customWidth="1"/>
    <col min="10570" max="10570" width="1" style="243" customWidth="1"/>
    <col min="10571" max="10571" width="2" style="243" customWidth="1"/>
    <col min="10572" max="10572" width="6.42578125" style="243" customWidth="1"/>
    <col min="10573" max="10573" width="17.42578125" style="243" customWidth="1"/>
    <col min="10574" max="10574" width="12.28515625" style="243" customWidth="1"/>
    <col min="10575" max="10683" width="10" style="243"/>
    <col min="10684" max="10684" width="1.85546875" style="243" customWidth="1"/>
    <col min="10685" max="10686" width="1" style="243" customWidth="1"/>
    <col min="10687" max="10687" width="34" style="243" customWidth="1"/>
    <col min="10688" max="10689" width="1" style="243" customWidth="1"/>
    <col min="10690" max="10690" width="17.85546875" style="243" customWidth="1"/>
    <col min="10691" max="10692" width="1" style="243" customWidth="1"/>
    <col min="10693" max="10747" width="0" style="243" hidden="1" customWidth="1"/>
    <col min="10748" max="10749" width="1" style="243" customWidth="1"/>
    <col min="10750" max="10750" width="17.85546875" style="243" customWidth="1"/>
    <col min="10751" max="10754" width="1" style="243" customWidth="1"/>
    <col min="10755" max="10755" width="17.85546875" style="243" customWidth="1"/>
    <col min="10756" max="10759" width="1" style="243" customWidth="1"/>
    <col min="10760" max="10760" width="17.85546875" style="243" customWidth="1"/>
    <col min="10761" max="10762" width="1" style="243" customWidth="1"/>
    <col min="10763" max="10817" width="0" style="243" hidden="1" customWidth="1"/>
    <col min="10818" max="10819" width="1" style="243" customWidth="1"/>
    <col min="10820" max="10820" width="17.85546875" style="243" customWidth="1"/>
    <col min="10821" max="10824" width="1" style="243" customWidth="1"/>
    <col min="10825" max="10825" width="17.85546875" style="243" customWidth="1"/>
    <col min="10826" max="10826" width="1" style="243" customWidth="1"/>
    <col min="10827" max="10827" width="2" style="243" customWidth="1"/>
    <col min="10828" max="10828" width="6.42578125" style="243" customWidth="1"/>
    <col min="10829" max="10829" width="17.42578125" style="243" customWidth="1"/>
    <col min="10830" max="10830" width="12.28515625" style="243" customWidth="1"/>
    <col min="10831" max="10939" width="10" style="243"/>
    <col min="10940" max="10940" width="1.85546875" style="243" customWidth="1"/>
    <col min="10941" max="10942" width="1" style="243" customWidth="1"/>
    <col min="10943" max="10943" width="34" style="243" customWidth="1"/>
    <col min="10944" max="10945" width="1" style="243" customWidth="1"/>
    <col min="10946" max="10946" width="17.85546875" style="243" customWidth="1"/>
    <col min="10947" max="10948" width="1" style="243" customWidth="1"/>
    <col min="10949" max="11003" width="0" style="243" hidden="1" customWidth="1"/>
    <col min="11004" max="11005" width="1" style="243" customWidth="1"/>
    <col min="11006" max="11006" width="17.85546875" style="243" customWidth="1"/>
    <col min="11007" max="11010" width="1" style="243" customWidth="1"/>
    <col min="11011" max="11011" width="17.85546875" style="243" customWidth="1"/>
    <col min="11012" max="11015" width="1" style="243" customWidth="1"/>
    <col min="11016" max="11016" width="17.85546875" style="243" customWidth="1"/>
    <col min="11017" max="11018" width="1" style="243" customWidth="1"/>
    <col min="11019" max="11073" width="0" style="243" hidden="1" customWidth="1"/>
    <col min="11074" max="11075" width="1" style="243" customWidth="1"/>
    <col min="11076" max="11076" width="17.85546875" style="243" customWidth="1"/>
    <col min="11077" max="11080" width="1" style="243" customWidth="1"/>
    <col min="11081" max="11081" width="17.85546875" style="243" customWidth="1"/>
    <col min="11082" max="11082" width="1" style="243" customWidth="1"/>
    <col min="11083" max="11083" width="2" style="243" customWidth="1"/>
    <col min="11084" max="11084" width="6.42578125" style="243" customWidth="1"/>
    <col min="11085" max="11085" width="17.42578125" style="243" customWidth="1"/>
    <col min="11086" max="11086" width="12.28515625" style="243" customWidth="1"/>
    <col min="11087" max="11195" width="10" style="243"/>
    <col min="11196" max="11196" width="1.85546875" style="243" customWidth="1"/>
    <col min="11197" max="11198" width="1" style="243" customWidth="1"/>
    <col min="11199" max="11199" width="34" style="243" customWidth="1"/>
    <col min="11200" max="11201" width="1" style="243" customWidth="1"/>
    <col min="11202" max="11202" width="17.85546875" style="243" customWidth="1"/>
    <col min="11203" max="11204" width="1" style="243" customWidth="1"/>
    <col min="11205" max="11259" width="0" style="243" hidden="1" customWidth="1"/>
    <col min="11260" max="11261" width="1" style="243" customWidth="1"/>
    <col min="11262" max="11262" width="17.85546875" style="243" customWidth="1"/>
    <col min="11263" max="11266" width="1" style="243" customWidth="1"/>
    <col min="11267" max="11267" width="17.85546875" style="243" customWidth="1"/>
    <col min="11268" max="11271" width="1" style="243" customWidth="1"/>
    <col min="11272" max="11272" width="17.85546875" style="243" customWidth="1"/>
    <col min="11273" max="11274" width="1" style="243" customWidth="1"/>
    <col min="11275" max="11329" width="0" style="243" hidden="1" customWidth="1"/>
    <col min="11330" max="11331" width="1" style="243" customWidth="1"/>
    <col min="11332" max="11332" width="17.85546875" style="243" customWidth="1"/>
    <col min="11333" max="11336" width="1" style="243" customWidth="1"/>
    <col min="11337" max="11337" width="17.85546875" style="243" customWidth="1"/>
    <col min="11338" max="11338" width="1" style="243" customWidth="1"/>
    <col min="11339" max="11339" width="2" style="243" customWidth="1"/>
    <col min="11340" max="11340" width="6.42578125" style="243" customWidth="1"/>
    <col min="11341" max="11341" width="17.42578125" style="243" customWidth="1"/>
    <col min="11342" max="11342" width="12.28515625" style="243" customWidth="1"/>
    <col min="11343" max="11451" width="10" style="243"/>
    <col min="11452" max="11452" width="1.85546875" style="243" customWidth="1"/>
    <col min="11453" max="11454" width="1" style="243" customWidth="1"/>
    <col min="11455" max="11455" width="34" style="243" customWidth="1"/>
    <col min="11456" max="11457" width="1" style="243" customWidth="1"/>
    <col min="11458" max="11458" width="17.85546875" style="243" customWidth="1"/>
    <col min="11459" max="11460" width="1" style="243" customWidth="1"/>
    <col min="11461" max="11515" width="0" style="243" hidden="1" customWidth="1"/>
    <col min="11516" max="11517" width="1" style="243" customWidth="1"/>
    <col min="11518" max="11518" width="17.85546875" style="243" customWidth="1"/>
    <col min="11519" max="11522" width="1" style="243" customWidth="1"/>
    <col min="11523" max="11523" width="17.85546875" style="243" customWidth="1"/>
    <col min="11524" max="11527" width="1" style="243" customWidth="1"/>
    <col min="11528" max="11528" width="17.85546875" style="243" customWidth="1"/>
    <col min="11529" max="11530" width="1" style="243" customWidth="1"/>
    <col min="11531" max="11585" width="0" style="243" hidden="1" customWidth="1"/>
    <col min="11586" max="11587" width="1" style="243" customWidth="1"/>
    <col min="11588" max="11588" width="17.85546875" style="243" customWidth="1"/>
    <col min="11589" max="11592" width="1" style="243" customWidth="1"/>
    <col min="11593" max="11593" width="17.85546875" style="243" customWidth="1"/>
    <col min="11594" max="11594" width="1" style="243" customWidth="1"/>
    <col min="11595" max="11595" width="2" style="243" customWidth="1"/>
    <col min="11596" max="11596" width="6.42578125" style="243" customWidth="1"/>
    <col min="11597" max="11597" width="17.42578125" style="243" customWidth="1"/>
    <col min="11598" max="11598" width="12.28515625" style="243" customWidth="1"/>
    <col min="11599" max="11707" width="10" style="243"/>
    <col min="11708" max="11708" width="1.85546875" style="243" customWidth="1"/>
    <col min="11709" max="11710" width="1" style="243" customWidth="1"/>
    <col min="11711" max="11711" width="34" style="243" customWidth="1"/>
    <col min="11712" max="11713" width="1" style="243" customWidth="1"/>
    <col min="11714" max="11714" width="17.85546875" style="243" customWidth="1"/>
    <col min="11715" max="11716" width="1" style="243" customWidth="1"/>
    <col min="11717" max="11771" width="0" style="243" hidden="1" customWidth="1"/>
    <col min="11772" max="11773" width="1" style="243" customWidth="1"/>
    <col min="11774" max="11774" width="17.85546875" style="243" customWidth="1"/>
    <col min="11775" max="11778" width="1" style="243" customWidth="1"/>
    <col min="11779" max="11779" width="17.85546875" style="243" customWidth="1"/>
    <col min="11780" max="11783" width="1" style="243" customWidth="1"/>
    <col min="11784" max="11784" width="17.85546875" style="243" customWidth="1"/>
    <col min="11785" max="11786" width="1" style="243" customWidth="1"/>
    <col min="11787" max="11841" width="0" style="243" hidden="1" customWidth="1"/>
    <col min="11842" max="11843" width="1" style="243" customWidth="1"/>
    <col min="11844" max="11844" width="17.85546875" style="243" customWidth="1"/>
    <col min="11845" max="11848" width="1" style="243" customWidth="1"/>
    <col min="11849" max="11849" width="17.85546875" style="243" customWidth="1"/>
    <col min="11850" max="11850" width="1" style="243" customWidth="1"/>
    <col min="11851" max="11851" width="2" style="243" customWidth="1"/>
    <col min="11852" max="11852" width="6.42578125" style="243" customWidth="1"/>
    <col min="11853" max="11853" width="17.42578125" style="243" customWidth="1"/>
    <col min="11854" max="11854" width="12.28515625" style="243" customWidth="1"/>
    <col min="11855" max="11963" width="10" style="243"/>
    <col min="11964" max="11964" width="1.85546875" style="243" customWidth="1"/>
    <col min="11965" max="11966" width="1" style="243" customWidth="1"/>
    <col min="11967" max="11967" width="34" style="243" customWidth="1"/>
    <col min="11968" max="11969" width="1" style="243" customWidth="1"/>
    <col min="11970" max="11970" width="17.85546875" style="243" customWidth="1"/>
    <col min="11971" max="11972" width="1" style="243" customWidth="1"/>
    <col min="11973" max="12027" width="0" style="243" hidden="1" customWidth="1"/>
    <col min="12028" max="12029" width="1" style="243" customWidth="1"/>
    <col min="12030" max="12030" width="17.85546875" style="243" customWidth="1"/>
    <col min="12031" max="12034" width="1" style="243" customWidth="1"/>
    <col min="12035" max="12035" width="17.85546875" style="243" customWidth="1"/>
    <col min="12036" max="12039" width="1" style="243" customWidth="1"/>
    <col min="12040" max="12040" width="17.85546875" style="243" customWidth="1"/>
    <col min="12041" max="12042" width="1" style="243" customWidth="1"/>
    <col min="12043" max="12097" width="0" style="243" hidden="1" customWidth="1"/>
    <col min="12098" max="12099" width="1" style="243" customWidth="1"/>
    <col min="12100" max="12100" width="17.85546875" style="243" customWidth="1"/>
    <col min="12101" max="12104" width="1" style="243" customWidth="1"/>
    <col min="12105" max="12105" width="17.85546875" style="243" customWidth="1"/>
    <col min="12106" max="12106" width="1" style="243" customWidth="1"/>
    <col min="12107" max="12107" width="2" style="243" customWidth="1"/>
    <col min="12108" max="12108" width="6.42578125" style="243" customWidth="1"/>
    <col min="12109" max="12109" width="17.42578125" style="243" customWidth="1"/>
    <col min="12110" max="12110" width="12.28515625" style="243" customWidth="1"/>
    <col min="12111" max="12219" width="10" style="243"/>
    <col min="12220" max="12220" width="1.85546875" style="243" customWidth="1"/>
    <col min="12221" max="12222" width="1" style="243" customWidth="1"/>
    <col min="12223" max="12223" width="34" style="243" customWidth="1"/>
    <col min="12224" max="12225" width="1" style="243" customWidth="1"/>
    <col min="12226" max="12226" width="17.85546875" style="243" customWidth="1"/>
    <col min="12227" max="12228" width="1" style="243" customWidth="1"/>
    <col min="12229" max="12283" width="0" style="243" hidden="1" customWidth="1"/>
    <col min="12284" max="12285" width="1" style="243" customWidth="1"/>
    <col min="12286" max="12286" width="17.85546875" style="243" customWidth="1"/>
    <col min="12287" max="12290" width="1" style="243" customWidth="1"/>
    <col min="12291" max="12291" width="17.85546875" style="243" customWidth="1"/>
    <col min="12292" max="12295" width="1" style="243" customWidth="1"/>
    <col min="12296" max="12296" width="17.85546875" style="243" customWidth="1"/>
    <col min="12297" max="12298" width="1" style="243" customWidth="1"/>
    <col min="12299" max="12353" width="0" style="243" hidden="1" customWidth="1"/>
    <col min="12354" max="12355" width="1" style="243" customWidth="1"/>
    <col min="12356" max="12356" width="17.85546875" style="243" customWidth="1"/>
    <col min="12357" max="12360" width="1" style="243" customWidth="1"/>
    <col min="12361" max="12361" width="17.85546875" style="243" customWidth="1"/>
    <col min="12362" max="12362" width="1" style="243" customWidth="1"/>
    <col min="12363" max="12363" width="2" style="243" customWidth="1"/>
    <col min="12364" max="12364" width="6.42578125" style="243" customWidth="1"/>
    <col min="12365" max="12365" width="17.42578125" style="243" customWidth="1"/>
    <col min="12366" max="12366" width="12.28515625" style="243" customWidth="1"/>
    <col min="12367" max="12475" width="10" style="243"/>
    <col min="12476" max="12476" width="1.85546875" style="243" customWidth="1"/>
    <col min="12477" max="12478" width="1" style="243" customWidth="1"/>
    <col min="12479" max="12479" width="34" style="243" customWidth="1"/>
    <col min="12480" max="12481" width="1" style="243" customWidth="1"/>
    <col min="12482" max="12482" width="17.85546875" style="243" customWidth="1"/>
    <col min="12483" max="12484" width="1" style="243" customWidth="1"/>
    <col min="12485" max="12539" width="0" style="243" hidden="1" customWidth="1"/>
    <col min="12540" max="12541" width="1" style="243" customWidth="1"/>
    <col min="12542" max="12542" width="17.85546875" style="243" customWidth="1"/>
    <col min="12543" max="12546" width="1" style="243" customWidth="1"/>
    <col min="12547" max="12547" width="17.85546875" style="243" customWidth="1"/>
    <col min="12548" max="12551" width="1" style="243" customWidth="1"/>
    <col min="12552" max="12552" width="17.85546875" style="243" customWidth="1"/>
    <col min="12553" max="12554" width="1" style="243" customWidth="1"/>
    <col min="12555" max="12609" width="0" style="243" hidden="1" customWidth="1"/>
    <col min="12610" max="12611" width="1" style="243" customWidth="1"/>
    <col min="12612" max="12612" width="17.85546875" style="243" customWidth="1"/>
    <col min="12613" max="12616" width="1" style="243" customWidth="1"/>
    <col min="12617" max="12617" width="17.85546875" style="243" customWidth="1"/>
    <col min="12618" max="12618" width="1" style="243" customWidth="1"/>
    <col min="12619" max="12619" width="2" style="243" customWidth="1"/>
    <col min="12620" max="12620" width="6.42578125" style="243" customWidth="1"/>
    <col min="12621" max="12621" width="17.42578125" style="243" customWidth="1"/>
    <col min="12622" max="12622" width="12.28515625" style="243" customWidth="1"/>
    <col min="12623" max="12731" width="10" style="243"/>
    <col min="12732" max="12732" width="1.85546875" style="243" customWidth="1"/>
    <col min="12733" max="12734" width="1" style="243" customWidth="1"/>
    <col min="12735" max="12735" width="34" style="243" customWidth="1"/>
    <col min="12736" max="12737" width="1" style="243" customWidth="1"/>
    <col min="12738" max="12738" width="17.85546875" style="243" customWidth="1"/>
    <col min="12739" max="12740" width="1" style="243" customWidth="1"/>
    <col min="12741" max="12795" width="0" style="243" hidden="1" customWidth="1"/>
    <col min="12796" max="12797" width="1" style="243" customWidth="1"/>
    <col min="12798" max="12798" width="17.85546875" style="243" customWidth="1"/>
    <col min="12799" max="12802" width="1" style="243" customWidth="1"/>
    <col min="12803" max="12803" width="17.85546875" style="243" customWidth="1"/>
    <col min="12804" max="12807" width="1" style="243" customWidth="1"/>
    <col min="12808" max="12808" width="17.85546875" style="243" customWidth="1"/>
    <col min="12809" max="12810" width="1" style="243" customWidth="1"/>
    <col min="12811" max="12865" width="0" style="243" hidden="1" customWidth="1"/>
    <col min="12866" max="12867" width="1" style="243" customWidth="1"/>
    <col min="12868" max="12868" width="17.85546875" style="243" customWidth="1"/>
    <col min="12869" max="12872" width="1" style="243" customWidth="1"/>
    <col min="12873" max="12873" width="17.85546875" style="243" customWidth="1"/>
    <col min="12874" max="12874" width="1" style="243" customWidth="1"/>
    <col min="12875" max="12875" width="2" style="243" customWidth="1"/>
    <col min="12876" max="12876" width="6.42578125" style="243" customWidth="1"/>
    <col min="12877" max="12877" width="17.42578125" style="243" customWidth="1"/>
    <col min="12878" max="12878" width="12.28515625" style="243" customWidth="1"/>
    <col min="12879" max="12987" width="10" style="243"/>
    <col min="12988" max="12988" width="1.85546875" style="243" customWidth="1"/>
    <col min="12989" max="12990" width="1" style="243" customWidth="1"/>
    <col min="12991" max="12991" width="34" style="243" customWidth="1"/>
    <col min="12992" max="12993" width="1" style="243" customWidth="1"/>
    <col min="12994" max="12994" width="17.85546875" style="243" customWidth="1"/>
    <col min="12995" max="12996" width="1" style="243" customWidth="1"/>
    <col min="12997" max="13051" width="0" style="243" hidden="1" customWidth="1"/>
    <col min="13052" max="13053" width="1" style="243" customWidth="1"/>
    <col min="13054" max="13054" width="17.85546875" style="243" customWidth="1"/>
    <col min="13055" max="13058" width="1" style="243" customWidth="1"/>
    <col min="13059" max="13059" width="17.85546875" style="243" customWidth="1"/>
    <col min="13060" max="13063" width="1" style="243" customWidth="1"/>
    <col min="13064" max="13064" width="17.85546875" style="243" customWidth="1"/>
    <col min="13065" max="13066" width="1" style="243" customWidth="1"/>
    <col min="13067" max="13121" width="0" style="243" hidden="1" customWidth="1"/>
    <col min="13122" max="13123" width="1" style="243" customWidth="1"/>
    <col min="13124" max="13124" width="17.85546875" style="243" customWidth="1"/>
    <col min="13125" max="13128" width="1" style="243" customWidth="1"/>
    <col min="13129" max="13129" width="17.85546875" style="243" customWidth="1"/>
    <col min="13130" max="13130" width="1" style="243" customWidth="1"/>
    <col min="13131" max="13131" width="2" style="243" customWidth="1"/>
    <col min="13132" max="13132" width="6.42578125" style="243" customWidth="1"/>
    <col min="13133" max="13133" width="17.42578125" style="243" customWidth="1"/>
    <col min="13134" max="13134" width="12.28515625" style="243" customWidth="1"/>
    <col min="13135" max="13243" width="10" style="243"/>
    <col min="13244" max="13244" width="1.85546875" style="243" customWidth="1"/>
    <col min="13245" max="13246" width="1" style="243" customWidth="1"/>
    <col min="13247" max="13247" width="34" style="243" customWidth="1"/>
    <col min="13248" max="13249" width="1" style="243" customWidth="1"/>
    <col min="13250" max="13250" width="17.85546875" style="243" customWidth="1"/>
    <col min="13251" max="13252" width="1" style="243" customWidth="1"/>
    <col min="13253" max="13307" width="0" style="243" hidden="1" customWidth="1"/>
    <col min="13308" max="13309" width="1" style="243" customWidth="1"/>
    <col min="13310" max="13310" width="17.85546875" style="243" customWidth="1"/>
    <col min="13311" max="13314" width="1" style="243" customWidth="1"/>
    <col min="13315" max="13315" width="17.85546875" style="243" customWidth="1"/>
    <col min="13316" max="13319" width="1" style="243" customWidth="1"/>
    <col min="13320" max="13320" width="17.85546875" style="243" customWidth="1"/>
    <col min="13321" max="13322" width="1" style="243" customWidth="1"/>
    <col min="13323" max="13377" width="0" style="243" hidden="1" customWidth="1"/>
    <col min="13378" max="13379" width="1" style="243" customWidth="1"/>
    <col min="13380" max="13380" width="17.85546875" style="243" customWidth="1"/>
    <col min="13381" max="13384" width="1" style="243" customWidth="1"/>
    <col min="13385" max="13385" width="17.85546875" style="243" customWidth="1"/>
    <col min="13386" max="13386" width="1" style="243" customWidth="1"/>
    <col min="13387" max="13387" width="2" style="243" customWidth="1"/>
    <col min="13388" max="13388" width="6.42578125" style="243" customWidth="1"/>
    <col min="13389" max="13389" width="17.42578125" style="243" customWidth="1"/>
    <col min="13390" max="13390" width="12.28515625" style="243" customWidth="1"/>
    <col min="13391" max="13499" width="10" style="243"/>
    <col min="13500" max="13500" width="1.85546875" style="243" customWidth="1"/>
    <col min="13501" max="13502" width="1" style="243" customWidth="1"/>
    <col min="13503" max="13503" width="34" style="243" customWidth="1"/>
    <col min="13504" max="13505" width="1" style="243" customWidth="1"/>
    <col min="13506" max="13506" width="17.85546875" style="243" customWidth="1"/>
    <col min="13507" max="13508" width="1" style="243" customWidth="1"/>
    <col min="13509" max="13563" width="0" style="243" hidden="1" customWidth="1"/>
    <col min="13564" max="13565" width="1" style="243" customWidth="1"/>
    <col min="13566" max="13566" width="17.85546875" style="243" customWidth="1"/>
    <col min="13567" max="13570" width="1" style="243" customWidth="1"/>
    <col min="13571" max="13571" width="17.85546875" style="243" customWidth="1"/>
    <col min="13572" max="13575" width="1" style="243" customWidth="1"/>
    <col min="13576" max="13576" width="17.85546875" style="243" customWidth="1"/>
    <col min="13577" max="13578" width="1" style="243" customWidth="1"/>
    <col min="13579" max="13633" width="0" style="243" hidden="1" customWidth="1"/>
    <col min="13634" max="13635" width="1" style="243" customWidth="1"/>
    <col min="13636" max="13636" width="17.85546875" style="243" customWidth="1"/>
    <col min="13637" max="13640" width="1" style="243" customWidth="1"/>
    <col min="13641" max="13641" width="17.85546875" style="243" customWidth="1"/>
    <col min="13642" max="13642" width="1" style="243" customWidth="1"/>
    <col min="13643" max="13643" width="2" style="243" customWidth="1"/>
    <col min="13644" max="13644" width="6.42578125" style="243" customWidth="1"/>
    <col min="13645" max="13645" width="17.42578125" style="243" customWidth="1"/>
    <col min="13646" max="13646" width="12.28515625" style="243" customWidth="1"/>
    <col min="13647" max="13755" width="10" style="243"/>
    <col min="13756" max="13756" width="1.85546875" style="243" customWidth="1"/>
    <col min="13757" max="13758" width="1" style="243" customWidth="1"/>
    <col min="13759" max="13759" width="34" style="243" customWidth="1"/>
    <col min="13760" max="13761" width="1" style="243" customWidth="1"/>
    <col min="13762" max="13762" width="17.85546875" style="243" customWidth="1"/>
    <col min="13763" max="13764" width="1" style="243" customWidth="1"/>
    <col min="13765" max="13819" width="0" style="243" hidden="1" customWidth="1"/>
    <col min="13820" max="13821" width="1" style="243" customWidth="1"/>
    <col min="13822" max="13822" width="17.85546875" style="243" customWidth="1"/>
    <col min="13823" max="13826" width="1" style="243" customWidth="1"/>
    <col min="13827" max="13827" width="17.85546875" style="243" customWidth="1"/>
    <col min="13828" max="13831" width="1" style="243" customWidth="1"/>
    <col min="13832" max="13832" width="17.85546875" style="243" customWidth="1"/>
    <col min="13833" max="13834" width="1" style="243" customWidth="1"/>
    <col min="13835" max="13889" width="0" style="243" hidden="1" customWidth="1"/>
    <col min="13890" max="13891" width="1" style="243" customWidth="1"/>
    <col min="13892" max="13892" width="17.85546875" style="243" customWidth="1"/>
    <col min="13893" max="13896" width="1" style="243" customWidth="1"/>
    <col min="13897" max="13897" width="17.85546875" style="243" customWidth="1"/>
    <col min="13898" max="13898" width="1" style="243" customWidth="1"/>
    <col min="13899" max="13899" width="2" style="243" customWidth="1"/>
    <col min="13900" max="13900" width="6.42578125" style="243" customWidth="1"/>
    <col min="13901" max="13901" width="17.42578125" style="243" customWidth="1"/>
    <col min="13902" max="13902" width="12.28515625" style="243" customWidth="1"/>
    <col min="13903" max="14011" width="10" style="243"/>
    <col min="14012" max="14012" width="1.85546875" style="243" customWidth="1"/>
    <col min="14013" max="14014" width="1" style="243" customWidth="1"/>
    <col min="14015" max="14015" width="34" style="243" customWidth="1"/>
    <col min="14016" max="14017" width="1" style="243" customWidth="1"/>
    <col min="14018" max="14018" width="17.85546875" style="243" customWidth="1"/>
    <col min="14019" max="14020" width="1" style="243" customWidth="1"/>
    <col min="14021" max="14075" width="0" style="243" hidden="1" customWidth="1"/>
    <col min="14076" max="14077" width="1" style="243" customWidth="1"/>
    <col min="14078" max="14078" width="17.85546875" style="243" customWidth="1"/>
    <col min="14079" max="14082" width="1" style="243" customWidth="1"/>
    <col min="14083" max="14083" width="17.85546875" style="243" customWidth="1"/>
    <col min="14084" max="14087" width="1" style="243" customWidth="1"/>
    <col min="14088" max="14088" width="17.85546875" style="243" customWidth="1"/>
    <col min="14089" max="14090" width="1" style="243" customWidth="1"/>
    <col min="14091" max="14145" width="0" style="243" hidden="1" customWidth="1"/>
    <col min="14146" max="14147" width="1" style="243" customWidth="1"/>
    <col min="14148" max="14148" width="17.85546875" style="243" customWidth="1"/>
    <col min="14149" max="14152" width="1" style="243" customWidth="1"/>
    <col min="14153" max="14153" width="17.85546875" style="243" customWidth="1"/>
    <col min="14154" max="14154" width="1" style="243" customWidth="1"/>
    <col min="14155" max="14155" width="2" style="243" customWidth="1"/>
    <col min="14156" max="14156" width="6.42578125" style="243" customWidth="1"/>
    <col min="14157" max="14157" width="17.42578125" style="243" customWidth="1"/>
    <col min="14158" max="14158" width="12.28515625" style="243" customWidth="1"/>
    <col min="14159" max="14267" width="10" style="243"/>
    <col min="14268" max="14268" width="1.85546875" style="243" customWidth="1"/>
    <col min="14269" max="14270" width="1" style="243" customWidth="1"/>
    <col min="14271" max="14271" width="34" style="243" customWidth="1"/>
    <col min="14272" max="14273" width="1" style="243" customWidth="1"/>
    <col min="14274" max="14274" width="17.85546875" style="243" customWidth="1"/>
    <col min="14275" max="14276" width="1" style="243" customWidth="1"/>
    <col min="14277" max="14331" width="0" style="243" hidden="1" customWidth="1"/>
    <col min="14332" max="14333" width="1" style="243" customWidth="1"/>
    <col min="14334" max="14334" width="17.85546875" style="243" customWidth="1"/>
    <col min="14335" max="14338" width="1" style="243" customWidth="1"/>
    <col min="14339" max="14339" width="17.85546875" style="243" customWidth="1"/>
    <col min="14340" max="14343" width="1" style="243" customWidth="1"/>
    <col min="14344" max="14344" width="17.85546875" style="243" customWidth="1"/>
    <col min="14345" max="14346" width="1" style="243" customWidth="1"/>
    <col min="14347" max="14401" width="0" style="243" hidden="1" customWidth="1"/>
    <col min="14402" max="14403" width="1" style="243" customWidth="1"/>
    <col min="14404" max="14404" width="17.85546875" style="243" customWidth="1"/>
    <col min="14405" max="14408" width="1" style="243" customWidth="1"/>
    <col min="14409" max="14409" width="17.85546875" style="243" customWidth="1"/>
    <col min="14410" max="14410" width="1" style="243" customWidth="1"/>
    <col min="14411" max="14411" width="2" style="243" customWidth="1"/>
    <col min="14412" max="14412" width="6.42578125" style="243" customWidth="1"/>
    <col min="14413" max="14413" width="17.42578125" style="243" customWidth="1"/>
    <col min="14414" max="14414" width="12.28515625" style="243" customWidth="1"/>
    <col min="14415" max="14523" width="10" style="243"/>
    <col min="14524" max="14524" width="1.85546875" style="243" customWidth="1"/>
    <col min="14525" max="14526" width="1" style="243" customWidth="1"/>
    <col min="14527" max="14527" width="34" style="243" customWidth="1"/>
    <col min="14528" max="14529" width="1" style="243" customWidth="1"/>
    <col min="14530" max="14530" width="17.85546875" style="243" customWidth="1"/>
    <col min="14531" max="14532" width="1" style="243" customWidth="1"/>
    <col min="14533" max="14587" width="0" style="243" hidden="1" customWidth="1"/>
    <col min="14588" max="14589" width="1" style="243" customWidth="1"/>
    <col min="14590" max="14590" width="17.85546875" style="243" customWidth="1"/>
    <col min="14591" max="14594" width="1" style="243" customWidth="1"/>
    <col min="14595" max="14595" width="17.85546875" style="243" customWidth="1"/>
    <col min="14596" max="14599" width="1" style="243" customWidth="1"/>
    <col min="14600" max="14600" width="17.85546875" style="243" customWidth="1"/>
    <col min="14601" max="14602" width="1" style="243" customWidth="1"/>
    <col min="14603" max="14657" width="0" style="243" hidden="1" customWidth="1"/>
    <col min="14658" max="14659" width="1" style="243" customWidth="1"/>
    <col min="14660" max="14660" width="17.85546875" style="243" customWidth="1"/>
    <col min="14661" max="14664" width="1" style="243" customWidth="1"/>
    <col min="14665" max="14665" width="17.85546875" style="243" customWidth="1"/>
    <col min="14666" max="14666" width="1" style="243" customWidth="1"/>
    <col min="14667" max="14667" width="2" style="243" customWidth="1"/>
    <col min="14668" max="14668" width="6.42578125" style="243" customWidth="1"/>
    <col min="14669" max="14669" width="17.42578125" style="243" customWidth="1"/>
    <col min="14670" max="14670" width="12.28515625" style="243" customWidth="1"/>
    <col min="14671" max="14779" width="10" style="243"/>
    <col min="14780" max="14780" width="1.85546875" style="243" customWidth="1"/>
    <col min="14781" max="14782" width="1" style="243" customWidth="1"/>
    <col min="14783" max="14783" width="34" style="243" customWidth="1"/>
    <col min="14784" max="14785" width="1" style="243" customWidth="1"/>
    <col min="14786" max="14786" width="17.85546875" style="243" customWidth="1"/>
    <col min="14787" max="14788" width="1" style="243" customWidth="1"/>
    <col min="14789" max="14843" width="0" style="243" hidden="1" customWidth="1"/>
    <col min="14844" max="14845" width="1" style="243" customWidth="1"/>
    <col min="14846" max="14846" width="17.85546875" style="243" customWidth="1"/>
    <col min="14847" max="14850" width="1" style="243" customWidth="1"/>
    <col min="14851" max="14851" width="17.85546875" style="243" customWidth="1"/>
    <col min="14852" max="14855" width="1" style="243" customWidth="1"/>
    <col min="14856" max="14856" width="17.85546875" style="243" customWidth="1"/>
    <col min="14857" max="14858" width="1" style="243" customWidth="1"/>
    <col min="14859" max="14913" width="0" style="243" hidden="1" customWidth="1"/>
    <col min="14914" max="14915" width="1" style="243" customWidth="1"/>
    <col min="14916" max="14916" width="17.85546875" style="243" customWidth="1"/>
    <col min="14917" max="14920" width="1" style="243" customWidth="1"/>
    <col min="14921" max="14921" width="17.85546875" style="243" customWidth="1"/>
    <col min="14922" max="14922" width="1" style="243" customWidth="1"/>
    <col min="14923" max="14923" width="2" style="243" customWidth="1"/>
    <col min="14924" max="14924" width="6.42578125" style="243" customWidth="1"/>
    <col min="14925" max="14925" width="17.42578125" style="243" customWidth="1"/>
    <col min="14926" max="14926" width="12.28515625" style="243" customWidth="1"/>
    <col min="14927" max="15035" width="10" style="243"/>
    <col min="15036" max="15036" width="1.85546875" style="243" customWidth="1"/>
    <col min="15037" max="15038" width="1" style="243" customWidth="1"/>
    <col min="15039" max="15039" width="34" style="243" customWidth="1"/>
    <col min="15040" max="15041" width="1" style="243" customWidth="1"/>
    <col min="15042" max="15042" width="17.85546875" style="243" customWidth="1"/>
    <col min="15043" max="15044" width="1" style="243" customWidth="1"/>
    <col min="15045" max="15099" width="0" style="243" hidden="1" customWidth="1"/>
    <col min="15100" max="15101" width="1" style="243" customWidth="1"/>
    <col min="15102" max="15102" width="17.85546875" style="243" customWidth="1"/>
    <col min="15103" max="15106" width="1" style="243" customWidth="1"/>
    <col min="15107" max="15107" width="17.85546875" style="243" customWidth="1"/>
    <col min="15108" max="15111" width="1" style="243" customWidth="1"/>
    <col min="15112" max="15112" width="17.85546875" style="243" customWidth="1"/>
    <col min="15113" max="15114" width="1" style="243" customWidth="1"/>
    <col min="15115" max="15169" width="0" style="243" hidden="1" customWidth="1"/>
    <col min="15170" max="15171" width="1" style="243" customWidth="1"/>
    <col min="15172" max="15172" width="17.85546875" style="243" customWidth="1"/>
    <col min="15173" max="15176" width="1" style="243" customWidth="1"/>
    <col min="15177" max="15177" width="17.85546875" style="243" customWidth="1"/>
    <col min="15178" max="15178" width="1" style="243" customWidth="1"/>
    <col min="15179" max="15179" width="2" style="243" customWidth="1"/>
    <col min="15180" max="15180" width="6.42578125" style="243" customWidth="1"/>
    <col min="15181" max="15181" width="17.42578125" style="243" customWidth="1"/>
    <col min="15182" max="15182" width="12.28515625" style="243" customWidth="1"/>
    <col min="15183" max="15291" width="10" style="243"/>
    <col min="15292" max="15292" width="1.85546875" style="243" customWidth="1"/>
    <col min="15293" max="15294" width="1" style="243" customWidth="1"/>
    <col min="15295" max="15295" width="34" style="243" customWidth="1"/>
    <col min="15296" max="15297" width="1" style="243" customWidth="1"/>
    <col min="15298" max="15298" width="17.85546875" style="243" customWidth="1"/>
    <col min="15299" max="15300" width="1" style="243" customWidth="1"/>
    <col min="15301" max="15355" width="0" style="243" hidden="1" customWidth="1"/>
    <col min="15356" max="15357" width="1" style="243" customWidth="1"/>
    <col min="15358" max="15358" width="17.85546875" style="243" customWidth="1"/>
    <col min="15359" max="15362" width="1" style="243" customWidth="1"/>
    <col min="15363" max="15363" width="17.85546875" style="243" customWidth="1"/>
    <col min="15364" max="15367" width="1" style="243" customWidth="1"/>
    <col min="15368" max="15368" width="17.85546875" style="243" customWidth="1"/>
    <col min="15369" max="15370" width="1" style="243" customWidth="1"/>
    <col min="15371" max="15425" width="0" style="243" hidden="1" customWidth="1"/>
    <col min="15426" max="15427" width="1" style="243" customWidth="1"/>
    <col min="15428" max="15428" width="17.85546875" style="243" customWidth="1"/>
    <col min="15429" max="15432" width="1" style="243" customWidth="1"/>
    <col min="15433" max="15433" width="17.85546875" style="243" customWidth="1"/>
    <col min="15434" max="15434" width="1" style="243" customWidth="1"/>
    <col min="15435" max="15435" width="2" style="243" customWidth="1"/>
    <col min="15436" max="15436" width="6.42578125" style="243" customWidth="1"/>
    <col min="15437" max="15437" width="17.42578125" style="243" customWidth="1"/>
    <col min="15438" max="15438" width="12.28515625" style="243" customWidth="1"/>
    <col min="15439" max="15547" width="10" style="243"/>
    <col min="15548" max="15548" width="1.85546875" style="243" customWidth="1"/>
    <col min="15549" max="15550" width="1" style="243" customWidth="1"/>
    <col min="15551" max="15551" width="34" style="243" customWidth="1"/>
    <col min="15552" max="15553" width="1" style="243" customWidth="1"/>
    <col min="15554" max="15554" width="17.85546875" style="243" customWidth="1"/>
    <col min="15555" max="15556" width="1" style="243" customWidth="1"/>
    <col min="15557" max="15611" width="0" style="243" hidden="1" customWidth="1"/>
    <col min="15612" max="15613" width="1" style="243" customWidth="1"/>
    <col min="15614" max="15614" width="17.85546875" style="243" customWidth="1"/>
    <col min="15615" max="15618" width="1" style="243" customWidth="1"/>
    <col min="15619" max="15619" width="17.85546875" style="243" customWidth="1"/>
    <col min="15620" max="15623" width="1" style="243" customWidth="1"/>
    <col min="15624" max="15624" width="17.85546875" style="243" customWidth="1"/>
    <col min="15625" max="15626" width="1" style="243" customWidth="1"/>
    <col min="15627" max="15681" width="0" style="243" hidden="1" customWidth="1"/>
    <col min="15682" max="15683" width="1" style="243" customWidth="1"/>
    <col min="15684" max="15684" width="17.85546875" style="243" customWidth="1"/>
    <col min="15685" max="15688" width="1" style="243" customWidth="1"/>
    <col min="15689" max="15689" width="17.85546875" style="243" customWidth="1"/>
    <col min="15690" max="15690" width="1" style="243" customWidth="1"/>
    <col min="15691" max="15691" width="2" style="243" customWidth="1"/>
    <col min="15692" max="15692" width="6.42578125" style="243" customWidth="1"/>
    <col min="15693" max="15693" width="17.42578125" style="243" customWidth="1"/>
    <col min="15694" max="15694" width="12.28515625" style="243" customWidth="1"/>
    <col min="15695" max="15803" width="10" style="243"/>
    <col min="15804" max="15804" width="1.85546875" style="243" customWidth="1"/>
    <col min="15805" max="15806" width="1" style="243" customWidth="1"/>
    <col min="15807" max="15807" width="34" style="243" customWidth="1"/>
    <col min="15808" max="15809" width="1" style="243" customWidth="1"/>
    <col min="15810" max="15810" width="17.85546875" style="243" customWidth="1"/>
    <col min="15811" max="15812" width="1" style="243" customWidth="1"/>
    <col min="15813" max="15867" width="0" style="243" hidden="1" customWidth="1"/>
    <col min="15868" max="15869" width="1" style="243" customWidth="1"/>
    <col min="15870" max="15870" width="17.85546875" style="243" customWidth="1"/>
    <col min="15871" max="15874" width="1" style="243" customWidth="1"/>
    <col min="15875" max="15875" width="17.85546875" style="243" customWidth="1"/>
    <col min="15876" max="15879" width="1" style="243" customWidth="1"/>
    <col min="15880" max="15880" width="17.85546875" style="243" customWidth="1"/>
    <col min="15881" max="15882" width="1" style="243" customWidth="1"/>
    <col min="15883" max="15937" width="0" style="243" hidden="1" customWidth="1"/>
    <col min="15938" max="15939" width="1" style="243" customWidth="1"/>
    <col min="15940" max="15940" width="17.85546875" style="243" customWidth="1"/>
    <col min="15941" max="15944" width="1" style="243" customWidth="1"/>
    <col min="15945" max="15945" width="17.85546875" style="243" customWidth="1"/>
    <col min="15946" max="15946" width="1" style="243" customWidth="1"/>
    <col min="15947" max="15947" width="2" style="243" customWidth="1"/>
    <col min="15948" max="15948" width="6.42578125" style="243" customWidth="1"/>
    <col min="15949" max="15949" width="17.42578125" style="243" customWidth="1"/>
    <col min="15950" max="15950" width="12.28515625" style="243" customWidth="1"/>
    <col min="15951" max="16059" width="10" style="243"/>
    <col min="16060" max="16060" width="1.85546875" style="243" customWidth="1"/>
    <col min="16061" max="16062" width="1" style="243" customWidth="1"/>
    <col min="16063" max="16063" width="34" style="243" customWidth="1"/>
    <col min="16064" max="16065" width="1" style="243" customWidth="1"/>
    <col min="16066" max="16066" width="17.85546875" style="243" customWidth="1"/>
    <col min="16067" max="16068" width="1" style="243" customWidth="1"/>
    <col min="16069" max="16123" width="0" style="243" hidden="1" customWidth="1"/>
    <col min="16124" max="16125" width="1" style="243" customWidth="1"/>
    <col min="16126" max="16126" width="17.85546875" style="243" customWidth="1"/>
    <col min="16127" max="16130" width="1" style="243" customWidth="1"/>
    <col min="16131" max="16131" width="17.85546875" style="243" customWidth="1"/>
    <col min="16132" max="16135" width="1" style="243" customWidth="1"/>
    <col min="16136" max="16136" width="17.85546875" style="243" customWidth="1"/>
    <col min="16137" max="16138" width="1" style="243" customWidth="1"/>
    <col min="16139" max="16193" width="0" style="243" hidden="1" customWidth="1"/>
    <col min="16194" max="16195" width="1" style="243" customWidth="1"/>
    <col min="16196" max="16196" width="17.85546875" style="243" customWidth="1"/>
    <col min="16197" max="16200" width="1" style="243" customWidth="1"/>
    <col min="16201" max="16201" width="17.85546875" style="243" customWidth="1"/>
    <col min="16202" max="16202" width="1" style="243" customWidth="1"/>
    <col min="16203" max="16203" width="2" style="243" customWidth="1"/>
    <col min="16204" max="16204" width="6.42578125" style="243" customWidth="1"/>
    <col min="16205" max="16205" width="17.42578125" style="243" customWidth="1"/>
    <col min="16206" max="16206" width="12.28515625" style="243" customWidth="1"/>
    <col min="16207" max="16384" width="10" style="243"/>
  </cols>
  <sheetData>
    <row r="1" spans="1:78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>
        <f>1770000000+11234076861+1105000000</f>
        <v>14109076861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</row>
    <row r="2" spans="1:78" ht="5.25" customHeigh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</row>
    <row r="3" spans="1:78" x14ac:dyDescent="0.2">
      <c r="A3" s="244"/>
      <c r="B3" s="244"/>
      <c r="D3" s="244"/>
      <c r="BW3" s="244"/>
    </row>
    <row r="4" spans="1:78" x14ac:dyDescent="0.2">
      <c r="A4" s="244"/>
      <c r="B4" s="244"/>
      <c r="D4" s="268"/>
      <c r="E4" s="268"/>
      <c r="F4" s="268"/>
      <c r="BW4" s="244"/>
    </row>
    <row r="5" spans="1:78" x14ac:dyDescent="0.2">
      <c r="A5" s="244"/>
      <c r="B5" s="244"/>
      <c r="BW5" s="244"/>
    </row>
    <row r="6" spans="1:78" x14ac:dyDescent="0.2">
      <c r="A6" s="244"/>
      <c r="B6" s="244"/>
      <c r="BW6" s="244"/>
    </row>
    <row r="7" spans="1:78" ht="15.75" x14ac:dyDescent="0.25">
      <c r="A7" s="244"/>
      <c r="B7" s="244"/>
      <c r="D7" s="381" t="s">
        <v>377</v>
      </c>
      <c r="E7" s="319"/>
      <c r="F7" s="319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4"/>
    </row>
    <row r="8" spans="1:78" ht="15" customHeight="1" x14ac:dyDescent="0.2">
      <c r="A8" s="244"/>
      <c r="B8" s="244"/>
      <c r="D8" s="248"/>
      <c r="E8" s="284"/>
      <c r="F8" s="287"/>
      <c r="G8" s="693" t="str">
        <f>[65]summary!H8</f>
        <v>2019/20</v>
      </c>
      <c r="H8" s="693"/>
      <c r="I8" s="693"/>
      <c r="J8" s="693"/>
      <c r="K8" s="693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368"/>
      <c r="BV8" s="368"/>
      <c r="BW8" s="287"/>
      <c r="BX8" s="254"/>
    </row>
    <row r="9" spans="1:78" ht="18" customHeight="1" x14ac:dyDescent="0.2">
      <c r="A9" s="244"/>
      <c r="B9" s="244"/>
      <c r="D9" s="254"/>
      <c r="E9" s="261"/>
      <c r="F9" s="244"/>
      <c r="G9" s="17" t="str">
        <f>[65]domlongtermissues!G9</f>
        <v>Revised</v>
      </c>
      <c r="H9" s="17"/>
      <c r="I9" s="17"/>
      <c r="J9" s="14"/>
      <c r="K9" s="17"/>
      <c r="L9" s="17" t="s">
        <v>2</v>
      </c>
      <c r="M9" s="17"/>
      <c r="N9" s="17"/>
      <c r="O9" s="14"/>
      <c r="P9" s="17"/>
      <c r="Q9" s="17" t="s">
        <v>3</v>
      </c>
      <c r="R9" s="17"/>
      <c r="S9" s="17"/>
      <c r="T9" s="14"/>
      <c r="U9" s="17"/>
      <c r="V9" s="17" t="s">
        <v>167</v>
      </c>
      <c r="W9" s="17"/>
      <c r="X9" s="17"/>
      <c r="Y9" s="14"/>
      <c r="Z9" s="17"/>
      <c r="AA9" s="17" t="s">
        <v>5</v>
      </c>
      <c r="AB9" s="17"/>
      <c r="AC9" s="17"/>
      <c r="AD9" s="14"/>
      <c r="AE9" s="17"/>
      <c r="AF9" s="17" t="s">
        <v>6</v>
      </c>
      <c r="AG9" s="17"/>
      <c r="AH9" s="17"/>
      <c r="AI9" s="14"/>
      <c r="AJ9" s="17"/>
      <c r="AK9" s="17" t="s">
        <v>7</v>
      </c>
      <c r="AL9" s="17"/>
      <c r="AM9" s="17"/>
      <c r="AN9" s="14"/>
      <c r="AO9" s="17"/>
      <c r="AP9" s="17" t="s">
        <v>8</v>
      </c>
      <c r="AQ9" s="17"/>
      <c r="AR9" s="17"/>
      <c r="AS9" s="14"/>
      <c r="AT9" s="17"/>
      <c r="AU9" s="17" t="s">
        <v>9</v>
      </c>
      <c r="AV9" s="17"/>
      <c r="AW9" s="17"/>
      <c r="AX9" s="14"/>
      <c r="AY9" s="17"/>
      <c r="AZ9" s="17" t="s">
        <v>10</v>
      </c>
      <c r="BA9" s="17"/>
      <c r="BB9" s="17"/>
      <c r="BC9" s="14"/>
      <c r="BD9" s="17"/>
      <c r="BE9" s="17" t="s">
        <v>11</v>
      </c>
      <c r="BF9" s="17"/>
      <c r="BG9" s="17"/>
      <c r="BH9" s="14"/>
      <c r="BI9" s="17"/>
      <c r="BJ9" s="17" t="s">
        <v>12</v>
      </c>
      <c r="BK9" s="17"/>
      <c r="BL9" s="17"/>
      <c r="BM9" s="14"/>
      <c r="BN9" s="17"/>
      <c r="BO9" s="17" t="s">
        <v>13</v>
      </c>
      <c r="BP9" s="17"/>
      <c r="BQ9" s="17"/>
      <c r="BR9" s="14"/>
      <c r="BS9" s="17"/>
      <c r="BT9" s="17" t="s">
        <v>14</v>
      </c>
      <c r="BU9" s="17"/>
      <c r="BV9" s="17"/>
      <c r="BW9" s="244"/>
      <c r="BX9" s="254"/>
    </row>
    <row r="10" spans="1:78" x14ac:dyDescent="0.2">
      <c r="A10" s="244"/>
      <c r="B10" s="244"/>
      <c r="D10" s="256" t="s">
        <v>15</v>
      </c>
      <c r="E10" s="324"/>
      <c r="F10" s="325"/>
      <c r="G10" s="79" t="s">
        <v>16</v>
      </c>
      <c r="H10" s="79"/>
      <c r="I10" s="79"/>
      <c r="J10" s="78"/>
      <c r="K10" s="79"/>
      <c r="L10" s="79"/>
      <c r="M10" s="79"/>
      <c r="N10" s="79"/>
      <c r="O10" s="78"/>
      <c r="P10" s="79"/>
      <c r="Q10" s="79"/>
      <c r="R10" s="79"/>
      <c r="S10" s="79"/>
      <c r="T10" s="78"/>
      <c r="U10" s="79"/>
      <c r="V10" s="79"/>
      <c r="W10" s="79"/>
      <c r="X10" s="79"/>
      <c r="Y10" s="78"/>
      <c r="Z10" s="79"/>
      <c r="AA10" s="79"/>
      <c r="AB10" s="79"/>
      <c r="AC10" s="79"/>
      <c r="AD10" s="78"/>
      <c r="AE10" s="79"/>
      <c r="AF10" s="79"/>
      <c r="AG10" s="79"/>
      <c r="AH10" s="79"/>
      <c r="AI10" s="78"/>
      <c r="AJ10" s="79"/>
      <c r="AK10" s="79"/>
      <c r="AL10" s="79"/>
      <c r="AM10" s="79"/>
      <c r="AN10" s="78"/>
      <c r="AO10" s="79"/>
      <c r="AP10" s="79"/>
      <c r="AQ10" s="79"/>
      <c r="AR10" s="79"/>
      <c r="AS10" s="78"/>
      <c r="AT10" s="79"/>
      <c r="AU10" s="79"/>
      <c r="AV10" s="79"/>
      <c r="AW10" s="79"/>
      <c r="AX10" s="78"/>
      <c r="AY10" s="79"/>
      <c r="AZ10" s="79"/>
      <c r="BA10" s="79"/>
      <c r="BB10" s="79"/>
      <c r="BC10" s="78"/>
      <c r="BD10" s="79"/>
      <c r="BE10" s="79"/>
      <c r="BF10" s="79"/>
      <c r="BG10" s="79"/>
      <c r="BH10" s="78"/>
      <c r="BI10" s="79"/>
      <c r="BJ10" s="79"/>
      <c r="BK10" s="79"/>
      <c r="BL10" s="79"/>
      <c r="BM10" s="78"/>
      <c r="BN10" s="79"/>
      <c r="BO10" s="79"/>
      <c r="BP10" s="79"/>
      <c r="BQ10" s="79"/>
      <c r="BR10" s="78"/>
      <c r="BS10" s="79"/>
      <c r="BT10" s="79"/>
      <c r="BU10" s="79"/>
      <c r="BV10" s="79"/>
      <c r="BW10" s="287"/>
      <c r="BX10" s="254"/>
    </row>
    <row r="11" spans="1:78" x14ac:dyDescent="0.2">
      <c r="A11" s="244"/>
      <c r="B11" s="244"/>
      <c r="D11" s="327"/>
      <c r="E11" s="288"/>
      <c r="F11" s="289"/>
      <c r="G11" s="289"/>
      <c r="H11" s="289"/>
      <c r="I11" s="289"/>
      <c r="J11" s="288"/>
      <c r="K11" s="289"/>
      <c r="L11" s="289"/>
      <c r="M11" s="289"/>
      <c r="N11" s="289"/>
      <c r="O11" s="288"/>
      <c r="P11" s="289"/>
      <c r="Q11" s="289"/>
      <c r="R11" s="289"/>
      <c r="S11" s="289"/>
      <c r="T11" s="288"/>
      <c r="U11" s="289"/>
      <c r="V11" s="289"/>
      <c r="W11" s="289"/>
      <c r="X11" s="289"/>
      <c r="Y11" s="288"/>
      <c r="Z11" s="289"/>
      <c r="AA11" s="289"/>
      <c r="AB11" s="289"/>
      <c r="AC11" s="289"/>
      <c r="AD11" s="288"/>
      <c r="AE11" s="289"/>
      <c r="AF11" s="289"/>
      <c r="AG11" s="289"/>
      <c r="AH11" s="289"/>
      <c r="AI11" s="288"/>
      <c r="AJ11" s="289"/>
      <c r="AK11" s="289"/>
      <c r="AL11" s="289"/>
      <c r="AM11" s="289"/>
      <c r="AN11" s="288"/>
      <c r="AO11" s="289"/>
      <c r="AP11" s="289"/>
      <c r="AQ11" s="289"/>
      <c r="AR11" s="289"/>
      <c r="AS11" s="288"/>
      <c r="AT11" s="289"/>
      <c r="AU11" s="289"/>
      <c r="AV11" s="289"/>
      <c r="AW11" s="289"/>
      <c r="AX11" s="288"/>
      <c r="AY11" s="289"/>
      <c r="AZ11" s="289"/>
      <c r="BA11" s="289"/>
      <c r="BB11" s="289"/>
      <c r="BC11" s="288"/>
      <c r="BD11" s="289"/>
      <c r="BE11" s="289"/>
      <c r="BF11" s="289"/>
      <c r="BG11" s="289"/>
      <c r="BH11" s="288"/>
      <c r="BI11" s="289"/>
      <c r="BJ11" s="289"/>
      <c r="BK11" s="289"/>
      <c r="BL11" s="289"/>
      <c r="BM11" s="288"/>
      <c r="BN11" s="289"/>
      <c r="BO11" s="289"/>
      <c r="BP11" s="289"/>
      <c r="BQ11" s="289"/>
      <c r="BR11" s="288"/>
      <c r="BS11" s="289"/>
      <c r="BT11" s="244"/>
      <c r="BU11" s="244"/>
      <c r="BV11" s="244"/>
      <c r="BW11" s="244"/>
      <c r="BX11" s="254"/>
    </row>
    <row r="12" spans="1:78" s="268" customFormat="1" x14ac:dyDescent="0.2">
      <c r="A12" s="245"/>
      <c r="B12" s="245"/>
      <c r="D12" s="262" t="s">
        <v>378</v>
      </c>
      <c r="E12" s="264"/>
      <c r="F12" s="245"/>
      <c r="G12" s="182">
        <f>SUM(G13:G16)</f>
        <v>35963916</v>
      </c>
      <c r="H12" s="182"/>
      <c r="I12" s="182"/>
      <c r="J12" s="181"/>
      <c r="K12" s="182"/>
      <c r="L12" s="291">
        <f>SUM(L13:L16)</f>
        <v>3444201</v>
      </c>
      <c r="M12" s="291"/>
      <c r="N12" s="291"/>
      <c r="O12" s="290"/>
      <c r="P12" s="291"/>
      <c r="Q12" s="291">
        <f>SUM(Q13:Q16)</f>
        <v>13049394</v>
      </c>
      <c r="R12" s="291"/>
      <c r="S12" s="291"/>
      <c r="T12" s="290"/>
      <c r="U12" s="291"/>
      <c r="V12" s="291">
        <f>SUM(V13:V16)</f>
        <v>251090</v>
      </c>
      <c r="W12" s="291"/>
      <c r="X12" s="291"/>
      <c r="Y12" s="290"/>
      <c r="Z12" s="291"/>
      <c r="AA12" s="291">
        <f>SUM(AA13:AA16)</f>
        <v>239599</v>
      </c>
      <c r="AB12" s="291"/>
      <c r="AC12" s="291"/>
      <c r="AD12" s="290"/>
      <c r="AE12" s="291"/>
      <c r="AF12" s="291">
        <f>SUM(AF13:AF16)</f>
        <v>606220</v>
      </c>
      <c r="AG12" s="291"/>
      <c r="AH12" s="291"/>
      <c r="AI12" s="290"/>
      <c r="AJ12" s="291"/>
      <c r="AK12" s="291">
        <f>SUM(AK13:AK16)</f>
        <v>699411</v>
      </c>
      <c r="AL12" s="291"/>
      <c r="AM12" s="291"/>
      <c r="AN12" s="290"/>
      <c r="AO12" s="291"/>
      <c r="AP12" s="291">
        <f>SUM(AP13:AP16)</f>
        <v>190972</v>
      </c>
      <c r="AQ12" s="291"/>
      <c r="AR12" s="291"/>
      <c r="AS12" s="290"/>
      <c r="AT12" s="291"/>
      <c r="AU12" s="291">
        <f>SUM(AU13:AU16)</f>
        <v>436828</v>
      </c>
      <c r="AV12" s="291"/>
      <c r="AW12" s="291"/>
      <c r="AX12" s="290"/>
      <c r="AY12" s="291"/>
      <c r="AZ12" s="291">
        <f>SUM(AZ13:AZ16)</f>
        <v>335951</v>
      </c>
      <c r="BA12" s="291"/>
      <c r="BB12" s="291"/>
      <c r="BC12" s="290"/>
      <c r="BD12" s="291"/>
      <c r="BE12" s="291">
        <f>SUM(BE13:BE16)</f>
        <v>16129719</v>
      </c>
      <c r="BF12" s="291"/>
      <c r="BG12" s="291"/>
      <c r="BH12" s="290"/>
      <c r="BI12" s="291"/>
      <c r="BJ12" s="291">
        <f>SUM(BJ13:BJ16)</f>
        <v>239823</v>
      </c>
      <c r="BK12" s="291"/>
      <c r="BL12" s="291"/>
      <c r="BM12" s="290"/>
      <c r="BN12" s="291"/>
      <c r="BO12" s="291">
        <f>SUM(BO13:BO16)</f>
        <v>960729</v>
      </c>
      <c r="BP12" s="291"/>
      <c r="BQ12" s="291"/>
      <c r="BR12" s="290"/>
      <c r="BS12" s="291"/>
      <c r="BT12" s="291">
        <f>SUM(BT13:BT16)</f>
        <v>36583937</v>
      </c>
      <c r="BU12" s="291"/>
      <c r="BV12" s="291"/>
      <c r="BW12" s="245"/>
      <c r="BX12" s="262"/>
    </row>
    <row r="13" spans="1:78" x14ac:dyDescent="0.2">
      <c r="A13" s="244"/>
      <c r="B13" s="244"/>
      <c r="D13" s="254" t="s">
        <v>379</v>
      </c>
      <c r="E13" s="261"/>
      <c r="F13" s="292"/>
      <c r="G13" s="328">
        <f>G18</f>
        <v>19535000</v>
      </c>
      <c r="H13" s="332"/>
      <c r="I13" s="163"/>
      <c r="J13" s="162"/>
      <c r="K13" s="292"/>
      <c r="L13" s="328">
        <f>L18</f>
        <v>334512</v>
      </c>
      <c r="M13" s="332"/>
      <c r="N13" s="289"/>
      <c r="O13" s="288"/>
      <c r="P13" s="292"/>
      <c r="Q13" s="328">
        <f>Q18</f>
        <v>254394</v>
      </c>
      <c r="R13" s="332"/>
      <c r="S13" s="289"/>
      <c r="T13" s="288"/>
      <c r="U13" s="292"/>
      <c r="V13" s="328">
        <f>V18</f>
        <v>251090</v>
      </c>
      <c r="W13" s="332"/>
      <c r="X13" s="289"/>
      <c r="Y13" s="288"/>
      <c r="Z13" s="292"/>
      <c r="AA13" s="328">
        <f>AA18</f>
        <v>239599</v>
      </c>
      <c r="AB13" s="332"/>
      <c r="AC13" s="289"/>
      <c r="AD13" s="288"/>
      <c r="AE13" s="292"/>
      <c r="AF13" s="328">
        <f>AF18</f>
        <v>317003</v>
      </c>
      <c r="AG13" s="332"/>
      <c r="AH13" s="289"/>
      <c r="AI13" s="288"/>
      <c r="AJ13" s="292"/>
      <c r="AK13" s="328">
        <f>AK18</f>
        <v>464401</v>
      </c>
      <c r="AL13" s="332"/>
      <c r="AM13" s="289"/>
      <c r="AN13" s="288"/>
      <c r="AO13" s="292"/>
      <c r="AP13" s="328">
        <f>AP18</f>
        <v>190972</v>
      </c>
      <c r="AQ13" s="332"/>
      <c r="AR13" s="289"/>
      <c r="AS13" s="288"/>
      <c r="AT13" s="292"/>
      <c r="AU13" s="328">
        <f>AU18</f>
        <v>372701</v>
      </c>
      <c r="AV13" s="332"/>
      <c r="AW13" s="289"/>
      <c r="AX13" s="288"/>
      <c r="AY13" s="292"/>
      <c r="AZ13" s="328">
        <f>AZ18</f>
        <v>335951</v>
      </c>
      <c r="BA13" s="332"/>
      <c r="BB13" s="289"/>
      <c r="BC13" s="288"/>
      <c r="BD13" s="292"/>
      <c r="BE13" s="328">
        <f>BE18</f>
        <v>16129719</v>
      </c>
      <c r="BF13" s="332"/>
      <c r="BG13" s="289"/>
      <c r="BH13" s="288"/>
      <c r="BI13" s="292"/>
      <c r="BJ13" s="328">
        <f>BJ18</f>
        <v>239823</v>
      </c>
      <c r="BK13" s="332"/>
      <c r="BL13" s="289"/>
      <c r="BM13" s="288"/>
      <c r="BN13" s="292"/>
      <c r="BO13" s="328">
        <f>BO18</f>
        <v>297490</v>
      </c>
      <c r="BP13" s="332"/>
      <c r="BQ13" s="288"/>
      <c r="BR13" s="288"/>
      <c r="BS13" s="292"/>
      <c r="BT13" s="328">
        <f>BT18</f>
        <v>19427655</v>
      </c>
      <c r="BU13" s="332"/>
      <c r="BV13" s="289"/>
      <c r="BW13" s="244"/>
      <c r="BX13" s="254"/>
      <c r="BY13" s="268"/>
      <c r="BZ13" s="268"/>
    </row>
    <row r="14" spans="1:78" x14ac:dyDescent="0.2">
      <c r="A14" s="244"/>
      <c r="B14" s="244"/>
      <c r="D14" s="254" t="s">
        <v>380</v>
      </c>
      <c r="E14" s="261"/>
      <c r="F14" s="288"/>
      <c r="G14" s="289">
        <f>G30</f>
        <v>12795000</v>
      </c>
      <c r="H14" s="334"/>
      <c r="I14" s="289"/>
      <c r="J14" s="288"/>
      <c r="K14" s="288"/>
      <c r="L14" s="289">
        <f>L30</f>
        <v>0</v>
      </c>
      <c r="M14" s="334"/>
      <c r="N14" s="289"/>
      <c r="O14" s="288"/>
      <c r="P14" s="288"/>
      <c r="Q14" s="289">
        <f>Q30</f>
        <v>12795000</v>
      </c>
      <c r="R14" s="334"/>
      <c r="S14" s="289"/>
      <c r="T14" s="288"/>
      <c r="U14" s="288"/>
      <c r="V14" s="289">
        <f>V30</f>
        <v>0</v>
      </c>
      <c r="W14" s="334"/>
      <c r="X14" s="289"/>
      <c r="Y14" s="288"/>
      <c r="Z14" s="288"/>
      <c r="AA14" s="289">
        <f>AA30</f>
        <v>0</v>
      </c>
      <c r="AB14" s="334"/>
      <c r="AC14" s="289"/>
      <c r="AD14" s="288"/>
      <c r="AE14" s="288"/>
      <c r="AF14" s="289">
        <f>AF30</f>
        <v>0</v>
      </c>
      <c r="AG14" s="334"/>
      <c r="AH14" s="289"/>
      <c r="AI14" s="288"/>
      <c r="AJ14" s="288"/>
      <c r="AK14" s="289">
        <f>AK30</f>
        <v>0</v>
      </c>
      <c r="AL14" s="334"/>
      <c r="AM14" s="289"/>
      <c r="AN14" s="288"/>
      <c r="AO14" s="288"/>
      <c r="AP14" s="289">
        <f>AP30</f>
        <v>0</v>
      </c>
      <c r="AQ14" s="334"/>
      <c r="AR14" s="289"/>
      <c r="AS14" s="288"/>
      <c r="AT14" s="288"/>
      <c r="AU14" s="289">
        <f>AU30</f>
        <v>0</v>
      </c>
      <c r="AV14" s="334"/>
      <c r="AW14" s="289"/>
      <c r="AX14" s="288"/>
      <c r="AY14" s="288"/>
      <c r="AZ14" s="289">
        <f>AZ30</f>
        <v>0</v>
      </c>
      <c r="BA14" s="334"/>
      <c r="BB14" s="289"/>
      <c r="BC14" s="288"/>
      <c r="BD14" s="288"/>
      <c r="BE14" s="289">
        <f>BE30</f>
        <v>0</v>
      </c>
      <c r="BF14" s="334"/>
      <c r="BG14" s="289"/>
      <c r="BH14" s="288"/>
      <c r="BI14" s="288"/>
      <c r="BJ14" s="289">
        <f>BJ30</f>
        <v>0</v>
      </c>
      <c r="BK14" s="334"/>
      <c r="BL14" s="289"/>
      <c r="BM14" s="288"/>
      <c r="BN14" s="288"/>
      <c r="BO14" s="289">
        <f>BO30</f>
        <v>0</v>
      </c>
      <c r="BP14" s="334"/>
      <c r="BQ14" s="288"/>
      <c r="BR14" s="288"/>
      <c r="BS14" s="288"/>
      <c r="BT14" s="289">
        <f>BT30</f>
        <v>12795000</v>
      </c>
      <c r="BU14" s="334"/>
      <c r="BV14" s="289"/>
      <c r="BW14" s="244"/>
      <c r="BX14" s="254"/>
      <c r="BY14" s="268"/>
      <c r="BZ14" s="268"/>
    </row>
    <row r="15" spans="1:78" x14ac:dyDescent="0.2">
      <c r="A15" s="244"/>
      <c r="B15" s="244"/>
      <c r="D15" s="254" t="s">
        <v>381</v>
      </c>
      <c r="E15" s="261"/>
      <c r="F15" s="288"/>
      <c r="G15" s="289">
        <f>G65</f>
        <v>3633916</v>
      </c>
      <c r="H15" s="334"/>
      <c r="I15" s="163"/>
      <c r="J15" s="162"/>
      <c r="K15" s="288"/>
      <c r="L15" s="289">
        <f>L65</f>
        <v>3109689</v>
      </c>
      <c r="M15" s="334"/>
      <c r="N15" s="163"/>
      <c r="O15" s="162"/>
      <c r="P15" s="288"/>
      <c r="Q15" s="289">
        <f>Q65</f>
        <v>0</v>
      </c>
      <c r="R15" s="334"/>
      <c r="S15" s="289"/>
      <c r="T15" s="288"/>
      <c r="U15" s="288"/>
      <c r="V15" s="289">
        <f>V65</f>
        <v>0</v>
      </c>
      <c r="W15" s="334"/>
      <c r="X15" s="289"/>
      <c r="Y15" s="288"/>
      <c r="Z15" s="288"/>
      <c r="AA15" s="289">
        <f>AA65</f>
        <v>0</v>
      </c>
      <c r="AB15" s="334"/>
      <c r="AC15" s="289"/>
      <c r="AD15" s="288"/>
      <c r="AE15" s="288"/>
      <c r="AF15" s="289">
        <f>AF65</f>
        <v>289217</v>
      </c>
      <c r="AG15" s="334"/>
      <c r="AH15" s="289"/>
      <c r="AI15" s="288"/>
      <c r="AJ15" s="288"/>
      <c r="AK15" s="289">
        <f>AK65</f>
        <v>235010</v>
      </c>
      <c r="AL15" s="334"/>
      <c r="AM15" s="289"/>
      <c r="AN15" s="288"/>
      <c r="AO15" s="288"/>
      <c r="AP15" s="289">
        <f>AP65</f>
        <v>0</v>
      </c>
      <c r="AQ15" s="334"/>
      <c r="AR15" s="289"/>
      <c r="AS15" s="288"/>
      <c r="AT15" s="288"/>
      <c r="AU15" s="289">
        <f>AU65</f>
        <v>64127</v>
      </c>
      <c r="AV15" s="334"/>
      <c r="AW15" s="289"/>
      <c r="AX15" s="288"/>
      <c r="AY15" s="288"/>
      <c r="AZ15" s="289">
        <f>AZ65</f>
        <v>0</v>
      </c>
      <c r="BA15" s="334"/>
      <c r="BB15" s="289"/>
      <c r="BC15" s="288"/>
      <c r="BD15" s="288"/>
      <c r="BE15" s="289">
        <f>BE65</f>
        <v>0</v>
      </c>
      <c r="BF15" s="334"/>
      <c r="BG15" s="289"/>
      <c r="BH15" s="288"/>
      <c r="BI15" s="288"/>
      <c r="BJ15" s="289">
        <f>BJ65</f>
        <v>0</v>
      </c>
      <c r="BK15" s="334"/>
      <c r="BL15" s="289"/>
      <c r="BM15" s="288"/>
      <c r="BN15" s="288"/>
      <c r="BO15" s="289">
        <f>BO65</f>
        <v>663239</v>
      </c>
      <c r="BP15" s="334"/>
      <c r="BQ15" s="288"/>
      <c r="BR15" s="288"/>
      <c r="BS15" s="288"/>
      <c r="BT15" s="289">
        <f>BT65</f>
        <v>4361282</v>
      </c>
      <c r="BU15" s="334"/>
      <c r="BV15" s="289"/>
      <c r="BW15" s="244"/>
      <c r="BX15" s="254"/>
      <c r="BY15" s="268"/>
      <c r="BZ15" s="268"/>
    </row>
    <row r="16" spans="1:78" ht="12.75" customHeight="1" x14ac:dyDescent="0.2">
      <c r="A16" s="244"/>
      <c r="B16" s="244"/>
      <c r="D16" s="254" t="s">
        <v>382</v>
      </c>
      <c r="E16" s="261"/>
      <c r="F16" s="303"/>
      <c r="G16" s="337">
        <f>G122</f>
        <v>0</v>
      </c>
      <c r="H16" s="336"/>
      <c r="I16" s="163"/>
      <c r="J16" s="162"/>
      <c r="K16" s="303"/>
      <c r="L16" s="337">
        <f>L122</f>
        <v>0</v>
      </c>
      <c r="M16" s="336"/>
      <c r="N16" s="163"/>
      <c r="O16" s="162"/>
      <c r="P16" s="303"/>
      <c r="Q16" s="337">
        <f>Q122</f>
        <v>0</v>
      </c>
      <c r="R16" s="336"/>
      <c r="S16" s="289"/>
      <c r="T16" s="288"/>
      <c r="U16" s="303"/>
      <c r="V16" s="337">
        <f>V122</f>
        <v>0</v>
      </c>
      <c r="W16" s="336"/>
      <c r="X16" s="289"/>
      <c r="Y16" s="288"/>
      <c r="Z16" s="303"/>
      <c r="AA16" s="337">
        <f>AA122</f>
        <v>0</v>
      </c>
      <c r="AB16" s="336"/>
      <c r="AC16" s="289"/>
      <c r="AD16" s="288"/>
      <c r="AE16" s="303"/>
      <c r="AF16" s="337">
        <f>AF122</f>
        <v>0</v>
      </c>
      <c r="AG16" s="336"/>
      <c r="AH16" s="289"/>
      <c r="AI16" s="288"/>
      <c r="AJ16" s="303"/>
      <c r="AK16" s="337">
        <f>AK122</f>
        <v>0</v>
      </c>
      <c r="AL16" s="336"/>
      <c r="AM16" s="289"/>
      <c r="AN16" s="288"/>
      <c r="AO16" s="303"/>
      <c r="AP16" s="337">
        <f>AP122</f>
        <v>0</v>
      </c>
      <c r="AQ16" s="336"/>
      <c r="AR16" s="289"/>
      <c r="AS16" s="288"/>
      <c r="AT16" s="303"/>
      <c r="AU16" s="337">
        <f>AU122</f>
        <v>0</v>
      </c>
      <c r="AV16" s="336"/>
      <c r="AW16" s="289"/>
      <c r="AX16" s="288"/>
      <c r="AY16" s="303"/>
      <c r="AZ16" s="337">
        <f>AZ122</f>
        <v>0</v>
      </c>
      <c r="BA16" s="336"/>
      <c r="BB16" s="289"/>
      <c r="BC16" s="288"/>
      <c r="BD16" s="303"/>
      <c r="BE16" s="337">
        <f>BE122</f>
        <v>0</v>
      </c>
      <c r="BF16" s="336"/>
      <c r="BG16" s="289"/>
      <c r="BH16" s="288"/>
      <c r="BI16" s="303"/>
      <c r="BJ16" s="337">
        <f>BJ122</f>
        <v>0</v>
      </c>
      <c r="BK16" s="336"/>
      <c r="BL16" s="289"/>
      <c r="BM16" s="288"/>
      <c r="BN16" s="303"/>
      <c r="BO16" s="337">
        <f>BO122</f>
        <v>0</v>
      </c>
      <c r="BP16" s="336"/>
      <c r="BQ16" s="289"/>
      <c r="BR16" s="288"/>
      <c r="BS16" s="303"/>
      <c r="BT16" s="337">
        <f>BT122</f>
        <v>0</v>
      </c>
      <c r="BU16" s="336"/>
      <c r="BV16" s="289"/>
      <c r="BW16" s="244"/>
      <c r="BX16" s="254"/>
      <c r="BY16" s="268"/>
      <c r="BZ16" s="268"/>
    </row>
    <row r="17" spans="1:78" x14ac:dyDescent="0.2">
      <c r="A17" s="244"/>
      <c r="B17" s="244"/>
      <c r="D17" s="254"/>
      <c r="E17" s="261"/>
      <c r="F17" s="244"/>
      <c r="G17" s="333"/>
      <c r="H17" s="289"/>
      <c r="I17" s="289"/>
      <c r="J17" s="288"/>
      <c r="K17" s="289"/>
      <c r="L17" s="289"/>
      <c r="M17" s="289"/>
      <c r="N17" s="289"/>
      <c r="O17" s="288"/>
      <c r="P17" s="328"/>
      <c r="Q17" s="289"/>
      <c r="R17" s="328"/>
      <c r="S17" s="289"/>
      <c r="T17" s="288"/>
      <c r="U17" s="328"/>
      <c r="V17" s="289"/>
      <c r="W17" s="328"/>
      <c r="X17" s="289"/>
      <c r="Y17" s="288"/>
      <c r="Z17" s="328"/>
      <c r="AA17" s="289"/>
      <c r="AB17" s="328"/>
      <c r="AC17" s="289"/>
      <c r="AD17" s="288"/>
      <c r="AE17" s="328"/>
      <c r="AF17" s="289"/>
      <c r="AG17" s="328"/>
      <c r="AH17" s="289"/>
      <c r="AI17" s="288"/>
      <c r="AJ17" s="328"/>
      <c r="AK17" s="289"/>
      <c r="AL17" s="328"/>
      <c r="AM17" s="289"/>
      <c r="AN17" s="288"/>
      <c r="AO17" s="328"/>
      <c r="AP17" s="289"/>
      <c r="AQ17" s="328"/>
      <c r="AR17" s="289"/>
      <c r="AS17" s="288"/>
      <c r="AT17" s="289"/>
      <c r="AU17" s="289"/>
      <c r="AV17" s="289"/>
      <c r="AW17" s="289"/>
      <c r="AX17" s="288"/>
      <c r="AY17" s="289"/>
      <c r="AZ17" s="289"/>
      <c r="BA17" s="328"/>
      <c r="BB17" s="289"/>
      <c r="BC17" s="288"/>
      <c r="BD17" s="289"/>
      <c r="BE17" s="289"/>
      <c r="BF17" s="289"/>
      <c r="BG17" s="289"/>
      <c r="BH17" s="288"/>
      <c r="BI17" s="328"/>
      <c r="BJ17" s="289"/>
      <c r="BK17" s="328"/>
      <c r="BL17" s="289"/>
      <c r="BM17" s="288"/>
      <c r="BN17" s="328"/>
      <c r="BO17" s="289"/>
      <c r="BP17" s="328"/>
      <c r="BQ17" s="289"/>
      <c r="BR17" s="288"/>
      <c r="BS17" s="289"/>
      <c r="BT17" s="289"/>
      <c r="BU17" s="289"/>
      <c r="BV17" s="289"/>
      <c r="BW17" s="244"/>
      <c r="BX17" s="254"/>
      <c r="BY17" s="268"/>
      <c r="BZ17" s="268"/>
    </row>
    <row r="18" spans="1:78" s="268" customFormat="1" ht="12.75" customHeight="1" x14ac:dyDescent="0.2">
      <c r="A18" s="245"/>
      <c r="B18" s="245"/>
      <c r="D18" s="262" t="s">
        <v>383</v>
      </c>
      <c r="E18" s="264"/>
      <c r="F18" s="382"/>
      <c r="G18" s="383">
        <f>SUM(G19:G28)</f>
        <v>19535000</v>
      </c>
      <c r="H18" s="383"/>
      <c r="I18" s="340"/>
      <c r="J18" s="341"/>
      <c r="K18" s="383"/>
      <c r="L18" s="383">
        <f>SUM(L19:L28)</f>
        <v>334512</v>
      </c>
      <c r="M18" s="383"/>
      <c r="N18" s="340"/>
      <c r="O18" s="341"/>
      <c r="P18" s="383"/>
      <c r="Q18" s="383">
        <f>SUM(Q19:Q28)</f>
        <v>254394</v>
      </c>
      <c r="R18" s="383"/>
      <c r="S18" s="340"/>
      <c r="T18" s="341"/>
      <c r="U18" s="383"/>
      <c r="V18" s="383">
        <f>SUM(V19:V28)</f>
        <v>251090</v>
      </c>
      <c r="W18" s="383"/>
      <c r="X18" s="340"/>
      <c r="Y18" s="341"/>
      <c r="Z18" s="383"/>
      <c r="AA18" s="383">
        <f>SUM(AA19:AA28)</f>
        <v>239599</v>
      </c>
      <c r="AB18" s="383"/>
      <c r="AC18" s="340"/>
      <c r="AD18" s="341"/>
      <c r="AE18" s="383"/>
      <c r="AF18" s="383">
        <f>SUM(AF19:AF28)</f>
        <v>317003</v>
      </c>
      <c r="AG18" s="383"/>
      <c r="AH18" s="340"/>
      <c r="AI18" s="341"/>
      <c r="AJ18" s="383"/>
      <c r="AK18" s="383">
        <f>SUM(AK19:AK28)</f>
        <v>464401</v>
      </c>
      <c r="AL18" s="383"/>
      <c r="AM18" s="340"/>
      <c r="AN18" s="341"/>
      <c r="AO18" s="383"/>
      <c r="AP18" s="383">
        <f>SUM(AP19:AP28)</f>
        <v>190972</v>
      </c>
      <c r="AQ18" s="383"/>
      <c r="AR18" s="340"/>
      <c r="AS18" s="341"/>
      <c r="AT18" s="383"/>
      <c r="AU18" s="383">
        <f>SUM(AU19:AU28)</f>
        <v>372701</v>
      </c>
      <c r="AV18" s="383"/>
      <c r="AW18" s="340"/>
      <c r="AX18" s="341"/>
      <c r="AY18" s="383"/>
      <c r="AZ18" s="383">
        <f>SUM(AZ19:AZ28)</f>
        <v>335951</v>
      </c>
      <c r="BA18" s="383"/>
      <c r="BB18" s="340"/>
      <c r="BC18" s="341"/>
      <c r="BD18" s="383"/>
      <c r="BE18" s="383">
        <f>SUM(BE19:BE28)</f>
        <v>16129719</v>
      </c>
      <c r="BF18" s="383"/>
      <c r="BG18" s="340"/>
      <c r="BH18" s="341"/>
      <c r="BI18" s="383"/>
      <c r="BJ18" s="383">
        <f>SUM(BJ19:BJ28)</f>
        <v>239823</v>
      </c>
      <c r="BK18" s="383"/>
      <c r="BL18" s="340"/>
      <c r="BM18" s="341"/>
      <c r="BN18" s="383"/>
      <c r="BO18" s="383">
        <f>SUM(BO19:BO28)</f>
        <v>297490</v>
      </c>
      <c r="BP18" s="383"/>
      <c r="BQ18" s="340"/>
      <c r="BR18" s="341"/>
      <c r="BS18" s="383"/>
      <c r="BT18" s="383">
        <f>SUM(BT19:BT28)</f>
        <v>19427655</v>
      </c>
      <c r="BU18" s="383"/>
      <c r="BV18" s="340"/>
      <c r="BW18" s="245"/>
      <c r="BX18" s="262"/>
    </row>
    <row r="19" spans="1:78" ht="12.75" customHeight="1" x14ac:dyDescent="0.2">
      <c r="A19" s="244"/>
      <c r="B19" s="244"/>
      <c r="D19" s="254" t="s">
        <v>384</v>
      </c>
      <c r="E19" s="261"/>
      <c r="F19" s="261"/>
      <c r="G19" s="233">
        <v>0</v>
      </c>
      <c r="H19" s="347"/>
      <c r="I19" s="233"/>
      <c r="J19" s="227"/>
      <c r="K19" s="227"/>
      <c r="L19" s="233">
        <v>0</v>
      </c>
      <c r="M19" s="347"/>
      <c r="N19" s="233"/>
      <c r="O19" s="227"/>
      <c r="P19" s="227"/>
      <c r="Q19" s="233">
        <v>0</v>
      </c>
      <c r="R19" s="347"/>
      <c r="S19" s="233"/>
      <c r="T19" s="227"/>
      <c r="U19" s="227"/>
      <c r="V19" s="233">
        <v>0</v>
      </c>
      <c r="W19" s="347"/>
      <c r="X19" s="233"/>
      <c r="Y19" s="227"/>
      <c r="Z19" s="227"/>
      <c r="AA19" s="233">
        <v>0</v>
      </c>
      <c r="AB19" s="347"/>
      <c r="AC19" s="233"/>
      <c r="AD19" s="227"/>
      <c r="AE19" s="227"/>
      <c r="AF19" s="233">
        <v>0</v>
      </c>
      <c r="AG19" s="347"/>
      <c r="AH19" s="233"/>
      <c r="AI19" s="227"/>
      <c r="AJ19" s="227"/>
      <c r="AK19" s="233">
        <v>0</v>
      </c>
      <c r="AL19" s="347"/>
      <c r="AM19" s="233"/>
      <c r="AN19" s="227"/>
      <c r="AO19" s="227"/>
      <c r="AP19" s="233">
        <v>0</v>
      </c>
      <c r="AQ19" s="347"/>
      <c r="AR19" s="233"/>
      <c r="AS19" s="227"/>
      <c r="AT19" s="227"/>
      <c r="AU19" s="233">
        <v>0</v>
      </c>
      <c r="AV19" s="347"/>
      <c r="AW19" s="233"/>
      <c r="AX19" s="227"/>
      <c r="AY19" s="227"/>
      <c r="AZ19" s="233">
        <v>0</v>
      </c>
      <c r="BA19" s="347"/>
      <c r="BB19" s="233"/>
      <c r="BC19" s="227"/>
      <c r="BD19" s="227"/>
      <c r="BE19" s="233">
        <v>0</v>
      </c>
      <c r="BF19" s="347"/>
      <c r="BG19" s="233"/>
      <c r="BH19" s="227"/>
      <c r="BI19" s="227"/>
      <c r="BJ19" s="233">
        <v>0</v>
      </c>
      <c r="BK19" s="347"/>
      <c r="BL19" s="233"/>
      <c r="BM19" s="227"/>
      <c r="BN19" s="227"/>
      <c r="BO19" s="233">
        <v>0</v>
      </c>
      <c r="BP19" s="347"/>
      <c r="BQ19" s="233"/>
      <c r="BR19" s="227"/>
      <c r="BS19" s="227"/>
      <c r="BT19" s="233">
        <f>SUM(L19:BO19)</f>
        <v>0</v>
      </c>
      <c r="BU19" s="347"/>
      <c r="BV19" s="233"/>
      <c r="BW19" s="244"/>
      <c r="BX19" s="254"/>
      <c r="BY19" s="268"/>
      <c r="BZ19" s="268"/>
    </row>
    <row r="20" spans="1:78" ht="12.75" customHeight="1" x14ac:dyDescent="0.2">
      <c r="A20" s="244"/>
      <c r="B20" s="244"/>
      <c r="D20" s="254" t="s">
        <v>330</v>
      </c>
      <c r="E20" s="261"/>
      <c r="F20" s="261"/>
      <c r="G20" s="233">
        <v>15885000</v>
      </c>
      <c r="H20" s="347"/>
      <c r="I20" s="233"/>
      <c r="J20" s="227"/>
      <c r="K20" s="227"/>
      <c r="L20" s="233">
        <v>0</v>
      </c>
      <c r="M20" s="347"/>
      <c r="N20" s="233"/>
      <c r="O20" s="227"/>
      <c r="P20" s="227"/>
      <c r="Q20" s="233">
        <v>0</v>
      </c>
      <c r="R20" s="347"/>
      <c r="S20" s="233"/>
      <c r="T20" s="227"/>
      <c r="U20" s="227"/>
      <c r="V20" s="233">
        <v>0</v>
      </c>
      <c r="W20" s="347"/>
      <c r="X20" s="233"/>
      <c r="Y20" s="227"/>
      <c r="Z20" s="227"/>
      <c r="AA20" s="233">
        <v>0</v>
      </c>
      <c r="AB20" s="347"/>
      <c r="AC20" s="233"/>
      <c r="AD20" s="227"/>
      <c r="AE20" s="227"/>
      <c r="AF20" s="233">
        <v>0</v>
      </c>
      <c r="AG20" s="347"/>
      <c r="AH20" s="233"/>
      <c r="AI20" s="227"/>
      <c r="AJ20" s="227"/>
      <c r="AK20" s="233">
        <v>0</v>
      </c>
      <c r="AL20" s="347"/>
      <c r="AM20" s="233"/>
      <c r="AN20" s="227"/>
      <c r="AO20" s="227"/>
      <c r="AP20" s="233">
        <v>0</v>
      </c>
      <c r="AQ20" s="347"/>
      <c r="AR20" s="233"/>
      <c r="AS20" s="227"/>
      <c r="AT20" s="227"/>
      <c r="AU20" s="233">
        <v>0</v>
      </c>
      <c r="AV20" s="347"/>
      <c r="AW20" s="233"/>
      <c r="AX20" s="227"/>
      <c r="AY20" s="227"/>
      <c r="AZ20" s="233">
        <v>0</v>
      </c>
      <c r="BA20" s="347"/>
      <c r="BB20" s="233"/>
      <c r="BC20" s="227"/>
      <c r="BD20" s="227"/>
      <c r="BE20" s="233">
        <v>15884604</v>
      </c>
      <c r="BF20" s="347"/>
      <c r="BG20" s="233"/>
      <c r="BH20" s="227"/>
      <c r="BI20" s="227"/>
      <c r="BJ20" s="233">
        <v>0</v>
      </c>
      <c r="BK20" s="347"/>
      <c r="BL20" s="233"/>
      <c r="BM20" s="227"/>
      <c r="BN20" s="227"/>
      <c r="BO20" s="233">
        <v>0</v>
      </c>
      <c r="BP20" s="347"/>
      <c r="BQ20" s="233"/>
      <c r="BR20" s="227"/>
      <c r="BS20" s="227"/>
      <c r="BT20" s="233">
        <f t="shared" ref="BT20:BT28" si="0">SUM(L20:BO20)</f>
        <v>15884604</v>
      </c>
      <c r="BU20" s="347"/>
      <c r="BV20" s="233"/>
      <c r="BW20" s="244"/>
      <c r="BX20" s="254"/>
      <c r="BY20" s="268"/>
      <c r="BZ20" s="268"/>
    </row>
    <row r="21" spans="1:78" ht="12.75" hidden="1" customHeight="1" x14ac:dyDescent="0.2">
      <c r="A21" s="244"/>
      <c r="B21" s="244"/>
      <c r="D21" s="254" t="s">
        <v>326</v>
      </c>
      <c r="E21" s="261"/>
      <c r="F21" s="261"/>
      <c r="G21" s="233">
        <v>0</v>
      </c>
      <c r="H21" s="347"/>
      <c r="I21" s="233"/>
      <c r="J21" s="227"/>
      <c r="K21" s="227"/>
      <c r="L21" s="233">
        <v>0</v>
      </c>
      <c r="M21" s="347"/>
      <c r="N21" s="233"/>
      <c r="O21" s="227"/>
      <c r="P21" s="227"/>
      <c r="Q21" s="233">
        <v>0</v>
      </c>
      <c r="R21" s="347"/>
      <c r="S21" s="233"/>
      <c r="T21" s="227"/>
      <c r="U21" s="227"/>
      <c r="V21" s="233">
        <v>0</v>
      </c>
      <c r="W21" s="347"/>
      <c r="X21" s="233"/>
      <c r="Y21" s="227"/>
      <c r="Z21" s="227"/>
      <c r="AA21" s="233">
        <v>0</v>
      </c>
      <c r="AB21" s="347"/>
      <c r="AC21" s="233"/>
      <c r="AD21" s="227"/>
      <c r="AE21" s="227"/>
      <c r="AF21" s="233">
        <v>0</v>
      </c>
      <c r="AG21" s="347"/>
      <c r="AH21" s="233"/>
      <c r="AI21" s="227"/>
      <c r="AJ21" s="227"/>
      <c r="AK21" s="233">
        <v>0</v>
      </c>
      <c r="AL21" s="347"/>
      <c r="AM21" s="233"/>
      <c r="AN21" s="227"/>
      <c r="AO21" s="227"/>
      <c r="AP21" s="233">
        <v>0</v>
      </c>
      <c r="AQ21" s="347"/>
      <c r="AR21" s="233"/>
      <c r="AS21" s="227"/>
      <c r="AT21" s="227"/>
      <c r="AU21" s="233">
        <v>0</v>
      </c>
      <c r="AV21" s="347"/>
      <c r="AW21" s="233"/>
      <c r="AX21" s="227"/>
      <c r="AY21" s="227"/>
      <c r="AZ21" s="233">
        <v>0</v>
      </c>
      <c r="BA21" s="347"/>
      <c r="BB21" s="233"/>
      <c r="BC21" s="227"/>
      <c r="BD21" s="227"/>
      <c r="BE21" s="233">
        <v>0</v>
      </c>
      <c r="BF21" s="347"/>
      <c r="BG21" s="233"/>
      <c r="BH21" s="227"/>
      <c r="BI21" s="227"/>
      <c r="BJ21" s="233">
        <v>0</v>
      </c>
      <c r="BK21" s="347"/>
      <c r="BL21" s="233"/>
      <c r="BM21" s="227"/>
      <c r="BN21" s="227"/>
      <c r="BO21" s="233">
        <v>0</v>
      </c>
      <c r="BP21" s="347"/>
      <c r="BQ21" s="233"/>
      <c r="BR21" s="227"/>
      <c r="BS21" s="227"/>
      <c r="BT21" s="233">
        <f>SUM(L21:BO21)</f>
        <v>0</v>
      </c>
      <c r="BU21" s="347"/>
      <c r="BV21" s="233"/>
      <c r="BW21" s="244"/>
      <c r="BX21" s="254"/>
      <c r="BY21" s="268"/>
      <c r="BZ21" s="268"/>
    </row>
    <row r="22" spans="1:78" ht="12.75" hidden="1" customHeight="1" x14ac:dyDescent="0.2">
      <c r="A22" s="244"/>
      <c r="B22" s="244"/>
      <c r="D22" s="254" t="s">
        <v>385</v>
      </c>
      <c r="E22" s="261"/>
      <c r="F22" s="261"/>
      <c r="G22" s="233">
        <v>0</v>
      </c>
      <c r="H22" s="347"/>
      <c r="I22" s="233"/>
      <c r="J22" s="227"/>
      <c r="K22" s="227"/>
      <c r="L22" s="233">
        <v>0</v>
      </c>
      <c r="M22" s="347"/>
      <c r="N22" s="233"/>
      <c r="O22" s="227"/>
      <c r="P22" s="227"/>
      <c r="Q22" s="233">
        <v>0</v>
      </c>
      <c r="R22" s="347"/>
      <c r="S22" s="233"/>
      <c r="T22" s="227"/>
      <c r="U22" s="227"/>
      <c r="V22" s="233">
        <v>0</v>
      </c>
      <c r="W22" s="347"/>
      <c r="X22" s="233"/>
      <c r="Y22" s="227"/>
      <c r="Z22" s="227"/>
      <c r="AA22" s="233">
        <v>0</v>
      </c>
      <c r="AB22" s="347"/>
      <c r="AC22" s="233"/>
      <c r="AD22" s="227"/>
      <c r="AE22" s="227"/>
      <c r="AF22" s="233">
        <v>0</v>
      </c>
      <c r="AG22" s="347"/>
      <c r="AH22" s="233"/>
      <c r="AI22" s="227"/>
      <c r="AJ22" s="227"/>
      <c r="AK22" s="233">
        <v>0</v>
      </c>
      <c r="AL22" s="347"/>
      <c r="AM22" s="233"/>
      <c r="AN22" s="227"/>
      <c r="AO22" s="227"/>
      <c r="AP22" s="233">
        <v>0</v>
      </c>
      <c r="AQ22" s="347"/>
      <c r="AR22" s="233"/>
      <c r="AS22" s="227"/>
      <c r="AT22" s="227"/>
      <c r="AU22" s="233">
        <v>0</v>
      </c>
      <c r="AV22" s="347"/>
      <c r="AW22" s="233"/>
      <c r="AX22" s="227"/>
      <c r="AY22" s="227"/>
      <c r="AZ22" s="233">
        <v>0</v>
      </c>
      <c r="BA22" s="347"/>
      <c r="BB22" s="233"/>
      <c r="BC22" s="227"/>
      <c r="BD22" s="227"/>
      <c r="BE22" s="233">
        <v>0</v>
      </c>
      <c r="BF22" s="347"/>
      <c r="BG22" s="233"/>
      <c r="BH22" s="227"/>
      <c r="BI22" s="227"/>
      <c r="BJ22" s="233">
        <v>0</v>
      </c>
      <c r="BK22" s="347"/>
      <c r="BL22" s="233"/>
      <c r="BM22" s="227"/>
      <c r="BN22" s="227"/>
      <c r="BO22" s="233">
        <v>0</v>
      </c>
      <c r="BP22" s="347"/>
      <c r="BQ22" s="233"/>
      <c r="BR22" s="227"/>
      <c r="BS22" s="227"/>
      <c r="BT22" s="233">
        <f t="shared" si="0"/>
        <v>0</v>
      </c>
      <c r="BU22" s="347"/>
      <c r="BV22" s="233"/>
      <c r="BW22" s="244"/>
      <c r="BX22" s="254"/>
      <c r="BY22" s="268"/>
      <c r="BZ22" s="268"/>
    </row>
    <row r="23" spans="1:78" ht="12.75" hidden="1" customHeight="1" x14ac:dyDescent="0.2">
      <c r="A23" s="244"/>
      <c r="B23" s="244"/>
      <c r="D23" s="254" t="s">
        <v>386</v>
      </c>
      <c r="E23" s="261"/>
      <c r="F23" s="261"/>
      <c r="G23" s="233">
        <v>0</v>
      </c>
      <c r="H23" s="347"/>
      <c r="I23" s="233"/>
      <c r="J23" s="227"/>
      <c r="K23" s="227"/>
      <c r="L23" s="233">
        <v>0</v>
      </c>
      <c r="M23" s="347"/>
      <c r="N23" s="233"/>
      <c r="O23" s="227"/>
      <c r="P23" s="227"/>
      <c r="Q23" s="233">
        <v>0</v>
      </c>
      <c r="R23" s="347"/>
      <c r="S23" s="233"/>
      <c r="T23" s="227"/>
      <c r="U23" s="227"/>
      <c r="V23" s="233">
        <v>0</v>
      </c>
      <c r="W23" s="347"/>
      <c r="X23" s="233"/>
      <c r="Y23" s="227"/>
      <c r="Z23" s="227"/>
      <c r="AA23" s="233">
        <v>0</v>
      </c>
      <c r="AB23" s="347"/>
      <c r="AC23" s="233"/>
      <c r="AD23" s="227"/>
      <c r="AE23" s="227"/>
      <c r="AF23" s="233">
        <v>0</v>
      </c>
      <c r="AG23" s="347"/>
      <c r="AH23" s="233"/>
      <c r="AI23" s="227"/>
      <c r="AJ23" s="227"/>
      <c r="AK23" s="233">
        <v>0</v>
      </c>
      <c r="AL23" s="347"/>
      <c r="AM23" s="233"/>
      <c r="AN23" s="227"/>
      <c r="AO23" s="227"/>
      <c r="AP23" s="233">
        <v>0</v>
      </c>
      <c r="AQ23" s="347"/>
      <c r="AR23" s="233"/>
      <c r="AS23" s="227"/>
      <c r="AT23" s="227"/>
      <c r="AU23" s="233">
        <v>0</v>
      </c>
      <c r="AV23" s="347"/>
      <c r="AW23" s="233"/>
      <c r="AX23" s="227"/>
      <c r="AY23" s="227"/>
      <c r="AZ23" s="233">
        <v>0</v>
      </c>
      <c r="BA23" s="347"/>
      <c r="BB23" s="233"/>
      <c r="BC23" s="227"/>
      <c r="BD23" s="227"/>
      <c r="BE23" s="233">
        <v>0</v>
      </c>
      <c r="BF23" s="347"/>
      <c r="BG23" s="233"/>
      <c r="BH23" s="227"/>
      <c r="BI23" s="227"/>
      <c r="BJ23" s="233">
        <v>0</v>
      </c>
      <c r="BK23" s="347"/>
      <c r="BL23" s="233"/>
      <c r="BM23" s="227"/>
      <c r="BN23" s="227"/>
      <c r="BO23" s="233">
        <v>0</v>
      </c>
      <c r="BP23" s="347"/>
      <c r="BQ23" s="233"/>
      <c r="BR23" s="227"/>
      <c r="BS23" s="227"/>
      <c r="BT23" s="233">
        <f t="shared" si="0"/>
        <v>0</v>
      </c>
      <c r="BU23" s="347"/>
      <c r="BV23" s="233"/>
      <c r="BW23" s="244"/>
      <c r="BX23" s="254"/>
      <c r="BY23" s="268"/>
      <c r="BZ23" s="268"/>
    </row>
    <row r="24" spans="1:78" ht="12.75" customHeight="1" x14ac:dyDescent="0.2">
      <c r="A24" s="244"/>
      <c r="B24" s="244"/>
      <c r="D24" s="254" t="s">
        <v>387</v>
      </c>
      <c r="E24" s="261"/>
      <c r="F24" s="261"/>
      <c r="G24" s="233">
        <v>150000</v>
      </c>
      <c r="H24" s="347"/>
      <c r="I24" s="233"/>
      <c r="J24" s="227"/>
      <c r="K24" s="227"/>
      <c r="L24" s="233">
        <v>0</v>
      </c>
      <c r="M24" s="347"/>
      <c r="N24" s="233"/>
      <c r="O24" s="227"/>
      <c r="P24" s="227"/>
      <c r="Q24" s="233">
        <v>0</v>
      </c>
      <c r="R24" s="347"/>
      <c r="S24" s="233"/>
      <c r="T24" s="227"/>
      <c r="U24" s="227"/>
      <c r="V24" s="233">
        <v>0</v>
      </c>
      <c r="W24" s="347"/>
      <c r="X24" s="233"/>
      <c r="Y24" s="227"/>
      <c r="Z24" s="227"/>
      <c r="AA24" s="233">
        <v>0</v>
      </c>
      <c r="AB24" s="347"/>
      <c r="AC24" s="233"/>
      <c r="AD24" s="227"/>
      <c r="AE24" s="227"/>
      <c r="AF24" s="233">
        <v>0</v>
      </c>
      <c r="AG24" s="347"/>
      <c r="AH24" s="233"/>
      <c r="AI24" s="227"/>
      <c r="AJ24" s="227"/>
      <c r="AK24" s="233">
        <v>150000</v>
      </c>
      <c r="AL24" s="347"/>
      <c r="AM24" s="233"/>
      <c r="AN24" s="227"/>
      <c r="AO24" s="227"/>
      <c r="AP24" s="233">
        <v>0</v>
      </c>
      <c r="AQ24" s="347"/>
      <c r="AR24" s="233"/>
      <c r="AS24" s="227"/>
      <c r="AT24" s="227"/>
      <c r="AU24" s="233">
        <v>0</v>
      </c>
      <c r="AV24" s="347"/>
      <c r="AW24" s="233"/>
      <c r="AX24" s="227"/>
      <c r="AY24" s="227"/>
      <c r="AZ24" s="233">
        <v>0</v>
      </c>
      <c r="BA24" s="347"/>
      <c r="BB24" s="233"/>
      <c r="BC24" s="227"/>
      <c r="BD24" s="227"/>
      <c r="BE24" s="233">
        <v>0</v>
      </c>
      <c r="BF24" s="347"/>
      <c r="BG24" s="233"/>
      <c r="BH24" s="227"/>
      <c r="BI24" s="227"/>
      <c r="BJ24" s="233">
        <v>0</v>
      </c>
      <c r="BK24" s="347"/>
      <c r="BL24" s="233"/>
      <c r="BM24" s="227"/>
      <c r="BN24" s="227"/>
      <c r="BO24" s="233">
        <v>0</v>
      </c>
      <c r="BP24" s="347"/>
      <c r="BQ24" s="233"/>
      <c r="BR24" s="227"/>
      <c r="BS24" s="227"/>
      <c r="BT24" s="233">
        <f t="shared" si="0"/>
        <v>150000</v>
      </c>
      <c r="BU24" s="347"/>
      <c r="BV24" s="233"/>
      <c r="BW24" s="244"/>
      <c r="BX24" s="254"/>
      <c r="BY24" s="268"/>
      <c r="BZ24" s="268"/>
    </row>
    <row r="25" spans="1:78" ht="12.75" customHeight="1" x14ac:dyDescent="0.2">
      <c r="A25" s="244"/>
      <c r="B25" s="244"/>
      <c r="D25" s="254" t="s">
        <v>388</v>
      </c>
      <c r="E25" s="261"/>
      <c r="F25" s="261"/>
      <c r="G25" s="233">
        <v>0</v>
      </c>
      <c r="H25" s="347"/>
      <c r="I25" s="233"/>
      <c r="J25" s="227"/>
      <c r="K25" s="227"/>
      <c r="L25" s="233">
        <v>0</v>
      </c>
      <c r="M25" s="347"/>
      <c r="N25" s="233"/>
      <c r="O25" s="227"/>
      <c r="P25" s="227"/>
      <c r="Q25" s="233">
        <v>0</v>
      </c>
      <c r="R25" s="347"/>
      <c r="S25" s="233"/>
      <c r="T25" s="227"/>
      <c r="U25" s="227"/>
      <c r="V25" s="233">
        <v>0</v>
      </c>
      <c r="W25" s="347"/>
      <c r="X25" s="233"/>
      <c r="Y25" s="227"/>
      <c r="Z25" s="227"/>
      <c r="AA25" s="233">
        <v>9</v>
      </c>
      <c r="AB25" s="347"/>
      <c r="AC25" s="233"/>
      <c r="AD25" s="227"/>
      <c r="AE25" s="227"/>
      <c r="AF25" s="233">
        <v>0</v>
      </c>
      <c r="AG25" s="347"/>
      <c r="AH25" s="233"/>
      <c r="AI25" s="227"/>
      <c r="AJ25" s="227"/>
      <c r="AK25" s="233">
        <v>0</v>
      </c>
      <c r="AL25" s="347"/>
      <c r="AM25" s="233"/>
      <c r="AN25" s="227"/>
      <c r="AO25" s="227"/>
      <c r="AP25" s="233">
        <v>2</v>
      </c>
      <c r="AQ25" s="347"/>
      <c r="AR25" s="233"/>
      <c r="AS25" s="227"/>
      <c r="AT25" s="227"/>
      <c r="AU25" s="233">
        <v>0</v>
      </c>
      <c r="AV25" s="347"/>
      <c r="AW25" s="233"/>
      <c r="AX25" s="227"/>
      <c r="AY25" s="227"/>
      <c r="AZ25" s="233">
        <v>1</v>
      </c>
      <c r="BA25" s="347"/>
      <c r="BB25" s="233"/>
      <c r="BC25" s="227"/>
      <c r="BD25" s="227"/>
      <c r="BE25" s="233">
        <v>0</v>
      </c>
      <c r="BF25" s="347"/>
      <c r="BG25" s="233"/>
      <c r="BH25" s="227"/>
      <c r="BI25" s="227"/>
      <c r="BJ25" s="233">
        <v>0</v>
      </c>
      <c r="BK25" s="347"/>
      <c r="BL25" s="233"/>
      <c r="BM25" s="227"/>
      <c r="BN25" s="227"/>
      <c r="BO25" s="233">
        <v>0</v>
      </c>
      <c r="BP25" s="347"/>
      <c r="BQ25" s="233"/>
      <c r="BR25" s="227"/>
      <c r="BS25" s="227"/>
      <c r="BT25" s="233">
        <f>SUM(L25:BO25)</f>
        <v>12</v>
      </c>
      <c r="BU25" s="347"/>
      <c r="BV25" s="233"/>
      <c r="BW25" s="244"/>
      <c r="BX25" s="254"/>
      <c r="BY25" s="268"/>
      <c r="BZ25" s="268"/>
    </row>
    <row r="26" spans="1:78" ht="12.75" customHeight="1" x14ac:dyDescent="0.2">
      <c r="A26" s="244"/>
      <c r="B26" s="244"/>
      <c r="D26" s="254" t="s">
        <v>309</v>
      </c>
      <c r="E26" s="261"/>
      <c r="F26" s="261"/>
      <c r="G26" s="233">
        <v>3500000</v>
      </c>
      <c r="H26" s="347"/>
      <c r="I26" s="233"/>
      <c r="J26" s="227"/>
      <c r="K26" s="227"/>
      <c r="L26" s="233">
        <v>334508</v>
      </c>
      <c r="M26" s="347"/>
      <c r="N26" s="233"/>
      <c r="O26" s="227"/>
      <c r="P26" s="227"/>
      <c r="Q26" s="233">
        <v>254394</v>
      </c>
      <c r="R26" s="347"/>
      <c r="S26" s="233"/>
      <c r="T26" s="227"/>
      <c r="U26" s="227"/>
      <c r="V26" s="233">
        <v>251090</v>
      </c>
      <c r="W26" s="347"/>
      <c r="X26" s="233"/>
      <c r="Y26" s="227"/>
      <c r="Z26" s="227"/>
      <c r="AA26" s="233">
        <v>239590</v>
      </c>
      <c r="AB26" s="347"/>
      <c r="AC26" s="233"/>
      <c r="AD26" s="227"/>
      <c r="AE26" s="227"/>
      <c r="AF26" s="233">
        <v>317003</v>
      </c>
      <c r="AG26" s="347"/>
      <c r="AH26" s="233"/>
      <c r="AI26" s="227"/>
      <c r="AJ26" s="227"/>
      <c r="AK26" s="233">
        <v>314401</v>
      </c>
      <c r="AL26" s="347"/>
      <c r="AM26" s="233"/>
      <c r="AN26" s="227"/>
      <c r="AO26" s="227"/>
      <c r="AP26" s="233">
        <v>190970</v>
      </c>
      <c r="AQ26" s="347"/>
      <c r="AR26" s="233"/>
      <c r="AS26" s="227"/>
      <c r="AT26" s="227"/>
      <c r="AU26" s="233">
        <v>372701</v>
      </c>
      <c r="AV26" s="347"/>
      <c r="AW26" s="233"/>
      <c r="AX26" s="227"/>
      <c r="AY26" s="227"/>
      <c r="AZ26" s="233">
        <v>335950</v>
      </c>
      <c r="BA26" s="347"/>
      <c r="BB26" s="233"/>
      <c r="BC26" s="227"/>
      <c r="BD26" s="227"/>
      <c r="BE26" s="233">
        <v>245115</v>
      </c>
      <c r="BF26" s="347"/>
      <c r="BG26" s="233"/>
      <c r="BH26" s="227"/>
      <c r="BI26" s="227"/>
      <c r="BJ26" s="233">
        <v>239823</v>
      </c>
      <c r="BK26" s="347"/>
      <c r="BL26" s="233"/>
      <c r="BM26" s="227"/>
      <c r="BN26" s="227"/>
      <c r="BO26" s="233">
        <v>297490</v>
      </c>
      <c r="BP26" s="347"/>
      <c r="BQ26" s="233"/>
      <c r="BR26" s="227"/>
      <c r="BS26" s="227"/>
      <c r="BT26" s="233">
        <f>SUM(L26:BO26)</f>
        <v>3393035</v>
      </c>
      <c r="BU26" s="347"/>
      <c r="BV26" s="233"/>
      <c r="BW26" s="244"/>
      <c r="BX26" s="254"/>
      <c r="BY26" s="268"/>
      <c r="BZ26" s="268"/>
    </row>
    <row r="27" spans="1:78" x14ac:dyDescent="0.2">
      <c r="A27" s="244"/>
      <c r="B27" s="244"/>
      <c r="D27" s="254" t="s">
        <v>389</v>
      </c>
      <c r="E27" s="261"/>
      <c r="F27" s="284"/>
      <c r="G27" s="355">
        <v>0</v>
      </c>
      <c r="H27" s="356"/>
      <c r="I27" s="233"/>
      <c r="J27" s="227"/>
      <c r="K27" s="357"/>
      <c r="L27" s="355">
        <v>4</v>
      </c>
      <c r="M27" s="356"/>
      <c r="N27" s="233"/>
      <c r="O27" s="227"/>
      <c r="P27" s="357"/>
      <c r="Q27" s="355">
        <v>0</v>
      </c>
      <c r="R27" s="356"/>
      <c r="S27" s="233"/>
      <c r="T27" s="227"/>
      <c r="U27" s="357"/>
      <c r="V27" s="355">
        <v>0</v>
      </c>
      <c r="W27" s="356"/>
      <c r="X27" s="233"/>
      <c r="Y27" s="227"/>
      <c r="Z27" s="357"/>
      <c r="AA27" s="355">
        <v>0</v>
      </c>
      <c r="AB27" s="356"/>
      <c r="AC27" s="233"/>
      <c r="AD27" s="227"/>
      <c r="AE27" s="357"/>
      <c r="AF27" s="355">
        <v>0</v>
      </c>
      <c r="AG27" s="356"/>
      <c r="AH27" s="233"/>
      <c r="AI27" s="227"/>
      <c r="AJ27" s="357"/>
      <c r="AK27" s="355">
        <v>0</v>
      </c>
      <c r="AL27" s="356"/>
      <c r="AM27" s="233"/>
      <c r="AN27" s="227"/>
      <c r="AO27" s="357"/>
      <c r="AP27" s="355">
        <v>0</v>
      </c>
      <c r="AQ27" s="356"/>
      <c r="AR27" s="233"/>
      <c r="AS27" s="227"/>
      <c r="AT27" s="357"/>
      <c r="AU27" s="355">
        <v>0</v>
      </c>
      <c r="AV27" s="356"/>
      <c r="AW27" s="233"/>
      <c r="AX27" s="227"/>
      <c r="AY27" s="357"/>
      <c r="AZ27" s="355">
        <v>0</v>
      </c>
      <c r="BA27" s="356"/>
      <c r="BB27" s="233"/>
      <c r="BC27" s="227"/>
      <c r="BD27" s="357"/>
      <c r="BE27" s="355">
        <v>0</v>
      </c>
      <c r="BF27" s="356"/>
      <c r="BG27" s="233"/>
      <c r="BH27" s="227"/>
      <c r="BI27" s="357"/>
      <c r="BJ27" s="355">
        <v>0</v>
      </c>
      <c r="BK27" s="356"/>
      <c r="BL27" s="233"/>
      <c r="BM27" s="227"/>
      <c r="BN27" s="357"/>
      <c r="BO27" s="355">
        <v>0</v>
      </c>
      <c r="BP27" s="356"/>
      <c r="BQ27" s="233"/>
      <c r="BR27" s="227"/>
      <c r="BS27" s="357"/>
      <c r="BT27" s="355">
        <f>SUM(L27:BO27)</f>
        <v>4</v>
      </c>
      <c r="BU27" s="356"/>
      <c r="BV27" s="233"/>
      <c r="BW27" s="244"/>
      <c r="BX27" s="254"/>
      <c r="BY27" s="268"/>
      <c r="BZ27" s="268"/>
    </row>
    <row r="28" spans="1:78" ht="12.75" hidden="1" customHeight="1" x14ac:dyDescent="0.2">
      <c r="A28" s="244"/>
      <c r="B28" s="244"/>
      <c r="D28" s="254" t="s">
        <v>390</v>
      </c>
      <c r="E28" s="261"/>
      <c r="F28" s="284"/>
      <c r="G28" s="355">
        <v>0</v>
      </c>
      <c r="H28" s="356"/>
      <c r="I28" s="233"/>
      <c r="J28" s="227"/>
      <c r="K28" s="357"/>
      <c r="L28" s="355">
        <v>0</v>
      </c>
      <c r="M28" s="356"/>
      <c r="N28" s="233"/>
      <c r="O28" s="227"/>
      <c r="P28" s="357"/>
      <c r="Q28" s="355">
        <v>0</v>
      </c>
      <c r="R28" s="356"/>
      <c r="S28" s="233"/>
      <c r="T28" s="227"/>
      <c r="U28" s="357"/>
      <c r="V28" s="355">
        <v>0</v>
      </c>
      <c r="W28" s="356"/>
      <c r="X28" s="233"/>
      <c r="Y28" s="227"/>
      <c r="Z28" s="357"/>
      <c r="AA28" s="355">
        <v>0</v>
      </c>
      <c r="AB28" s="356"/>
      <c r="AC28" s="233"/>
      <c r="AD28" s="227"/>
      <c r="AE28" s="357"/>
      <c r="AF28" s="355">
        <v>0</v>
      </c>
      <c r="AG28" s="356"/>
      <c r="AH28" s="233"/>
      <c r="AI28" s="227"/>
      <c r="AJ28" s="357"/>
      <c r="AK28" s="355">
        <v>0</v>
      </c>
      <c r="AL28" s="356"/>
      <c r="AM28" s="233"/>
      <c r="AN28" s="227"/>
      <c r="AO28" s="357"/>
      <c r="AP28" s="355">
        <v>0</v>
      </c>
      <c r="AQ28" s="356"/>
      <c r="AR28" s="233"/>
      <c r="AS28" s="227"/>
      <c r="AT28" s="357"/>
      <c r="AU28" s="355">
        <v>0</v>
      </c>
      <c r="AV28" s="356"/>
      <c r="AW28" s="233"/>
      <c r="AX28" s="227"/>
      <c r="AY28" s="357"/>
      <c r="AZ28" s="355">
        <v>0</v>
      </c>
      <c r="BA28" s="356"/>
      <c r="BB28" s="233"/>
      <c r="BC28" s="227"/>
      <c r="BD28" s="357"/>
      <c r="BE28" s="355">
        <v>0</v>
      </c>
      <c r="BF28" s="356"/>
      <c r="BG28" s="233"/>
      <c r="BH28" s="227"/>
      <c r="BI28" s="357"/>
      <c r="BJ28" s="355">
        <v>0</v>
      </c>
      <c r="BK28" s="356"/>
      <c r="BL28" s="233"/>
      <c r="BM28" s="227"/>
      <c r="BN28" s="357"/>
      <c r="BO28" s="355">
        <v>0</v>
      </c>
      <c r="BP28" s="356"/>
      <c r="BQ28" s="233"/>
      <c r="BR28" s="227"/>
      <c r="BS28" s="357"/>
      <c r="BT28" s="355">
        <f t="shared" si="0"/>
        <v>0</v>
      </c>
      <c r="BU28" s="356"/>
      <c r="BV28" s="233"/>
      <c r="BW28" s="244"/>
      <c r="BX28" s="254"/>
      <c r="BY28" s="268"/>
      <c r="BZ28" s="268"/>
    </row>
    <row r="29" spans="1:78" x14ac:dyDescent="0.2">
      <c r="A29" s="244"/>
      <c r="B29" s="244"/>
      <c r="D29" s="254"/>
      <c r="E29" s="261"/>
      <c r="F29" s="244"/>
      <c r="G29" s="233"/>
      <c r="H29" s="233"/>
      <c r="I29" s="233"/>
      <c r="J29" s="227"/>
      <c r="K29" s="233"/>
      <c r="L29" s="233"/>
      <c r="M29" s="233"/>
      <c r="N29" s="233"/>
      <c r="O29" s="227"/>
      <c r="P29" s="233"/>
      <c r="Q29" s="233"/>
      <c r="R29" s="233"/>
      <c r="S29" s="233"/>
      <c r="T29" s="227"/>
      <c r="U29" s="233"/>
      <c r="V29" s="233"/>
      <c r="W29" s="233"/>
      <c r="X29" s="233"/>
      <c r="Y29" s="227"/>
      <c r="Z29" s="233"/>
      <c r="AA29" s="233"/>
      <c r="AB29" s="233"/>
      <c r="AC29" s="233"/>
      <c r="AD29" s="227"/>
      <c r="AE29" s="233"/>
      <c r="AF29" s="233"/>
      <c r="AG29" s="233"/>
      <c r="AH29" s="233"/>
      <c r="AI29" s="227"/>
      <c r="AJ29" s="233"/>
      <c r="AK29" s="233"/>
      <c r="AL29" s="233"/>
      <c r="AM29" s="233"/>
      <c r="AN29" s="227"/>
      <c r="AO29" s="233"/>
      <c r="AP29" s="233"/>
      <c r="AQ29" s="233"/>
      <c r="AR29" s="233"/>
      <c r="AS29" s="227"/>
      <c r="AT29" s="233"/>
      <c r="AU29" s="233"/>
      <c r="AV29" s="233"/>
      <c r="AW29" s="233"/>
      <c r="AX29" s="227"/>
      <c r="AY29" s="233"/>
      <c r="AZ29" s="233"/>
      <c r="BA29" s="233"/>
      <c r="BB29" s="233"/>
      <c r="BC29" s="227"/>
      <c r="BD29" s="233"/>
      <c r="BE29" s="233"/>
      <c r="BF29" s="233"/>
      <c r="BG29" s="233"/>
      <c r="BH29" s="227"/>
      <c r="BI29" s="233"/>
      <c r="BJ29" s="233"/>
      <c r="BK29" s="233"/>
      <c r="BL29" s="233"/>
      <c r="BM29" s="227"/>
      <c r="BN29" s="233"/>
      <c r="BO29" s="233"/>
      <c r="BP29" s="233"/>
      <c r="BQ29" s="233"/>
      <c r="BR29" s="227"/>
      <c r="BS29" s="233"/>
      <c r="BT29" s="233"/>
      <c r="BU29" s="233"/>
      <c r="BV29" s="233"/>
      <c r="BW29" s="244"/>
      <c r="BX29" s="254"/>
      <c r="BY29" s="268"/>
      <c r="BZ29" s="268"/>
    </row>
    <row r="30" spans="1:78" s="268" customFormat="1" x14ac:dyDescent="0.2">
      <c r="A30" s="245"/>
      <c r="B30" s="245"/>
      <c r="D30" s="262" t="s">
        <v>391</v>
      </c>
      <c r="E30" s="264"/>
      <c r="F30" s="245"/>
      <c r="G30" s="340">
        <f>SUM(G31:G33)</f>
        <v>12795000</v>
      </c>
      <c r="H30" s="340"/>
      <c r="I30" s="340"/>
      <c r="J30" s="341"/>
      <c r="K30" s="340"/>
      <c r="L30" s="340">
        <f>SUM(L31:L33)</f>
        <v>0</v>
      </c>
      <c r="M30" s="340"/>
      <c r="N30" s="340"/>
      <c r="O30" s="341"/>
      <c r="P30" s="340"/>
      <c r="Q30" s="340">
        <f>SUM(Q31:Q33)</f>
        <v>12795000</v>
      </c>
      <c r="R30" s="340"/>
      <c r="S30" s="340"/>
      <c r="T30" s="341"/>
      <c r="U30" s="340"/>
      <c r="V30" s="340">
        <f>SUM(V31:V33)</f>
        <v>0</v>
      </c>
      <c r="W30" s="340"/>
      <c r="X30" s="340"/>
      <c r="Y30" s="341"/>
      <c r="Z30" s="340"/>
      <c r="AA30" s="340">
        <f>SUM(AA31:AA33)</f>
        <v>0</v>
      </c>
      <c r="AB30" s="340"/>
      <c r="AC30" s="340"/>
      <c r="AD30" s="341"/>
      <c r="AE30" s="340"/>
      <c r="AF30" s="340">
        <f>SUM(AF31:AF33)</f>
        <v>0</v>
      </c>
      <c r="AG30" s="340"/>
      <c r="AH30" s="340"/>
      <c r="AI30" s="341"/>
      <c r="AJ30" s="340"/>
      <c r="AK30" s="340">
        <f>SUM(AK31:AK33)</f>
        <v>0</v>
      </c>
      <c r="AL30" s="340"/>
      <c r="AM30" s="340"/>
      <c r="AN30" s="341"/>
      <c r="AO30" s="340"/>
      <c r="AP30" s="340">
        <f>SUM(AP31:AP33)</f>
        <v>0</v>
      </c>
      <c r="AQ30" s="340"/>
      <c r="AR30" s="340"/>
      <c r="AS30" s="341"/>
      <c r="AT30" s="340"/>
      <c r="AU30" s="340">
        <f>SUM(AU31:AU33)</f>
        <v>0</v>
      </c>
      <c r="AV30" s="340"/>
      <c r="AW30" s="340"/>
      <c r="AX30" s="341"/>
      <c r="AY30" s="340"/>
      <c r="AZ30" s="340">
        <f>SUM(AZ31:AZ33)</f>
        <v>0</v>
      </c>
      <c r="BA30" s="340"/>
      <c r="BB30" s="340"/>
      <c r="BC30" s="341"/>
      <c r="BD30" s="340"/>
      <c r="BE30" s="340">
        <f>SUM(BE31:BE33)</f>
        <v>0</v>
      </c>
      <c r="BF30" s="340"/>
      <c r="BG30" s="340"/>
      <c r="BH30" s="341"/>
      <c r="BI30" s="340"/>
      <c r="BJ30" s="340">
        <f>SUM(BJ31:BJ33)</f>
        <v>0</v>
      </c>
      <c r="BK30" s="340"/>
      <c r="BL30" s="340"/>
      <c r="BM30" s="341"/>
      <c r="BN30" s="340"/>
      <c r="BO30" s="340">
        <f>SUM(BO31:BO33)</f>
        <v>0</v>
      </c>
      <c r="BP30" s="340"/>
      <c r="BQ30" s="340"/>
      <c r="BR30" s="341"/>
      <c r="BS30" s="244"/>
      <c r="BT30" s="340">
        <f>SUM(BT31:BT33)</f>
        <v>12795000</v>
      </c>
      <c r="BU30" s="233"/>
      <c r="BV30" s="340"/>
      <c r="BW30" s="245"/>
      <c r="BX30" s="262"/>
    </row>
    <row r="31" spans="1:78" x14ac:dyDescent="0.2">
      <c r="A31" s="244"/>
      <c r="B31" s="244"/>
      <c r="D31" s="254" t="s">
        <v>310</v>
      </c>
      <c r="E31" s="261"/>
      <c r="F31" s="269"/>
      <c r="G31" s="343">
        <f>G36+G41+G51+G61+G46+G56</f>
        <v>12795000</v>
      </c>
      <c r="H31" s="344"/>
      <c r="I31" s="233"/>
      <c r="J31" s="227"/>
      <c r="K31" s="345"/>
      <c r="L31" s="343">
        <v>0</v>
      </c>
      <c r="M31" s="344"/>
      <c r="N31" s="233"/>
      <c r="O31" s="227"/>
      <c r="P31" s="345"/>
      <c r="Q31" s="343">
        <f>Q36+Q41+Q51+Q61+Q46+Q56</f>
        <v>12795000</v>
      </c>
      <c r="R31" s="344"/>
      <c r="S31" s="233"/>
      <c r="T31" s="354"/>
      <c r="U31" s="345"/>
      <c r="V31" s="343">
        <v>0</v>
      </c>
      <c r="W31" s="344"/>
      <c r="X31" s="233"/>
      <c r="Y31" s="227"/>
      <c r="Z31" s="345"/>
      <c r="AA31" s="343">
        <v>0</v>
      </c>
      <c r="AB31" s="344"/>
      <c r="AC31" s="233"/>
      <c r="AD31" s="227"/>
      <c r="AE31" s="345"/>
      <c r="AF31" s="343">
        <v>0</v>
      </c>
      <c r="AG31" s="344"/>
      <c r="AH31" s="233"/>
      <c r="AI31" s="227"/>
      <c r="AJ31" s="345"/>
      <c r="AK31" s="343">
        <v>0</v>
      </c>
      <c r="AL31" s="344"/>
      <c r="AM31" s="233"/>
      <c r="AN31" s="227"/>
      <c r="AO31" s="345"/>
      <c r="AP31" s="343">
        <v>0</v>
      </c>
      <c r="AQ31" s="344"/>
      <c r="AR31" s="233"/>
      <c r="AS31" s="227"/>
      <c r="AT31" s="345"/>
      <c r="AU31" s="343">
        <v>0</v>
      </c>
      <c r="AV31" s="344"/>
      <c r="AW31" s="233"/>
      <c r="AX31" s="227"/>
      <c r="AY31" s="345"/>
      <c r="AZ31" s="343">
        <v>0</v>
      </c>
      <c r="BA31" s="344"/>
      <c r="BB31" s="233"/>
      <c r="BC31" s="227"/>
      <c r="BD31" s="345"/>
      <c r="BE31" s="343">
        <v>0</v>
      </c>
      <c r="BF31" s="344"/>
      <c r="BG31" s="233"/>
      <c r="BH31" s="227"/>
      <c r="BI31" s="345"/>
      <c r="BJ31" s="343">
        <v>0</v>
      </c>
      <c r="BK31" s="344"/>
      <c r="BL31" s="233"/>
      <c r="BM31" s="227"/>
      <c r="BN31" s="345"/>
      <c r="BO31" s="343">
        <v>0</v>
      </c>
      <c r="BP31" s="344"/>
      <c r="BQ31" s="233"/>
      <c r="BR31" s="227"/>
      <c r="BS31" s="269"/>
      <c r="BT31" s="343">
        <f>BT36+BT41+BT51+BT61+BT46+BT56</f>
        <v>12795000</v>
      </c>
      <c r="BU31" s="344"/>
      <c r="BV31" s="233"/>
      <c r="BW31" s="244"/>
      <c r="BX31" s="254"/>
      <c r="BY31" s="268"/>
      <c r="BZ31" s="268"/>
    </row>
    <row r="32" spans="1:78" x14ac:dyDescent="0.2">
      <c r="A32" s="244"/>
      <c r="B32" s="244"/>
      <c r="D32" s="254" t="s">
        <v>392</v>
      </c>
      <c r="E32" s="261"/>
      <c r="F32" s="261"/>
      <c r="G32" s="233">
        <v>0</v>
      </c>
      <c r="H32" s="347"/>
      <c r="I32" s="233"/>
      <c r="J32" s="227"/>
      <c r="K32" s="227"/>
      <c r="L32" s="233">
        <v>0</v>
      </c>
      <c r="M32" s="347"/>
      <c r="N32" s="233"/>
      <c r="O32" s="227"/>
      <c r="P32" s="227"/>
      <c r="Q32" s="233">
        <v>0</v>
      </c>
      <c r="R32" s="347"/>
      <c r="S32" s="233"/>
      <c r="T32" s="354"/>
      <c r="U32" s="227"/>
      <c r="V32" s="233">
        <v>0</v>
      </c>
      <c r="W32" s="347"/>
      <c r="X32" s="233"/>
      <c r="Y32" s="227"/>
      <c r="Z32" s="227"/>
      <c r="AA32" s="233">
        <v>0</v>
      </c>
      <c r="AB32" s="347"/>
      <c r="AC32" s="233"/>
      <c r="AD32" s="227"/>
      <c r="AE32" s="227"/>
      <c r="AF32" s="233">
        <v>0</v>
      </c>
      <c r="AG32" s="347"/>
      <c r="AH32" s="233"/>
      <c r="AI32" s="227"/>
      <c r="AJ32" s="227"/>
      <c r="AK32" s="233">
        <v>0</v>
      </c>
      <c r="AL32" s="347"/>
      <c r="AM32" s="233"/>
      <c r="AN32" s="227"/>
      <c r="AO32" s="227"/>
      <c r="AP32" s="233">
        <v>0</v>
      </c>
      <c r="AQ32" s="347"/>
      <c r="AR32" s="233"/>
      <c r="AS32" s="227"/>
      <c r="AT32" s="227"/>
      <c r="AU32" s="233">
        <v>0</v>
      </c>
      <c r="AV32" s="347"/>
      <c r="AW32" s="233"/>
      <c r="AX32" s="227"/>
      <c r="AY32" s="227"/>
      <c r="AZ32" s="233">
        <v>0</v>
      </c>
      <c r="BA32" s="347"/>
      <c r="BB32" s="233"/>
      <c r="BC32" s="227"/>
      <c r="BD32" s="227"/>
      <c r="BE32" s="233">
        <v>0</v>
      </c>
      <c r="BF32" s="347"/>
      <c r="BG32" s="233"/>
      <c r="BH32" s="227"/>
      <c r="BI32" s="227"/>
      <c r="BJ32" s="233">
        <v>0</v>
      </c>
      <c r="BK32" s="347"/>
      <c r="BL32" s="233"/>
      <c r="BM32" s="227"/>
      <c r="BN32" s="227"/>
      <c r="BO32" s="233">
        <v>0</v>
      </c>
      <c r="BP32" s="347"/>
      <c r="BQ32" s="233"/>
      <c r="BR32" s="227"/>
      <c r="BS32" s="261"/>
      <c r="BT32" s="233">
        <f>BT37+BT42+BT52+BT62+BT47+BT57</f>
        <v>0</v>
      </c>
      <c r="BU32" s="347"/>
      <c r="BV32" s="233"/>
      <c r="BW32" s="244"/>
      <c r="BX32" s="254"/>
      <c r="BY32" s="268"/>
      <c r="BZ32" s="268"/>
    </row>
    <row r="33" spans="1:78" x14ac:dyDescent="0.2">
      <c r="A33" s="244"/>
      <c r="B33" s="244"/>
      <c r="D33" s="254" t="s">
        <v>393</v>
      </c>
      <c r="E33" s="261"/>
      <c r="F33" s="284"/>
      <c r="G33" s="355">
        <v>0</v>
      </c>
      <c r="H33" s="356"/>
      <c r="I33" s="233"/>
      <c r="J33" s="227"/>
      <c r="K33" s="357"/>
      <c r="L33" s="355">
        <v>0</v>
      </c>
      <c r="M33" s="356"/>
      <c r="N33" s="233"/>
      <c r="O33" s="227"/>
      <c r="P33" s="357"/>
      <c r="Q33" s="355">
        <v>0</v>
      </c>
      <c r="R33" s="356"/>
      <c r="S33" s="233"/>
      <c r="T33" s="354"/>
      <c r="U33" s="357"/>
      <c r="V33" s="355">
        <v>0</v>
      </c>
      <c r="W33" s="356"/>
      <c r="X33" s="233"/>
      <c r="Y33" s="227"/>
      <c r="Z33" s="357"/>
      <c r="AA33" s="355">
        <v>0</v>
      </c>
      <c r="AB33" s="356"/>
      <c r="AC33" s="233"/>
      <c r="AD33" s="227"/>
      <c r="AE33" s="357"/>
      <c r="AF33" s="355">
        <v>0</v>
      </c>
      <c r="AG33" s="356"/>
      <c r="AH33" s="233"/>
      <c r="AI33" s="227"/>
      <c r="AJ33" s="357"/>
      <c r="AK33" s="355">
        <v>0</v>
      </c>
      <c r="AL33" s="356"/>
      <c r="AM33" s="233"/>
      <c r="AN33" s="227"/>
      <c r="AO33" s="357"/>
      <c r="AP33" s="355">
        <v>0</v>
      </c>
      <c r="AQ33" s="356"/>
      <c r="AR33" s="233"/>
      <c r="AS33" s="227"/>
      <c r="AT33" s="357"/>
      <c r="AU33" s="355">
        <v>0</v>
      </c>
      <c r="AV33" s="356"/>
      <c r="AW33" s="233"/>
      <c r="AX33" s="227"/>
      <c r="AY33" s="357"/>
      <c r="AZ33" s="355">
        <v>0</v>
      </c>
      <c r="BA33" s="356"/>
      <c r="BB33" s="233"/>
      <c r="BC33" s="227"/>
      <c r="BD33" s="357"/>
      <c r="BE33" s="355">
        <v>0</v>
      </c>
      <c r="BF33" s="356"/>
      <c r="BG33" s="233"/>
      <c r="BH33" s="227"/>
      <c r="BI33" s="357"/>
      <c r="BJ33" s="355">
        <v>0</v>
      </c>
      <c r="BK33" s="356"/>
      <c r="BL33" s="233"/>
      <c r="BM33" s="227"/>
      <c r="BN33" s="357"/>
      <c r="BO33" s="355">
        <v>0</v>
      </c>
      <c r="BP33" s="356"/>
      <c r="BQ33" s="233"/>
      <c r="BR33" s="227"/>
      <c r="BS33" s="284"/>
      <c r="BT33" s="355">
        <f>BT38+BT43+BT53+BT63+BT48+BT58</f>
        <v>0</v>
      </c>
      <c r="BU33" s="356"/>
      <c r="BV33" s="233"/>
      <c r="BW33" s="244"/>
      <c r="BX33" s="254"/>
      <c r="BY33" s="268"/>
      <c r="BZ33" s="268"/>
    </row>
    <row r="34" spans="1:78" ht="12.75" hidden="1" customHeight="1" x14ac:dyDescent="0.2">
      <c r="A34" s="244"/>
      <c r="B34" s="244"/>
      <c r="D34" s="254"/>
      <c r="E34" s="261"/>
      <c r="F34" s="244"/>
      <c r="G34" s="233"/>
      <c r="H34" s="233"/>
      <c r="I34" s="233"/>
      <c r="J34" s="227"/>
      <c r="K34" s="233"/>
      <c r="L34" s="233"/>
      <c r="M34" s="233"/>
      <c r="N34" s="233"/>
      <c r="O34" s="227"/>
      <c r="P34" s="233"/>
      <c r="Q34" s="233"/>
      <c r="R34" s="233"/>
      <c r="S34" s="233"/>
      <c r="T34" s="227"/>
      <c r="U34" s="233"/>
      <c r="V34" s="233"/>
      <c r="W34" s="233"/>
      <c r="X34" s="233"/>
      <c r="Y34" s="227"/>
      <c r="Z34" s="233"/>
      <c r="AA34" s="233"/>
      <c r="AB34" s="233"/>
      <c r="AC34" s="233"/>
      <c r="AD34" s="227"/>
      <c r="AE34" s="233"/>
      <c r="AF34" s="233"/>
      <c r="AG34" s="233"/>
      <c r="AH34" s="233"/>
      <c r="AI34" s="227"/>
      <c r="AJ34" s="233"/>
      <c r="AK34" s="233"/>
      <c r="AL34" s="233"/>
      <c r="AM34" s="233"/>
      <c r="AN34" s="227"/>
      <c r="AO34" s="233"/>
      <c r="AP34" s="233"/>
      <c r="AQ34" s="233"/>
      <c r="AR34" s="233"/>
      <c r="AS34" s="227"/>
      <c r="AT34" s="233"/>
      <c r="AU34" s="233"/>
      <c r="AV34" s="233"/>
      <c r="AW34" s="233"/>
      <c r="AX34" s="227"/>
      <c r="AY34" s="233"/>
      <c r="AZ34" s="233"/>
      <c r="BA34" s="233"/>
      <c r="BB34" s="233"/>
      <c r="BC34" s="227"/>
      <c r="BD34" s="233"/>
      <c r="BE34" s="233"/>
      <c r="BF34" s="233"/>
      <c r="BG34" s="233"/>
      <c r="BH34" s="227"/>
      <c r="BI34" s="233"/>
      <c r="BJ34" s="233"/>
      <c r="BK34" s="233"/>
      <c r="BL34" s="233"/>
      <c r="BM34" s="227"/>
      <c r="BN34" s="233"/>
      <c r="BO34" s="233"/>
      <c r="BP34" s="233"/>
      <c r="BQ34" s="233"/>
      <c r="BR34" s="227"/>
      <c r="BS34" s="233"/>
      <c r="BT34" s="233"/>
      <c r="BU34" s="233"/>
      <c r="BV34" s="233"/>
      <c r="BW34" s="244"/>
      <c r="BX34" s="254"/>
      <c r="BY34" s="268"/>
      <c r="BZ34" s="268"/>
    </row>
    <row r="35" spans="1:78" ht="12.75" hidden="1" customHeight="1" x14ac:dyDescent="0.2">
      <c r="A35" s="244"/>
      <c r="B35" s="244"/>
      <c r="D35" s="254" t="s">
        <v>394</v>
      </c>
      <c r="E35" s="261"/>
      <c r="F35" s="244"/>
      <c r="G35" s="233">
        <v>0</v>
      </c>
      <c r="H35" s="233"/>
      <c r="I35" s="233"/>
      <c r="J35" s="227"/>
      <c r="K35" s="244"/>
      <c r="L35" s="233">
        <f>SUM(L36:L38)</f>
        <v>0</v>
      </c>
      <c r="M35" s="233"/>
      <c r="N35" s="233"/>
      <c r="O35" s="227"/>
      <c r="P35" s="244"/>
      <c r="Q35" s="233">
        <f>SUM(Q36:Q38)</f>
        <v>0</v>
      </c>
      <c r="R35" s="233"/>
      <c r="S35" s="233"/>
      <c r="T35" s="227"/>
      <c r="U35" s="244"/>
      <c r="V35" s="233">
        <f>SUM(V36:V38)</f>
        <v>0</v>
      </c>
      <c r="W35" s="233"/>
      <c r="X35" s="233"/>
      <c r="Y35" s="227"/>
      <c r="Z35" s="244"/>
      <c r="AA35" s="233">
        <f>SUM(AA36:AA38)</f>
        <v>0</v>
      </c>
      <c r="AB35" s="233"/>
      <c r="AC35" s="233"/>
      <c r="AD35" s="227"/>
      <c r="AE35" s="244"/>
      <c r="AF35" s="233">
        <f>SUM(AF36:AF38)</f>
        <v>0</v>
      </c>
      <c r="AG35" s="233"/>
      <c r="AH35" s="233"/>
      <c r="AI35" s="227"/>
      <c r="AJ35" s="244"/>
      <c r="AK35" s="233">
        <f>SUM(AK36:AK38)</f>
        <v>0</v>
      </c>
      <c r="AL35" s="233"/>
      <c r="AM35" s="233"/>
      <c r="AN35" s="227"/>
      <c r="AO35" s="244"/>
      <c r="AP35" s="233">
        <f>SUM(AP36:AP38)</f>
        <v>0</v>
      </c>
      <c r="AQ35" s="233"/>
      <c r="AR35" s="233"/>
      <c r="AS35" s="227"/>
      <c r="AT35" s="244"/>
      <c r="AU35" s="233">
        <f>SUM(AU36:AU38)</f>
        <v>0</v>
      </c>
      <c r="AV35" s="233"/>
      <c r="AW35" s="233"/>
      <c r="AX35" s="227"/>
      <c r="AY35" s="244"/>
      <c r="AZ35" s="233">
        <f>SUM(AZ36:AZ38)</f>
        <v>0</v>
      </c>
      <c r="BA35" s="233"/>
      <c r="BB35" s="233"/>
      <c r="BC35" s="227"/>
      <c r="BD35" s="244"/>
      <c r="BE35" s="233">
        <f>SUM(BE36:BE38)</f>
        <v>0</v>
      </c>
      <c r="BF35" s="233"/>
      <c r="BG35" s="233"/>
      <c r="BH35" s="227"/>
      <c r="BI35" s="244"/>
      <c r="BJ35" s="233">
        <f>SUM(BJ36:BJ38)</f>
        <v>0</v>
      </c>
      <c r="BK35" s="233"/>
      <c r="BL35" s="233"/>
      <c r="BM35" s="227"/>
      <c r="BN35" s="244"/>
      <c r="BO35" s="233">
        <f>SUM(BO36:BO38)</f>
        <v>0</v>
      </c>
      <c r="BP35" s="233"/>
      <c r="BQ35" s="233"/>
      <c r="BR35" s="227"/>
      <c r="BS35" s="244"/>
      <c r="BT35" s="355">
        <f>SUM(BT36:BT38)</f>
        <v>0</v>
      </c>
      <c r="BU35" s="233"/>
      <c r="BV35" s="233"/>
      <c r="BW35" s="244"/>
      <c r="BX35" s="254"/>
      <c r="BY35" s="268"/>
      <c r="BZ35" s="268"/>
    </row>
    <row r="36" spans="1:78" ht="12.75" hidden="1" customHeight="1" x14ac:dyDescent="0.2">
      <c r="A36" s="244"/>
      <c r="B36" s="244"/>
      <c r="D36" s="254" t="s">
        <v>310</v>
      </c>
      <c r="E36" s="261"/>
      <c r="F36" s="269"/>
      <c r="G36" s="343">
        <v>0</v>
      </c>
      <c r="H36" s="344"/>
      <c r="I36" s="233"/>
      <c r="J36" s="227"/>
      <c r="K36" s="269"/>
      <c r="L36" s="343">
        <v>0</v>
      </c>
      <c r="M36" s="344"/>
      <c r="N36" s="233"/>
      <c r="O36" s="227"/>
      <c r="P36" s="269"/>
      <c r="Q36" s="343">
        <v>0</v>
      </c>
      <c r="R36" s="344"/>
      <c r="S36" s="233"/>
      <c r="T36" s="227"/>
      <c r="U36" s="269"/>
      <c r="V36" s="343">
        <v>0</v>
      </c>
      <c r="W36" s="344"/>
      <c r="X36" s="233"/>
      <c r="Y36" s="227"/>
      <c r="Z36" s="269"/>
      <c r="AA36" s="343">
        <v>0</v>
      </c>
      <c r="AB36" s="344"/>
      <c r="AC36" s="233"/>
      <c r="AD36" s="227"/>
      <c r="AE36" s="269"/>
      <c r="AF36" s="343">
        <v>0</v>
      </c>
      <c r="AG36" s="344"/>
      <c r="AH36" s="233"/>
      <c r="AI36" s="227"/>
      <c r="AJ36" s="269"/>
      <c r="AK36" s="343">
        <v>0</v>
      </c>
      <c r="AL36" s="344"/>
      <c r="AM36" s="233"/>
      <c r="AN36" s="227"/>
      <c r="AO36" s="269"/>
      <c r="AP36" s="343">
        <v>0</v>
      </c>
      <c r="AQ36" s="344"/>
      <c r="AR36" s="233"/>
      <c r="AS36" s="227"/>
      <c r="AT36" s="269"/>
      <c r="AU36" s="343">
        <v>0</v>
      </c>
      <c r="AV36" s="344"/>
      <c r="AW36" s="233"/>
      <c r="AX36" s="227"/>
      <c r="AY36" s="269"/>
      <c r="AZ36" s="343">
        <v>0</v>
      </c>
      <c r="BA36" s="344"/>
      <c r="BB36" s="233"/>
      <c r="BC36" s="227"/>
      <c r="BD36" s="269"/>
      <c r="BE36" s="343">
        <v>0</v>
      </c>
      <c r="BF36" s="344"/>
      <c r="BG36" s="233"/>
      <c r="BH36" s="227"/>
      <c r="BI36" s="269"/>
      <c r="BJ36" s="343">
        <v>0</v>
      </c>
      <c r="BK36" s="344"/>
      <c r="BL36" s="233"/>
      <c r="BM36" s="227"/>
      <c r="BN36" s="269"/>
      <c r="BO36" s="343">
        <v>0</v>
      </c>
      <c r="BP36" s="344"/>
      <c r="BQ36" s="233"/>
      <c r="BR36" s="227"/>
      <c r="BS36" s="269"/>
      <c r="BT36" s="233">
        <f>SUM(L36:BO36)</f>
        <v>0</v>
      </c>
      <c r="BU36" s="344"/>
      <c r="BV36" s="233"/>
      <c r="BW36" s="244"/>
      <c r="BX36" s="254"/>
      <c r="BY36" s="268"/>
      <c r="BZ36" s="268"/>
    </row>
    <row r="37" spans="1:78" ht="12.75" hidden="1" customHeight="1" x14ac:dyDescent="0.2">
      <c r="A37" s="244"/>
      <c r="B37" s="244"/>
      <c r="D37" s="254" t="s">
        <v>392</v>
      </c>
      <c r="E37" s="261"/>
      <c r="F37" s="261"/>
      <c r="G37" s="233">
        <v>0</v>
      </c>
      <c r="H37" s="347"/>
      <c r="I37" s="233"/>
      <c r="J37" s="227"/>
      <c r="K37" s="261"/>
      <c r="L37" s="233">
        <v>0</v>
      </c>
      <c r="M37" s="347"/>
      <c r="N37" s="233"/>
      <c r="O37" s="227"/>
      <c r="P37" s="261"/>
      <c r="Q37" s="233">
        <v>0</v>
      </c>
      <c r="R37" s="347"/>
      <c r="S37" s="233"/>
      <c r="T37" s="227"/>
      <c r="U37" s="261"/>
      <c r="V37" s="233">
        <v>0</v>
      </c>
      <c r="W37" s="347"/>
      <c r="X37" s="233"/>
      <c r="Y37" s="227"/>
      <c r="Z37" s="261"/>
      <c r="AA37" s="233">
        <v>0</v>
      </c>
      <c r="AB37" s="347"/>
      <c r="AC37" s="233"/>
      <c r="AD37" s="227"/>
      <c r="AE37" s="261"/>
      <c r="AF37" s="233">
        <v>0</v>
      </c>
      <c r="AG37" s="347"/>
      <c r="AH37" s="233"/>
      <c r="AI37" s="227"/>
      <c r="AJ37" s="261"/>
      <c r="AK37" s="233">
        <v>0</v>
      </c>
      <c r="AL37" s="347"/>
      <c r="AM37" s="233"/>
      <c r="AN37" s="227"/>
      <c r="AO37" s="261"/>
      <c r="AP37" s="233">
        <v>0</v>
      </c>
      <c r="AQ37" s="347"/>
      <c r="AR37" s="233"/>
      <c r="AS37" s="227"/>
      <c r="AT37" s="261"/>
      <c r="AU37" s="233">
        <v>0</v>
      </c>
      <c r="AV37" s="347"/>
      <c r="AW37" s="233"/>
      <c r="AX37" s="227"/>
      <c r="AY37" s="261"/>
      <c r="AZ37" s="233">
        <v>0</v>
      </c>
      <c r="BA37" s="347"/>
      <c r="BB37" s="233"/>
      <c r="BC37" s="227"/>
      <c r="BD37" s="261"/>
      <c r="BE37" s="233">
        <v>0</v>
      </c>
      <c r="BF37" s="347"/>
      <c r="BG37" s="233"/>
      <c r="BH37" s="227"/>
      <c r="BI37" s="261"/>
      <c r="BJ37" s="233">
        <v>0</v>
      </c>
      <c r="BK37" s="347"/>
      <c r="BL37" s="233"/>
      <c r="BM37" s="227"/>
      <c r="BN37" s="261"/>
      <c r="BO37" s="233">
        <v>0</v>
      </c>
      <c r="BP37" s="347"/>
      <c r="BQ37" s="233"/>
      <c r="BR37" s="227"/>
      <c r="BS37" s="261"/>
      <c r="BT37" s="233">
        <f>SUM(L37:BO37)</f>
        <v>0</v>
      </c>
      <c r="BU37" s="347"/>
      <c r="BV37" s="233"/>
      <c r="BW37" s="244"/>
      <c r="BX37" s="254"/>
      <c r="BY37" s="268"/>
      <c r="BZ37" s="268"/>
    </row>
    <row r="38" spans="1:78" ht="12.75" hidden="1" customHeight="1" x14ac:dyDescent="0.2">
      <c r="A38" s="244"/>
      <c r="B38" s="244"/>
      <c r="D38" s="254" t="s">
        <v>393</v>
      </c>
      <c r="E38" s="261"/>
      <c r="F38" s="284"/>
      <c r="G38" s="355">
        <v>0</v>
      </c>
      <c r="H38" s="356"/>
      <c r="I38" s="233"/>
      <c r="J38" s="227"/>
      <c r="K38" s="284"/>
      <c r="L38" s="355">
        <v>0</v>
      </c>
      <c r="M38" s="356"/>
      <c r="N38" s="233"/>
      <c r="O38" s="227"/>
      <c r="P38" s="284"/>
      <c r="Q38" s="355">
        <v>0</v>
      </c>
      <c r="R38" s="356"/>
      <c r="S38" s="233"/>
      <c r="T38" s="227"/>
      <c r="U38" s="284"/>
      <c r="V38" s="355">
        <v>0</v>
      </c>
      <c r="W38" s="356"/>
      <c r="X38" s="233"/>
      <c r="Y38" s="227"/>
      <c r="Z38" s="284"/>
      <c r="AA38" s="355">
        <v>0</v>
      </c>
      <c r="AB38" s="356"/>
      <c r="AC38" s="233"/>
      <c r="AD38" s="227"/>
      <c r="AE38" s="284"/>
      <c r="AF38" s="355">
        <v>0</v>
      </c>
      <c r="AG38" s="356"/>
      <c r="AH38" s="233"/>
      <c r="AI38" s="227"/>
      <c r="AJ38" s="284"/>
      <c r="AK38" s="355">
        <v>0</v>
      </c>
      <c r="AL38" s="356"/>
      <c r="AM38" s="233"/>
      <c r="AN38" s="227"/>
      <c r="AO38" s="284"/>
      <c r="AP38" s="355">
        <v>0</v>
      </c>
      <c r="AQ38" s="356"/>
      <c r="AR38" s="233"/>
      <c r="AS38" s="227"/>
      <c r="AT38" s="284"/>
      <c r="AU38" s="355">
        <v>0</v>
      </c>
      <c r="AV38" s="356"/>
      <c r="AW38" s="233"/>
      <c r="AX38" s="227"/>
      <c r="AY38" s="284"/>
      <c r="AZ38" s="355">
        <v>0</v>
      </c>
      <c r="BA38" s="356"/>
      <c r="BB38" s="233"/>
      <c r="BC38" s="227"/>
      <c r="BD38" s="284"/>
      <c r="BE38" s="355">
        <v>0</v>
      </c>
      <c r="BF38" s="356"/>
      <c r="BG38" s="233"/>
      <c r="BH38" s="227"/>
      <c r="BI38" s="284"/>
      <c r="BJ38" s="355">
        <v>0</v>
      </c>
      <c r="BK38" s="356"/>
      <c r="BL38" s="233"/>
      <c r="BM38" s="227"/>
      <c r="BN38" s="284"/>
      <c r="BO38" s="355">
        <v>0</v>
      </c>
      <c r="BP38" s="356"/>
      <c r="BQ38" s="233"/>
      <c r="BR38" s="227"/>
      <c r="BS38" s="284"/>
      <c r="BT38" s="355">
        <f>SUM(L38:BO38)</f>
        <v>0</v>
      </c>
      <c r="BU38" s="356"/>
      <c r="BV38" s="233"/>
      <c r="BW38" s="244"/>
      <c r="BX38" s="254"/>
      <c r="BY38" s="268"/>
      <c r="BZ38" s="268"/>
    </row>
    <row r="39" spans="1:78" hidden="1" x14ac:dyDescent="0.2">
      <c r="A39" s="244"/>
      <c r="B39" s="244"/>
      <c r="D39" s="254"/>
      <c r="E39" s="261"/>
      <c r="F39" s="244"/>
      <c r="G39" s="233"/>
      <c r="H39" s="233"/>
      <c r="I39" s="233"/>
      <c r="J39" s="227"/>
      <c r="K39" s="233"/>
      <c r="L39" s="233"/>
      <c r="M39" s="233"/>
      <c r="N39" s="233"/>
      <c r="O39" s="227"/>
      <c r="P39" s="233"/>
      <c r="Q39" s="233"/>
      <c r="R39" s="233"/>
      <c r="S39" s="233"/>
      <c r="T39" s="227"/>
      <c r="U39" s="233"/>
      <c r="V39" s="233"/>
      <c r="W39" s="233"/>
      <c r="X39" s="233"/>
      <c r="Y39" s="227"/>
      <c r="Z39" s="233"/>
      <c r="AA39" s="233"/>
      <c r="AB39" s="233"/>
      <c r="AC39" s="233"/>
      <c r="AD39" s="227"/>
      <c r="AE39" s="233"/>
      <c r="AF39" s="233"/>
      <c r="AG39" s="233"/>
      <c r="AH39" s="233"/>
      <c r="AI39" s="227"/>
      <c r="AJ39" s="233"/>
      <c r="AK39" s="233"/>
      <c r="AL39" s="233"/>
      <c r="AM39" s="233"/>
      <c r="AN39" s="227"/>
      <c r="AO39" s="233"/>
      <c r="AP39" s="233"/>
      <c r="AQ39" s="233"/>
      <c r="AR39" s="233"/>
      <c r="AS39" s="227"/>
      <c r="AT39" s="233"/>
      <c r="AU39" s="233"/>
      <c r="AV39" s="233"/>
      <c r="AW39" s="233"/>
      <c r="AX39" s="227"/>
      <c r="AY39" s="233"/>
      <c r="AZ39" s="233"/>
      <c r="BA39" s="233"/>
      <c r="BB39" s="233"/>
      <c r="BC39" s="227"/>
      <c r="BD39" s="233"/>
      <c r="BE39" s="233"/>
      <c r="BF39" s="233"/>
      <c r="BG39" s="233"/>
      <c r="BH39" s="227"/>
      <c r="BI39" s="233"/>
      <c r="BJ39" s="233"/>
      <c r="BK39" s="233"/>
      <c r="BL39" s="233"/>
      <c r="BM39" s="227"/>
      <c r="BN39" s="233"/>
      <c r="BO39" s="233"/>
      <c r="BP39" s="233"/>
      <c r="BQ39" s="233"/>
      <c r="BR39" s="227"/>
      <c r="BS39" s="233"/>
      <c r="BT39" s="233"/>
      <c r="BU39" s="233"/>
      <c r="BV39" s="233"/>
      <c r="BW39" s="244"/>
      <c r="BX39" s="254"/>
      <c r="BY39" s="268"/>
      <c r="BZ39" s="268"/>
    </row>
    <row r="40" spans="1:78" hidden="1" x14ac:dyDescent="0.2">
      <c r="A40" s="244"/>
      <c r="B40" s="244"/>
      <c r="D40" s="254" t="s">
        <v>395</v>
      </c>
      <c r="E40" s="261"/>
      <c r="F40" s="244"/>
      <c r="G40" s="233">
        <v>0</v>
      </c>
      <c r="H40" s="233"/>
      <c r="I40" s="233"/>
      <c r="J40" s="227"/>
      <c r="K40" s="244"/>
      <c r="L40" s="233">
        <f>SUM(L41:L43)</f>
        <v>0</v>
      </c>
      <c r="M40" s="233"/>
      <c r="N40" s="233"/>
      <c r="O40" s="227"/>
      <c r="P40" s="244"/>
      <c r="Q40" s="233">
        <f>SUM(Q41:Q43)</f>
        <v>0</v>
      </c>
      <c r="R40" s="233"/>
      <c r="S40" s="233"/>
      <c r="T40" s="227"/>
      <c r="U40" s="244"/>
      <c r="V40" s="233">
        <f>SUM(V41:V43)</f>
        <v>0</v>
      </c>
      <c r="W40" s="233"/>
      <c r="X40" s="233"/>
      <c r="Y40" s="227"/>
      <c r="Z40" s="244"/>
      <c r="AA40" s="233">
        <f>SUM(AA41:AA43)</f>
        <v>0</v>
      </c>
      <c r="AB40" s="233"/>
      <c r="AC40" s="233"/>
      <c r="AD40" s="227"/>
      <c r="AE40" s="244"/>
      <c r="AF40" s="233">
        <f>SUM(AF41:AF43)</f>
        <v>0</v>
      </c>
      <c r="AG40" s="233"/>
      <c r="AH40" s="233"/>
      <c r="AI40" s="227"/>
      <c r="AJ40" s="244"/>
      <c r="AK40" s="233">
        <f>SUM(AK41:AK43)</f>
        <v>0</v>
      </c>
      <c r="AL40" s="233"/>
      <c r="AM40" s="233"/>
      <c r="AN40" s="227"/>
      <c r="AO40" s="244"/>
      <c r="AP40" s="233">
        <f>SUM(AP41:AP43)</f>
        <v>0</v>
      </c>
      <c r="AQ40" s="233"/>
      <c r="AR40" s="233"/>
      <c r="AS40" s="227"/>
      <c r="AT40" s="244"/>
      <c r="AU40" s="233">
        <f>SUM(AU41:AU43)</f>
        <v>0</v>
      </c>
      <c r="AV40" s="233"/>
      <c r="AW40" s="233"/>
      <c r="AX40" s="227"/>
      <c r="AY40" s="244"/>
      <c r="AZ40" s="233">
        <f>SUM(AZ41:AZ43)</f>
        <v>0</v>
      </c>
      <c r="BA40" s="233"/>
      <c r="BB40" s="233"/>
      <c r="BC40" s="227"/>
      <c r="BD40" s="244"/>
      <c r="BE40" s="233">
        <f>SUM(BE41:BE43)</f>
        <v>0</v>
      </c>
      <c r="BF40" s="233"/>
      <c r="BG40" s="233"/>
      <c r="BH40" s="227"/>
      <c r="BI40" s="244"/>
      <c r="BJ40" s="233">
        <f>SUM(BJ41:BJ43)</f>
        <v>0</v>
      </c>
      <c r="BK40" s="233"/>
      <c r="BL40" s="233"/>
      <c r="BM40" s="227"/>
      <c r="BN40" s="244"/>
      <c r="BO40" s="233">
        <f>SUM(BO41:BO43)</f>
        <v>0</v>
      </c>
      <c r="BP40" s="233"/>
      <c r="BQ40" s="233"/>
      <c r="BR40" s="227"/>
      <c r="BS40" s="244"/>
      <c r="BT40" s="233">
        <f>SUM(BT41:BT43)</f>
        <v>0</v>
      </c>
      <c r="BU40" s="233"/>
      <c r="BV40" s="233"/>
      <c r="BW40" s="244"/>
      <c r="BX40" s="254"/>
      <c r="BY40" s="268"/>
      <c r="BZ40" s="268"/>
    </row>
    <row r="41" spans="1:78" hidden="1" x14ac:dyDescent="0.2">
      <c r="A41" s="244"/>
      <c r="B41" s="244"/>
      <c r="D41" s="254" t="s">
        <v>310</v>
      </c>
      <c r="E41" s="261"/>
      <c r="F41" s="269"/>
      <c r="G41" s="343">
        <v>0</v>
      </c>
      <c r="H41" s="344"/>
      <c r="I41" s="233"/>
      <c r="J41" s="227"/>
      <c r="K41" s="269"/>
      <c r="L41" s="343">
        <v>0</v>
      </c>
      <c r="M41" s="344"/>
      <c r="N41" s="233"/>
      <c r="O41" s="227"/>
      <c r="P41" s="269"/>
      <c r="Q41" s="343">
        <v>0</v>
      </c>
      <c r="R41" s="344"/>
      <c r="S41" s="233"/>
      <c r="T41" s="227"/>
      <c r="U41" s="269"/>
      <c r="V41" s="343">
        <v>0</v>
      </c>
      <c r="W41" s="344"/>
      <c r="X41" s="233"/>
      <c r="Y41" s="227"/>
      <c r="Z41" s="269"/>
      <c r="AA41" s="343">
        <v>0</v>
      </c>
      <c r="AB41" s="344"/>
      <c r="AC41" s="233"/>
      <c r="AD41" s="227"/>
      <c r="AE41" s="269"/>
      <c r="AF41" s="343">
        <v>0</v>
      </c>
      <c r="AG41" s="344"/>
      <c r="AH41" s="233"/>
      <c r="AI41" s="227"/>
      <c r="AJ41" s="269"/>
      <c r="AK41" s="343">
        <v>0</v>
      </c>
      <c r="AL41" s="344"/>
      <c r="AM41" s="233"/>
      <c r="AN41" s="227"/>
      <c r="AO41" s="269"/>
      <c r="AP41" s="343">
        <v>0</v>
      </c>
      <c r="AQ41" s="344"/>
      <c r="AR41" s="233"/>
      <c r="AS41" s="227"/>
      <c r="AT41" s="269"/>
      <c r="AU41" s="343">
        <v>0</v>
      </c>
      <c r="AV41" s="344"/>
      <c r="AW41" s="233"/>
      <c r="AX41" s="227"/>
      <c r="AY41" s="269"/>
      <c r="AZ41" s="343">
        <v>0</v>
      </c>
      <c r="BA41" s="344"/>
      <c r="BB41" s="233"/>
      <c r="BC41" s="227"/>
      <c r="BD41" s="269"/>
      <c r="BE41" s="343">
        <v>0</v>
      </c>
      <c r="BF41" s="344"/>
      <c r="BG41" s="233"/>
      <c r="BH41" s="227"/>
      <c r="BI41" s="269"/>
      <c r="BJ41" s="343">
        <v>0</v>
      </c>
      <c r="BK41" s="344"/>
      <c r="BL41" s="233"/>
      <c r="BM41" s="227"/>
      <c r="BN41" s="269"/>
      <c r="BO41" s="343">
        <v>0</v>
      </c>
      <c r="BP41" s="344"/>
      <c r="BQ41" s="233"/>
      <c r="BR41" s="227"/>
      <c r="BS41" s="269"/>
      <c r="BT41" s="343">
        <f>SUM(L41:BO41)</f>
        <v>0</v>
      </c>
      <c r="BU41" s="344"/>
      <c r="BV41" s="233"/>
      <c r="BW41" s="244"/>
      <c r="BX41" s="254"/>
      <c r="BY41" s="268"/>
      <c r="BZ41" s="268"/>
    </row>
    <row r="42" spans="1:78" hidden="1" x14ac:dyDescent="0.2">
      <c r="A42" s="244"/>
      <c r="B42" s="244"/>
      <c r="D42" s="254" t="s">
        <v>392</v>
      </c>
      <c r="E42" s="261"/>
      <c r="F42" s="261"/>
      <c r="G42" s="233">
        <v>0</v>
      </c>
      <c r="H42" s="347"/>
      <c r="I42" s="233"/>
      <c r="J42" s="227"/>
      <c r="K42" s="261"/>
      <c r="L42" s="233">
        <v>0</v>
      </c>
      <c r="M42" s="347"/>
      <c r="N42" s="233"/>
      <c r="O42" s="227"/>
      <c r="P42" s="261"/>
      <c r="Q42" s="233">
        <v>0</v>
      </c>
      <c r="R42" s="347"/>
      <c r="S42" s="233"/>
      <c r="T42" s="227"/>
      <c r="U42" s="261"/>
      <c r="V42" s="233">
        <v>0</v>
      </c>
      <c r="W42" s="347"/>
      <c r="X42" s="233"/>
      <c r="Y42" s="227"/>
      <c r="Z42" s="261"/>
      <c r="AA42" s="233">
        <v>0</v>
      </c>
      <c r="AB42" s="347"/>
      <c r="AC42" s="233"/>
      <c r="AD42" s="227"/>
      <c r="AE42" s="261"/>
      <c r="AF42" s="233">
        <v>0</v>
      </c>
      <c r="AG42" s="347"/>
      <c r="AH42" s="233"/>
      <c r="AI42" s="227"/>
      <c r="AJ42" s="261"/>
      <c r="AK42" s="233">
        <v>0</v>
      </c>
      <c r="AL42" s="347"/>
      <c r="AM42" s="233"/>
      <c r="AN42" s="227"/>
      <c r="AO42" s="261"/>
      <c r="AP42" s="233">
        <v>0</v>
      </c>
      <c r="AQ42" s="347"/>
      <c r="AR42" s="233"/>
      <c r="AS42" s="227"/>
      <c r="AT42" s="261"/>
      <c r="AU42" s="233">
        <v>0</v>
      </c>
      <c r="AV42" s="347"/>
      <c r="AW42" s="233"/>
      <c r="AX42" s="227"/>
      <c r="AY42" s="261"/>
      <c r="AZ42" s="233">
        <v>0</v>
      </c>
      <c r="BA42" s="347"/>
      <c r="BB42" s="233"/>
      <c r="BC42" s="227"/>
      <c r="BD42" s="261"/>
      <c r="BE42" s="233">
        <v>0</v>
      </c>
      <c r="BF42" s="347"/>
      <c r="BG42" s="233"/>
      <c r="BH42" s="227"/>
      <c r="BI42" s="261"/>
      <c r="BJ42" s="233">
        <v>0</v>
      </c>
      <c r="BK42" s="347"/>
      <c r="BL42" s="233"/>
      <c r="BM42" s="227"/>
      <c r="BN42" s="261"/>
      <c r="BO42" s="233">
        <v>0</v>
      </c>
      <c r="BP42" s="347"/>
      <c r="BQ42" s="233"/>
      <c r="BR42" s="227"/>
      <c r="BS42" s="261"/>
      <c r="BT42" s="233">
        <f>SUM(L42:BO42)</f>
        <v>0</v>
      </c>
      <c r="BU42" s="347"/>
      <c r="BV42" s="233"/>
      <c r="BW42" s="244"/>
      <c r="BX42" s="254"/>
      <c r="BY42" s="268"/>
      <c r="BZ42" s="268"/>
    </row>
    <row r="43" spans="1:78" hidden="1" x14ac:dyDescent="0.2">
      <c r="A43" s="244"/>
      <c r="B43" s="244"/>
      <c r="D43" s="254" t="s">
        <v>393</v>
      </c>
      <c r="E43" s="261"/>
      <c r="F43" s="284"/>
      <c r="G43" s="355">
        <v>0</v>
      </c>
      <c r="H43" s="356"/>
      <c r="I43" s="233"/>
      <c r="J43" s="227"/>
      <c r="K43" s="284"/>
      <c r="L43" s="355">
        <v>0</v>
      </c>
      <c r="M43" s="356"/>
      <c r="N43" s="233"/>
      <c r="O43" s="227"/>
      <c r="P43" s="284"/>
      <c r="Q43" s="355">
        <v>0</v>
      </c>
      <c r="R43" s="356"/>
      <c r="S43" s="233"/>
      <c r="T43" s="227"/>
      <c r="U43" s="284"/>
      <c r="V43" s="355">
        <v>0</v>
      </c>
      <c r="W43" s="356"/>
      <c r="X43" s="233"/>
      <c r="Y43" s="227"/>
      <c r="Z43" s="284"/>
      <c r="AA43" s="355">
        <v>0</v>
      </c>
      <c r="AB43" s="356"/>
      <c r="AC43" s="233"/>
      <c r="AD43" s="227"/>
      <c r="AE43" s="284"/>
      <c r="AF43" s="355">
        <v>0</v>
      </c>
      <c r="AG43" s="356"/>
      <c r="AH43" s="233"/>
      <c r="AI43" s="227"/>
      <c r="AJ43" s="284"/>
      <c r="AK43" s="355">
        <v>0</v>
      </c>
      <c r="AL43" s="356"/>
      <c r="AM43" s="233"/>
      <c r="AN43" s="227"/>
      <c r="AO43" s="284"/>
      <c r="AP43" s="355">
        <v>0</v>
      </c>
      <c r="AQ43" s="356"/>
      <c r="AR43" s="233"/>
      <c r="AS43" s="227"/>
      <c r="AT43" s="284"/>
      <c r="AU43" s="355">
        <v>0</v>
      </c>
      <c r="AV43" s="356"/>
      <c r="AW43" s="233"/>
      <c r="AX43" s="227"/>
      <c r="AY43" s="284"/>
      <c r="AZ43" s="355">
        <v>0</v>
      </c>
      <c r="BA43" s="356"/>
      <c r="BB43" s="233"/>
      <c r="BC43" s="227"/>
      <c r="BD43" s="284"/>
      <c r="BE43" s="355">
        <v>0</v>
      </c>
      <c r="BF43" s="356"/>
      <c r="BG43" s="233"/>
      <c r="BH43" s="227"/>
      <c r="BI43" s="284"/>
      <c r="BJ43" s="355">
        <v>0</v>
      </c>
      <c r="BK43" s="356"/>
      <c r="BL43" s="233"/>
      <c r="BM43" s="227"/>
      <c r="BN43" s="284"/>
      <c r="BO43" s="355">
        <v>0</v>
      </c>
      <c r="BP43" s="356"/>
      <c r="BQ43" s="233"/>
      <c r="BR43" s="227"/>
      <c r="BS43" s="284"/>
      <c r="BT43" s="355">
        <f>SUM(L43:BO43)</f>
        <v>0</v>
      </c>
      <c r="BU43" s="356"/>
      <c r="BV43" s="233"/>
      <c r="BW43" s="244"/>
      <c r="BX43" s="254"/>
      <c r="BY43" s="268"/>
      <c r="BZ43" s="268"/>
    </row>
    <row r="44" spans="1:78" ht="12.75" hidden="1" customHeight="1" x14ac:dyDescent="0.2">
      <c r="A44" s="244"/>
      <c r="B44" s="244"/>
      <c r="D44" s="254"/>
      <c r="E44" s="261"/>
      <c r="F44" s="244"/>
      <c r="G44" s="233"/>
      <c r="H44" s="233"/>
      <c r="I44" s="233"/>
      <c r="J44" s="227"/>
      <c r="K44" s="233"/>
      <c r="L44" s="233"/>
      <c r="M44" s="233"/>
      <c r="N44" s="233"/>
      <c r="O44" s="227"/>
      <c r="P44" s="233"/>
      <c r="Q44" s="233"/>
      <c r="R44" s="233"/>
      <c r="S44" s="233"/>
      <c r="T44" s="227"/>
      <c r="U44" s="233"/>
      <c r="V44" s="233"/>
      <c r="W44" s="233"/>
      <c r="X44" s="233"/>
      <c r="Y44" s="227"/>
      <c r="Z44" s="233"/>
      <c r="AA44" s="233"/>
      <c r="AB44" s="233"/>
      <c r="AC44" s="233"/>
      <c r="AD44" s="227"/>
      <c r="AE44" s="233"/>
      <c r="AF44" s="233"/>
      <c r="AG44" s="233"/>
      <c r="AH44" s="233"/>
      <c r="AI44" s="227"/>
      <c r="AJ44" s="233"/>
      <c r="AK44" s="233"/>
      <c r="AL44" s="233"/>
      <c r="AM44" s="233"/>
      <c r="AN44" s="227"/>
      <c r="AO44" s="233"/>
      <c r="AP44" s="233"/>
      <c r="AQ44" s="233"/>
      <c r="AR44" s="233"/>
      <c r="AS44" s="227"/>
      <c r="AT44" s="233"/>
      <c r="AU44" s="233"/>
      <c r="AV44" s="233"/>
      <c r="AW44" s="233"/>
      <c r="AX44" s="227"/>
      <c r="AY44" s="233"/>
      <c r="AZ44" s="233"/>
      <c r="BA44" s="233"/>
      <c r="BB44" s="233"/>
      <c r="BC44" s="227"/>
      <c r="BD44" s="233"/>
      <c r="BE44" s="233"/>
      <c r="BF44" s="233"/>
      <c r="BG44" s="233"/>
      <c r="BH44" s="227"/>
      <c r="BI44" s="233"/>
      <c r="BJ44" s="233"/>
      <c r="BK44" s="233"/>
      <c r="BL44" s="233"/>
      <c r="BM44" s="227"/>
      <c r="BN44" s="233"/>
      <c r="BO44" s="233"/>
      <c r="BP44" s="233"/>
      <c r="BQ44" s="233"/>
      <c r="BR44" s="227"/>
      <c r="BS44" s="233"/>
      <c r="BT44" s="233"/>
      <c r="BU44" s="233"/>
      <c r="BV44" s="233"/>
      <c r="BW44" s="244"/>
      <c r="BX44" s="254"/>
      <c r="BY44" s="268"/>
      <c r="BZ44" s="268"/>
    </row>
    <row r="45" spans="1:78" ht="12.75" hidden="1" customHeight="1" x14ac:dyDescent="0.2">
      <c r="A45" s="244"/>
      <c r="B45" s="244"/>
      <c r="D45" s="254" t="s">
        <v>331</v>
      </c>
      <c r="E45" s="261"/>
      <c r="F45" s="244"/>
      <c r="G45" s="233">
        <f>SUM(G46:G48)</f>
        <v>0</v>
      </c>
      <c r="H45" s="233"/>
      <c r="I45" s="233"/>
      <c r="J45" s="227"/>
      <c r="K45" s="233"/>
      <c r="L45" s="233">
        <f>SUM(L46:L48)</f>
        <v>0</v>
      </c>
      <c r="M45" s="233"/>
      <c r="N45" s="233"/>
      <c r="O45" s="227"/>
      <c r="P45" s="244"/>
      <c r="Q45" s="233">
        <f>SUM(Q46:Q48)</f>
        <v>0</v>
      </c>
      <c r="R45" s="233"/>
      <c r="S45" s="233"/>
      <c r="T45" s="227"/>
      <c r="U45" s="244"/>
      <c r="V45" s="233">
        <f>SUM(V46:V48)</f>
        <v>0</v>
      </c>
      <c r="W45" s="233"/>
      <c r="X45" s="233"/>
      <c r="Y45" s="227"/>
      <c r="Z45" s="244"/>
      <c r="AA45" s="233">
        <f>SUM(AA46:AA48)</f>
        <v>0</v>
      </c>
      <c r="AB45" s="233"/>
      <c r="AC45" s="233"/>
      <c r="AD45" s="227"/>
      <c r="AE45" s="244"/>
      <c r="AF45" s="233">
        <f>SUM(AF46:AF48)</f>
        <v>0</v>
      </c>
      <c r="AG45" s="233"/>
      <c r="AH45" s="233"/>
      <c r="AI45" s="227"/>
      <c r="AJ45" s="244"/>
      <c r="AK45" s="233">
        <f>SUM(AK46:AK48)</f>
        <v>0</v>
      </c>
      <c r="AL45" s="233"/>
      <c r="AM45" s="233"/>
      <c r="AN45" s="227"/>
      <c r="AO45" s="244"/>
      <c r="AP45" s="233">
        <f>SUM(AP46:AP48)</f>
        <v>0</v>
      </c>
      <c r="AQ45" s="233"/>
      <c r="AR45" s="233"/>
      <c r="AS45" s="227"/>
      <c r="AT45" s="244"/>
      <c r="AU45" s="233">
        <f>SUM(AU46:AU48)</f>
        <v>0</v>
      </c>
      <c r="AV45" s="233"/>
      <c r="AW45" s="233"/>
      <c r="AX45" s="227"/>
      <c r="AY45" s="244"/>
      <c r="AZ45" s="233">
        <f>SUM(AZ46:AZ48)</f>
        <v>0</v>
      </c>
      <c r="BA45" s="233"/>
      <c r="BB45" s="233"/>
      <c r="BC45" s="227"/>
      <c r="BD45" s="244"/>
      <c r="BE45" s="233">
        <f>SUM(BE46:BE48)</f>
        <v>0</v>
      </c>
      <c r="BF45" s="233"/>
      <c r="BG45" s="233"/>
      <c r="BH45" s="227"/>
      <c r="BI45" s="244"/>
      <c r="BJ45" s="233">
        <f>SUM(BJ46:BJ48)</f>
        <v>0</v>
      </c>
      <c r="BK45" s="233"/>
      <c r="BL45" s="233"/>
      <c r="BM45" s="227"/>
      <c r="BN45" s="244"/>
      <c r="BO45" s="233">
        <f>SUM(BO46:BO48)</f>
        <v>0</v>
      </c>
      <c r="BP45" s="233"/>
      <c r="BQ45" s="233"/>
      <c r="BR45" s="227"/>
      <c r="BS45" s="233"/>
      <c r="BT45" s="233">
        <f>SUM(BT46:BT48)</f>
        <v>0</v>
      </c>
      <c r="BU45" s="233"/>
      <c r="BV45" s="233"/>
      <c r="BW45" s="244"/>
      <c r="BX45" s="254"/>
      <c r="BY45" s="268"/>
      <c r="BZ45" s="268"/>
    </row>
    <row r="46" spans="1:78" ht="12.75" hidden="1" customHeight="1" x14ac:dyDescent="0.2">
      <c r="A46" s="244"/>
      <c r="B46" s="244"/>
      <c r="D46" s="254" t="s">
        <v>310</v>
      </c>
      <c r="E46" s="261"/>
      <c r="F46" s="269"/>
      <c r="G46" s="343">
        <v>0</v>
      </c>
      <c r="H46" s="344"/>
      <c r="I46" s="233"/>
      <c r="J46" s="227"/>
      <c r="K46" s="345"/>
      <c r="L46" s="343">
        <v>0</v>
      </c>
      <c r="M46" s="344"/>
      <c r="N46" s="233"/>
      <c r="O46" s="227"/>
      <c r="P46" s="269"/>
      <c r="Q46" s="343">
        <v>0</v>
      </c>
      <c r="R46" s="344"/>
      <c r="S46" s="233"/>
      <c r="T46" s="227"/>
      <c r="U46" s="269"/>
      <c r="V46" s="343">
        <v>0</v>
      </c>
      <c r="W46" s="344"/>
      <c r="X46" s="233"/>
      <c r="Y46" s="227"/>
      <c r="Z46" s="269"/>
      <c r="AA46" s="343">
        <v>0</v>
      </c>
      <c r="AB46" s="344"/>
      <c r="AC46" s="233"/>
      <c r="AD46" s="227"/>
      <c r="AE46" s="269"/>
      <c r="AF46" s="343">
        <v>0</v>
      </c>
      <c r="AG46" s="344"/>
      <c r="AH46" s="233"/>
      <c r="AI46" s="227"/>
      <c r="AJ46" s="269"/>
      <c r="AK46" s="343">
        <v>0</v>
      </c>
      <c r="AL46" s="344"/>
      <c r="AM46" s="233"/>
      <c r="AN46" s="227"/>
      <c r="AO46" s="269"/>
      <c r="AP46" s="343">
        <v>0</v>
      </c>
      <c r="AQ46" s="344"/>
      <c r="AR46" s="233"/>
      <c r="AS46" s="227"/>
      <c r="AT46" s="269"/>
      <c r="AU46" s="343">
        <v>0</v>
      </c>
      <c r="AV46" s="344"/>
      <c r="AW46" s="233"/>
      <c r="AX46" s="227"/>
      <c r="AY46" s="269"/>
      <c r="AZ46" s="343">
        <v>0</v>
      </c>
      <c r="BA46" s="344"/>
      <c r="BB46" s="233"/>
      <c r="BC46" s="227"/>
      <c r="BD46" s="269"/>
      <c r="BE46" s="343">
        <v>0</v>
      </c>
      <c r="BF46" s="344"/>
      <c r="BG46" s="233"/>
      <c r="BH46" s="227"/>
      <c r="BI46" s="269"/>
      <c r="BJ46" s="343">
        <v>0</v>
      </c>
      <c r="BK46" s="344"/>
      <c r="BL46" s="233"/>
      <c r="BM46" s="227"/>
      <c r="BN46" s="269"/>
      <c r="BO46" s="343">
        <v>0</v>
      </c>
      <c r="BP46" s="344"/>
      <c r="BQ46" s="233"/>
      <c r="BR46" s="227"/>
      <c r="BS46" s="345"/>
      <c r="BT46" s="343">
        <f>SUM(L46:BO46)</f>
        <v>0</v>
      </c>
      <c r="BU46" s="344"/>
      <c r="BV46" s="233"/>
      <c r="BW46" s="244"/>
      <c r="BX46" s="254"/>
      <c r="BY46" s="268"/>
      <c r="BZ46" s="268"/>
    </row>
    <row r="47" spans="1:78" ht="12.75" hidden="1" customHeight="1" x14ac:dyDescent="0.2">
      <c r="A47" s="244"/>
      <c r="B47" s="244"/>
      <c r="D47" s="254" t="s">
        <v>392</v>
      </c>
      <c r="E47" s="261"/>
      <c r="F47" s="261"/>
      <c r="G47" s="233">
        <v>0</v>
      </c>
      <c r="H47" s="347"/>
      <c r="I47" s="233"/>
      <c r="J47" s="227"/>
      <c r="K47" s="227"/>
      <c r="L47" s="233">
        <v>0</v>
      </c>
      <c r="M47" s="347"/>
      <c r="N47" s="233"/>
      <c r="O47" s="227"/>
      <c r="P47" s="261"/>
      <c r="Q47" s="233">
        <v>0</v>
      </c>
      <c r="R47" s="347"/>
      <c r="S47" s="233"/>
      <c r="T47" s="227"/>
      <c r="U47" s="261"/>
      <c r="V47" s="233">
        <v>0</v>
      </c>
      <c r="W47" s="347"/>
      <c r="X47" s="233"/>
      <c r="Y47" s="227"/>
      <c r="Z47" s="261"/>
      <c r="AA47" s="233">
        <v>0</v>
      </c>
      <c r="AB47" s="347"/>
      <c r="AC47" s="233"/>
      <c r="AD47" s="227"/>
      <c r="AE47" s="261"/>
      <c r="AF47" s="233">
        <v>0</v>
      </c>
      <c r="AG47" s="347"/>
      <c r="AH47" s="233"/>
      <c r="AI47" s="227"/>
      <c r="AJ47" s="261"/>
      <c r="AK47" s="233">
        <v>0</v>
      </c>
      <c r="AL47" s="347"/>
      <c r="AM47" s="233"/>
      <c r="AN47" s="227"/>
      <c r="AO47" s="261"/>
      <c r="AP47" s="233">
        <v>0</v>
      </c>
      <c r="AQ47" s="347"/>
      <c r="AR47" s="233"/>
      <c r="AS47" s="227"/>
      <c r="AT47" s="261"/>
      <c r="AU47" s="233">
        <v>0</v>
      </c>
      <c r="AV47" s="347"/>
      <c r="AW47" s="233"/>
      <c r="AX47" s="227"/>
      <c r="AY47" s="261"/>
      <c r="AZ47" s="233">
        <v>0</v>
      </c>
      <c r="BA47" s="347"/>
      <c r="BB47" s="233"/>
      <c r="BC47" s="227"/>
      <c r="BD47" s="261"/>
      <c r="BE47" s="233">
        <v>0</v>
      </c>
      <c r="BF47" s="347"/>
      <c r="BG47" s="233"/>
      <c r="BH47" s="227"/>
      <c r="BI47" s="261"/>
      <c r="BJ47" s="233">
        <v>0</v>
      </c>
      <c r="BK47" s="347"/>
      <c r="BL47" s="233"/>
      <c r="BM47" s="227"/>
      <c r="BN47" s="261"/>
      <c r="BO47" s="233">
        <v>0</v>
      </c>
      <c r="BP47" s="347"/>
      <c r="BQ47" s="233"/>
      <c r="BR47" s="227"/>
      <c r="BS47" s="227"/>
      <c r="BT47" s="233">
        <f>SUM(L47:BO47)</f>
        <v>0</v>
      </c>
      <c r="BU47" s="347"/>
      <c r="BV47" s="233"/>
      <c r="BW47" s="244"/>
      <c r="BX47" s="254"/>
      <c r="BY47" s="268"/>
      <c r="BZ47" s="268"/>
    </row>
    <row r="48" spans="1:78" ht="12.75" hidden="1" customHeight="1" x14ac:dyDescent="0.2">
      <c r="A48" s="244"/>
      <c r="B48" s="244"/>
      <c r="D48" s="254" t="s">
        <v>393</v>
      </c>
      <c r="E48" s="261"/>
      <c r="F48" s="284"/>
      <c r="G48" s="355">
        <v>0</v>
      </c>
      <c r="H48" s="356"/>
      <c r="I48" s="233"/>
      <c r="J48" s="227"/>
      <c r="K48" s="357"/>
      <c r="L48" s="355">
        <v>0</v>
      </c>
      <c r="M48" s="356"/>
      <c r="N48" s="233"/>
      <c r="O48" s="227"/>
      <c r="P48" s="284"/>
      <c r="Q48" s="355">
        <v>0</v>
      </c>
      <c r="R48" s="356"/>
      <c r="S48" s="233"/>
      <c r="T48" s="227"/>
      <c r="U48" s="284"/>
      <c r="V48" s="355">
        <v>0</v>
      </c>
      <c r="W48" s="356"/>
      <c r="X48" s="233"/>
      <c r="Y48" s="227"/>
      <c r="Z48" s="284"/>
      <c r="AA48" s="355">
        <v>0</v>
      </c>
      <c r="AB48" s="356"/>
      <c r="AC48" s="233"/>
      <c r="AD48" s="227"/>
      <c r="AE48" s="284"/>
      <c r="AF48" s="355">
        <v>0</v>
      </c>
      <c r="AG48" s="356"/>
      <c r="AH48" s="233"/>
      <c r="AI48" s="227"/>
      <c r="AJ48" s="284"/>
      <c r="AK48" s="355">
        <v>0</v>
      </c>
      <c r="AL48" s="356"/>
      <c r="AM48" s="233"/>
      <c r="AN48" s="227"/>
      <c r="AO48" s="284"/>
      <c r="AP48" s="355">
        <v>0</v>
      </c>
      <c r="AQ48" s="356"/>
      <c r="AR48" s="233"/>
      <c r="AS48" s="227"/>
      <c r="AT48" s="284"/>
      <c r="AU48" s="355">
        <v>0</v>
      </c>
      <c r="AV48" s="356"/>
      <c r="AW48" s="233"/>
      <c r="AX48" s="227"/>
      <c r="AY48" s="284"/>
      <c r="AZ48" s="355">
        <v>0</v>
      </c>
      <c r="BA48" s="356"/>
      <c r="BB48" s="233"/>
      <c r="BC48" s="227"/>
      <c r="BD48" s="284"/>
      <c r="BE48" s="355">
        <v>0</v>
      </c>
      <c r="BF48" s="356"/>
      <c r="BG48" s="233"/>
      <c r="BH48" s="227"/>
      <c r="BI48" s="284"/>
      <c r="BJ48" s="355">
        <v>0</v>
      </c>
      <c r="BK48" s="356"/>
      <c r="BL48" s="233"/>
      <c r="BM48" s="227"/>
      <c r="BN48" s="284"/>
      <c r="BO48" s="355">
        <v>0</v>
      </c>
      <c r="BP48" s="356"/>
      <c r="BQ48" s="233"/>
      <c r="BR48" s="227"/>
      <c r="BS48" s="357"/>
      <c r="BT48" s="355">
        <f>SUM(L48:BO48)</f>
        <v>0</v>
      </c>
      <c r="BU48" s="356"/>
      <c r="BV48" s="233"/>
      <c r="BW48" s="244"/>
      <c r="BX48" s="254"/>
      <c r="BY48" s="268"/>
      <c r="BZ48" s="268"/>
    </row>
    <row r="49" spans="1:78" ht="12.75" customHeight="1" x14ac:dyDescent="0.2">
      <c r="A49" s="244"/>
      <c r="B49" s="244"/>
      <c r="D49" s="254"/>
      <c r="E49" s="261"/>
      <c r="F49" s="244"/>
      <c r="G49" s="233"/>
      <c r="H49" s="233"/>
      <c r="I49" s="233"/>
      <c r="J49" s="227"/>
      <c r="K49" s="233"/>
      <c r="L49" s="233"/>
      <c r="M49" s="233"/>
      <c r="N49" s="233"/>
      <c r="O49" s="227"/>
      <c r="P49" s="233"/>
      <c r="Q49" s="233"/>
      <c r="R49" s="233"/>
      <c r="S49" s="233"/>
      <c r="T49" s="227"/>
      <c r="U49" s="233"/>
      <c r="V49" s="233"/>
      <c r="W49" s="233"/>
      <c r="X49" s="233"/>
      <c r="Y49" s="227"/>
      <c r="Z49" s="233"/>
      <c r="AA49" s="233"/>
      <c r="AB49" s="233"/>
      <c r="AC49" s="233"/>
      <c r="AD49" s="227"/>
      <c r="AE49" s="233"/>
      <c r="AF49" s="233"/>
      <c r="AG49" s="233"/>
      <c r="AH49" s="233"/>
      <c r="AI49" s="227"/>
      <c r="AJ49" s="233"/>
      <c r="AK49" s="233"/>
      <c r="AL49" s="233"/>
      <c r="AM49" s="233"/>
      <c r="AN49" s="227"/>
      <c r="AO49" s="233"/>
      <c r="AP49" s="233"/>
      <c r="AQ49" s="233"/>
      <c r="AR49" s="233"/>
      <c r="AS49" s="227"/>
      <c r="AT49" s="233"/>
      <c r="AU49" s="233"/>
      <c r="AV49" s="233"/>
      <c r="AW49" s="233"/>
      <c r="AX49" s="227"/>
      <c r="AY49" s="233"/>
      <c r="AZ49" s="233"/>
      <c r="BA49" s="233"/>
      <c r="BB49" s="233"/>
      <c r="BC49" s="227"/>
      <c r="BD49" s="233"/>
      <c r="BE49" s="233"/>
      <c r="BF49" s="233"/>
      <c r="BG49" s="233"/>
      <c r="BH49" s="227"/>
      <c r="BI49" s="233"/>
      <c r="BJ49" s="233"/>
      <c r="BK49" s="233"/>
      <c r="BL49" s="233"/>
      <c r="BM49" s="227"/>
      <c r="BN49" s="233"/>
      <c r="BO49" s="233"/>
      <c r="BP49" s="233"/>
      <c r="BQ49" s="233"/>
      <c r="BR49" s="227"/>
      <c r="BS49" s="233"/>
      <c r="BT49" s="233"/>
      <c r="BU49" s="233"/>
      <c r="BV49" s="233"/>
      <c r="BW49" s="244"/>
      <c r="BX49" s="254"/>
      <c r="BY49" s="268"/>
      <c r="BZ49" s="268"/>
    </row>
    <row r="50" spans="1:78" ht="12.75" hidden="1" customHeight="1" x14ac:dyDescent="0.2">
      <c r="A50" s="244"/>
      <c r="B50" s="244"/>
      <c r="D50" s="254" t="s">
        <v>396</v>
      </c>
      <c r="E50" s="261"/>
      <c r="F50" s="244"/>
      <c r="G50" s="233">
        <v>0</v>
      </c>
      <c r="H50" s="233"/>
      <c r="I50" s="233"/>
      <c r="J50" s="227"/>
      <c r="K50" s="233"/>
      <c r="L50" s="233">
        <f>SUM(L51:L53)</f>
        <v>0</v>
      </c>
      <c r="M50" s="233"/>
      <c r="N50" s="233"/>
      <c r="O50" s="227"/>
      <c r="P50" s="244"/>
      <c r="Q50" s="233">
        <f>SUM(Q51:Q53)</f>
        <v>0</v>
      </c>
      <c r="R50" s="233"/>
      <c r="S50" s="233"/>
      <c r="T50" s="227"/>
      <c r="U50" s="244"/>
      <c r="V50" s="233">
        <f>SUM(V51:V53)</f>
        <v>0</v>
      </c>
      <c r="W50" s="233"/>
      <c r="X50" s="233"/>
      <c r="Y50" s="227"/>
      <c r="Z50" s="244"/>
      <c r="AA50" s="233">
        <f>SUM(AA51:AA53)</f>
        <v>0</v>
      </c>
      <c r="AB50" s="233"/>
      <c r="AC50" s="233"/>
      <c r="AD50" s="227"/>
      <c r="AE50" s="244"/>
      <c r="AF50" s="233">
        <f>SUM(AF51:AF53)</f>
        <v>0</v>
      </c>
      <c r="AG50" s="233"/>
      <c r="AH50" s="233"/>
      <c r="AI50" s="227"/>
      <c r="AJ50" s="244"/>
      <c r="AK50" s="233">
        <f>SUM(AK51:AK53)</f>
        <v>0</v>
      </c>
      <c r="AL50" s="233"/>
      <c r="AM50" s="233"/>
      <c r="AN50" s="227"/>
      <c r="AO50" s="244"/>
      <c r="AP50" s="233">
        <f>SUM(AP51:AP53)</f>
        <v>0</v>
      </c>
      <c r="AQ50" s="233"/>
      <c r="AR50" s="233"/>
      <c r="AS50" s="227"/>
      <c r="AT50" s="244"/>
      <c r="AU50" s="233">
        <f>SUM(AU51:AU53)</f>
        <v>0</v>
      </c>
      <c r="AV50" s="233"/>
      <c r="AW50" s="233"/>
      <c r="AX50" s="227"/>
      <c r="AY50" s="244"/>
      <c r="AZ50" s="233">
        <f>SUM(AZ51:AZ53)</f>
        <v>0</v>
      </c>
      <c r="BA50" s="233"/>
      <c r="BB50" s="233"/>
      <c r="BC50" s="227"/>
      <c r="BD50" s="244"/>
      <c r="BE50" s="233">
        <f>SUM(BE51:BE53)</f>
        <v>0</v>
      </c>
      <c r="BF50" s="233"/>
      <c r="BG50" s="233"/>
      <c r="BH50" s="227"/>
      <c r="BI50" s="244"/>
      <c r="BJ50" s="233">
        <f>SUM(BJ51:BJ53)</f>
        <v>0</v>
      </c>
      <c r="BK50" s="233"/>
      <c r="BL50" s="233"/>
      <c r="BM50" s="227"/>
      <c r="BN50" s="244"/>
      <c r="BO50" s="233">
        <f>SUM(BO51:BO53)</f>
        <v>0</v>
      </c>
      <c r="BP50" s="233"/>
      <c r="BQ50" s="233"/>
      <c r="BR50" s="227"/>
      <c r="BS50" s="233"/>
      <c r="BT50" s="233">
        <f>SUM(BT51:BT53)</f>
        <v>0</v>
      </c>
      <c r="BU50" s="233"/>
      <c r="BV50" s="233"/>
      <c r="BW50" s="244"/>
      <c r="BX50" s="254"/>
      <c r="BY50" s="268"/>
      <c r="BZ50" s="268"/>
    </row>
    <row r="51" spans="1:78" ht="12.75" hidden="1" customHeight="1" x14ac:dyDescent="0.2">
      <c r="A51" s="244"/>
      <c r="B51" s="244"/>
      <c r="D51" s="254" t="s">
        <v>310</v>
      </c>
      <c r="E51" s="261"/>
      <c r="F51" s="269"/>
      <c r="G51" s="343">
        <v>0</v>
      </c>
      <c r="H51" s="344"/>
      <c r="I51" s="233"/>
      <c r="J51" s="227"/>
      <c r="K51" s="345"/>
      <c r="L51" s="343">
        <v>0</v>
      </c>
      <c r="M51" s="344"/>
      <c r="N51" s="233"/>
      <c r="O51" s="227"/>
      <c r="P51" s="269"/>
      <c r="Q51" s="343">
        <v>0</v>
      </c>
      <c r="R51" s="344"/>
      <c r="S51" s="233"/>
      <c r="T51" s="227"/>
      <c r="U51" s="269"/>
      <c r="V51" s="343">
        <v>0</v>
      </c>
      <c r="W51" s="344"/>
      <c r="X51" s="233"/>
      <c r="Y51" s="227"/>
      <c r="Z51" s="269"/>
      <c r="AA51" s="343">
        <v>0</v>
      </c>
      <c r="AB51" s="344"/>
      <c r="AC51" s="233"/>
      <c r="AD51" s="227"/>
      <c r="AE51" s="269"/>
      <c r="AF51" s="343">
        <v>0</v>
      </c>
      <c r="AG51" s="344"/>
      <c r="AH51" s="233"/>
      <c r="AI51" s="227"/>
      <c r="AJ51" s="269"/>
      <c r="AK51" s="343">
        <v>0</v>
      </c>
      <c r="AL51" s="344"/>
      <c r="AM51" s="233"/>
      <c r="AN51" s="227"/>
      <c r="AO51" s="269"/>
      <c r="AP51" s="343">
        <v>0</v>
      </c>
      <c r="AQ51" s="344"/>
      <c r="AR51" s="233"/>
      <c r="AS51" s="227"/>
      <c r="AT51" s="269"/>
      <c r="AU51" s="343">
        <v>0</v>
      </c>
      <c r="AV51" s="344"/>
      <c r="AW51" s="233"/>
      <c r="AX51" s="227"/>
      <c r="AY51" s="269"/>
      <c r="AZ51" s="343">
        <v>0</v>
      </c>
      <c r="BA51" s="344"/>
      <c r="BB51" s="233"/>
      <c r="BC51" s="227"/>
      <c r="BD51" s="269"/>
      <c r="BE51" s="343">
        <v>0</v>
      </c>
      <c r="BF51" s="344"/>
      <c r="BG51" s="233"/>
      <c r="BH51" s="227"/>
      <c r="BI51" s="269"/>
      <c r="BJ51" s="343">
        <v>0</v>
      </c>
      <c r="BK51" s="344"/>
      <c r="BL51" s="233"/>
      <c r="BM51" s="227"/>
      <c r="BN51" s="269"/>
      <c r="BO51" s="343">
        <v>0</v>
      </c>
      <c r="BP51" s="344"/>
      <c r="BQ51" s="233"/>
      <c r="BR51" s="227"/>
      <c r="BS51" s="345"/>
      <c r="BT51" s="343">
        <f>SUM(L51:BO51)</f>
        <v>0</v>
      </c>
      <c r="BU51" s="344"/>
      <c r="BV51" s="233"/>
      <c r="BW51" s="244"/>
      <c r="BX51" s="254"/>
      <c r="BY51" s="268"/>
      <c r="BZ51" s="268"/>
    </row>
    <row r="52" spans="1:78" ht="12.75" hidden="1" customHeight="1" x14ac:dyDescent="0.2">
      <c r="A52" s="244"/>
      <c r="B52" s="244"/>
      <c r="D52" s="254" t="s">
        <v>392</v>
      </c>
      <c r="E52" s="261"/>
      <c r="F52" s="261"/>
      <c r="G52" s="233">
        <v>0</v>
      </c>
      <c r="H52" s="347"/>
      <c r="I52" s="233"/>
      <c r="J52" s="227"/>
      <c r="K52" s="227"/>
      <c r="L52" s="233">
        <v>0</v>
      </c>
      <c r="M52" s="347"/>
      <c r="N52" s="233"/>
      <c r="O52" s="227"/>
      <c r="P52" s="261"/>
      <c r="Q52" s="233">
        <v>0</v>
      </c>
      <c r="R52" s="347"/>
      <c r="S52" s="233"/>
      <c r="T52" s="227"/>
      <c r="U52" s="261"/>
      <c r="V52" s="233">
        <v>0</v>
      </c>
      <c r="W52" s="347"/>
      <c r="X52" s="233"/>
      <c r="Y52" s="227"/>
      <c r="Z52" s="261"/>
      <c r="AA52" s="233">
        <v>0</v>
      </c>
      <c r="AB52" s="347"/>
      <c r="AC52" s="233"/>
      <c r="AD52" s="227"/>
      <c r="AE52" s="261"/>
      <c r="AF52" s="233">
        <v>0</v>
      </c>
      <c r="AG52" s="347"/>
      <c r="AH52" s="233"/>
      <c r="AI52" s="227"/>
      <c r="AJ52" s="261"/>
      <c r="AK52" s="233">
        <v>0</v>
      </c>
      <c r="AL52" s="347"/>
      <c r="AM52" s="233"/>
      <c r="AN52" s="227"/>
      <c r="AO52" s="261"/>
      <c r="AP52" s="233">
        <v>0</v>
      </c>
      <c r="AQ52" s="347"/>
      <c r="AR52" s="233"/>
      <c r="AS52" s="227"/>
      <c r="AT52" s="261"/>
      <c r="AU52" s="233">
        <v>0</v>
      </c>
      <c r="AV52" s="347"/>
      <c r="AW52" s="233"/>
      <c r="AX52" s="227"/>
      <c r="AY52" s="261"/>
      <c r="AZ52" s="233">
        <v>0</v>
      </c>
      <c r="BA52" s="347"/>
      <c r="BB52" s="233"/>
      <c r="BC52" s="227"/>
      <c r="BD52" s="261"/>
      <c r="BE52" s="233">
        <v>0</v>
      </c>
      <c r="BF52" s="347"/>
      <c r="BG52" s="233"/>
      <c r="BH52" s="227"/>
      <c r="BI52" s="261"/>
      <c r="BJ52" s="233">
        <v>0</v>
      </c>
      <c r="BK52" s="347"/>
      <c r="BL52" s="233"/>
      <c r="BM52" s="227"/>
      <c r="BN52" s="261"/>
      <c r="BO52" s="233">
        <v>0</v>
      </c>
      <c r="BP52" s="347"/>
      <c r="BQ52" s="233"/>
      <c r="BR52" s="227"/>
      <c r="BS52" s="227"/>
      <c r="BT52" s="233">
        <f>SUM(L52:BO52)</f>
        <v>0</v>
      </c>
      <c r="BU52" s="347"/>
      <c r="BV52" s="233"/>
      <c r="BW52" s="244"/>
      <c r="BX52" s="254"/>
      <c r="BY52" s="268"/>
      <c r="BZ52" s="268"/>
    </row>
    <row r="53" spans="1:78" ht="12.75" hidden="1" customHeight="1" x14ac:dyDescent="0.2">
      <c r="A53" s="244"/>
      <c r="B53" s="244"/>
      <c r="D53" s="254" t="s">
        <v>393</v>
      </c>
      <c r="E53" s="261"/>
      <c r="F53" s="284"/>
      <c r="G53" s="355">
        <v>0</v>
      </c>
      <c r="H53" s="356"/>
      <c r="I53" s="233"/>
      <c r="J53" s="227"/>
      <c r="K53" s="357"/>
      <c r="L53" s="355">
        <v>0</v>
      </c>
      <c r="M53" s="356"/>
      <c r="N53" s="233"/>
      <c r="O53" s="227"/>
      <c r="P53" s="284"/>
      <c r="Q53" s="355">
        <v>0</v>
      </c>
      <c r="R53" s="356"/>
      <c r="S53" s="233"/>
      <c r="T53" s="227"/>
      <c r="U53" s="284"/>
      <c r="V53" s="355">
        <v>0</v>
      </c>
      <c r="W53" s="356"/>
      <c r="X53" s="233"/>
      <c r="Y53" s="227"/>
      <c r="Z53" s="284"/>
      <c r="AA53" s="355">
        <v>0</v>
      </c>
      <c r="AB53" s="356"/>
      <c r="AC53" s="233"/>
      <c r="AD53" s="227"/>
      <c r="AE53" s="284"/>
      <c r="AF53" s="355">
        <v>0</v>
      </c>
      <c r="AG53" s="356"/>
      <c r="AH53" s="233"/>
      <c r="AI53" s="227"/>
      <c r="AJ53" s="284"/>
      <c r="AK53" s="355">
        <v>0</v>
      </c>
      <c r="AL53" s="356"/>
      <c r="AM53" s="233"/>
      <c r="AN53" s="227"/>
      <c r="AO53" s="284"/>
      <c r="AP53" s="355">
        <v>0</v>
      </c>
      <c r="AQ53" s="356"/>
      <c r="AR53" s="233"/>
      <c r="AS53" s="227"/>
      <c r="AT53" s="284"/>
      <c r="AU53" s="355">
        <v>0</v>
      </c>
      <c r="AV53" s="356"/>
      <c r="AW53" s="233"/>
      <c r="AX53" s="227"/>
      <c r="AY53" s="284"/>
      <c r="AZ53" s="355">
        <v>0</v>
      </c>
      <c r="BA53" s="356"/>
      <c r="BB53" s="233"/>
      <c r="BC53" s="227"/>
      <c r="BD53" s="284"/>
      <c r="BE53" s="355">
        <v>0</v>
      </c>
      <c r="BF53" s="356"/>
      <c r="BG53" s="233"/>
      <c r="BH53" s="227"/>
      <c r="BI53" s="284"/>
      <c r="BJ53" s="355">
        <v>0</v>
      </c>
      <c r="BK53" s="356"/>
      <c r="BL53" s="233"/>
      <c r="BM53" s="227"/>
      <c r="BN53" s="284"/>
      <c r="BO53" s="355">
        <v>0</v>
      </c>
      <c r="BP53" s="356"/>
      <c r="BQ53" s="233"/>
      <c r="BR53" s="227"/>
      <c r="BS53" s="357"/>
      <c r="BT53" s="355">
        <f>SUM(L53:BO53)</f>
        <v>0</v>
      </c>
      <c r="BU53" s="356"/>
      <c r="BV53" s="233"/>
      <c r="BW53" s="244"/>
      <c r="BX53" s="254"/>
      <c r="BY53" s="268"/>
      <c r="BZ53" s="268"/>
    </row>
    <row r="54" spans="1:78" hidden="1" x14ac:dyDescent="0.2">
      <c r="A54" s="244"/>
      <c r="B54" s="244"/>
      <c r="D54" s="254"/>
      <c r="E54" s="261"/>
      <c r="F54" s="244"/>
      <c r="G54" s="233"/>
      <c r="H54" s="233"/>
      <c r="I54" s="233"/>
      <c r="J54" s="227"/>
      <c r="K54" s="233"/>
      <c r="L54" s="233"/>
      <c r="M54" s="233"/>
      <c r="N54" s="233"/>
      <c r="O54" s="227"/>
      <c r="P54" s="233"/>
      <c r="Q54" s="233"/>
      <c r="R54" s="233"/>
      <c r="S54" s="233"/>
      <c r="T54" s="227"/>
      <c r="U54" s="233"/>
      <c r="V54" s="233"/>
      <c r="W54" s="233"/>
      <c r="X54" s="233"/>
      <c r="Y54" s="227"/>
      <c r="Z54" s="233"/>
      <c r="AA54" s="233"/>
      <c r="AB54" s="233"/>
      <c r="AC54" s="233"/>
      <c r="AD54" s="227"/>
      <c r="AE54" s="233"/>
      <c r="AF54" s="233"/>
      <c r="AG54" s="233"/>
      <c r="AH54" s="233"/>
      <c r="AI54" s="227"/>
      <c r="AJ54" s="233"/>
      <c r="AK54" s="233"/>
      <c r="AL54" s="233"/>
      <c r="AM54" s="233"/>
      <c r="AN54" s="227"/>
      <c r="AO54" s="233"/>
      <c r="AP54" s="233"/>
      <c r="AQ54" s="233"/>
      <c r="AR54" s="233"/>
      <c r="AS54" s="227"/>
      <c r="AT54" s="233"/>
      <c r="AU54" s="233"/>
      <c r="AV54" s="233"/>
      <c r="AW54" s="233"/>
      <c r="AX54" s="227"/>
      <c r="AY54" s="233"/>
      <c r="AZ54" s="233"/>
      <c r="BA54" s="233"/>
      <c r="BB54" s="233"/>
      <c r="BC54" s="227"/>
      <c r="BD54" s="233"/>
      <c r="BE54" s="233"/>
      <c r="BF54" s="233"/>
      <c r="BG54" s="233"/>
      <c r="BH54" s="227"/>
      <c r="BI54" s="233"/>
      <c r="BJ54" s="233"/>
      <c r="BK54" s="233"/>
      <c r="BL54" s="233"/>
      <c r="BM54" s="227"/>
      <c r="BN54" s="233"/>
      <c r="BO54" s="233"/>
      <c r="BP54" s="233"/>
      <c r="BQ54" s="233"/>
      <c r="BR54" s="227"/>
      <c r="BS54" s="233"/>
      <c r="BT54" s="233"/>
      <c r="BU54" s="233"/>
      <c r="BV54" s="233"/>
      <c r="BW54" s="244"/>
      <c r="BX54" s="254"/>
      <c r="BY54" s="268"/>
      <c r="BZ54" s="268"/>
    </row>
    <row r="55" spans="1:78" x14ac:dyDescent="0.2">
      <c r="A55" s="244"/>
      <c r="B55" s="244"/>
      <c r="D55" s="254" t="s">
        <v>330</v>
      </c>
      <c r="E55" s="261"/>
      <c r="F55" s="244"/>
      <c r="G55" s="233">
        <f>SUM(G56:G58)</f>
        <v>12795000</v>
      </c>
      <c r="H55" s="233"/>
      <c r="I55" s="233"/>
      <c r="J55" s="227"/>
      <c r="K55" s="233"/>
      <c r="L55" s="233">
        <f>SUM(L56:L58)</f>
        <v>0</v>
      </c>
      <c r="M55" s="233"/>
      <c r="N55" s="233"/>
      <c r="O55" s="227"/>
      <c r="P55" s="244"/>
      <c r="Q55" s="233">
        <f>SUM(Q56:Q58)</f>
        <v>12795000</v>
      </c>
      <c r="R55" s="233"/>
      <c r="S55" s="233"/>
      <c r="T55" s="227"/>
      <c r="U55" s="244"/>
      <c r="V55" s="233">
        <f>SUM(V56:V58)</f>
        <v>0</v>
      </c>
      <c r="W55" s="233"/>
      <c r="X55" s="233"/>
      <c r="Y55" s="227"/>
      <c r="Z55" s="244"/>
      <c r="AA55" s="233">
        <f>SUM(AA56:AA58)</f>
        <v>0</v>
      </c>
      <c r="AB55" s="233"/>
      <c r="AC55" s="233"/>
      <c r="AD55" s="227"/>
      <c r="AE55" s="244"/>
      <c r="AF55" s="233">
        <f>SUM(AF56:AF58)</f>
        <v>0</v>
      </c>
      <c r="AG55" s="233"/>
      <c r="AH55" s="233"/>
      <c r="AI55" s="227"/>
      <c r="AJ55" s="244"/>
      <c r="AK55" s="233">
        <f>SUM(AK56:AK58)</f>
        <v>0</v>
      </c>
      <c r="AL55" s="233"/>
      <c r="AM55" s="233"/>
      <c r="AN55" s="227"/>
      <c r="AO55" s="244"/>
      <c r="AP55" s="233">
        <f>SUM(AP56:AP58)</f>
        <v>0</v>
      </c>
      <c r="AQ55" s="233"/>
      <c r="AR55" s="233"/>
      <c r="AS55" s="227"/>
      <c r="AT55" s="244"/>
      <c r="AU55" s="233">
        <f>SUM(AU56:AU58)</f>
        <v>0</v>
      </c>
      <c r="AV55" s="233"/>
      <c r="AW55" s="233"/>
      <c r="AX55" s="227"/>
      <c r="AY55" s="244"/>
      <c r="AZ55" s="233">
        <f>SUM(AZ56:AZ58)</f>
        <v>0</v>
      </c>
      <c r="BA55" s="233"/>
      <c r="BB55" s="233"/>
      <c r="BC55" s="227"/>
      <c r="BD55" s="244"/>
      <c r="BE55" s="233">
        <f>SUM(BE56:BE58)</f>
        <v>0</v>
      </c>
      <c r="BF55" s="233"/>
      <c r="BG55" s="233"/>
      <c r="BH55" s="227"/>
      <c r="BI55" s="244"/>
      <c r="BJ55" s="233">
        <f>SUM(BJ56:BJ58)</f>
        <v>0</v>
      </c>
      <c r="BK55" s="233"/>
      <c r="BL55" s="233"/>
      <c r="BM55" s="227"/>
      <c r="BN55" s="244"/>
      <c r="BO55" s="233">
        <f>SUM(BO56:BO58)</f>
        <v>0</v>
      </c>
      <c r="BP55" s="233"/>
      <c r="BQ55" s="233"/>
      <c r="BR55" s="227"/>
      <c r="BS55" s="355"/>
      <c r="BT55" s="355">
        <f>SUM(BT56:BT58)</f>
        <v>12795000</v>
      </c>
      <c r="BU55" s="233"/>
      <c r="BV55" s="233"/>
      <c r="BW55" s="233"/>
      <c r="BX55" s="254"/>
      <c r="BY55" s="268"/>
      <c r="BZ55" s="268"/>
    </row>
    <row r="56" spans="1:78" x14ac:dyDescent="0.2">
      <c r="A56" s="244"/>
      <c r="B56" s="244"/>
      <c r="D56" s="254" t="s">
        <v>310</v>
      </c>
      <c r="E56" s="261"/>
      <c r="F56" s="269"/>
      <c r="G56" s="343">
        <v>12795000</v>
      </c>
      <c r="H56" s="344"/>
      <c r="I56" s="233"/>
      <c r="J56" s="227"/>
      <c r="K56" s="345"/>
      <c r="L56" s="343">
        <v>0</v>
      </c>
      <c r="M56" s="344"/>
      <c r="N56" s="233"/>
      <c r="O56" s="227"/>
      <c r="P56" s="269"/>
      <c r="Q56" s="343">
        <v>12795000</v>
      </c>
      <c r="R56" s="344"/>
      <c r="S56" s="233"/>
      <c r="T56" s="227"/>
      <c r="U56" s="269"/>
      <c r="V56" s="343">
        <v>0</v>
      </c>
      <c r="W56" s="344"/>
      <c r="X56" s="233"/>
      <c r="Y56" s="227"/>
      <c r="Z56" s="269"/>
      <c r="AA56" s="343">
        <v>0</v>
      </c>
      <c r="AB56" s="344"/>
      <c r="AC56" s="233"/>
      <c r="AD56" s="227"/>
      <c r="AE56" s="269"/>
      <c r="AF56" s="343">
        <v>0</v>
      </c>
      <c r="AG56" s="344"/>
      <c r="AH56" s="233"/>
      <c r="AI56" s="227"/>
      <c r="AJ56" s="269"/>
      <c r="AK56" s="343">
        <v>0</v>
      </c>
      <c r="AL56" s="344"/>
      <c r="AM56" s="233"/>
      <c r="AN56" s="227"/>
      <c r="AO56" s="269"/>
      <c r="AP56" s="343">
        <v>0</v>
      </c>
      <c r="AQ56" s="344"/>
      <c r="AR56" s="233"/>
      <c r="AS56" s="227"/>
      <c r="AT56" s="269"/>
      <c r="AU56" s="343">
        <v>0</v>
      </c>
      <c r="AV56" s="344"/>
      <c r="AW56" s="233"/>
      <c r="AX56" s="227"/>
      <c r="AY56" s="269"/>
      <c r="AZ56" s="343">
        <v>0</v>
      </c>
      <c r="BA56" s="344"/>
      <c r="BB56" s="233"/>
      <c r="BC56" s="227"/>
      <c r="BD56" s="269"/>
      <c r="BE56" s="343">
        <v>0</v>
      </c>
      <c r="BF56" s="344"/>
      <c r="BG56" s="233"/>
      <c r="BH56" s="227"/>
      <c r="BI56" s="269"/>
      <c r="BJ56" s="343">
        <v>0</v>
      </c>
      <c r="BK56" s="344"/>
      <c r="BL56" s="233"/>
      <c r="BM56" s="227"/>
      <c r="BN56" s="269"/>
      <c r="BO56" s="343">
        <v>0</v>
      </c>
      <c r="BP56" s="344"/>
      <c r="BQ56" s="233"/>
      <c r="BR56" s="227"/>
      <c r="BS56" s="227"/>
      <c r="BT56" s="233">
        <f>SUM(L56:BO56)</f>
        <v>12795000</v>
      </c>
      <c r="BU56" s="344"/>
      <c r="BV56" s="233"/>
      <c r="BW56" s="233"/>
      <c r="BX56" s="254"/>
      <c r="BY56" s="268"/>
      <c r="BZ56" s="268"/>
    </row>
    <row r="57" spans="1:78" x14ac:dyDescent="0.2">
      <c r="A57" s="244"/>
      <c r="B57" s="244"/>
      <c r="D57" s="254" t="s">
        <v>392</v>
      </c>
      <c r="E57" s="261"/>
      <c r="F57" s="261"/>
      <c r="G57" s="233">
        <v>0</v>
      </c>
      <c r="H57" s="347"/>
      <c r="I57" s="233"/>
      <c r="J57" s="227"/>
      <c r="K57" s="227"/>
      <c r="L57" s="233">
        <v>0</v>
      </c>
      <c r="M57" s="347"/>
      <c r="N57" s="233"/>
      <c r="O57" s="227"/>
      <c r="P57" s="261"/>
      <c r="Q57" s="233">
        <v>0</v>
      </c>
      <c r="R57" s="347"/>
      <c r="S57" s="233"/>
      <c r="T57" s="227"/>
      <c r="U57" s="261"/>
      <c r="V57" s="233">
        <v>0</v>
      </c>
      <c r="W57" s="347"/>
      <c r="X57" s="233"/>
      <c r="Y57" s="227"/>
      <c r="Z57" s="261"/>
      <c r="AA57" s="233">
        <v>0</v>
      </c>
      <c r="AB57" s="347"/>
      <c r="AC57" s="233"/>
      <c r="AD57" s="227"/>
      <c r="AE57" s="261"/>
      <c r="AF57" s="233">
        <v>0</v>
      </c>
      <c r="AG57" s="347"/>
      <c r="AH57" s="233"/>
      <c r="AI57" s="227"/>
      <c r="AJ57" s="261"/>
      <c r="AK57" s="233">
        <v>0</v>
      </c>
      <c r="AL57" s="347"/>
      <c r="AM57" s="233"/>
      <c r="AN57" s="227"/>
      <c r="AO57" s="261"/>
      <c r="AP57" s="233">
        <v>0</v>
      </c>
      <c r="AQ57" s="347"/>
      <c r="AR57" s="233"/>
      <c r="AS57" s="227"/>
      <c r="AT57" s="261"/>
      <c r="AU57" s="233">
        <v>0</v>
      </c>
      <c r="AV57" s="347"/>
      <c r="AW57" s="233"/>
      <c r="AX57" s="227"/>
      <c r="AY57" s="261"/>
      <c r="AZ57" s="233">
        <v>0</v>
      </c>
      <c r="BA57" s="347"/>
      <c r="BB57" s="233"/>
      <c r="BC57" s="227"/>
      <c r="BD57" s="261"/>
      <c r="BE57" s="233">
        <v>0</v>
      </c>
      <c r="BF57" s="347"/>
      <c r="BG57" s="233"/>
      <c r="BH57" s="227"/>
      <c r="BI57" s="261"/>
      <c r="BJ57" s="233">
        <v>0</v>
      </c>
      <c r="BK57" s="347"/>
      <c r="BL57" s="233"/>
      <c r="BM57" s="227"/>
      <c r="BN57" s="261"/>
      <c r="BO57" s="233">
        <v>0</v>
      </c>
      <c r="BP57" s="347"/>
      <c r="BQ57" s="233"/>
      <c r="BR57" s="227"/>
      <c r="BS57" s="227"/>
      <c r="BT57" s="233">
        <f>SUM(L57:BO57)</f>
        <v>0</v>
      </c>
      <c r="BU57" s="347"/>
      <c r="BV57" s="233"/>
      <c r="BW57" s="233"/>
      <c r="BX57" s="254"/>
      <c r="BY57" s="268"/>
      <c r="BZ57" s="268"/>
    </row>
    <row r="58" spans="1:78" x14ac:dyDescent="0.2">
      <c r="A58" s="244"/>
      <c r="B58" s="244"/>
      <c r="D58" s="254" t="s">
        <v>393</v>
      </c>
      <c r="E58" s="261"/>
      <c r="F58" s="284"/>
      <c r="G58" s="355">
        <v>0</v>
      </c>
      <c r="H58" s="356"/>
      <c r="I58" s="233"/>
      <c r="J58" s="227"/>
      <c r="K58" s="357"/>
      <c r="L58" s="355">
        <v>0</v>
      </c>
      <c r="M58" s="356"/>
      <c r="N58" s="233"/>
      <c r="O58" s="227"/>
      <c r="P58" s="284"/>
      <c r="Q58" s="355">
        <v>0</v>
      </c>
      <c r="R58" s="356"/>
      <c r="S58" s="233"/>
      <c r="T58" s="227"/>
      <c r="U58" s="284"/>
      <c r="V58" s="355">
        <v>0</v>
      </c>
      <c r="W58" s="356"/>
      <c r="X58" s="233"/>
      <c r="Y58" s="227"/>
      <c r="Z58" s="284"/>
      <c r="AA58" s="355">
        <v>0</v>
      </c>
      <c r="AB58" s="356"/>
      <c r="AC58" s="233"/>
      <c r="AD58" s="227"/>
      <c r="AE58" s="284"/>
      <c r="AF58" s="355">
        <v>0</v>
      </c>
      <c r="AG58" s="356"/>
      <c r="AH58" s="233"/>
      <c r="AI58" s="227"/>
      <c r="AJ58" s="284"/>
      <c r="AK58" s="355">
        <v>0</v>
      </c>
      <c r="AL58" s="356"/>
      <c r="AM58" s="233"/>
      <c r="AN58" s="227"/>
      <c r="AO58" s="284"/>
      <c r="AP58" s="355">
        <v>0</v>
      </c>
      <c r="AQ58" s="356"/>
      <c r="AR58" s="233"/>
      <c r="AS58" s="227"/>
      <c r="AT58" s="284"/>
      <c r="AU58" s="355">
        <v>0</v>
      </c>
      <c r="AV58" s="356"/>
      <c r="AW58" s="233"/>
      <c r="AX58" s="227"/>
      <c r="AY58" s="284"/>
      <c r="AZ58" s="355">
        <v>0</v>
      </c>
      <c r="BA58" s="356"/>
      <c r="BB58" s="233"/>
      <c r="BC58" s="227"/>
      <c r="BD58" s="284"/>
      <c r="BE58" s="355">
        <v>0</v>
      </c>
      <c r="BF58" s="356"/>
      <c r="BG58" s="233"/>
      <c r="BH58" s="227"/>
      <c r="BI58" s="284"/>
      <c r="BJ58" s="355">
        <v>0</v>
      </c>
      <c r="BK58" s="356"/>
      <c r="BL58" s="233"/>
      <c r="BM58" s="227"/>
      <c r="BN58" s="284"/>
      <c r="BO58" s="355">
        <v>0</v>
      </c>
      <c r="BP58" s="356"/>
      <c r="BQ58" s="233"/>
      <c r="BR58" s="227"/>
      <c r="BS58" s="357"/>
      <c r="BT58" s="355">
        <f>SUM(L58:BO58)</f>
        <v>0</v>
      </c>
      <c r="BU58" s="356"/>
      <c r="BV58" s="233"/>
      <c r="BW58" s="233"/>
      <c r="BX58" s="254"/>
      <c r="BY58" s="268"/>
      <c r="BZ58" s="268"/>
    </row>
    <row r="59" spans="1:78" hidden="1" x14ac:dyDescent="0.2">
      <c r="A59" s="244"/>
      <c r="B59" s="244"/>
      <c r="D59" s="254"/>
      <c r="E59" s="261"/>
      <c r="F59" s="244"/>
      <c r="G59" s="233"/>
      <c r="H59" s="233"/>
      <c r="I59" s="233"/>
      <c r="J59" s="227"/>
      <c r="K59" s="233"/>
      <c r="L59" s="233"/>
      <c r="M59" s="233"/>
      <c r="N59" s="233"/>
      <c r="O59" s="227"/>
      <c r="P59" s="233"/>
      <c r="Q59" s="233"/>
      <c r="R59" s="233"/>
      <c r="S59" s="233"/>
      <c r="T59" s="227"/>
      <c r="U59" s="233"/>
      <c r="V59" s="233"/>
      <c r="W59" s="233"/>
      <c r="X59" s="233"/>
      <c r="Y59" s="227"/>
      <c r="Z59" s="233"/>
      <c r="AA59" s="233"/>
      <c r="AB59" s="233"/>
      <c r="AC59" s="233"/>
      <c r="AD59" s="227"/>
      <c r="AE59" s="233"/>
      <c r="AF59" s="233"/>
      <c r="AG59" s="233"/>
      <c r="AH59" s="233"/>
      <c r="AI59" s="227"/>
      <c r="AJ59" s="233"/>
      <c r="AK59" s="233"/>
      <c r="AL59" s="233"/>
      <c r="AM59" s="233"/>
      <c r="AN59" s="227"/>
      <c r="AO59" s="233"/>
      <c r="AP59" s="233"/>
      <c r="AQ59" s="233"/>
      <c r="AR59" s="233"/>
      <c r="AS59" s="227"/>
      <c r="AT59" s="233"/>
      <c r="AU59" s="233"/>
      <c r="AV59" s="233"/>
      <c r="AW59" s="233"/>
      <c r="AX59" s="227"/>
      <c r="AY59" s="233"/>
      <c r="AZ59" s="233"/>
      <c r="BA59" s="233"/>
      <c r="BB59" s="233"/>
      <c r="BC59" s="227"/>
      <c r="BD59" s="233"/>
      <c r="BE59" s="233"/>
      <c r="BF59" s="233"/>
      <c r="BG59" s="233"/>
      <c r="BH59" s="227"/>
      <c r="BI59" s="233"/>
      <c r="BJ59" s="233"/>
      <c r="BK59" s="233"/>
      <c r="BL59" s="233"/>
      <c r="BM59" s="227"/>
      <c r="BN59" s="233"/>
      <c r="BO59" s="233"/>
      <c r="BP59" s="233"/>
      <c r="BQ59" s="233"/>
      <c r="BR59" s="227"/>
      <c r="BS59" s="233"/>
      <c r="BT59" s="233"/>
      <c r="BU59" s="233"/>
      <c r="BV59" s="233"/>
      <c r="BW59" s="244"/>
      <c r="BX59" s="254"/>
      <c r="BY59" s="268"/>
      <c r="BZ59" s="268"/>
    </row>
    <row r="60" spans="1:78" hidden="1" x14ac:dyDescent="0.2">
      <c r="A60" s="244"/>
      <c r="B60" s="244"/>
      <c r="D60" s="254" t="s">
        <v>327</v>
      </c>
      <c r="E60" s="261"/>
      <c r="F60" s="244"/>
      <c r="G60" s="233">
        <f>SUM(G61:G63)</f>
        <v>0</v>
      </c>
      <c r="H60" s="233"/>
      <c r="I60" s="233"/>
      <c r="J60" s="227"/>
      <c r="K60" s="233"/>
      <c r="L60" s="233">
        <f>SUM(L61:L63)</f>
        <v>0</v>
      </c>
      <c r="M60" s="233"/>
      <c r="N60" s="233"/>
      <c r="O60" s="227"/>
      <c r="P60" s="244"/>
      <c r="Q60" s="233">
        <f>SUM(Q61:Q63)</f>
        <v>0</v>
      </c>
      <c r="R60" s="233"/>
      <c r="S60" s="233"/>
      <c r="T60" s="227"/>
      <c r="U60" s="244"/>
      <c r="V60" s="233">
        <f>SUM(V61:V63)</f>
        <v>0</v>
      </c>
      <c r="W60" s="233"/>
      <c r="X60" s="233"/>
      <c r="Y60" s="227"/>
      <c r="Z60" s="244"/>
      <c r="AA60" s="233">
        <f>SUM(AA61:AA63)</f>
        <v>0</v>
      </c>
      <c r="AB60" s="233"/>
      <c r="AC60" s="233"/>
      <c r="AD60" s="227"/>
      <c r="AE60" s="244"/>
      <c r="AF60" s="233">
        <f>SUM(AF61:AF63)</f>
        <v>0</v>
      </c>
      <c r="AG60" s="233"/>
      <c r="AH60" s="233"/>
      <c r="AI60" s="227"/>
      <c r="AJ60" s="244"/>
      <c r="AK60" s="233">
        <f>SUM(AK61:AK63)</f>
        <v>0</v>
      </c>
      <c r="AL60" s="233"/>
      <c r="AM60" s="233"/>
      <c r="AN60" s="227"/>
      <c r="AO60" s="244"/>
      <c r="AP60" s="233">
        <f>SUM(AP61:AP63)</f>
        <v>0</v>
      </c>
      <c r="AQ60" s="233"/>
      <c r="AR60" s="233"/>
      <c r="AS60" s="227"/>
      <c r="AT60" s="244"/>
      <c r="AU60" s="233">
        <f>SUM(AU61:AU63)</f>
        <v>0</v>
      </c>
      <c r="AV60" s="233"/>
      <c r="AW60" s="233"/>
      <c r="AX60" s="227"/>
      <c r="AY60" s="244"/>
      <c r="AZ60" s="233">
        <f>SUM(AZ61:AZ63)</f>
        <v>0</v>
      </c>
      <c r="BA60" s="233"/>
      <c r="BB60" s="233"/>
      <c r="BC60" s="227"/>
      <c r="BD60" s="244"/>
      <c r="BE60" s="233">
        <f>SUM(BE61:BE63)</f>
        <v>0</v>
      </c>
      <c r="BF60" s="233"/>
      <c r="BG60" s="233"/>
      <c r="BH60" s="227"/>
      <c r="BI60" s="244"/>
      <c r="BJ60" s="233">
        <f>SUM(BJ61:BJ63)</f>
        <v>0</v>
      </c>
      <c r="BK60" s="233"/>
      <c r="BL60" s="233"/>
      <c r="BM60" s="227"/>
      <c r="BN60" s="244"/>
      <c r="BO60" s="233">
        <f>SUM(BO61:BO63)</f>
        <v>0</v>
      </c>
      <c r="BP60" s="233"/>
      <c r="BQ60" s="233"/>
      <c r="BR60" s="227"/>
      <c r="BS60" s="355"/>
      <c r="BT60" s="355">
        <f>SUM(BT61:BT63)</f>
        <v>0</v>
      </c>
      <c r="BU60" s="233"/>
      <c r="BV60" s="233"/>
      <c r="BW60" s="233"/>
      <c r="BX60" s="254"/>
      <c r="BY60" s="268"/>
      <c r="BZ60" s="268"/>
    </row>
    <row r="61" spans="1:78" hidden="1" x14ac:dyDescent="0.2">
      <c r="A61" s="244"/>
      <c r="B61" s="244"/>
      <c r="D61" s="254" t="s">
        <v>310</v>
      </c>
      <c r="E61" s="261"/>
      <c r="F61" s="269"/>
      <c r="G61" s="343">
        <v>0</v>
      </c>
      <c r="H61" s="344"/>
      <c r="I61" s="233"/>
      <c r="J61" s="227"/>
      <c r="K61" s="345"/>
      <c r="L61" s="343">
        <v>0</v>
      </c>
      <c r="M61" s="344"/>
      <c r="N61" s="233"/>
      <c r="O61" s="227"/>
      <c r="P61" s="269"/>
      <c r="Q61" s="343">
        <v>0</v>
      </c>
      <c r="R61" s="344"/>
      <c r="S61" s="233"/>
      <c r="T61" s="227"/>
      <c r="U61" s="269"/>
      <c r="V61" s="343">
        <v>0</v>
      </c>
      <c r="W61" s="344"/>
      <c r="X61" s="233"/>
      <c r="Y61" s="227"/>
      <c r="Z61" s="269"/>
      <c r="AA61" s="343">
        <v>0</v>
      </c>
      <c r="AB61" s="344"/>
      <c r="AC61" s="233"/>
      <c r="AD61" s="227"/>
      <c r="AE61" s="269"/>
      <c r="AF61" s="343">
        <v>0</v>
      </c>
      <c r="AG61" s="344"/>
      <c r="AH61" s="233"/>
      <c r="AI61" s="227"/>
      <c r="AJ61" s="269"/>
      <c r="AK61" s="343">
        <v>0</v>
      </c>
      <c r="AL61" s="344"/>
      <c r="AM61" s="233"/>
      <c r="AN61" s="227"/>
      <c r="AO61" s="269"/>
      <c r="AP61" s="343">
        <v>0</v>
      </c>
      <c r="AQ61" s="344"/>
      <c r="AR61" s="233"/>
      <c r="AS61" s="227"/>
      <c r="AT61" s="269"/>
      <c r="AU61" s="343">
        <v>0</v>
      </c>
      <c r="AV61" s="344"/>
      <c r="AW61" s="233"/>
      <c r="AX61" s="227"/>
      <c r="AY61" s="269"/>
      <c r="AZ61" s="343">
        <v>0</v>
      </c>
      <c r="BA61" s="344"/>
      <c r="BB61" s="233"/>
      <c r="BC61" s="227"/>
      <c r="BD61" s="269"/>
      <c r="BE61" s="343">
        <v>0</v>
      </c>
      <c r="BF61" s="344"/>
      <c r="BG61" s="233"/>
      <c r="BH61" s="227"/>
      <c r="BI61" s="269"/>
      <c r="BJ61" s="343">
        <v>0</v>
      </c>
      <c r="BK61" s="344"/>
      <c r="BL61" s="233"/>
      <c r="BM61" s="227"/>
      <c r="BN61" s="269"/>
      <c r="BO61" s="343">
        <v>0</v>
      </c>
      <c r="BP61" s="344"/>
      <c r="BQ61" s="233"/>
      <c r="BR61" s="227"/>
      <c r="BS61" s="227"/>
      <c r="BT61" s="233">
        <f>SUM(L61:BO61)</f>
        <v>0</v>
      </c>
      <c r="BU61" s="344"/>
      <c r="BV61" s="233"/>
      <c r="BW61" s="233"/>
      <c r="BX61" s="254"/>
      <c r="BY61" s="268"/>
      <c r="BZ61" s="268"/>
    </row>
    <row r="62" spans="1:78" hidden="1" x14ac:dyDescent="0.2">
      <c r="A62" s="244"/>
      <c r="B62" s="244"/>
      <c r="D62" s="254" t="s">
        <v>392</v>
      </c>
      <c r="E62" s="261"/>
      <c r="F62" s="261"/>
      <c r="G62" s="233">
        <v>0</v>
      </c>
      <c r="H62" s="347"/>
      <c r="I62" s="233"/>
      <c r="J62" s="227"/>
      <c r="K62" s="227"/>
      <c r="L62" s="233">
        <v>0</v>
      </c>
      <c r="M62" s="347"/>
      <c r="N62" s="233"/>
      <c r="O62" s="227"/>
      <c r="P62" s="261"/>
      <c r="Q62" s="233">
        <v>0</v>
      </c>
      <c r="R62" s="347"/>
      <c r="S62" s="233"/>
      <c r="T62" s="227"/>
      <c r="U62" s="261"/>
      <c r="V62" s="233">
        <v>0</v>
      </c>
      <c r="W62" s="347"/>
      <c r="X62" s="233"/>
      <c r="Y62" s="227"/>
      <c r="Z62" s="261"/>
      <c r="AA62" s="233">
        <v>0</v>
      </c>
      <c r="AB62" s="347"/>
      <c r="AC62" s="233"/>
      <c r="AD62" s="227"/>
      <c r="AE62" s="261"/>
      <c r="AF62" s="233">
        <v>0</v>
      </c>
      <c r="AG62" s="347"/>
      <c r="AH62" s="233"/>
      <c r="AI62" s="227"/>
      <c r="AJ62" s="261"/>
      <c r="AK62" s="233">
        <v>0</v>
      </c>
      <c r="AL62" s="347"/>
      <c r="AM62" s="233"/>
      <c r="AN62" s="227"/>
      <c r="AO62" s="261"/>
      <c r="AP62" s="233">
        <v>0</v>
      </c>
      <c r="AQ62" s="347"/>
      <c r="AR62" s="233"/>
      <c r="AS62" s="227"/>
      <c r="AT62" s="261"/>
      <c r="AU62" s="233">
        <v>0</v>
      </c>
      <c r="AV62" s="347"/>
      <c r="AW62" s="233"/>
      <c r="AX62" s="227"/>
      <c r="AY62" s="261"/>
      <c r="AZ62" s="233">
        <v>0</v>
      </c>
      <c r="BA62" s="347"/>
      <c r="BB62" s="233"/>
      <c r="BC62" s="227"/>
      <c r="BD62" s="261"/>
      <c r="BE62" s="233">
        <v>0</v>
      </c>
      <c r="BF62" s="347"/>
      <c r="BG62" s="233"/>
      <c r="BH62" s="227"/>
      <c r="BI62" s="261"/>
      <c r="BJ62" s="233">
        <v>0</v>
      </c>
      <c r="BK62" s="347"/>
      <c r="BL62" s="233"/>
      <c r="BM62" s="227"/>
      <c r="BN62" s="261"/>
      <c r="BO62" s="233">
        <v>0</v>
      </c>
      <c r="BP62" s="347"/>
      <c r="BQ62" s="233"/>
      <c r="BR62" s="227"/>
      <c r="BS62" s="227"/>
      <c r="BT62" s="233">
        <f>SUM(L62:BO62)</f>
        <v>0</v>
      </c>
      <c r="BU62" s="347"/>
      <c r="BV62" s="233"/>
      <c r="BW62" s="233"/>
      <c r="BX62" s="254"/>
      <c r="BY62" s="268"/>
      <c r="BZ62" s="268"/>
    </row>
    <row r="63" spans="1:78" hidden="1" x14ac:dyDescent="0.2">
      <c r="A63" s="244"/>
      <c r="B63" s="244"/>
      <c r="D63" s="254" t="s">
        <v>393</v>
      </c>
      <c r="E63" s="261"/>
      <c r="F63" s="284"/>
      <c r="G63" s="355">
        <v>0</v>
      </c>
      <c r="H63" s="356"/>
      <c r="I63" s="233"/>
      <c r="J63" s="227"/>
      <c r="K63" s="357"/>
      <c r="L63" s="355">
        <v>0</v>
      </c>
      <c r="M63" s="356"/>
      <c r="N63" s="233"/>
      <c r="O63" s="227"/>
      <c r="P63" s="284"/>
      <c r="Q63" s="355">
        <v>0</v>
      </c>
      <c r="R63" s="356"/>
      <c r="S63" s="233"/>
      <c r="T63" s="227"/>
      <c r="U63" s="284"/>
      <c r="V63" s="355">
        <v>0</v>
      </c>
      <c r="W63" s="356"/>
      <c r="X63" s="233"/>
      <c r="Y63" s="227"/>
      <c r="Z63" s="284"/>
      <c r="AA63" s="355">
        <v>0</v>
      </c>
      <c r="AB63" s="356"/>
      <c r="AC63" s="233"/>
      <c r="AD63" s="227"/>
      <c r="AE63" s="284"/>
      <c r="AF63" s="355">
        <v>0</v>
      </c>
      <c r="AG63" s="356"/>
      <c r="AH63" s="233"/>
      <c r="AI63" s="227"/>
      <c r="AJ63" s="284"/>
      <c r="AK63" s="355">
        <v>0</v>
      </c>
      <c r="AL63" s="356"/>
      <c r="AM63" s="233"/>
      <c r="AN63" s="227"/>
      <c r="AO63" s="284"/>
      <c r="AP63" s="355">
        <v>0</v>
      </c>
      <c r="AQ63" s="356"/>
      <c r="AR63" s="233"/>
      <c r="AS63" s="227"/>
      <c r="AT63" s="284"/>
      <c r="AU63" s="355">
        <v>0</v>
      </c>
      <c r="AV63" s="356"/>
      <c r="AW63" s="233"/>
      <c r="AX63" s="227"/>
      <c r="AY63" s="284"/>
      <c r="AZ63" s="355">
        <v>0</v>
      </c>
      <c r="BA63" s="356"/>
      <c r="BB63" s="233"/>
      <c r="BC63" s="227"/>
      <c r="BD63" s="284"/>
      <c r="BE63" s="355">
        <v>0</v>
      </c>
      <c r="BF63" s="356"/>
      <c r="BG63" s="233"/>
      <c r="BH63" s="227"/>
      <c r="BI63" s="284"/>
      <c r="BJ63" s="355">
        <v>0</v>
      </c>
      <c r="BK63" s="356"/>
      <c r="BL63" s="233"/>
      <c r="BM63" s="227"/>
      <c r="BN63" s="284"/>
      <c r="BO63" s="355">
        <v>0</v>
      </c>
      <c r="BP63" s="356"/>
      <c r="BQ63" s="233"/>
      <c r="BR63" s="227"/>
      <c r="BS63" s="357"/>
      <c r="BT63" s="355">
        <f>SUM(L63:BO63)</f>
        <v>0</v>
      </c>
      <c r="BU63" s="356"/>
      <c r="BV63" s="233"/>
      <c r="BW63" s="233"/>
      <c r="BX63" s="254"/>
      <c r="BY63" s="268"/>
      <c r="BZ63" s="268"/>
    </row>
    <row r="64" spans="1:78" x14ac:dyDescent="0.2">
      <c r="A64" s="244"/>
      <c r="B64" s="244"/>
      <c r="D64" s="254"/>
      <c r="E64" s="261"/>
      <c r="F64" s="244"/>
      <c r="G64" s="233"/>
      <c r="H64" s="233"/>
      <c r="I64" s="233"/>
      <c r="J64" s="227"/>
      <c r="K64" s="233"/>
      <c r="L64" s="233"/>
      <c r="M64" s="233"/>
      <c r="N64" s="233"/>
      <c r="O64" s="227"/>
      <c r="P64" s="233"/>
      <c r="Q64" s="233"/>
      <c r="R64" s="233"/>
      <c r="S64" s="233"/>
      <c r="T64" s="227"/>
      <c r="U64" s="233"/>
      <c r="V64" s="233"/>
      <c r="W64" s="233"/>
      <c r="X64" s="233"/>
      <c r="Y64" s="227"/>
      <c r="Z64" s="233"/>
      <c r="AA64" s="233"/>
      <c r="AB64" s="233"/>
      <c r="AC64" s="233"/>
      <c r="AD64" s="227"/>
      <c r="AE64" s="233"/>
      <c r="AF64" s="233"/>
      <c r="AG64" s="233"/>
      <c r="AH64" s="233"/>
      <c r="AI64" s="227"/>
      <c r="AJ64" s="233"/>
      <c r="AK64" s="233"/>
      <c r="AL64" s="233"/>
      <c r="AM64" s="233"/>
      <c r="AN64" s="227"/>
      <c r="AO64" s="233"/>
      <c r="AP64" s="233"/>
      <c r="AQ64" s="233"/>
      <c r="AR64" s="233"/>
      <c r="AS64" s="227"/>
      <c r="AT64" s="233"/>
      <c r="AU64" s="233"/>
      <c r="AV64" s="233"/>
      <c r="AW64" s="233"/>
      <c r="AX64" s="227"/>
      <c r="AY64" s="233"/>
      <c r="AZ64" s="233"/>
      <c r="BA64" s="233"/>
      <c r="BB64" s="233"/>
      <c r="BC64" s="227"/>
      <c r="BD64" s="233"/>
      <c r="BE64" s="233"/>
      <c r="BF64" s="233"/>
      <c r="BG64" s="233"/>
      <c r="BH64" s="227"/>
      <c r="BI64" s="233"/>
      <c r="BJ64" s="233"/>
      <c r="BK64" s="233"/>
      <c r="BL64" s="233"/>
      <c r="BM64" s="227"/>
      <c r="BN64" s="233"/>
      <c r="BO64" s="233"/>
      <c r="BP64" s="233"/>
      <c r="BQ64" s="233"/>
      <c r="BR64" s="227"/>
      <c r="BS64" s="233"/>
      <c r="BT64" s="233"/>
      <c r="BU64" s="233"/>
      <c r="BV64" s="233"/>
      <c r="BW64" s="244"/>
      <c r="BX64" s="254"/>
      <c r="BY64" s="268"/>
      <c r="BZ64" s="268"/>
    </row>
    <row r="65" spans="1:78" s="268" customFormat="1" x14ac:dyDescent="0.2">
      <c r="A65" s="245"/>
      <c r="B65" s="245"/>
      <c r="D65" s="262" t="s">
        <v>397</v>
      </c>
      <c r="E65" s="264"/>
      <c r="F65" s="245"/>
      <c r="G65" s="340">
        <f>SUM(G66:G66)</f>
        <v>3633916</v>
      </c>
      <c r="H65" s="340"/>
      <c r="I65" s="340"/>
      <c r="J65" s="341"/>
      <c r="K65" s="340"/>
      <c r="L65" s="340">
        <f>SUM(L66:L66)</f>
        <v>3109689</v>
      </c>
      <c r="M65" s="340"/>
      <c r="N65" s="340"/>
      <c r="O65" s="341"/>
      <c r="P65" s="340"/>
      <c r="Q65" s="340">
        <f>SUM(Q66:Q66)</f>
        <v>0</v>
      </c>
      <c r="R65" s="340"/>
      <c r="S65" s="340"/>
      <c r="T65" s="341"/>
      <c r="U65" s="340"/>
      <c r="V65" s="340">
        <f>SUM(V66:V66)</f>
        <v>0</v>
      </c>
      <c r="W65" s="340"/>
      <c r="X65" s="340"/>
      <c r="Y65" s="341"/>
      <c r="Z65" s="340"/>
      <c r="AA65" s="340">
        <f>SUM(AA66:AA66)</f>
        <v>0</v>
      </c>
      <c r="AB65" s="340"/>
      <c r="AC65" s="340"/>
      <c r="AD65" s="341"/>
      <c r="AE65" s="340"/>
      <c r="AF65" s="340">
        <f>SUM(AF66:AF66)</f>
        <v>289217</v>
      </c>
      <c r="AG65" s="340"/>
      <c r="AH65" s="340"/>
      <c r="AI65" s="341"/>
      <c r="AJ65" s="340"/>
      <c r="AK65" s="340">
        <f>SUM(AK66:AK66)</f>
        <v>235010</v>
      </c>
      <c r="AL65" s="340"/>
      <c r="AM65" s="340"/>
      <c r="AN65" s="341"/>
      <c r="AO65" s="340"/>
      <c r="AP65" s="340">
        <f>SUM(AP66:AP66)</f>
        <v>0</v>
      </c>
      <c r="AQ65" s="340"/>
      <c r="AR65" s="340"/>
      <c r="AS65" s="341"/>
      <c r="AT65" s="340"/>
      <c r="AU65" s="340">
        <f>SUM(AU66:AU66)</f>
        <v>64127</v>
      </c>
      <c r="AV65" s="340"/>
      <c r="AW65" s="340"/>
      <c r="AX65" s="341"/>
      <c r="AY65" s="340"/>
      <c r="AZ65" s="340">
        <f>SUM(AZ66:AZ66)</f>
        <v>0</v>
      </c>
      <c r="BA65" s="340"/>
      <c r="BB65" s="340"/>
      <c r="BC65" s="341"/>
      <c r="BD65" s="340"/>
      <c r="BE65" s="340">
        <f>SUM(BE66:BE66)</f>
        <v>0</v>
      </c>
      <c r="BF65" s="340"/>
      <c r="BG65" s="340"/>
      <c r="BH65" s="341"/>
      <c r="BI65" s="340"/>
      <c r="BJ65" s="340">
        <f>SUM(BJ66:BJ66)</f>
        <v>0</v>
      </c>
      <c r="BK65" s="340"/>
      <c r="BL65" s="340"/>
      <c r="BM65" s="341"/>
      <c r="BN65" s="340"/>
      <c r="BO65" s="340">
        <f>SUM(BO66:BO66)</f>
        <v>663239</v>
      </c>
      <c r="BP65" s="340"/>
      <c r="BQ65" s="340"/>
      <c r="BR65" s="341"/>
      <c r="BS65" s="340"/>
      <c r="BT65" s="340">
        <f>SUM(BT66:BT66)</f>
        <v>4361282</v>
      </c>
      <c r="BU65" s="340"/>
      <c r="BV65" s="340"/>
      <c r="BW65" s="245"/>
      <c r="BX65" s="262"/>
    </row>
    <row r="66" spans="1:78" x14ac:dyDescent="0.2">
      <c r="A66" s="244"/>
      <c r="B66" s="244"/>
      <c r="D66" s="254" t="s">
        <v>310</v>
      </c>
      <c r="E66" s="261"/>
      <c r="F66" s="348"/>
      <c r="G66" s="349">
        <f>G69+G75+G78+G81+G84+G87+G90+G93+G96+G102+G105+G108+G111+G99+G117+G120+G72+G114</f>
        <v>3633916</v>
      </c>
      <c r="H66" s="350"/>
      <c r="I66" s="233"/>
      <c r="J66" s="227"/>
      <c r="K66" s="351"/>
      <c r="L66" s="349">
        <f>L69+L75+L78+L81+L84+L87+L90+L93+L96+L102+L105+L108+L111+L99+L117+L120+L72+L114</f>
        <v>3109689</v>
      </c>
      <c r="M66" s="350"/>
      <c r="N66" s="233"/>
      <c r="O66" s="227"/>
      <c r="P66" s="351"/>
      <c r="Q66" s="349">
        <v>0</v>
      </c>
      <c r="R66" s="350"/>
      <c r="S66" s="233"/>
      <c r="T66" s="227"/>
      <c r="U66" s="351"/>
      <c r="V66" s="349">
        <v>0</v>
      </c>
      <c r="W66" s="350"/>
      <c r="X66" s="233"/>
      <c r="Y66" s="227"/>
      <c r="Z66" s="351"/>
      <c r="AA66" s="349">
        <v>0</v>
      </c>
      <c r="AB66" s="350"/>
      <c r="AC66" s="233"/>
      <c r="AD66" s="227"/>
      <c r="AE66" s="351"/>
      <c r="AF66" s="349">
        <f>AF69+AF75+AF78+AF81+AF84+AF87+AF90+AF93+AF96+AF102+AF105+AF108+AF111+AF99+AF117+AF120+AF72+AF114</f>
        <v>289217</v>
      </c>
      <c r="AG66" s="350"/>
      <c r="AH66" s="233"/>
      <c r="AI66" s="227"/>
      <c r="AJ66" s="351"/>
      <c r="AK66" s="349">
        <f>AK69+AK75+AK78+AK81+AK84+AK87+AK90+AK93+AK96+AK102+AK105+AK108+AK111+AK99+AK117+AK120+AK72+AK114</f>
        <v>235010</v>
      </c>
      <c r="AL66" s="350"/>
      <c r="AM66" s="233"/>
      <c r="AN66" s="227"/>
      <c r="AO66" s="351"/>
      <c r="AP66" s="349">
        <f>AP69+AP75+AP78+AP81+AP84+AP87+AP90+AP93+AP96+AP102+AP105+AP108+AP111+AP99+AP117+AP120+AP72+AP114</f>
        <v>0</v>
      </c>
      <c r="AQ66" s="350"/>
      <c r="AR66" s="233"/>
      <c r="AS66" s="227"/>
      <c r="AT66" s="351"/>
      <c r="AU66" s="349">
        <f>AU69+AU75+AU78+AU81+AU84+AU87+AU90+AU93+AU96+AU102+AU105+AU108+AU111+AU99+AU117+AU120+AU72+AU114</f>
        <v>64127</v>
      </c>
      <c r="AV66" s="350"/>
      <c r="AW66" s="233"/>
      <c r="AX66" s="227"/>
      <c r="AY66" s="351"/>
      <c r="AZ66" s="349">
        <v>0</v>
      </c>
      <c r="BA66" s="350"/>
      <c r="BB66" s="233"/>
      <c r="BC66" s="227"/>
      <c r="BD66" s="351"/>
      <c r="BE66" s="349">
        <v>0</v>
      </c>
      <c r="BF66" s="350"/>
      <c r="BG66" s="233"/>
      <c r="BH66" s="227"/>
      <c r="BI66" s="351"/>
      <c r="BJ66" s="349">
        <v>0</v>
      </c>
      <c r="BK66" s="350"/>
      <c r="BL66" s="233"/>
      <c r="BM66" s="227"/>
      <c r="BN66" s="351"/>
      <c r="BO66" s="349">
        <f>BO69+BO75+BO78+BO81+BO84+BO87+BO90+BO93+BO96+BO102+BO105+BO108+BO111+BO99+BO117+BO120+BO72+BO114</f>
        <v>663239</v>
      </c>
      <c r="BP66" s="350"/>
      <c r="BQ66" s="233"/>
      <c r="BR66" s="227"/>
      <c r="BS66" s="351"/>
      <c r="BT66" s="349">
        <f>BT69+BT75+BT78+BT81+BT84+BT87+BT90+BT93+BT96+BT102+BT105+BT108+BT111+BT99+BT117+BT120+BT72+BT114</f>
        <v>4361282</v>
      </c>
      <c r="BU66" s="350"/>
      <c r="BV66" s="233"/>
      <c r="BW66" s="244"/>
      <c r="BX66" s="254"/>
      <c r="BY66" s="268"/>
      <c r="BZ66" s="268"/>
    </row>
    <row r="67" spans="1:78" x14ac:dyDescent="0.2">
      <c r="A67" s="244"/>
      <c r="B67" s="244"/>
      <c r="D67" s="254"/>
      <c r="E67" s="261"/>
      <c r="F67" s="244"/>
      <c r="G67" s="233"/>
      <c r="H67" s="233"/>
      <c r="I67" s="233"/>
      <c r="J67" s="227"/>
      <c r="K67" s="233"/>
      <c r="L67" s="233"/>
      <c r="M67" s="233"/>
      <c r="N67" s="233"/>
      <c r="O67" s="227"/>
      <c r="P67" s="233"/>
      <c r="Q67" s="233"/>
      <c r="R67" s="233"/>
      <c r="S67" s="233"/>
      <c r="T67" s="227"/>
      <c r="U67" s="233"/>
      <c r="V67" s="233"/>
      <c r="W67" s="233"/>
      <c r="X67" s="233"/>
      <c r="Y67" s="227"/>
      <c r="Z67" s="233"/>
      <c r="AA67" s="233"/>
      <c r="AB67" s="233"/>
      <c r="AC67" s="233"/>
      <c r="AD67" s="227"/>
      <c r="AE67" s="233"/>
      <c r="AF67" s="233"/>
      <c r="AG67" s="233"/>
      <c r="AH67" s="233"/>
      <c r="AI67" s="227"/>
      <c r="AJ67" s="233"/>
      <c r="AK67" s="233"/>
      <c r="AL67" s="233"/>
      <c r="AM67" s="233"/>
      <c r="AN67" s="227"/>
      <c r="AO67" s="233"/>
      <c r="AP67" s="233"/>
      <c r="AQ67" s="233"/>
      <c r="AR67" s="233"/>
      <c r="AS67" s="227"/>
      <c r="AT67" s="233"/>
      <c r="AU67" s="233"/>
      <c r="AV67" s="233"/>
      <c r="AW67" s="233"/>
      <c r="AX67" s="227"/>
      <c r="AY67" s="233"/>
      <c r="AZ67" s="233"/>
      <c r="BA67" s="233"/>
      <c r="BB67" s="233"/>
      <c r="BC67" s="227"/>
      <c r="BD67" s="233"/>
      <c r="BE67" s="233"/>
      <c r="BF67" s="233"/>
      <c r="BG67" s="233"/>
      <c r="BH67" s="227"/>
      <c r="BI67" s="233"/>
      <c r="BJ67" s="233"/>
      <c r="BK67" s="233"/>
      <c r="BL67" s="233"/>
      <c r="BM67" s="227"/>
      <c r="BN67" s="233"/>
      <c r="BO67" s="233"/>
      <c r="BP67" s="233"/>
      <c r="BQ67" s="233"/>
      <c r="BR67" s="227"/>
      <c r="BS67" s="233"/>
      <c r="BT67" s="233"/>
      <c r="BU67" s="233"/>
      <c r="BV67" s="233"/>
      <c r="BW67" s="244"/>
      <c r="BX67" s="254"/>
      <c r="BY67" s="268"/>
      <c r="BZ67" s="268"/>
    </row>
    <row r="68" spans="1:78" hidden="1" x14ac:dyDescent="0.2">
      <c r="A68" s="244"/>
      <c r="B68" s="244"/>
      <c r="D68" s="254" t="s">
        <v>336</v>
      </c>
      <c r="E68" s="261"/>
      <c r="F68" s="244"/>
      <c r="G68" s="233">
        <v>0</v>
      </c>
      <c r="H68" s="233"/>
      <c r="I68" s="233"/>
      <c r="J68" s="227"/>
      <c r="K68" s="233"/>
      <c r="L68" s="233">
        <f>SUM(L69:L69)</f>
        <v>0</v>
      </c>
      <c r="M68" s="233"/>
      <c r="N68" s="233"/>
      <c r="O68" s="227"/>
      <c r="P68" s="233"/>
      <c r="Q68" s="233">
        <f>SUM(Q69:Q69)</f>
        <v>0</v>
      </c>
      <c r="R68" s="233"/>
      <c r="S68" s="233"/>
      <c r="T68" s="227"/>
      <c r="U68" s="233"/>
      <c r="V68" s="233">
        <f>SUM(V69:V69)</f>
        <v>0</v>
      </c>
      <c r="W68" s="233"/>
      <c r="X68" s="233"/>
      <c r="Y68" s="227"/>
      <c r="Z68" s="233"/>
      <c r="AA68" s="233">
        <f>SUM(AA69:AA69)</f>
        <v>0</v>
      </c>
      <c r="AB68" s="233"/>
      <c r="AC68" s="233"/>
      <c r="AD68" s="227"/>
      <c r="AE68" s="233"/>
      <c r="AF68" s="233">
        <f>SUM(AF69:AF69)</f>
        <v>0</v>
      </c>
      <c r="AG68" s="233"/>
      <c r="AH68" s="233"/>
      <c r="AI68" s="227"/>
      <c r="AJ68" s="233"/>
      <c r="AK68" s="233">
        <f>SUM(AK69:AK69)</f>
        <v>0</v>
      </c>
      <c r="AL68" s="233"/>
      <c r="AM68" s="233"/>
      <c r="AN68" s="227"/>
      <c r="AO68" s="233"/>
      <c r="AP68" s="233">
        <f>SUM(AP69:AP69)</f>
        <v>0</v>
      </c>
      <c r="AQ68" s="233"/>
      <c r="AR68" s="233"/>
      <c r="AS68" s="227"/>
      <c r="AT68" s="233"/>
      <c r="AU68" s="233">
        <f>SUM(AU69:AU69)</f>
        <v>0</v>
      </c>
      <c r="AV68" s="233"/>
      <c r="AW68" s="233"/>
      <c r="AX68" s="227"/>
      <c r="AY68" s="233"/>
      <c r="AZ68" s="233">
        <f>SUM(AZ69:AZ69)</f>
        <v>0</v>
      </c>
      <c r="BA68" s="233"/>
      <c r="BB68" s="233"/>
      <c r="BC68" s="227"/>
      <c r="BD68" s="233"/>
      <c r="BE68" s="233">
        <f>SUM(BE69:BE69)</f>
        <v>0</v>
      </c>
      <c r="BF68" s="233"/>
      <c r="BG68" s="233"/>
      <c r="BH68" s="227"/>
      <c r="BI68" s="233"/>
      <c r="BJ68" s="233">
        <f>SUM(BJ69:BJ69)</f>
        <v>0</v>
      </c>
      <c r="BK68" s="233"/>
      <c r="BL68" s="233"/>
      <c r="BM68" s="227"/>
      <c r="BN68" s="233"/>
      <c r="BO68" s="233">
        <f>SUM(BO69:BO69)</f>
        <v>0</v>
      </c>
      <c r="BP68" s="233"/>
      <c r="BQ68" s="233"/>
      <c r="BR68" s="227"/>
      <c r="BS68" s="233"/>
      <c r="BT68" s="233">
        <f>SUM(BT69:BT69)</f>
        <v>0</v>
      </c>
      <c r="BU68" s="233"/>
      <c r="BV68" s="233"/>
      <c r="BW68" s="244"/>
      <c r="BX68" s="254"/>
      <c r="BY68" s="268"/>
      <c r="BZ68" s="268"/>
    </row>
    <row r="69" spans="1:78" hidden="1" x14ac:dyDescent="0.2">
      <c r="A69" s="244"/>
      <c r="B69" s="244"/>
      <c r="D69" s="254" t="s">
        <v>310</v>
      </c>
      <c r="E69" s="261"/>
      <c r="F69" s="348"/>
      <c r="G69" s="349">
        <v>0</v>
      </c>
      <c r="H69" s="350"/>
      <c r="I69" s="233"/>
      <c r="J69" s="227"/>
      <c r="K69" s="351"/>
      <c r="L69" s="349">
        <v>0</v>
      </c>
      <c r="M69" s="350"/>
      <c r="N69" s="233"/>
      <c r="O69" s="227"/>
      <c r="P69" s="351"/>
      <c r="Q69" s="349">
        <v>0</v>
      </c>
      <c r="R69" s="350"/>
      <c r="S69" s="233"/>
      <c r="T69" s="227"/>
      <c r="U69" s="351"/>
      <c r="V69" s="349">
        <v>0</v>
      </c>
      <c r="W69" s="350"/>
      <c r="X69" s="233"/>
      <c r="Y69" s="227"/>
      <c r="Z69" s="351"/>
      <c r="AA69" s="349">
        <v>0</v>
      </c>
      <c r="AB69" s="350"/>
      <c r="AC69" s="233"/>
      <c r="AD69" s="227"/>
      <c r="AE69" s="351"/>
      <c r="AF69" s="349">
        <v>0</v>
      </c>
      <c r="AG69" s="350"/>
      <c r="AH69" s="233"/>
      <c r="AI69" s="227"/>
      <c r="AJ69" s="351"/>
      <c r="AK69" s="349">
        <v>0</v>
      </c>
      <c r="AL69" s="350"/>
      <c r="AM69" s="233"/>
      <c r="AN69" s="227"/>
      <c r="AO69" s="351"/>
      <c r="AP69" s="349">
        <v>0</v>
      </c>
      <c r="AQ69" s="350"/>
      <c r="AR69" s="233"/>
      <c r="AS69" s="227"/>
      <c r="AT69" s="351"/>
      <c r="AU69" s="349">
        <v>0</v>
      </c>
      <c r="AV69" s="350"/>
      <c r="AW69" s="233"/>
      <c r="AX69" s="227"/>
      <c r="AY69" s="351"/>
      <c r="AZ69" s="349">
        <v>0</v>
      </c>
      <c r="BA69" s="350"/>
      <c r="BB69" s="233"/>
      <c r="BC69" s="227"/>
      <c r="BD69" s="351"/>
      <c r="BE69" s="349">
        <v>0</v>
      </c>
      <c r="BF69" s="350"/>
      <c r="BG69" s="233"/>
      <c r="BH69" s="227"/>
      <c r="BI69" s="351"/>
      <c r="BJ69" s="349">
        <v>0</v>
      </c>
      <c r="BK69" s="350"/>
      <c r="BL69" s="233"/>
      <c r="BM69" s="227"/>
      <c r="BN69" s="351"/>
      <c r="BO69" s="349">
        <v>0</v>
      </c>
      <c r="BP69" s="350"/>
      <c r="BQ69" s="233"/>
      <c r="BR69" s="227"/>
      <c r="BS69" s="351"/>
      <c r="BT69" s="349">
        <f>SUM(L69:BO69)</f>
        <v>0</v>
      </c>
      <c r="BU69" s="350"/>
      <c r="BV69" s="233"/>
      <c r="BW69" s="244"/>
      <c r="BX69" s="254"/>
      <c r="BY69" s="268"/>
      <c r="BZ69" s="268"/>
    </row>
    <row r="70" spans="1:78" hidden="1" x14ac:dyDescent="0.2">
      <c r="A70" s="244"/>
      <c r="B70" s="244"/>
      <c r="D70" s="254"/>
      <c r="E70" s="261"/>
      <c r="F70" s="244"/>
      <c r="G70" s="384"/>
      <c r="H70" s="384"/>
      <c r="I70" s="384"/>
      <c r="J70" s="385"/>
      <c r="K70" s="384"/>
      <c r="L70" s="384"/>
      <c r="M70" s="384"/>
      <c r="N70" s="384"/>
      <c r="O70" s="385"/>
      <c r="P70" s="384"/>
      <c r="Q70" s="384"/>
      <c r="R70" s="384"/>
      <c r="S70" s="384"/>
      <c r="T70" s="385"/>
      <c r="U70" s="384"/>
      <c r="V70" s="384"/>
      <c r="W70" s="384"/>
      <c r="X70" s="384"/>
      <c r="Y70" s="385"/>
      <c r="Z70" s="384"/>
      <c r="AA70" s="384"/>
      <c r="AB70" s="384"/>
      <c r="AC70" s="384"/>
      <c r="AD70" s="385"/>
      <c r="AE70" s="384"/>
      <c r="AF70" s="384"/>
      <c r="AG70" s="384"/>
      <c r="AH70" s="384"/>
      <c r="AI70" s="385"/>
      <c r="AJ70" s="384"/>
      <c r="AK70" s="384"/>
      <c r="AL70" s="384"/>
      <c r="AM70" s="384"/>
      <c r="AN70" s="385"/>
      <c r="AO70" s="384"/>
      <c r="AP70" s="384"/>
      <c r="AQ70" s="384"/>
      <c r="AR70" s="384"/>
      <c r="AS70" s="385"/>
      <c r="AT70" s="384"/>
      <c r="AU70" s="384"/>
      <c r="AV70" s="384"/>
      <c r="AW70" s="384"/>
      <c r="AX70" s="385"/>
      <c r="AY70" s="384"/>
      <c r="AZ70" s="384"/>
      <c r="BA70" s="384"/>
      <c r="BB70" s="384"/>
      <c r="BC70" s="385"/>
      <c r="BD70" s="384"/>
      <c r="BE70" s="384"/>
      <c r="BF70" s="384"/>
      <c r="BG70" s="384"/>
      <c r="BH70" s="385"/>
      <c r="BI70" s="384"/>
      <c r="BJ70" s="384"/>
      <c r="BK70" s="384"/>
      <c r="BL70" s="384"/>
      <c r="BM70" s="385"/>
      <c r="BN70" s="384"/>
      <c r="BO70" s="384"/>
      <c r="BP70" s="384"/>
      <c r="BQ70" s="384"/>
      <c r="BR70" s="385"/>
      <c r="BS70" s="384"/>
      <c r="BT70" s="233"/>
      <c r="BU70" s="233"/>
      <c r="BV70" s="233"/>
      <c r="BW70" s="244"/>
      <c r="BX70" s="254"/>
      <c r="BY70" s="268"/>
      <c r="BZ70" s="268"/>
    </row>
    <row r="71" spans="1:78" x14ac:dyDescent="0.2">
      <c r="A71" s="244"/>
      <c r="B71" s="244"/>
      <c r="D71" s="254" t="s">
        <v>337</v>
      </c>
      <c r="E71" s="261"/>
      <c r="F71" s="244"/>
      <c r="G71" s="233">
        <v>0</v>
      </c>
      <c r="H71" s="233"/>
      <c r="I71" s="233"/>
      <c r="J71" s="227"/>
      <c r="K71" s="233"/>
      <c r="L71" s="233">
        <f>SUM(L72:L72)</f>
        <v>0</v>
      </c>
      <c r="M71" s="233"/>
      <c r="N71" s="233"/>
      <c r="O71" s="227"/>
      <c r="P71" s="233"/>
      <c r="Q71" s="233">
        <f>SUM(Q72:Q72)</f>
        <v>0</v>
      </c>
      <c r="R71" s="233"/>
      <c r="S71" s="233"/>
      <c r="T71" s="227"/>
      <c r="U71" s="233"/>
      <c r="V71" s="233">
        <f>SUM(V72:V72)</f>
        <v>0</v>
      </c>
      <c r="W71" s="233"/>
      <c r="X71" s="233"/>
      <c r="Y71" s="227"/>
      <c r="Z71" s="233"/>
      <c r="AA71" s="233">
        <f>SUM(AA72:AA72)</f>
        <v>0</v>
      </c>
      <c r="AB71" s="233"/>
      <c r="AC71" s="233"/>
      <c r="AD71" s="227"/>
      <c r="AE71" s="233"/>
      <c r="AF71" s="233">
        <f>SUM(AF72:AF72)</f>
        <v>0</v>
      </c>
      <c r="AG71" s="233"/>
      <c r="AH71" s="233"/>
      <c r="AI71" s="227"/>
      <c r="AJ71" s="233"/>
      <c r="AK71" s="233">
        <f>SUM(AK72:AK72)</f>
        <v>0</v>
      </c>
      <c r="AL71" s="233"/>
      <c r="AM71" s="233"/>
      <c r="AN71" s="227"/>
      <c r="AO71" s="233"/>
      <c r="AP71" s="233">
        <f>SUM(AP72:AP72)</f>
        <v>0</v>
      </c>
      <c r="AQ71" s="233"/>
      <c r="AR71" s="233"/>
      <c r="AS71" s="227"/>
      <c r="AT71" s="233"/>
      <c r="AU71" s="233">
        <f>SUM(AU72:AU72)</f>
        <v>0</v>
      </c>
      <c r="AV71" s="233"/>
      <c r="AW71" s="233"/>
      <c r="AX71" s="227"/>
      <c r="AY71" s="233"/>
      <c r="AZ71" s="233">
        <f>SUM(AZ72:AZ72)</f>
        <v>0</v>
      </c>
      <c r="BA71" s="233"/>
      <c r="BB71" s="233"/>
      <c r="BC71" s="227"/>
      <c r="BD71" s="233"/>
      <c r="BE71" s="233">
        <f>SUM(BE72:BE72)</f>
        <v>0</v>
      </c>
      <c r="BF71" s="233"/>
      <c r="BG71" s="233"/>
      <c r="BH71" s="227"/>
      <c r="BI71" s="233"/>
      <c r="BJ71" s="233">
        <f>SUM(BJ72:BJ72)</f>
        <v>0</v>
      </c>
      <c r="BK71" s="233"/>
      <c r="BL71" s="233"/>
      <c r="BM71" s="227"/>
      <c r="BN71" s="233"/>
      <c r="BO71" s="233">
        <f>SUM(BO72:BO72)</f>
        <v>89569</v>
      </c>
      <c r="BP71" s="233"/>
      <c r="BQ71" s="233"/>
      <c r="BR71" s="227"/>
      <c r="BS71" s="233"/>
      <c r="BT71" s="233">
        <f>SUM(BT72:BT72)</f>
        <v>89569</v>
      </c>
      <c r="BU71" s="233"/>
      <c r="BV71" s="233"/>
      <c r="BW71" s="244"/>
      <c r="BX71" s="254"/>
      <c r="BY71" s="268"/>
      <c r="BZ71" s="268"/>
    </row>
    <row r="72" spans="1:78" x14ac:dyDescent="0.2">
      <c r="A72" s="244"/>
      <c r="B72" s="244"/>
      <c r="D72" s="254" t="s">
        <v>310</v>
      </c>
      <c r="E72" s="261"/>
      <c r="F72" s="348"/>
      <c r="G72" s="349">
        <v>0</v>
      </c>
      <c r="H72" s="350"/>
      <c r="I72" s="233"/>
      <c r="J72" s="227"/>
      <c r="K72" s="351"/>
      <c r="L72" s="349">
        <v>0</v>
      </c>
      <c r="M72" s="350"/>
      <c r="N72" s="233"/>
      <c r="O72" s="227"/>
      <c r="P72" s="351"/>
      <c r="Q72" s="349">
        <v>0</v>
      </c>
      <c r="R72" s="350"/>
      <c r="S72" s="233"/>
      <c r="T72" s="227"/>
      <c r="U72" s="351"/>
      <c r="V72" s="349">
        <v>0</v>
      </c>
      <c r="W72" s="350"/>
      <c r="X72" s="233"/>
      <c r="Y72" s="227"/>
      <c r="Z72" s="351"/>
      <c r="AA72" s="349">
        <v>0</v>
      </c>
      <c r="AB72" s="350"/>
      <c r="AC72" s="233"/>
      <c r="AD72" s="227"/>
      <c r="AE72" s="351"/>
      <c r="AF72" s="349">
        <v>0</v>
      </c>
      <c r="AG72" s="350"/>
      <c r="AH72" s="233"/>
      <c r="AI72" s="227"/>
      <c r="AJ72" s="351"/>
      <c r="AK72" s="349">
        <v>0</v>
      </c>
      <c r="AL72" s="350"/>
      <c r="AM72" s="233"/>
      <c r="AN72" s="227"/>
      <c r="AO72" s="351"/>
      <c r="AP72" s="349">
        <v>0</v>
      </c>
      <c r="AQ72" s="350"/>
      <c r="AR72" s="233"/>
      <c r="AS72" s="227"/>
      <c r="AT72" s="351"/>
      <c r="AU72" s="349">
        <v>0</v>
      </c>
      <c r="AV72" s="350"/>
      <c r="AW72" s="233"/>
      <c r="AX72" s="227"/>
      <c r="AY72" s="351"/>
      <c r="AZ72" s="349">
        <v>0</v>
      </c>
      <c r="BA72" s="350"/>
      <c r="BB72" s="233"/>
      <c r="BC72" s="227"/>
      <c r="BD72" s="351"/>
      <c r="BE72" s="349">
        <v>0</v>
      </c>
      <c r="BF72" s="350"/>
      <c r="BG72" s="233"/>
      <c r="BH72" s="227"/>
      <c r="BI72" s="351"/>
      <c r="BJ72" s="349">
        <v>0</v>
      </c>
      <c r="BK72" s="350"/>
      <c r="BL72" s="233"/>
      <c r="BM72" s="227"/>
      <c r="BN72" s="351"/>
      <c r="BO72" s="349">
        <v>89569</v>
      </c>
      <c r="BP72" s="350"/>
      <c r="BQ72" s="233"/>
      <c r="BR72" s="227"/>
      <c r="BS72" s="351"/>
      <c r="BT72" s="349">
        <f>SUM(L72:BO72)</f>
        <v>89569</v>
      </c>
      <c r="BU72" s="350"/>
      <c r="BV72" s="233"/>
      <c r="BW72" s="244"/>
      <c r="BX72" s="254"/>
      <c r="BY72" s="268"/>
      <c r="BZ72" s="268"/>
    </row>
    <row r="73" spans="1:78" hidden="1" x14ac:dyDescent="0.2">
      <c r="A73" s="244"/>
      <c r="B73" s="244"/>
      <c r="D73" s="254"/>
      <c r="E73" s="261"/>
      <c r="F73" s="244"/>
      <c r="G73" s="384"/>
      <c r="H73" s="384"/>
      <c r="I73" s="384"/>
      <c r="J73" s="385"/>
      <c r="K73" s="384"/>
      <c r="L73" s="384"/>
      <c r="M73" s="384"/>
      <c r="N73" s="384"/>
      <c r="O73" s="385"/>
      <c r="P73" s="384"/>
      <c r="Q73" s="384"/>
      <c r="R73" s="384"/>
      <c r="S73" s="384"/>
      <c r="T73" s="385"/>
      <c r="U73" s="384"/>
      <c r="V73" s="384"/>
      <c r="W73" s="384"/>
      <c r="X73" s="384"/>
      <c r="Y73" s="385"/>
      <c r="Z73" s="384"/>
      <c r="AA73" s="384"/>
      <c r="AB73" s="384"/>
      <c r="AC73" s="384"/>
      <c r="AD73" s="385"/>
      <c r="AE73" s="384"/>
      <c r="AF73" s="384"/>
      <c r="AG73" s="384"/>
      <c r="AH73" s="384"/>
      <c r="AI73" s="385"/>
      <c r="AJ73" s="384"/>
      <c r="AK73" s="384"/>
      <c r="AL73" s="384"/>
      <c r="AM73" s="384"/>
      <c r="AN73" s="385"/>
      <c r="AO73" s="384"/>
      <c r="AP73" s="384"/>
      <c r="AQ73" s="384"/>
      <c r="AR73" s="384"/>
      <c r="AS73" s="385"/>
      <c r="AT73" s="384"/>
      <c r="AU73" s="384"/>
      <c r="AV73" s="384"/>
      <c r="AW73" s="384"/>
      <c r="AX73" s="385"/>
      <c r="AY73" s="384"/>
      <c r="AZ73" s="384"/>
      <c r="BA73" s="384"/>
      <c r="BB73" s="384"/>
      <c r="BC73" s="385"/>
      <c r="BD73" s="384"/>
      <c r="BE73" s="384"/>
      <c r="BF73" s="384"/>
      <c r="BG73" s="384"/>
      <c r="BH73" s="385"/>
      <c r="BI73" s="384"/>
      <c r="BJ73" s="384"/>
      <c r="BK73" s="384"/>
      <c r="BL73" s="384"/>
      <c r="BM73" s="385"/>
      <c r="BN73" s="384"/>
      <c r="BO73" s="384"/>
      <c r="BP73" s="384"/>
      <c r="BQ73" s="384"/>
      <c r="BR73" s="385"/>
      <c r="BS73" s="384"/>
      <c r="BT73" s="233"/>
      <c r="BU73" s="233"/>
      <c r="BV73" s="233"/>
      <c r="BW73" s="244"/>
      <c r="BX73" s="254"/>
      <c r="BY73" s="268"/>
      <c r="BZ73" s="268"/>
    </row>
    <row r="74" spans="1:78" hidden="1" x14ac:dyDescent="0.2">
      <c r="A74" s="244"/>
      <c r="B74" s="244"/>
      <c r="D74" s="254" t="str">
        <f>[65]domlongtermissues!D294</f>
        <v xml:space="preserve">  R2044 (8.75%  2044-45-46/01/31)</v>
      </c>
      <c r="E74" s="261"/>
      <c r="F74" s="244"/>
      <c r="G74" s="233">
        <f>SUM(G75:G75)</f>
        <v>0</v>
      </c>
      <c r="H74" s="233"/>
      <c r="I74" s="233"/>
      <c r="J74" s="227"/>
      <c r="K74" s="233"/>
      <c r="L74" s="233">
        <f>SUM(L75:L75)</f>
        <v>0</v>
      </c>
      <c r="M74" s="233"/>
      <c r="N74" s="233"/>
      <c r="O74" s="227"/>
      <c r="P74" s="233"/>
      <c r="Q74" s="233">
        <f>SUM(Q75:Q75)</f>
        <v>0</v>
      </c>
      <c r="R74" s="233"/>
      <c r="S74" s="233"/>
      <c r="T74" s="227"/>
      <c r="U74" s="233"/>
      <c r="V74" s="233">
        <f>SUM(V75:V75)</f>
        <v>0</v>
      </c>
      <c r="W74" s="233"/>
      <c r="X74" s="233"/>
      <c r="Y74" s="227"/>
      <c r="Z74" s="233"/>
      <c r="AA74" s="233">
        <f>SUM(AA75:AA75)</f>
        <v>0</v>
      </c>
      <c r="AB74" s="233"/>
      <c r="AC74" s="233"/>
      <c r="AD74" s="227"/>
      <c r="AE74" s="233"/>
      <c r="AF74" s="233">
        <f>SUM(AF75:AF75)</f>
        <v>0</v>
      </c>
      <c r="AG74" s="233"/>
      <c r="AH74" s="233"/>
      <c r="AI74" s="227"/>
      <c r="AJ74" s="233"/>
      <c r="AK74" s="233">
        <f>SUM(AK75:AK75)</f>
        <v>0</v>
      </c>
      <c r="AL74" s="233"/>
      <c r="AM74" s="233"/>
      <c r="AN74" s="227"/>
      <c r="AO74" s="233"/>
      <c r="AP74" s="233">
        <f>SUM(AP75:AP75)</f>
        <v>0</v>
      </c>
      <c r="AQ74" s="233"/>
      <c r="AR74" s="233"/>
      <c r="AS74" s="227"/>
      <c r="AT74" s="233"/>
      <c r="AU74" s="233">
        <f>SUM(AU75:AU75)</f>
        <v>0</v>
      </c>
      <c r="AV74" s="233"/>
      <c r="AW74" s="233"/>
      <c r="AX74" s="227"/>
      <c r="AY74" s="233"/>
      <c r="AZ74" s="233">
        <f>SUM(AZ75:AZ75)</f>
        <v>0</v>
      </c>
      <c r="BA74" s="233"/>
      <c r="BB74" s="233"/>
      <c r="BC74" s="227"/>
      <c r="BD74" s="233"/>
      <c r="BE74" s="233">
        <f>SUM(BE75:BE75)</f>
        <v>0</v>
      </c>
      <c r="BF74" s="233"/>
      <c r="BG74" s="233"/>
      <c r="BH74" s="227"/>
      <c r="BI74" s="233"/>
      <c r="BJ74" s="233">
        <f>SUM(BJ75:BJ75)</f>
        <v>0</v>
      </c>
      <c r="BK74" s="233"/>
      <c r="BL74" s="233"/>
      <c r="BM74" s="227"/>
      <c r="BN74" s="233"/>
      <c r="BO74" s="233">
        <f>SUM(BO75:BO75)</f>
        <v>0</v>
      </c>
      <c r="BP74" s="233"/>
      <c r="BQ74" s="233"/>
      <c r="BR74" s="227"/>
      <c r="BS74" s="233"/>
      <c r="BT74" s="233">
        <f>SUM(BT75:BT75)</f>
        <v>0</v>
      </c>
      <c r="BU74" s="233"/>
      <c r="BV74" s="233"/>
      <c r="BW74" s="244"/>
      <c r="BX74" s="254"/>
      <c r="BY74" s="268"/>
      <c r="BZ74" s="268"/>
    </row>
    <row r="75" spans="1:78" hidden="1" x14ac:dyDescent="0.2">
      <c r="A75" s="244"/>
      <c r="B75" s="244"/>
      <c r="D75" s="254" t="s">
        <v>310</v>
      </c>
      <c r="E75" s="261"/>
      <c r="F75" s="348"/>
      <c r="G75" s="349">
        <v>0</v>
      </c>
      <c r="H75" s="350"/>
      <c r="I75" s="233"/>
      <c r="J75" s="227"/>
      <c r="K75" s="351"/>
      <c r="L75" s="349">
        <v>0</v>
      </c>
      <c r="M75" s="350"/>
      <c r="N75" s="233"/>
      <c r="O75" s="227"/>
      <c r="P75" s="351"/>
      <c r="Q75" s="349">
        <v>0</v>
      </c>
      <c r="R75" s="350"/>
      <c r="S75" s="233"/>
      <c r="T75" s="227"/>
      <c r="U75" s="351"/>
      <c r="V75" s="349">
        <v>0</v>
      </c>
      <c r="W75" s="350"/>
      <c r="X75" s="233"/>
      <c r="Y75" s="227"/>
      <c r="Z75" s="351"/>
      <c r="AA75" s="349">
        <v>0</v>
      </c>
      <c r="AB75" s="350"/>
      <c r="AC75" s="233"/>
      <c r="AD75" s="227"/>
      <c r="AE75" s="351"/>
      <c r="AF75" s="349">
        <v>0</v>
      </c>
      <c r="AG75" s="350"/>
      <c r="AH75" s="233"/>
      <c r="AI75" s="227"/>
      <c r="AJ75" s="351"/>
      <c r="AK75" s="349">
        <v>0</v>
      </c>
      <c r="AL75" s="350"/>
      <c r="AM75" s="233"/>
      <c r="AN75" s="227"/>
      <c r="AO75" s="351"/>
      <c r="AP75" s="349">
        <v>0</v>
      </c>
      <c r="AQ75" s="350"/>
      <c r="AR75" s="233"/>
      <c r="AS75" s="227"/>
      <c r="AT75" s="351"/>
      <c r="AU75" s="349">
        <v>0</v>
      </c>
      <c r="AV75" s="350"/>
      <c r="AW75" s="233"/>
      <c r="AX75" s="227"/>
      <c r="AY75" s="351"/>
      <c r="AZ75" s="349">
        <v>0</v>
      </c>
      <c r="BA75" s="350"/>
      <c r="BB75" s="233"/>
      <c r="BC75" s="227"/>
      <c r="BD75" s="351"/>
      <c r="BE75" s="349">
        <v>0</v>
      </c>
      <c r="BF75" s="350"/>
      <c r="BG75" s="233"/>
      <c r="BH75" s="227"/>
      <c r="BI75" s="351"/>
      <c r="BJ75" s="349">
        <v>0</v>
      </c>
      <c r="BK75" s="350"/>
      <c r="BL75" s="233"/>
      <c r="BM75" s="227"/>
      <c r="BN75" s="351"/>
      <c r="BO75" s="349">
        <v>0</v>
      </c>
      <c r="BP75" s="350"/>
      <c r="BQ75" s="233"/>
      <c r="BR75" s="227"/>
      <c r="BS75" s="351"/>
      <c r="BT75" s="349">
        <f>SUM(L75:BO75)</f>
        <v>0</v>
      </c>
      <c r="BU75" s="350"/>
      <c r="BV75" s="233"/>
      <c r="BW75" s="244"/>
      <c r="BX75" s="254"/>
      <c r="BY75" s="268"/>
      <c r="BZ75" s="268"/>
    </row>
    <row r="76" spans="1:78" x14ac:dyDescent="0.2">
      <c r="A76" s="244"/>
      <c r="B76" s="244"/>
      <c r="D76" s="254"/>
      <c r="E76" s="261"/>
      <c r="F76" s="244"/>
      <c r="G76" s="384"/>
      <c r="H76" s="384"/>
      <c r="I76" s="384"/>
      <c r="J76" s="385"/>
      <c r="K76" s="384"/>
      <c r="L76" s="384"/>
      <c r="M76" s="384"/>
      <c r="N76" s="384"/>
      <c r="O76" s="385"/>
      <c r="P76" s="384"/>
      <c r="Q76" s="384"/>
      <c r="R76" s="384"/>
      <c r="S76" s="384"/>
      <c r="T76" s="385"/>
      <c r="U76" s="384"/>
      <c r="V76" s="384"/>
      <c r="W76" s="384"/>
      <c r="X76" s="384"/>
      <c r="Y76" s="385"/>
      <c r="Z76" s="384"/>
      <c r="AA76" s="384"/>
      <c r="AB76" s="384"/>
      <c r="AC76" s="384"/>
      <c r="AD76" s="385"/>
      <c r="AE76" s="384"/>
      <c r="AF76" s="384"/>
      <c r="AG76" s="384"/>
      <c r="AH76" s="384"/>
      <c r="AI76" s="385"/>
      <c r="AJ76" s="384"/>
      <c r="AK76" s="384"/>
      <c r="AL76" s="384"/>
      <c r="AM76" s="384"/>
      <c r="AN76" s="385"/>
      <c r="AO76" s="384"/>
      <c r="AP76" s="384"/>
      <c r="AQ76" s="384"/>
      <c r="AR76" s="384"/>
      <c r="AS76" s="385"/>
      <c r="AT76" s="384"/>
      <c r="AU76" s="384"/>
      <c r="AV76" s="384"/>
      <c r="AW76" s="384"/>
      <c r="AX76" s="385"/>
      <c r="AY76" s="384"/>
      <c r="AZ76" s="384"/>
      <c r="BA76" s="384"/>
      <c r="BB76" s="384"/>
      <c r="BC76" s="385"/>
      <c r="BD76" s="384"/>
      <c r="BE76" s="384"/>
      <c r="BF76" s="384"/>
      <c r="BG76" s="384"/>
      <c r="BH76" s="385"/>
      <c r="BI76" s="384"/>
      <c r="BJ76" s="384"/>
      <c r="BK76" s="384"/>
      <c r="BL76" s="384"/>
      <c r="BM76" s="385"/>
      <c r="BN76" s="384"/>
      <c r="BO76" s="384"/>
      <c r="BP76" s="384"/>
      <c r="BQ76" s="384"/>
      <c r="BR76" s="385"/>
      <c r="BS76" s="384"/>
      <c r="BT76" s="233"/>
      <c r="BU76" s="233"/>
      <c r="BV76" s="233"/>
      <c r="BW76" s="244"/>
      <c r="BX76" s="254"/>
      <c r="BY76" s="268"/>
      <c r="BZ76" s="268"/>
    </row>
    <row r="77" spans="1:78" x14ac:dyDescent="0.2">
      <c r="A77" s="244"/>
      <c r="B77" s="244"/>
      <c r="D77" s="254" t="s">
        <v>321</v>
      </c>
      <c r="E77" s="261"/>
      <c r="F77" s="244"/>
      <c r="G77" s="233">
        <f>SUM(G78:G78)</f>
        <v>3225244</v>
      </c>
      <c r="H77" s="233"/>
      <c r="I77" s="233"/>
      <c r="J77" s="227"/>
      <c r="K77" s="233"/>
      <c r="L77" s="233">
        <f>SUM(L78:L78)</f>
        <v>3109689</v>
      </c>
      <c r="M77" s="233"/>
      <c r="N77" s="233"/>
      <c r="O77" s="227"/>
      <c r="P77" s="233"/>
      <c r="Q77" s="233">
        <f>SUM(Q78:Q78)</f>
        <v>0</v>
      </c>
      <c r="R77" s="233"/>
      <c r="S77" s="233"/>
      <c r="T77" s="227"/>
      <c r="U77" s="233"/>
      <c r="V77" s="233">
        <f>SUM(V78:V78)</f>
        <v>0</v>
      </c>
      <c r="W77" s="233"/>
      <c r="X77" s="233"/>
      <c r="Y77" s="227"/>
      <c r="Z77" s="233"/>
      <c r="AA77" s="233">
        <f>SUM(AA78:AA78)</f>
        <v>0</v>
      </c>
      <c r="AB77" s="233"/>
      <c r="AC77" s="233"/>
      <c r="AD77" s="227"/>
      <c r="AE77" s="233"/>
      <c r="AF77" s="233">
        <f>SUM(AF78:AF78)</f>
        <v>0</v>
      </c>
      <c r="AG77" s="233"/>
      <c r="AH77" s="233"/>
      <c r="AI77" s="227"/>
      <c r="AJ77" s="233"/>
      <c r="AK77" s="233">
        <f>SUM(AK78:AK78)</f>
        <v>115555</v>
      </c>
      <c r="AL77" s="233"/>
      <c r="AM77" s="233"/>
      <c r="AN77" s="227"/>
      <c r="AO77" s="233"/>
      <c r="AP77" s="233">
        <f>SUM(AP78:AP78)</f>
        <v>0</v>
      </c>
      <c r="AQ77" s="233"/>
      <c r="AR77" s="233"/>
      <c r="AS77" s="227"/>
      <c r="AT77" s="233"/>
      <c r="AU77" s="233">
        <f>SUM(AU78:AU78)</f>
        <v>0</v>
      </c>
      <c r="AV77" s="233"/>
      <c r="AW77" s="233"/>
      <c r="AX77" s="227"/>
      <c r="AY77" s="233"/>
      <c r="AZ77" s="233">
        <f>SUM(AZ78:AZ78)</f>
        <v>0</v>
      </c>
      <c r="BA77" s="233"/>
      <c r="BB77" s="233"/>
      <c r="BC77" s="227"/>
      <c r="BD77" s="233"/>
      <c r="BE77" s="233">
        <f>SUM(BE78:BE78)</f>
        <v>0</v>
      </c>
      <c r="BF77" s="233"/>
      <c r="BG77" s="233"/>
      <c r="BH77" s="227"/>
      <c r="BI77" s="233"/>
      <c r="BJ77" s="233">
        <f>SUM(BJ78:BJ78)</f>
        <v>0</v>
      </c>
      <c r="BK77" s="233"/>
      <c r="BL77" s="233"/>
      <c r="BM77" s="227"/>
      <c r="BN77" s="233"/>
      <c r="BO77" s="233">
        <f>SUM(BO78:BO78)</f>
        <v>0</v>
      </c>
      <c r="BP77" s="233"/>
      <c r="BQ77" s="233"/>
      <c r="BR77" s="227"/>
      <c r="BS77" s="233"/>
      <c r="BT77" s="233">
        <f>SUM(BT78:BT78)</f>
        <v>3225244</v>
      </c>
      <c r="BU77" s="233"/>
      <c r="BV77" s="233"/>
      <c r="BW77" s="244"/>
      <c r="BX77" s="254"/>
      <c r="BY77" s="268"/>
      <c r="BZ77" s="268"/>
    </row>
    <row r="78" spans="1:78" x14ac:dyDescent="0.2">
      <c r="A78" s="244"/>
      <c r="B78" s="244"/>
      <c r="D78" s="254" t="s">
        <v>310</v>
      </c>
      <c r="E78" s="261"/>
      <c r="F78" s="348"/>
      <c r="G78" s="349">
        <v>3225244</v>
      </c>
      <c r="H78" s="350"/>
      <c r="I78" s="233"/>
      <c r="J78" s="227"/>
      <c r="K78" s="351"/>
      <c r="L78" s="349">
        <v>3109689</v>
      </c>
      <c r="M78" s="350"/>
      <c r="N78" s="233"/>
      <c r="O78" s="227"/>
      <c r="P78" s="351"/>
      <c r="Q78" s="349">
        <v>0</v>
      </c>
      <c r="R78" s="350"/>
      <c r="S78" s="233"/>
      <c r="T78" s="227"/>
      <c r="U78" s="351"/>
      <c r="V78" s="349">
        <v>0</v>
      </c>
      <c r="W78" s="350"/>
      <c r="X78" s="233"/>
      <c r="Y78" s="227"/>
      <c r="Z78" s="351"/>
      <c r="AA78" s="349">
        <v>0</v>
      </c>
      <c r="AB78" s="350"/>
      <c r="AC78" s="233"/>
      <c r="AD78" s="227"/>
      <c r="AE78" s="351"/>
      <c r="AF78" s="349">
        <v>0</v>
      </c>
      <c r="AG78" s="350"/>
      <c r="AH78" s="233"/>
      <c r="AI78" s="227"/>
      <c r="AJ78" s="351"/>
      <c r="AK78" s="349">
        <v>115555</v>
      </c>
      <c r="AL78" s="350"/>
      <c r="AM78" s="233"/>
      <c r="AN78" s="227"/>
      <c r="AO78" s="351"/>
      <c r="AP78" s="349">
        <v>0</v>
      </c>
      <c r="AQ78" s="350"/>
      <c r="AR78" s="233"/>
      <c r="AS78" s="227"/>
      <c r="AT78" s="351"/>
      <c r="AU78" s="349">
        <v>0</v>
      </c>
      <c r="AV78" s="350"/>
      <c r="AW78" s="233"/>
      <c r="AX78" s="227"/>
      <c r="AY78" s="351"/>
      <c r="AZ78" s="349">
        <v>0</v>
      </c>
      <c r="BA78" s="350"/>
      <c r="BB78" s="233"/>
      <c r="BC78" s="227"/>
      <c r="BD78" s="351"/>
      <c r="BE78" s="349">
        <v>0</v>
      </c>
      <c r="BF78" s="350"/>
      <c r="BG78" s="233"/>
      <c r="BH78" s="227"/>
      <c r="BI78" s="351"/>
      <c r="BJ78" s="349">
        <v>0</v>
      </c>
      <c r="BK78" s="350"/>
      <c r="BL78" s="233"/>
      <c r="BM78" s="227"/>
      <c r="BN78" s="351"/>
      <c r="BO78" s="349">
        <v>0</v>
      </c>
      <c r="BP78" s="350"/>
      <c r="BQ78" s="233"/>
      <c r="BR78" s="227"/>
      <c r="BS78" s="351"/>
      <c r="BT78" s="349">
        <f>SUM(L78:BO78)</f>
        <v>3225244</v>
      </c>
      <c r="BU78" s="350"/>
      <c r="BV78" s="233"/>
      <c r="BW78" s="244"/>
      <c r="BX78" s="254"/>
      <c r="BY78" s="268"/>
      <c r="BZ78" s="268"/>
    </row>
    <row r="79" spans="1:78" ht="12.75" customHeight="1" x14ac:dyDescent="0.2">
      <c r="A79" s="244"/>
      <c r="B79" s="244"/>
      <c r="D79" s="254"/>
      <c r="E79" s="261"/>
      <c r="F79" s="244"/>
      <c r="G79" s="233"/>
      <c r="H79" s="233"/>
      <c r="I79" s="233"/>
      <c r="J79" s="227"/>
      <c r="K79" s="233"/>
      <c r="L79" s="233"/>
      <c r="M79" s="233"/>
      <c r="N79" s="233"/>
      <c r="O79" s="227"/>
      <c r="P79" s="233"/>
      <c r="Q79" s="233"/>
      <c r="R79" s="233"/>
      <c r="S79" s="233"/>
      <c r="T79" s="227"/>
      <c r="U79" s="233"/>
      <c r="V79" s="233"/>
      <c r="W79" s="233"/>
      <c r="X79" s="233"/>
      <c r="Y79" s="227"/>
      <c r="Z79" s="233"/>
      <c r="AA79" s="233"/>
      <c r="AB79" s="233"/>
      <c r="AC79" s="233"/>
      <c r="AD79" s="227"/>
      <c r="AE79" s="233"/>
      <c r="AF79" s="233"/>
      <c r="AG79" s="233"/>
      <c r="AH79" s="233"/>
      <c r="AI79" s="227"/>
      <c r="AJ79" s="233"/>
      <c r="AK79" s="233"/>
      <c r="AL79" s="233"/>
      <c r="AM79" s="233"/>
      <c r="AN79" s="227"/>
      <c r="AO79" s="233"/>
      <c r="AP79" s="233"/>
      <c r="AQ79" s="233"/>
      <c r="AR79" s="233"/>
      <c r="AS79" s="227"/>
      <c r="AT79" s="233"/>
      <c r="AU79" s="233"/>
      <c r="AV79" s="233"/>
      <c r="AW79" s="233"/>
      <c r="AX79" s="227"/>
      <c r="AY79" s="233"/>
      <c r="AZ79" s="233"/>
      <c r="BA79" s="233"/>
      <c r="BB79" s="233"/>
      <c r="BC79" s="227"/>
      <c r="BD79" s="233"/>
      <c r="BE79" s="233"/>
      <c r="BF79" s="233"/>
      <c r="BG79" s="233"/>
      <c r="BH79" s="227"/>
      <c r="BI79" s="233"/>
      <c r="BJ79" s="233"/>
      <c r="BK79" s="233"/>
      <c r="BL79" s="233"/>
      <c r="BM79" s="227"/>
      <c r="BN79" s="233"/>
      <c r="BO79" s="233"/>
      <c r="BP79" s="233"/>
      <c r="BQ79" s="233"/>
      <c r="BR79" s="227"/>
      <c r="BS79" s="233"/>
      <c r="BT79" s="233"/>
      <c r="BU79" s="233"/>
      <c r="BV79" s="233"/>
      <c r="BW79" s="244"/>
      <c r="BX79" s="254"/>
      <c r="BY79" s="268"/>
      <c r="BZ79" s="268"/>
    </row>
    <row r="80" spans="1:78" ht="12.75" customHeight="1" x14ac:dyDescent="0.2">
      <c r="A80" s="244"/>
      <c r="B80" s="244"/>
      <c r="D80" s="254" t="s">
        <v>343</v>
      </c>
      <c r="E80" s="261"/>
      <c r="F80" s="244"/>
      <c r="G80" s="233">
        <f>SUM(G81:G81)</f>
        <v>0</v>
      </c>
      <c r="H80" s="233"/>
      <c r="I80" s="233"/>
      <c r="J80" s="227"/>
      <c r="K80" s="233"/>
      <c r="L80" s="244">
        <f>SUM(L81:L81)</f>
        <v>0</v>
      </c>
      <c r="M80" s="233">
        <f>SUM(M81:M81)</f>
        <v>0</v>
      </c>
      <c r="N80" s="233"/>
      <c r="O80" s="227"/>
      <c r="P80" s="244"/>
      <c r="Q80" s="244">
        <f>SUM(Q81:Q81)</f>
        <v>0</v>
      </c>
      <c r="R80" s="233"/>
      <c r="S80" s="233"/>
      <c r="T80" s="227"/>
      <c r="U80" s="244"/>
      <c r="V80" s="244">
        <f>SUM(V81:V81)</f>
        <v>0</v>
      </c>
      <c r="W80" s="233"/>
      <c r="X80" s="233"/>
      <c r="Y80" s="227"/>
      <c r="Z80" s="244"/>
      <c r="AA80" s="244">
        <f>SUM(AA81:AA81)</f>
        <v>0</v>
      </c>
      <c r="AB80" s="233"/>
      <c r="AC80" s="233"/>
      <c r="AD80" s="227"/>
      <c r="AE80" s="244"/>
      <c r="AF80" s="244">
        <f>SUM(AF81:AF81)</f>
        <v>0</v>
      </c>
      <c r="AG80" s="233"/>
      <c r="AH80" s="233"/>
      <c r="AI80" s="227"/>
      <c r="AJ80" s="244"/>
      <c r="AK80" s="244">
        <f>SUM(AK81:AK81)</f>
        <v>0</v>
      </c>
      <c r="AL80" s="233"/>
      <c r="AM80" s="233"/>
      <c r="AN80" s="227"/>
      <c r="AO80" s="244"/>
      <c r="AP80" s="244">
        <f>SUM(AP81:AP81)</f>
        <v>0</v>
      </c>
      <c r="AQ80" s="233"/>
      <c r="AR80" s="233"/>
      <c r="AS80" s="227"/>
      <c r="AT80" s="244"/>
      <c r="AU80" s="244">
        <f>SUM(AU81:AU81)</f>
        <v>0</v>
      </c>
      <c r="AV80" s="233"/>
      <c r="AW80" s="233"/>
      <c r="AX80" s="227"/>
      <c r="AY80" s="244"/>
      <c r="AZ80" s="244">
        <f>SUM(AZ81:AZ81)</f>
        <v>0</v>
      </c>
      <c r="BA80" s="233"/>
      <c r="BB80" s="233"/>
      <c r="BC80" s="227"/>
      <c r="BD80" s="244"/>
      <c r="BE80" s="244">
        <f>SUM(BE81:BE81)</f>
        <v>0</v>
      </c>
      <c r="BF80" s="233"/>
      <c r="BG80" s="233"/>
      <c r="BH80" s="227"/>
      <c r="BI80" s="244"/>
      <c r="BJ80" s="244">
        <f>SUM(BJ81:BJ81)</f>
        <v>0</v>
      </c>
      <c r="BK80" s="233"/>
      <c r="BL80" s="233"/>
      <c r="BM80" s="227"/>
      <c r="BN80" s="244"/>
      <c r="BO80" s="244">
        <f>SUM(BO81:BO81)</f>
        <v>54098</v>
      </c>
      <c r="BP80" s="233"/>
      <c r="BQ80" s="233"/>
      <c r="BR80" s="227"/>
      <c r="BS80" s="244"/>
      <c r="BT80" s="233">
        <f>SUM(BT81:BT81)</f>
        <v>54098</v>
      </c>
      <c r="BU80" s="233"/>
      <c r="BV80" s="233"/>
      <c r="BW80" s="244"/>
      <c r="BX80" s="254"/>
      <c r="BY80" s="268"/>
      <c r="BZ80" s="268"/>
    </row>
    <row r="81" spans="1:78" ht="12.75" customHeight="1" x14ac:dyDescent="0.2">
      <c r="A81" s="244"/>
      <c r="B81" s="244"/>
      <c r="D81" s="254" t="s">
        <v>310</v>
      </c>
      <c r="E81" s="261"/>
      <c r="F81" s="348"/>
      <c r="G81" s="349">
        <v>0</v>
      </c>
      <c r="H81" s="350"/>
      <c r="I81" s="233"/>
      <c r="J81" s="227"/>
      <c r="K81" s="351"/>
      <c r="L81" s="349">
        <v>0</v>
      </c>
      <c r="M81" s="350"/>
      <c r="N81" s="354"/>
      <c r="O81" s="227"/>
      <c r="P81" s="348"/>
      <c r="Q81" s="349">
        <v>0</v>
      </c>
      <c r="R81" s="350"/>
      <c r="S81" s="233"/>
      <c r="T81" s="227"/>
      <c r="U81" s="348"/>
      <c r="V81" s="349">
        <v>0</v>
      </c>
      <c r="W81" s="350"/>
      <c r="X81" s="233"/>
      <c r="Y81" s="227"/>
      <c r="Z81" s="348"/>
      <c r="AA81" s="349">
        <v>0</v>
      </c>
      <c r="AB81" s="350"/>
      <c r="AC81" s="233"/>
      <c r="AD81" s="227"/>
      <c r="AE81" s="348"/>
      <c r="AF81" s="349">
        <v>0</v>
      </c>
      <c r="AG81" s="350"/>
      <c r="AH81" s="233"/>
      <c r="AI81" s="227"/>
      <c r="AJ81" s="348"/>
      <c r="AK81" s="349">
        <v>0</v>
      </c>
      <c r="AL81" s="350"/>
      <c r="AM81" s="233"/>
      <c r="AN81" s="227"/>
      <c r="AO81" s="348"/>
      <c r="AP81" s="349">
        <v>0</v>
      </c>
      <c r="AQ81" s="350"/>
      <c r="AR81" s="233"/>
      <c r="AS81" s="227"/>
      <c r="AT81" s="348"/>
      <c r="AU81" s="349">
        <v>0</v>
      </c>
      <c r="AV81" s="350"/>
      <c r="AW81" s="233"/>
      <c r="AX81" s="227"/>
      <c r="AY81" s="348"/>
      <c r="AZ81" s="349">
        <v>0</v>
      </c>
      <c r="BA81" s="350"/>
      <c r="BB81" s="233"/>
      <c r="BC81" s="227"/>
      <c r="BD81" s="348"/>
      <c r="BE81" s="349">
        <v>0</v>
      </c>
      <c r="BF81" s="350"/>
      <c r="BG81" s="233"/>
      <c r="BH81" s="227"/>
      <c r="BI81" s="348"/>
      <c r="BJ81" s="349">
        <v>0</v>
      </c>
      <c r="BK81" s="350"/>
      <c r="BL81" s="233"/>
      <c r="BM81" s="227"/>
      <c r="BN81" s="348"/>
      <c r="BO81" s="349">
        <v>54098</v>
      </c>
      <c r="BP81" s="350"/>
      <c r="BQ81" s="233"/>
      <c r="BR81" s="227"/>
      <c r="BS81" s="348"/>
      <c r="BT81" s="349">
        <f>SUM(L81:BO81)</f>
        <v>54098</v>
      </c>
      <c r="BU81" s="350"/>
      <c r="BV81" s="233"/>
      <c r="BW81" s="244"/>
      <c r="BX81" s="254"/>
      <c r="BY81" s="268"/>
      <c r="BZ81" s="268"/>
    </row>
    <row r="82" spans="1:78" ht="12.75" customHeight="1" x14ac:dyDescent="0.2">
      <c r="A82" s="244"/>
      <c r="B82" s="244"/>
      <c r="D82" s="254"/>
      <c r="E82" s="261"/>
      <c r="F82" s="244"/>
      <c r="G82" s="384"/>
      <c r="H82" s="384"/>
      <c r="I82" s="384"/>
      <c r="J82" s="385"/>
      <c r="K82" s="384"/>
      <c r="L82" s="384"/>
      <c r="M82" s="384"/>
      <c r="N82" s="384"/>
      <c r="O82" s="385"/>
      <c r="P82" s="384"/>
      <c r="Q82" s="384"/>
      <c r="R82" s="384"/>
      <c r="S82" s="384"/>
      <c r="T82" s="385"/>
      <c r="U82" s="384"/>
      <c r="V82" s="384"/>
      <c r="W82" s="384"/>
      <c r="X82" s="384"/>
      <c r="Y82" s="385"/>
      <c r="Z82" s="384"/>
      <c r="AA82" s="384"/>
      <c r="AB82" s="384"/>
      <c r="AC82" s="384"/>
      <c r="AD82" s="385"/>
      <c r="AE82" s="384"/>
      <c r="AF82" s="384"/>
      <c r="AG82" s="384"/>
      <c r="AH82" s="384"/>
      <c r="AI82" s="385"/>
      <c r="AJ82" s="384"/>
      <c r="AK82" s="384"/>
      <c r="AL82" s="384"/>
      <c r="AM82" s="384"/>
      <c r="AN82" s="385"/>
      <c r="AO82" s="384"/>
      <c r="AP82" s="384"/>
      <c r="AQ82" s="384"/>
      <c r="AR82" s="384"/>
      <c r="AS82" s="385"/>
      <c r="AT82" s="384"/>
      <c r="AU82" s="384"/>
      <c r="AV82" s="384"/>
      <c r="AW82" s="384"/>
      <c r="AX82" s="385"/>
      <c r="AY82" s="384"/>
      <c r="AZ82" s="384"/>
      <c r="BA82" s="384"/>
      <c r="BB82" s="384"/>
      <c r="BC82" s="385"/>
      <c r="BD82" s="384"/>
      <c r="BE82" s="384"/>
      <c r="BF82" s="384"/>
      <c r="BG82" s="384"/>
      <c r="BH82" s="385"/>
      <c r="BI82" s="384"/>
      <c r="BJ82" s="384"/>
      <c r="BK82" s="384"/>
      <c r="BL82" s="384"/>
      <c r="BM82" s="385"/>
      <c r="BN82" s="384"/>
      <c r="BO82" s="384"/>
      <c r="BP82" s="384"/>
      <c r="BQ82" s="384"/>
      <c r="BR82" s="385"/>
      <c r="BS82" s="384"/>
      <c r="BT82" s="233"/>
      <c r="BU82" s="233"/>
      <c r="BV82" s="233"/>
      <c r="BW82" s="244"/>
      <c r="BX82" s="254"/>
      <c r="BY82" s="268"/>
      <c r="BZ82" s="268"/>
    </row>
    <row r="83" spans="1:78" ht="12.75" customHeight="1" x14ac:dyDescent="0.2">
      <c r="A83" s="244"/>
      <c r="B83" s="244"/>
      <c r="D83" s="254" t="s">
        <v>319</v>
      </c>
      <c r="E83" s="261"/>
      <c r="F83" s="244"/>
      <c r="G83" s="233">
        <f>SUM(G84:G84)</f>
        <v>0</v>
      </c>
      <c r="H83" s="233"/>
      <c r="I83" s="233"/>
      <c r="J83" s="227"/>
      <c r="K83" s="233"/>
      <c r="L83" s="233">
        <f>SUM(L84:L84)</f>
        <v>0</v>
      </c>
      <c r="M83" s="233"/>
      <c r="N83" s="233"/>
      <c r="O83" s="227"/>
      <c r="P83" s="233"/>
      <c r="Q83" s="233">
        <f>SUM(Q84:Q84)</f>
        <v>0</v>
      </c>
      <c r="R83" s="233"/>
      <c r="S83" s="233"/>
      <c r="T83" s="227"/>
      <c r="U83" s="233"/>
      <c r="V83" s="233">
        <f>SUM(V84:V84)</f>
        <v>0</v>
      </c>
      <c r="W83" s="233"/>
      <c r="X83" s="233"/>
      <c r="Y83" s="227"/>
      <c r="Z83" s="233"/>
      <c r="AA83" s="233">
        <f>SUM(AA84:AA84)</f>
        <v>0</v>
      </c>
      <c r="AB83" s="233"/>
      <c r="AC83" s="233"/>
      <c r="AD83" s="227"/>
      <c r="AE83" s="233"/>
      <c r="AF83" s="233">
        <f>SUM(AF84:AF84)</f>
        <v>0</v>
      </c>
      <c r="AG83" s="233"/>
      <c r="AH83" s="233"/>
      <c r="AI83" s="227"/>
      <c r="AJ83" s="233"/>
      <c r="AK83" s="233">
        <f>SUM(AK84:AK84)</f>
        <v>0</v>
      </c>
      <c r="AL83" s="233"/>
      <c r="AM83" s="233"/>
      <c r="AN83" s="227"/>
      <c r="AO83" s="233"/>
      <c r="AP83" s="233">
        <f>SUM(AP84:AP84)</f>
        <v>0</v>
      </c>
      <c r="AQ83" s="233"/>
      <c r="AR83" s="233"/>
      <c r="AS83" s="227"/>
      <c r="AT83" s="233"/>
      <c r="AU83" s="233">
        <f>SUM(AU84:AU84)</f>
        <v>0</v>
      </c>
      <c r="AV83" s="233"/>
      <c r="AW83" s="233"/>
      <c r="AX83" s="227"/>
      <c r="AY83" s="233"/>
      <c r="AZ83" s="233">
        <f>SUM(AZ84:AZ84)</f>
        <v>0</v>
      </c>
      <c r="BA83" s="233"/>
      <c r="BB83" s="233"/>
      <c r="BC83" s="227"/>
      <c r="BD83" s="233"/>
      <c r="BE83" s="233">
        <f>SUM(BE84:BE84)</f>
        <v>0</v>
      </c>
      <c r="BF83" s="233"/>
      <c r="BG83" s="233"/>
      <c r="BH83" s="227"/>
      <c r="BI83" s="233"/>
      <c r="BJ83" s="233">
        <f>SUM(BJ84:BJ84)</f>
        <v>0</v>
      </c>
      <c r="BK83" s="233"/>
      <c r="BL83" s="233"/>
      <c r="BM83" s="227"/>
      <c r="BN83" s="233"/>
      <c r="BO83" s="233">
        <f>SUM(BO84:BO84)</f>
        <v>41033</v>
      </c>
      <c r="BP83" s="233"/>
      <c r="BQ83" s="233"/>
      <c r="BR83" s="227"/>
      <c r="BS83" s="233"/>
      <c r="BT83" s="233">
        <f>SUM(BT84:BT84)</f>
        <v>41033</v>
      </c>
      <c r="BU83" s="233"/>
      <c r="BV83" s="233"/>
      <c r="BW83" s="359"/>
      <c r="BX83" s="254"/>
      <c r="BY83" s="268"/>
      <c r="BZ83" s="268"/>
    </row>
    <row r="84" spans="1:78" ht="12.75" customHeight="1" x14ac:dyDescent="0.2">
      <c r="A84" s="244"/>
      <c r="B84" s="244"/>
      <c r="D84" s="254" t="s">
        <v>310</v>
      </c>
      <c r="E84" s="261"/>
      <c r="F84" s="348"/>
      <c r="G84" s="349">
        <v>0</v>
      </c>
      <c r="H84" s="350"/>
      <c r="I84" s="233"/>
      <c r="J84" s="227"/>
      <c r="K84" s="351"/>
      <c r="L84" s="349">
        <v>0</v>
      </c>
      <c r="M84" s="350"/>
      <c r="N84" s="233"/>
      <c r="O84" s="227"/>
      <c r="P84" s="351"/>
      <c r="Q84" s="349">
        <v>0</v>
      </c>
      <c r="R84" s="350"/>
      <c r="S84" s="233"/>
      <c r="T84" s="227"/>
      <c r="U84" s="351"/>
      <c r="V84" s="349">
        <v>0</v>
      </c>
      <c r="W84" s="350"/>
      <c r="X84" s="233"/>
      <c r="Y84" s="227"/>
      <c r="Z84" s="351"/>
      <c r="AA84" s="349">
        <v>0</v>
      </c>
      <c r="AB84" s="350"/>
      <c r="AC84" s="233"/>
      <c r="AD84" s="227"/>
      <c r="AE84" s="351"/>
      <c r="AF84" s="349">
        <v>0</v>
      </c>
      <c r="AG84" s="350"/>
      <c r="AH84" s="233"/>
      <c r="AI84" s="227"/>
      <c r="AJ84" s="351"/>
      <c r="AK84" s="349">
        <v>0</v>
      </c>
      <c r="AL84" s="350"/>
      <c r="AM84" s="233"/>
      <c r="AN84" s="227"/>
      <c r="AO84" s="351"/>
      <c r="AP84" s="349">
        <v>0</v>
      </c>
      <c r="AQ84" s="350"/>
      <c r="AR84" s="233"/>
      <c r="AS84" s="227"/>
      <c r="AT84" s="351"/>
      <c r="AU84" s="349">
        <v>0</v>
      </c>
      <c r="AV84" s="350"/>
      <c r="AW84" s="233"/>
      <c r="AX84" s="227"/>
      <c r="AY84" s="351"/>
      <c r="AZ84" s="349">
        <v>0</v>
      </c>
      <c r="BA84" s="350"/>
      <c r="BB84" s="233"/>
      <c r="BC84" s="227"/>
      <c r="BD84" s="351"/>
      <c r="BE84" s="349">
        <v>0</v>
      </c>
      <c r="BF84" s="350"/>
      <c r="BG84" s="233"/>
      <c r="BH84" s="227"/>
      <c r="BI84" s="351"/>
      <c r="BJ84" s="349">
        <v>0</v>
      </c>
      <c r="BK84" s="350"/>
      <c r="BL84" s="233"/>
      <c r="BM84" s="227"/>
      <c r="BN84" s="351"/>
      <c r="BO84" s="349">
        <v>41033</v>
      </c>
      <c r="BP84" s="350"/>
      <c r="BQ84" s="233"/>
      <c r="BR84" s="227"/>
      <c r="BS84" s="351"/>
      <c r="BT84" s="349">
        <f>SUM(L84:BO84)</f>
        <v>41033</v>
      </c>
      <c r="BU84" s="350"/>
      <c r="BV84" s="233"/>
      <c r="BW84" s="244"/>
      <c r="BX84" s="254"/>
      <c r="BY84" s="268"/>
      <c r="BZ84" s="268"/>
    </row>
    <row r="85" spans="1:78" x14ac:dyDescent="0.2">
      <c r="A85" s="244"/>
      <c r="B85" s="244"/>
      <c r="D85" s="254"/>
      <c r="E85" s="261"/>
      <c r="F85" s="244"/>
      <c r="G85" s="233"/>
      <c r="H85" s="233"/>
      <c r="I85" s="233"/>
      <c r="J85" s="227"/>
      <c r="K85" s="233"/>
      <c r="L85" s="233"/>
      <c r="M85" s="233"/>
      <c r="N85" s="233"/>
      <c r="O85" s="227"/>
      <c r="P85" s="233"/>
      <c r="Q85" s="233"/>
      <c r="R85" s="233"/>
      <c r="S85" s="233"/>
      <c r="T85" s="227"/>
      <c r="U85" s="233"/>
      <c r="V85" s="233"/>
      <c r="W85" s="233"/>
      <c r="X85" s="233"/>
      <c r="Y85" s="227"/>
      <c r="Z85" s="233"/>
      <c r="AA85" s="233"/>
      <c r="AB85" s="233"/>
      <c r="AC85" s="233"/>
      <c r="AD85" s="227"/>
      <c r="AE85" s="233"/>
      <c r="AF85" s="233"/>
      <c r="AG85" s="233"/>
      <c r="AH85" s="233"/>
      <c r="AI85" s="227"/>
      <c r="AJ85" s="233"/>
      <c r="AK85" s="233"/>
      <c r="AL85" s="233"/>
      <c r="AM85" s="233"/>
      <c r="AN85" s="227"/>
      <c r="AO85" s="233"/>
      <c r="AP85" s="233"/>
      <c r="AQ85" s="233"/>
      <c r="AR85" s="233"/>
      <c r="AS85" s="227"/>
      <c r="AT85" s="233"/>
      <c r="AU85" s="233"/>
      <c r="AV85" s="233"/>
      <c r="AW85" s="233"/>
      <c r="AX85" s="227"/>
      <c r="AY85" s="233"/>
      <c r="AZ85" s="233"/>
      <c r="BA85" s="233"/>
      <c r="BB85" s="233"/>
      <c r="BC85" s="227"/>
      <c r="BD85" s="233"/>
      <c r="BE85" s="233"/>
      <c r="BF85" s="233"/>
      <c r="BG85" s="233"/>
      <c r="BH85" s="227"/>
      <c r="BI85" s="233"/>
      <c r="BJ85" s="233"/>
      <c r="BK85" s="233"/>
      <c r="BL85" s="233"/>
      <c r="BM85" s="227"/>
      <c r="BN85" s="233"/>
      <c r="BO85" s="233"/>
      <c r="BP85" s="233"/>
      <c r="BQ85" s="233"/>
      <c r="BR85" s="227"/>
      <c r="BS85" s="233"/>
      <c r="BT85" s="233"/>
      <c r="BU85" s="233"/>
      <c r="BV85" s="233"/>
      <c r="BW85" s="244"/>
      <c r="BX85" s="254"/>
      <c r="BY85" s="268"/>
      <c r="BZ85" s="268"/>
    </row>
    <row r="86" spans="1:78" x14ac:dyDescent="0.2">
      <c r="A86" s="244"/>
      <c r="B86" s="244"/>
      <c r="D86" s="254" t="s">
        <v>323</v>
      </c>
      <c r="E86" s="261"/>
      <c r="F86" s="244"/>
      <c r="G86" s="233">
        <f>SUM(G87:G87)</f>
        <v>119455</v>
      </c>
      <c r="H86" s="233"/>
      <c r="I86" s="233"/>
      <c r="J86" s="227"/>
      <c r="K86" s="244"/>
      <c r="L86" s="233">
        <f>SUM(L87:L87)</f>
        <v>0</v>
      </c>
      <c r="M86" s="233"/>
      <c r="N86" s="233"/>
      <c r="O86" s="227"/>
      <c r="P86" s="233"/>
      <c r="Q86" s="233">
        <f>SUM(Q87:Q87)</f>
        <v>0</v>
      </c>
      <c r="R86" s="233"/>
      <c r="S86" s="233"/>
      <c r="T86" s="227"/>
      <c r="U86" s="233"/>
      <c r="V86" s="233">
        <f>SUM(V87:V87)</f>
        <v>0</v>
      </c>
      <c r="W86" s="233"/>
      <c r="X86" s="233"/>
      <c r="Y86" s="227"/>
      <c r="Z86" s="233"/>
      <c r="AA86" s="233">
        <f>SUM(AA87:AA87)</f>
        <v>0</v>
      </c>
      <c r="AB86" s="233"/>
      <c r="AC86" s="233"/>
      <c r="AD86" s="227"/>
      <c r="AE86" s="233"/>
      <c r="AF86" s="233">
        <f>SUM(AF87:AF87)</f>
        <v>0</v>
      </c>
      <c r="AG86" s="233"/>
      <c r="AH86" s="233"/>
      <c r="AI86" s="227"/>
      <c r="AJ86" s="233"/>
      <c r="AK86" s="233">
        <f>SUM(AK87:AK87)</f>
        <v>119455</v>
      </c>
      <c r="AL86" s="233"/>
      <c r="AM86" s="233"/>
      <c r="AN86" s="227"/>
      <c r="AO86" s="233"/>
      <c r="AP86" s="233">
        <f>SUM(AP87:AP87)</f>
        <v>0</v>
      </c>
      <c r="AQ86" s="233"/>
      <c r="AR86" s="233"/>
      <c r="AS86" s="227"/>
      <c r="AT86" s="233"/>
      <c r="AU86" s="233">
        <f>SUM(AU87:AU87)</f>
        <v>64127</v>
      </c>
      <c r="AV86" s="233"/>
      <c r="AW86" s="233"/>
      <c r="AX86" s="227"/>
      <c r="AY86" s="233"/>
      <c r="AZ86" s="233">
        <f>SUM(AZ87:AZ87)</f>
        <v>0</v>
      </c>
      <c r="BA86" s="233"/>
      <c r="BB86" s="233"/>
      <c r="BC86" s="227"/>
      <c r="BD86" s="233"/>
      <c r="BE86" s="233">
        <f>SUM(BE87:BE87)</f>
        <v>0</v>
      </c>
      <c r="BF86" s="233"/>
      <c r="BG86" s="233"/>
      <c r="BH86" s="227"/>
      <c r="BI86" s="233"/>
      <c r="BJ86" s="233">
        <f>SUM(BJ87:BJ87)</f>
        <v>0</v>
      </c>
      <c r="BK86" s="233"/>
      <c r="BL86" s="233"/>
      <c r="BM86" s="227"/>
      <c r="BN86" s="233"/>
      <c r="BO86" s="233">
        <f>SUM(BO87:BO87)</f>
        <v>0</v>
      </c>
      <c r="BP86" s="233"/>
      <c r="BQ86" s="233"/>
      <c r="BR86" s="227"/>
      <c r="BS86" s="244"/>
      <c r="BT86" s="233">
        <f>SUM(BT87:BT87)</f>
        <v>183582</v>
      </c>
      <c r="BU86" s="233"/>
      <c r="BV86" s="233"/>
      <c r="BW86" s="244"/>
      <c r="BX86" s="254"/>
      <c r="BY86" s="268"/>
      <c r="BZ86" s="268"/>
    </row>
    <row r="87" spans="1:78" x14ac:dyDescent="0.2">
      <c r="A87" s="244"/>
      <c r="B87" s="244"/>
      <c r="D87" s="254" t="s">
        <v>310</v>
      </c>
      <c r="E87" s="261"/>
      <c r="F87" s="348"/>
      <c r="G87" s="349">
        <v>119455</v>
      </c>
      <c r="H87" s="350"/>
      <c r="I87" s="233"/>
      <c r="J87" s="227"/>
      <c r="K87" s="348"/>
      <c r="L87" s="349">
        <v>0</v>
      </c>
      <c r="M87" s="350"/>
      <c r="N87" s="233"/>
      <c r="O87" s="227"/>
      <c r="P87" s="351"/>
      <c r="Q87" s="349">
        <v>0</v>
      </c>
      <c r="R87" s="350"/>
      <c r="S87" s="233"/>
      <c r="T87" s="227"/>
      <c r="U87" s="351"/>
      <c r="V87" s="349">
        <v>0</v>
      </c>
      <c r="W87" s="350"/>
      <c r="X87" s="233"/>
      <c r="Y87" s="227"/>
      <c r="Z87" s="351"/>
      <c r="AA87" s="349">
        <v>0</v>
      </c>
      <c r="AB87" s="350"/>
      <c r="AC87" s="233"/>
      <c r="AD87" s="227"/>
      <c r="AE87" s="351"/>
      <c r="AF87" s="349">
        <v>0</v>
      </c>
      <c r="AG87" s="350"/>
      <c r="AH87" s="233"/>
      <c r="AI87" s="227"/>
      <c r="AJ87" s="351"/>
      <c r="AK87" s="349">
        <v>119455</v>
      </c>
      <c r="AL87" s="350"/>
      <c r="AM87" s="233"/>
      <c r="AN87" s="227"/>
      <c r="AO87" s="351"/>
      <c r="AP87" s="349">
        <v>0</v>
      </c>
      <c r="AQ87" s="350"/>
      <c r="AR87" s="233"/>
      <c r="AS87" s="227"/>
      <c r="AT87" s="351"/>
      <c r="AU87" s="349">
        <v>64127</v>
      </c>
      <c r="AV87" s="350"/>
      <c r="AW87" s="233"/>
      <c r="AX87" s="227"/>
      <c r="AY87" s="351"/>
      <c r="AZ87" s="349">
        <v>0</v>
      </c>
      <c r="BA87" s="350"/>
      <c r="BB87" s="233"/>
      <c r="BC87" s="227"/>
      <c r="BD87" s="351"/>
      <c r="BE87" s="349">
        <v>0</v>
      </c>
      <c r="BF87" s="350"/>
      <c r="BG87" s="233"/>
      <c r="BH87" s="227"/>
      <c r="BI87" s="351"/>
      <c r="BJ87" s="349">
        <v>0</v>
      </c>
      <c r="BK87" s="350"/>
      <c r="BL87" s="233"/>
      <c r="BM87" s="227"/>
      <c r="BN87" s="351"/>
      <c r="BO87" s="349">
        <v>0</v>
      </c>
      <c r="BP87" s="350"/>
      <c r="BQ87" s="233"/>
      <c r="BR87" s="227"/>
      <c r="BS87" s="351"/>
      <c r="BT87" s="349">
        <f>SUM(L87:BO87)</f>
        <v>183582</v>
      </c>
      <c r="BU87" s="350"/>
      <c r="BV87" s="233"/>
      <c r="BW87" s="244"/>
      <c r="BX87" s="254"/>
      <c r="BY87" s="268"/>
      <c r="BZ87" s="268"/>
    </row>
    <row r="88" spans="1:78" hidden="1" x14ac:dyDescent="0.2">
      <c r="A88" s="244"/>
      <c r="B88" s="244"/>
      <c r="D88" s="254"/>
      <c r="E88" s="261"/>
      <c r="F88" s="244"/>
      <c r="G88" s="233"/>
      <c r="H88" s="233"/>
      <c r="I88" s="233"/>
      <c r="J88" s="227"/>
      <c r="K88" s="233"/>
      <c r="L88" s="233"/>
      <c r="M88" s="233"/>
      <c r="N88" s="233"/>
      <c r="O88" s="227"/>
      <c r="P88" s="233"/>
      <c r="Q88" s="233"/>
      <c r="R88" s="233"/>
      <c r="S88" s="233"/>
      <c r="T88" s="227"/>
      <c r="U88" s="233"/>
      <c r="V88" s="233"/>
      <c r="W88" s="233"/>
      <c r="X88" s="233"/>
      <c r="Y88" s="227"/>
      <c r="Z88" s="233"/>
      <c r="AA88" s="233"/>
      <c r="AB88" s="233"/>
      <c r="AC88" s="233"/>
      <c r="AD88" s="227"/>
      <c r="AE88" s="233"/>
      <c r="AF88" s="233"/>
      <c r="AG88" s="233"/>
      <c r="AH88" s="233"/>
      <c r="AI88" s="227"/>
      <c r="AJ88" s="233"/>
      <c r="AK88" s="233"/>
      <c r="AL88" s="233"/>
      <c r="AM88" s="233"/>
      <c r="AN88" s="227"/>
      <c r="AO88" s="233"/>
      <c r="AP88" s="233"/>
      <c r="AQ88" s="233"/>
      <c r="AR88" s="233"/>
      <c r="AS88" s="227"/>
      <c r="AT88" s="233"/>
      <c r="AU88" s="233"/>
      <c r="AV88" s="233"/>
      <c r="AW88" s="233"/>
      <c r="AX88" s="227"/>
      <c r="AY88" s="233"/>
      <c r="AZ88" s="233"/>
      <c r="BA88" s="233"/>
      <c r="BB88" s="233"/>
      <c r="BC88" s="227"/>
      <c r="BD88" s="233"/>
      <c r="BE88" s="233"/>
      <c r="BF88" s="233"/>
      <c r="BG88" s="233"/>
      <c r="BH88" s="227"/>
      <c r="BI88" s="233"/>
      <c r="BJ88" s="233"/>
      <c r="BK88" s="233"/>
      <c r="BL88" s="233"/>
      <c r="BM88" s="227"/>
      <c r="BN88" s="233"/>
      <c r="BO88" s="233"/>
      <c r="BP88" s="233"/>
      <c r="BQ88" s="233"/>
      <c r="BR88" s="227"/>
      <c r="BS88" s="233"/>
      <c r="BT88" s="233"/>
      <c r="BU88" s="233"/>
      <c r="BV88" s="233"/>
      <c r="BW88" s="244"/>
      <c r="BX88" s="254"/>
      <c r="BY88" s="268"/>
      <c r="BZ88" s="268"/>
    </row>
    <row r="89" spans="1:78" hidden="1" x14ac:dyDescent="0.2">
      <c r="A89" s="244"/>
      <c r="B89" s="244"/>
      <c r="D89" s="254" t="str">
        <f>[65]domlongtermissues!D312:D312</f>
        <v xml:space="preserve">  R2037  (8.50%  2037/01/31)</v>
      </c>
      <c r="E89" s="261"/>
      <c r="F89" s="244"/>
      <c r="G89" s="233">
        <f>SUM(G90:G90)</f>
        <v>0</v>
      </c>
      <c r="H89" s="233"/>
      <c r="I89" s="233"/>
      <c r="J89" s="227"/>
      <c r="K89" s="233"/>
      <c r="L89" s="233">
        <f>SUM(L90:L90)</f>
        <v>0</v>
      </c>
      <c r="M89" s="233"/>
      <c r="N89" s="233"/>
      <c r="O89" s="227"/>
      <c r="P89" s="233"/>
      <c r="Q89" s="233">
        <f>SUM(Q90:Q90)</f>
        <v>0</v>
      </c>
      <c r="R89" s="233"/>
      <c r="S89" s="233"/>
      <c r="T89" s="227"/>
      <c r="U89" s="233"/>
      <c r="V89" s="233">
        <f>SUM(V90:V90)</f>
        <v>0</v>
      </c>
      <c r="W89" s="233"/>
      <c r="X89" s="233"/>
      <c r="Y89" s="227"/>
      <c r="Z89" s="233"/>
      <c r="AA89" s="233">
        <f>SUM(AA90:AA90)</f>
        <v>0</v>
      </c>
      <c r="AB89" s="233"/>
      <c r="AC89" s="233"/>
      <c r="AD89" s="227"/>
      <c r="AE89" s="233"/>
      <c r="AF89" s="233">
        <f>SUM(AF90:AF90)</f>
        <v>0</v>
      </c>
      <c r="AG89" s="233"/>
      <c r="AH89" s="233"/>
      <c r="AI89" s="227"/>
      <c r="AJ89" s="233"/>
      <c r="AK89" s="233">
        <f>SUM(AK90:AK90)</f>
        <v>0</v>
      </c>
      <c r="AL89" s="233"/>
      <c r="AM89" s="233"/>
      <c r="AN89" s="227"/>
      <c r="AO89" s="233"/>
      <c r="AP89" s="233">
        <f>SUM(AP90:AP90)</f>
        <v>0</v>
      </c>
      <c r="AQ89" s="233"/>
      <c r="AR89" s="233"/>
      <c r="AS89" s="227"/>
      <c r="AT89" s="233"/>
      <c r="AU89" s="233">
        <f>SUM(AU90:AU90)</f>
        <v>0</v>
      </c>
      <c r="AV89" s="233"/>
      <c r="AW89" s="233"/>
      <c r="AX89" s="227"/>
      <c r="AY89" s="233"/>
      <c r="AZ89" s="233">
        <f>SUM(AZ90:AZ90)</f>
        <v>0</v>
      </c>
      <c r="BA89" s="233"/>
      <c r="BB89" s="233"/>
      <c r="BC89" s="227"/>
      <c r="BD89" s="233"/>
      <c r="BE89" s="233">
        <f>SUM(BE90:BE90)</f>
        <v>0</v>
      </c>
      <c r="BF89" s="233"/>
      <c r="BG89" s="233"/>
      <c r="BH89" s="227"/>
      <c r="BI89" s="233"/>
      <c r="BJ89" s="233">
        <f>SUM(BJ90:BJ90)</f>
        <v>0</v>
      </c>
      <c r="BK89" s="233"/>
      <c r="BL89" s="233"/>
      <c r="BM89" s="227"/>
      <c r="BN89" s="233"/>
      <c r="BO89" s="233">
        <f>SUM(BO90:BO90)</f>
        <v>0</v>
      </c>
      <c r="BP89" s="233"/>
      <c r="BQ89" s="233"/>
      <c r="BR89" s="227"/>
      <c r="BS89" s="233"/>
      <c r="BT89" s="233">
        <f>SUM(BT90:BT90)</f>
        <v>0</v>
      </c>
      <c r="BU89" s="233"/>
      <c r="BV89" s="233"/>
      <c r="BW89" s="244"/>
      <c r="BX89" s="254"/>
      <c r="BY89" s="268"/>
      <c r="BZ89" s="268"/>
    </row>
    <row r="90" spans="1:78" hidden="1" x14ac:dyDescent="0.2">
      <c r="A90" s="244"/>
      <c r="B90" s="244"/>
      <c r="D90" s="254" t="s">
        <v>310</v>
      </c>
      <c r="E90" s="261"/>
      <c r="F90" s="348"/>
      <c r="G90" s="349">
        <v>0</v>
      </c>
      <c r="H90" s="350"/>
      <c r="I90" s="233"/>
      <c r="J90" s="227"/>
      <c r="K90" s="351"/>
      <c r="L90" s="349">
        <v>0</v>
      </c>
      <c r="M90" s="350"/>
      <c r="N90" s="233"/>
      <c r="O90" s="227"/>
      <c r="P90" s="351"/>
      <c r="Q90" s="349">
        <v>0</v>
      </c>
      <c r="R90" s="350"/>
      <c r="S90" s="233"/>
      <c r="T90" s="227"/>
      <c r="U90" s="351"/>
      <c r="V90" s="349">
        <v>0</v>
      </c>
      <c r="W90" s="350"/>
      <c r="X90" s="233"/>
      <c r="Y90" s="227"/>
      <c r="Z90" s="351"/>
      <c r="AA90" s="349">
        <v>0</v>
      </c>
      <c r="AB90" s="350"/>
      <c r="AC90" s="233"/>
      <c r="AD90" s="227"/>
      <c r="AE90" s="351"/>
      <c r="AF90" s="349">
        <v>0</v>
      </c>
      <c r="AG90" s="350"/>
      <c r="AH90" s="233"/>
      <c r="AI90" s="227"/>
      <c r="AJ90" s="351"/>
      <c r="AK90" s="349">
        <v>0</v>
      </c>
      <c r="AL90" s="350"/>
      <c r="AM90" s="233"/>
      <c r="AN90" s="227"/>
      <c r="AO90" s="351"/>
      <c r="AP90" s="349">
        <v>0</v>
      </c>
      <c r="AQ90" s="350"/>
      <c r="AR90" s="233"/>
      <c r="AS90" s="227"/>
      <c r="AT90" s="351"/>
      <c r="AU90" s="349">
        <v>0</v>
      </c>
      <c r="AV90" s="350"/>
      <c r="AW90" s="233"/>
      <c r="AX90" s="227"/>
      <c r="AY90" s="351"/>
      <c r="AZ90" s="349">
        <v>0</v>
      </c>
      <c r="BA90" s="350"/>
      <c r="BB90" s="233"/>
      <c r="BC90" s="227"/>
      <c r="BD90" s="351"/>
      <c r="BE90" s="349">
        <v>0</v>
      </c>
      <c r="BF90" s="350"/>
      <c r="BG90" s="233"/>
      <c r="BH90" s="227"/>
      <c r="BI90" s="351"/>
      <c r="BJ90" s="349">
        <v>0</v>
      </c>
      <c r="BK90" s="350"/>
      <c r="BL90" s="233"/>
      <c r="BM90" s="227"/>
      <c r="BN90" s="351"/>
      <c r="BO90" s="349">
        <v>0</v>
      </c>
      <c r="BP90" s="350"/>
      <c r="BQ90" s="233"/>
      <c r="BR90" s="227"/>
      <c r="BS90" s="351"/>
      <c r="BT90" s="349">
        <f>SUM(L90:BO90)</f>
        <v>0</v>
      </c>
      <c r="BU90" s="350"/>
      <c r="BV90" s="233"/>
      <c r="BW90" s="244"/>
      <c r="BX90" s="254"/>
      <c r="BY90" s="268"/>
      <c r="BZ90" s="268"/>
    </row>
    <row r="91" spans="1:78" hidden="1" x14ac:dyDescent="0.2">
      <c r="A91" s="244"/>
      <c r="B91" s="244"/>
      <c r="D91" s="254"/>
      <c r="E91" s="261"/>
      <c r="F91" s="244"/>
      <c r="G91" s="233"/>
      <c r="H91" s="233"/>
      <c r="I91" s="233"/>
      <c r="J91" s="227"/>
      <c r="K91" s="233"/>
      <c r="L91" s="233"/>
      <c r="M91" s="233"/>
      <c r="N91" s="233"/>
      <c r="O91" s="227"/>
      <c r="P91" s="233"/>
      <c r="Q91" s="233"/>
      <c r="R91" s="233"/>
      <c r="S91" s="233"/>
      <c r="T91" s="227"/>
      <c r="U91" s="233"/>
      <c r="V91" s="233"/>
      <c r="W91" s="233"/>
      <c r="X91" s="233"/>
      <c r="Y91" s="227"/>
      <c r="Z91" s="233"/>
      <c r="AA91" s="233"/>
      <c r="AB91" s="233"/>
      <c r="AC91" s="233"/>
      <c r="AD91" s="227"/>
      <c r="AE91" s="233"/>
      <c r="AF91" s="233"/>
      <c r="AG91" s="233"/>
      <c r="AH91" s="233"/>
      <c r="AI91" s="227"/>
      <c r="AJ91" s="233"/>
      <c r="AK91" s="233"/>
      <c r="AL91" s="233"/>
      <c r="AM91" s="233"/>
      <c r="AN91" s="227"/>
      <c r="AO91" s="233"/>
      <c r="AP91" s="233"/>
      <c r="AQ91" s="233"/>
      <c r="AR91" s="233"/>
      <c r="AS91" s="227"/>
      <c r="AT91" s="233"/>
      <c r="AU91" s="233"/>
      <c r="AV91" s="233"/>
      <c r="AW91" s="233"/>
      <c r="AX91" s="227"/>
      <c r="AY91" s="233"/>
      <c r="AZ91" s="233"/>
      <c r="BA91" s="233"/>
      <c r="BB91" s="233"/>
      <c r="BC91" s="227"/>
      <c r="BD91" s="233"/>
      <c r="BE91" s="233"/>
      <c r="BF91" s="233"/>
      <c r="BG91" s="233"/>
      <c r="BH91" s="227"/>
      <c r="BI91" s="233"/>
      <c r="BJ91" s="233"/>
      <c r="BK91" s="233"/>
      <c r="BL91" s="233"/>
      <c r="BM91" s="227"/>
      <c r="BN91" s="233"/>
      <c r="BO91" s="233"/>
      <c r="BP91" s="233"/>
      <c r="BQ91" s="233"/>
      <c r="BR91" s="227"/>
      <c r="BS91" s="233"/>
      <c r="BT91" s="233"/>
      <c r="BU91" s="233"/>
      <c r="BV91" s="233"/>
      <c r="BW91" s="244"/>
      <c r="BX91" s="254"/>
      <c r="BY91" s="268"/>
      <c r="BZ91" s="268"/>
    </row>
    <row r="92" spans="1:78" hidden="1" x14ac:dyDescent="0.2">
      <c r="A92" s="244"/>
      <c r="B92" s="244"/>
      <c r="D92" s="254" t="str">
        <f>[65]domlongtermissues!D309</f>
        <v xml:space="preserve">  R210 (2.60%  2028/03/31)</v>
      </c>
      <c r="E92" s="261"/>
      <c r="F92" s="244"/>
      <c r="G92" s="233">
        <f>SUM(G93:G93)</f>
        <v>0</v>
      </c>
      <c r="H92" s="233"/>
      <c r="I92" s="233"/>
      <c r="J92" s="227"/>
      <c r="K92" s="233"/>
      <c r="L92" s="233">
        <f>SUM(L93:L93)</f>
        <v>0</v>
      </c>
      <c r="M92" s="233"/>
      <c r="N92" s="233"/>
      <c r="O92" s="227"/>
      <c r="P92" s="233"/>
      <c r="Q92" s="233">
        <f>SUM(Q93:Q93)</f>
        <v>0</v>
      </c>
      <c r="R92" s="233"/>
      <c r="S92" s="233"/>
      <c r="T92" s="227"/>
      <c r="U92" s="233"/>
      <c r="V92" s="233">
        <f>SUM(V93:V93)</f>
        <v>0</v>
      </c>
      <c r="W92" s="233"/>
      <c r="X92" s="233"/>
      <c r="Y92" s="227"/>
      <c r="Z92" s="233"/>
      <c r="AA92" s="233">
        <f>SUM(AA93:AA93)</f>
        <v>0</v>
      </c>
      <c r="AB92" s="233"/>
      <c r="AC92" s="233"/>
      <c r="AD92" s="227"/>
      <c r="AE92" s="233"/>
      <c r="AF92" s="233">
        <f>SUM(AF93:AF93)</f>
        <v>0</v>
      </c>
      <c r="AG92" s="233"/>
      <c r="AH92" s="233"/>
      <c r="AI92" s="227"/>
      <c r="AJ92" s="233"/>
      <c r="AK92" s="233">
        <f>SUM(AK93:AK93)</f>
        <v>0</v>
      </c>
      <c r="AL92" s="233"/>
      <c r="AM92" s="233"/>
      <c r="AN92" s="227"/>
      <c r="AO92" s="233"/>
      <c r="AP92" s="233">
        <f>SUM(AP93:AP93)</f>
        <v>0</v>
      </c>
      <c r="AQ92" s="233"/>
      <c r="AR92" s="233"/>
      <c r="AS92" s="227"/>
      <c r="AT92" s="233"/>
      <c r="AU92" s="233">
        <f>SUM(AU93:AU93)</f>
        <v>0</v>
      </c>
      <c r="AV92" s="233"/>
      <c r="AW92" s="233"/>
      <c r="AX92" s="227"/>
      <c r="AY92" s="233"/>
      <c r="AZ92" s="233">
        <f>SUM(AZ93:AZ93)</f>
        <v>0</v>
      </c>
      <c r="BA92" s="233"/>
      <c r="BB92" s="233"/>
      <c r="BC92" s="227"/>
      <c r="BD92" s="233"/>
      <c r="BE92" s="233">
        <f>SUM(BE93:BE93)</f>
        <v>0</v>
      </c>
      <c r="BF92" s="233"/>
      <c r="BG92" s="233"/>
      <c r="BH92" s="227"/>
      <c r="BI92" s="233"/>
      <c r="BJ92" s="233">
        <f>SUM(BJ93:BJ93)</f>
        <v>0</v>
      </c>
      <c r="BK92" s="233"/>
      <c r="BL92" s="233"/>
      <c r="BM92" s="227"/>
      <c r="BN92" s="233"/>
      <c r="BO92" s="233">
        <f>SUM(BO93:BO93)</f>
        <v>0</v>
      </c>
      <c r="BP92" s="233"/>
      <c r="BQ92" s="233"/>
      <c r="BR92" s="227"/>
      <c r="BS92" s="233"/>
      <c r="BT92" s="233">
        <f>SUM(BT93:BT93)</f>
        <v>0</v>
      </c>
      <c r="BU92" s="233"/>
      <c r="BV92" s="233"/>
      <c r="BW92" s="244"/>
      <c r="BX92" s="254"/>
      <c r="BY92" s="268"/>
      <c r="BZ92" s="268"/>
    </row>
    <row r="93" spans="1:78" hidden="1" x14ac:dyDescent="0.2">
      <c r="A93" s="244"/>
      <c r="B93" s="244"/>
      <c r="D93" s="254" t="s">
        <v>310</v>
      </c>
      <c r="E93" s="261"/>
      <c r="F93" s="348"/>
      <c r="G93" s="349">
        <v>0</v>
      </c>
      <c r="H93" s="350"/>
      <c r="I93" s="233"/>
      <c r="J93" s="227"/>
      <c r="K93" s="351"/>
      <c r="L93" s="349">
        <v>0</v>
      </c>
      <c r="M93" s="350"/>
      <c r="N93" s="233"/>
      <c r="O93" s="227"/>
      <c r="P93" s="351"/>
      <c r="Q93" s="349">
        <v>0</v>
      </c>
      <c r="R93" s="350"/>
      <c r="S93" s="233"/>
      <c r="T93" s="227"/>
      <c r="U93" s="351"/>
      <c r="V93" s="349">
        <v>0</v>
      </c>
      <c r="W93" s="350"/>
      <c r="X93" s="233"/>
      <c r="Y93" s="227"/>
      <c r="Z93" s="351"/>
      <c r="AA93" s="349">
        <v>0</v>
      </c>
      <c r="AB93" s="350"/>
      <c r="AC93" s="233"/>
      <c r="AD93" s="227"/>
      <c r="AE93" s="351"/>
      <c r="AF93" s="349">
        <v>0</v>
      </c>
      <c r="AG93" s="350"/>
      <c r="AH93" s="233"/>
      <c r="AI93" s="227"/>
      <c r="AJ93" s="351"/>
      <c r="AK93" s="349">
        <v>0</v>
      </c>
      <c r="AL93" s="350"/>
      <c r="AM93" s="233"/>
      <c r="AN93" s="227"/>
      <c r="AO93" s="351"/>
      <c r="AP93" s="349">
        <v>0</v>
      </c>
      <c r="AQ93" s="350"/>
      <c r="AR93" s="233"/>
      <c r="AS93" s="227"/>
      <c r="AT93" s="351"/>
      <c r="AU93" s="349">
        <v>0</v>
      </c>
      <c r="AV93" s="350"/>
      <c r="AW93" s="233"/>
      <c r="AX93" s="227"/>
      <c r="AY93" s="351"/>
      <c r="AZ93" s="349">
        <v>0</v>
      </c>
      <c r="BA93" s="350"/>
      <c r="BB93" s="233"/>
      <c r="BC93" s="227"/>
      <c r="BD93" s="351"/>
      <c r="BE93" s="349">
        <v>0</v>
      </c>
      <c r="BF93" s="350"/>
      <c r="BG93" s="233"/>
      <c r="BH93" s="227"/>
      <c r="BI93" s="351"/>
      <c r="BJ93" s="349">
        <v>0</v>
      </c>
      <c r="BK93" s="350"/>
      <c r="BL93" s="233"/>
      <c r="BM93" s="227"/>
      <c r="BN93" s="351"/>
      <c r="BO93" s="349">
        <v>0</v>
      </c>
      <c r="BP93" s="350"/>
      <c r="BQ93" s="233"/>
      <c r="BR93" s="227"/>
      <c r="BS93" s="351"/>
      <c r="BT93" s="349">
        <f>SUM(L93:BO93)</f>
        <v>0</v>
      </c>
      <c r="BU93" s="350"/>
      <c r="BV93" s="233"/>
      <c r="BW93" s="244"/>
      <c r="BX93" s="254"/>
      <c r="BY93" s="268"/>
      <c r="BZ93" s="268"/>
    </row>
    <row r="94" spans="1:78" hidden="1" x14ac:dyDescent="0.2">
      <c r="A94" s="244"/>
      <c r="B94" s="244"/>
      <c r="D94" s="254"/>
      <c r="E94" s="261"/>
      <c r="F94" s="244"/>
      <c r="G94" s="233"/>
      <c r="H94" s="233"/>
      <c r="I94" s="233"/>
      <c r="J94" s="227"/>
      <c r="K94" s="233"/>
      <c r="L94" s="233"/>
      <c r="M94" s="233"/>
      <c r="N94" s="233"/>
      <c r="O94" s="227"/>
      <c r="P94" s="233"/>
      <c r="Q94" s="233"/>
      <c r="R94" s="233"/>
      <c r="S94" s="233"/>
      <c r="T94" s="227"/>
      <c r="U94" s="233"/>
      <c r="V94" s="233"/>
      <c r="W94" s="233"/>
      <c r="X94" s="233"/>
      <c r="Y94" s="227"/>
      <c r="Z94" s="233"/>
      <c r="AA94" s="233"/>
      <c r="AB94" s="233"/>
      <c r="AC94" s="233"/>
      <c r="AD94" s="227"/>
      <c r="AE94" s="233"/>
      <c r="AF94" s="233"/>
      <c r="AG94" s="233"/>
      <c r="AH94" s="233"/>
      <c r="AI94" s="227"/>
      <c r="AJ94" s="233"/>
      <c r="AK94" s="233"/>
      <c r="AL94" s="233"/>
      <c r="AM94" s="233"/>
      <c r="AN94" s="227"/>
      <c r="AO94" s="233"/>
      <c r="AP94" s="233"/>
      <c r="AQ94" s="233"/>
      <c r="AR94" s="233"/>
      <c r="AS94" s="227"/>
      <c r="AT94" s="233"/>
      <c r="AU94" s="233"/>
      <c r="AV94" s="233"/>
      <c r="AW94" s="233"/>
      <c r="AX94" s="227"/>
      <c r="AY94" s="233"/>
      <c r="AZ94" s="233"/>
      <c r="BA94" s="233"/>
      <c r="BB94" s="233"/>
      <c r="BC94" s="227"/>
      <c r="BD94" s="233"/>
      <c r="BE94" s="233"/>
      <c r="BF94" s="233"/>
      <c r="BG94" s="233"/>
      <c r="BH94" s="227"/>
      <c r="BI94" s="233"/>
      <c r="BJ94" s="233"/>
      <c r="BK94" s="233"/>
      <c r="BL94" s="233"/>
      <c r="BM94" s="227"/>
      <c r="BN94" s="233"/>
      <c r="BO94" s="233"/>
      <c r="BP94" s="233"/>
      <c r="BQ94" s="233"/>
      <c r="BR94" s="227"/>
      <c r="BS94" s="233"/>
      <c r="BT94" s="233"/>
      <c r="BU94" s="233"/>
      <c r="BV94" s="233"/>
      <c r="BW94" s="244"/>
      <c r="BX94" s="254"/>
      <c r="BY94" s="268"/>
      <c r="BZ94" s="268"/>
    </row>
    <row r="95" spans="1:78" ht="12.75" hidden="1" customHeight="1" x14ac:dyDescent="0.2">
      <c r="A95" s="244"/>
      <c r="B95" s="244"/>
      <c r="D95" s="353" t="s">
        <v>375</v>
      </c>
      <c r="E95" s="261"/>
      <c r="F95" s="244"/>
      <c r="G95" s="233">
        <f>SUM(G96:G96)</f>
        <v>0</v>
      </c>
      <c r="H95" s="340"/>
      <c r="I95" s="340"/>
      <c r="J95" s="341"/>
      <c r="K95" s="340"/>
      <c r="L95" s="233">
        <f>SUM(L96:L96)</f>
        <v>0</v>
      </c>
      <c r="M95" s="233"/>
      <c r="N95" s="233"/>
      <c r="O95" s="227"/>
      <c r="P95" s="233"/>
      <c r="Q95" s="233">
        <f>SUM(Q96:Q96)</f>
        <v>0</v>
      </c>
      <c r="R95" s="233"/>
      <c r="S95" s="233"/>
      <c r="T95" s="227"/>
      <c r="U95" s="233"/>
      <c r="V95" s="233">
        <f>SUM(V96:V96)</f>
        <v>0</v>
      </c>
      <c r="W95" s="233"/>
      <c r="X95" s="233"/>
      <c r="Y95" s="227"/>
      <c r="Z95" s="233"/>
      <c r="AA95" s="233">
        <f>SUM(AA96:AA96)</f>
        <v>0</v>
      </c>
      <c r="AB95" s="233"/>
      <c r="AC95" s="233"/>
      <c r="AD95" s="227"/>
      <c r="AE95" s="233"/>
      <c r="AF95" s="233">
        <f>SUM(AF96:AF96)</f>
        <v>0</v>
      </c>
      <c r="AG95" s="233"/>
      <c r="AH95" s="233"/>
      <c r="AI95" s="227"/>
      <c r="AJ95" s="233"/>
      <c r="AK95" s="233">
        <f>SUM(AK96:AK96)</f>
        <v>0</v>
      </c>
      <c r="AL95" s="233"/>
      <c r="AM95" s="233"/>
      <c r="AN95" s="227"/>
      <c r="AO95" s="233"/>
      <c r="AP95" s="233">
        <f>SUM(AP96:AP96)</f>
        <v>0</v>
      </c>
      <c r="AQ95" s="233"/>
      <c r="AR95" s="233"/>
      <c r="AS95" s="227"/>
      <c r="AT95" s="233"/>
      <c r="AU95" s="233">
        <f>SUM(AU96:AU96)</f>
        <v>0</v>
      </c>
      <c r="AV95" s="233"/>
      <c r="AW95" s="233"/>
      <c r="AX95" s="227"/>
      <c r="AY95" s="233"/>
      <c r="AZ95" s="233">
        <f>SUM(AZ96:AZ96)</f>
        <v>0</v>
      </c>
      <c r="BA95" s="233"/>
      <c r="BB95" s="233"/>
      <c r="BC95" s="227"/>
      <c r="BD95" s="233"/>
      <c r="BE95" s="233">
        <f>SUM(BE96:BE96)</f>
        <v>0</v>
      </c>
      <c r="BF95" s="233"/>
      <c r="BG95" s="233"/>
      <c r="BH95" s="227"/>
      <c r="BI95" s="233"/>
      <c r="BJ95" s="233">
        <f>SUM(BJ96:BJ96)</f>
        <v>0</v>
      </c>
      <c r="BK95" s="233"/>
      <c r="BL95" s="233"/>
      <c r="BM95" s="227"/>
      <c r="BN95" s="233"/>
      <c r="BO95" s="233">
        <f>SUM(BO96:BO96)</f>
        <v>0</v>
      </c>
      <c r="BP95" s="233"/>
      <c r="BQ95" s="233"/>
      <c r="BR95" s="227"/>
      <c r="BS95" s="233"/>
      <c r="BT95" s="233">
        <f>SUM(BT96:BT96)</f>
        <v>0</v>
      </c>
      <c r="BU95" s="233"/>
      <c r="BV95" s="233"/>
      <c r="BW95" s="233"/>
      <c r="BX95" s="254"/>
      <c r="BY95" s="268"/>
      <c r="BZ95" s="268"/>
    </row>
    <row r="96" spans="1:78" ht="12.75" hidden="1" customHeight="1" x14ac:dyDescent="0.2">
      <c r="A96" s="244"/>
      <c r="B96" s="244"/>
      <c r="D96" s="254" t="s">
        <v>310</v>
      </c>
      <c r="E96" s="261"/>
      <c r="F96" s="348"/>
      <c r="G96" s="349">
        <v>0</v>
      </c>
      <c r="H96" s="350"/>
      <c r="I96" s="233"/>
      <c r="J96" s="227"/>
      <c r="K96" s="351"/>
      <c r="L96" s="349">
        <v>0</v>
      </c>
      <c r="M96" s="350"/>
      <c r="N96" s="233"/>
      <c r="O96" s="227"/>
      <c r="P96" s="351"/>
      <c r="Q96" s="349">
        <v>0</v>
      </c>
      <c r="R96" s="350"/>
      <c r="S96" s="233"/>
      <c r="T96" s="227"/>
      <c r="U96" s="351"/>
      <c r="V96" s="349">
        <v>0</v>
      </c>
      <c r="W96" s="350"/>
      <c r="X96" s="233"/>
      <c r="Y96" s="227"/>
      <c r="Z96" s="351"/>
      <c r="AA96" s="349">
        <v>0</v>
      </c>
      <c r="AB96" s="350"/>
      <c r="AC96" s="233"/>
      <c r="AD96" s="227"/>
      <c r="AE96" s="351"/>
      <c r="AF96" s="349">
        <v>0</v>
      </c>
      <c r="AG96" s="350"/>
      <c r="AH96" s="233"/>
      <c r="AI96" s="227"/>
      <c r="AJ96" s="351"/>
      <c r="AK96" s="349">
        <v>0</v>
      </c>
      <c r="AL96" s="350"/>
      <c r="AM96" s="233"/>
      <c r="AN96" s="227"/>
      <c r="AO96" s="351"/>
      <c r="AP96" s="349">
        <v>0</v>
      </c>
      <c r="AQ96" s="350"/>
      <c r="AR96" s="233"/>
      <c r="AS96" s="227"/>
      <c r="AT96" s="351"/>
      <c r="AU96" s="349">
        <v>0</v>
      </c>
      <c r="AV96" s="350"/>
      <c r="AW96" s="233"/>
      <c r="AX96" s="227"/>
      <c r="AY96" s="351"/>
      <c r="AZ96" s="349">
        <v>0</v>
      </c>
      <c r="BA96" s="350"/>
      <c r="BB96" s="233"/>
      <c r="BC96" s="227"/>
      <c r="BD96" s="351"/>
      <c r="BE96" s="349">
        <v>0</v>
      </c>
      <c r="BF96" s="350"/>
      <c r="BG96" s="233"/>
      <c r="BH96" s="227"/>
      <c r="BI96" s="351"/>
      <c r="BJ96" s="349">
        <v>0</v>
      </c>
      <c r="BK96" s="350"/>
      <c r="BL96" s="233"/>
      <c r="BM96" s="227"/>
      <c r="BN96" s="351"/>
      <c r="BO96" s="349">
        <v>0</v>
      </c>
      <c r="BP96" s="350"/>
      <c r="BQ96" s="233"/>
      <c r="BR96" s="227"/>
      <c r="BS96" s="351"/>
      <c r="BT96" s="349">
        <f>SUM(L96:BO96)</f>
        <v>0</v>
      </c>
      <c r="BU96" s="350"/>
      <c r="BV96" s="233"/>
      <c r="BW96" s="233"/>
      <c r="BX96" s="254"/>
      <c r="BY96" s="268"/>
      <c r="BZ96" s="268"/>
    </row>
    <row r="97" spans="1:78" ht="12.75" hidden="1" customHeight="1" x14ac:dyDescent="0.2">
      <c r="A97" s="244"/>
      <c r="B97" s="244"/>
      <c r="D97" s="254"/>
      <c r="E97" s="261"/>
      <c r="F97" s="244"/>
      <c r="G97" s="233"/>
      <c r="H97" s="233"/>
      <c r="I97" s="233"/>
      <c r="J97" s="227"/>
      <c r="K97" s="233"/>
      <c r="L97" s="233"/>
      <c r="M97" s="233"/>
      <c r="N97" s="233"/>
      <c r="O97" s="227"/>
      <c r="P97" s="233"/>
      <c r="Q97" s="233"/>
      <c r="R97" s="233"/>
      <c r="S97" s="233"/>
      <c r="T97" s="227"/>
      <c r="U97" s="233"/>
      <c r="V97" s="233"/>
      <c r="W97" s="233"/>
      <c r="X97" s="233"/>
      <c r="Y97" s="227"/>
      <c r="Z97" s="233"/>
      <c r="AA97" s="233"/>
      <c r="AB97" s="233"/>
      <c r="AC97" s="233"/>
      <c r="AD97" s="227"/>
      <c r="AE97" s="233"/>
      <c r="AF97" s="233"/>
      <c r="AG97" s="233"/>
      <c r="AH97" s="233"/>
      <c r="AI97" s="227"/>
      <c r="AJ97" s="233"/>
      <c r="AK97" s="233"/>
      <c r="AL97" s="233"/>
      <c r="AM97" s="233"/>
      <c r="AN97" s="227"/>
      <c r="AO97" s="233"/>
      <c r="AP97" s="233"/>
      <c r="AQ97" s="233"/>
      <c r="AR97" s="233"/>
      <c r="AS97" s="227"/>
      <c r="AT97" s="233"/>
      <c r="AU97" s="233"/>
      <c r="AV97" s="233"/>
      <c r="AW97" s="233"/>
      <c r="AX97" s="227"/>
      <c r="AY97" s="233"/>
      <c r="AZ97" s="233"/>
      <c r="BA97" s="233"/>
      <c r="BB97" s="233"/>
      <c r="BC97" s="227"/>
      <c r="BD97" s="233"/>
      <c r="BE97" s="233"/>
      <c r="BF97" s="233"/>
      <c r="BG97" s="233"/>
      <c r="BH97" s="227"/>
      <c r="BI97" s="233"/>
      <c r="BJ97" s="233"/>
      <c r="BK97" s="233"/>
      <c r="BL97" s="233"/>
      <c r="BM97" s="227"/>
      <c r="BN97" s="233"/>
      <c r="BO97" s="233"/>
      <c r="BP97" s="233"/>
      <c r="BQ97" s="233"/>
      <c r="BR97" s="227"/>
      <c r="BS97" s="233"/>
      <c r="BT97" s="233"/>
      <c r="BU97" s="233"/>
      <c r="BV97" s="233"/>
      <c r="BW97" s="233"/>
      <c r="BX97" s="254"/>
      <c r="BY97" s="268"/>
      <c r="BZ97" s="268"/>
    </row>
    <row r="98" spans="1:78" ht="12.75" hidden="1" customHeight="1" x14ac:dyDescent="0.2">
      <c r="A98" s="244"/>
      <c r="B98" s="244"/>
      <c r="D98" s="353" t="s">
        <v>374</v>
      </c>
      <c r="E98" s="261"/>
      <c r="F98" s="244"/>
      <c r="G98" s="233">
        <f>SUM(G99:G99)</f>
        <v>0</v>
      </c>
      <c r="H98" s="233"/>
      <c r="I98" s="233"/>
      <c r="J98" s="227"/>
      <c r="K98" s="233"/>
      <c r="L98" s="233">
        <f>SUM(L99:L99)</f>
        <v>0</v>
      </c>
      <c r="M98" s="233"/>
      <c r="N98" s="233"/>
      <c r="O98" s="227"/>
      <c r="P98" s="233"/>
      <c r="Q98" s="233">
        <f>SUM(Q99:Q99)</f>
        <v>0</v>
      </c>
      <c r="R98" s="233"/>
      <c r="S98" s="233"/>
      <c r="T98" s="227"/>
      <c r="U98" s="233"/>
      <c r="V98" s="233">
        <f>SUM(V99:V99)</f>
        <v>0</v>
      </c>
      <c r="W98" s="233"/>
      <c r="X98" s="233"/>
      <c r="Y98" s="227"/>
      <c r="Z98" s="233"/>
      <c r="AA98" s="233">
        <f>SUM(AA99:AA99)</f>
        <v>0</v>
      </c>
      <c r="AB98" s="233"/>
      <c r="AC98" s="233"/>
      <c r="AD98" s="227"/>
      <c r="AE98" s="233"/>
      <c r="AF98" s="233">
        <f>SUM(AF99:AF99)</f>
        <v>0</v>
      </c>
      <c r="AG98" s="233"/>
      <c r="AH98" s="233"/>
      <c r="AI98" s="227"/>
      <c r="AJ98" s="233"/>
      <c r="AK98" s="233">
        <f>SUM(AK99:AK99)</f>
        <v>0</v>
      </c>
      <c r="AL98" s="233"/>
      <c r="AM98" s="233"/>
      <c r="AN98" s="227"/>
      <c r="AO98" s="233"/>
      <c r="AP98" s="233">
        <f>SUM(AP99:AP99)</f>
        <v>0</v>
      </c>
      <c r="AQ98" s="233"/>
      <c r="AR98" s="233"/>
      <c r="AS98" s="227"/>
      <c r="AT98" s="233"/>
      <c r="AU98" s="233">
        <f>SUM(AU99:AU99)</f>
        <v>0</v>
      </c>
      <c r="AV98" s="233"/>
      <c r="AW98" s="233"/>
      <c r="AX98" s="227"/>
      <c r="AY98" s="233"/>
      <c r="AZ98" s="233">
        <f>SUM(AZ99:AZ99)</f>
        <v>0</v>
      </c>
      <c r="BA98" s="233"/>
      <c r="BB98" s="233"/>
      <c r="BC98" s="227"/>
      <c r="BD98" s="233"/>
      <c r="BE98" s="233">
        <f>SUM(BE99:BE99)</f>
        <v>0</v>
      </c>
      <c r="BF98" s="233"/>
      <c r="BG98" s="233"/>
      <c r="BH98" s="227"/>
      <c r="BI98" s="233"/>
      <c r="BJ98" s="233">
        <f>SUM(BJ99:BJ99)</f>
        <v>0</v>
      </c>
      <c r="BK98" s="233"/>
      <c r="BL98" s="233"/>
      <c r="BM98" s="227"/>
      <c r="BN98" s="233"/>
      <c r="BO98" s="233">
        <f>SUM(BO99:BO99)</f>
        <v>0</v>
      </c>
      <c r="BP98" s="233"/>
      <c r="BQ98" s="233"/>
      <c r="BR98" s="227"/>
      <c r="BS98" s="233"/>
      <c r="BT98" s="233">
        <f>SUM(BT99:BT99)</f>
        <v>0</v>
      </c>
      <c r="BU98" s="233"/>
      <c r="BV98" s="233"/>
      <c r="BW98" s="233"/>
      <c r="BX98" s="254"/>
      <c r="BY98" s="268"/>
      <c r="BZ98" s="268"/>
    </row>
    <row r="99" spans="1:78" ht="12.75" hidden="1" customHeight="1" x14ac:dyDescent="0.2">
      <c r="A99" s="244"/>
      <c r="B99" s="244"/>
      <c r="D99" s="254" t="s">
        <v>310</v>
      </c>
      <c r="E99" s="261"/>
      <c r="F99" s="348"/>
      <c r="G99" s="349">
        <v>0</v>
      </c>
      <c r="H99" s="350"/>
      <c r="I99" s="233"/>
      <c r="J99" s="227"/>
      <c r="K99" s="351"/>
      <c r="L99" s="349">
        <v>0</v>
      </c>
      <c r="M99" s="350"/>
      <c r="N99" s="233"/>
      <c r="O99" s="227"/>
      <c r="P99" s="351"/>
      <c r="Q99" s="349">
        <v>0</v>
      </c>
      <c r="R99" s="350"/>
      <c r="S99" s="233"/>
      <c r="T99" s="227"/>
      <c r="U99" s="351"/>
      <c r="V99" s="349">
        <v>0</v>
      </c>
      <c r="W99" s="350"/>
      <c r="X99" s="233"/>
      <c r="Y99" s="227"/>
      <c r="Z99" s="351"/>
      <c r="AA99" s="349">
        <v>0</v>
      </c>
      <c r="AB99" s="350"/>
      <c r="AC99" s="233"/>
      <c r="AD99" s="227"/>
      <c r="AE99" s="351"/>
      <c r="AF99" s="349">
        <v>0</v>
      </c>
      <c r="AG99" s="350"/>
      <c r="AH99" s="233"/>
      <c r="AI99" s="227"/>
      <c r="AJ99" s="351"/>
      <c r="AK99" s="349">
        <v>0</v>
      </c>
      <c r="AL99" s="350"/>
      <c r="AM99" s="233"/>
      <c r="AN99" s="227"/>
      <c r="AO99" s="351"/>
      <c r="AP99" s="349">
        <v>0</v>
      </c>
      <c r="AQ99" s="350"/>
      <c r="AR99" s="233"/>
      <c r="AS99" s="227"/>
      <c r="AT99" s="351"/>
      <c r="AU99" s="349">
        <v>0</v>
      </c>
      <c r="AV99" s="350"/>
      <c r="AW99" s="233"/>
      <c r="AX99" s="227"/>
      <c r="AY99" s="351"/>
      <c r="AZ99" s="349">
        <v>0</v>
      </c>
      <c r="BA99" s="350"/>
      <c r="BB99" s="233"/>
      <c r="BC99" s="227"/>
      <c r="BD99" s="351"/>
      <c r="BE99" s="349">
        <v>0</v>
      </c>
      <c r="BF99" s="350"/>
      <c r="BG99" s="233"/>
      <c r="BH99" s="227"/>
      <c r="BI99" s="351"/>
      <c r="BJ99" s="349">
        <v>0</v>
      </c>
      <c r="BK99" s="350"/>
      <c r="BL99" s="233"/>
      <c r="BM99" s="227"/>
      <c r="BN99" s="351"/>
      <c r="BO99" s="349">
        <v>0</v>
      </c>
      <c r="BP99" s="350"/>
      <c r="BQ99" s="233"/>
      <c r="BR99" s="227"/>
      <c r="BS99" s="351"/>
      <c r="BT99" s="349">
        <f>SUM(L99:BO99)</f>
        <v>0</v>
      </c>
      <c r="BU99" s="350"/>
      <c r="BV99" s="233"/>
      <c r="BW99" s="233"/>
      <c r="BX99" s="254"/>
      <c r="BY99" s="268"/>
      <c r="BZ99" s="268"/>
    </row>
    <row r="100" spans="1:78" ht="12.75" hidden="1" customHeight="1" x14ac:dyDescent="0.2">
      <c r="A100" s="244"/>
      <c r="B100" s="244"/>
      <c r="D100" s="254"/>
      <c r="E100" s="261"/>
      <c r="F100" s="244"/>
      <c r="G100" s="233"/>
      <c r="H100" s="233"/>
      <c r="I100" s="233"/>
      <c r="J100" s="227"/>
      <c r="K100" s="233"/>
      <c r="L100" s="233"/>
      <c r="M100" s="233"/>
      <c r="N100" s="233"/>
      <c r="O100" s="227"/>
      <c r="P100" s="233"/>
      <c r="Q100" s="233"/>
      <c r="R100" s="233"/>
      <c r="S100" s="233"/>
      <c r="T100" s="227"/>
      <c r="U100" s="233"/>
      <c r="V100" s="233"/>
      <c r="W100" s="233"/>
      <c r="X100" s="233"/>
      <c r="Y100" s="227"/>
      <c r="Z100" s="233"/>
      <c r="AA100" s="233"/>
      <c r="AB100" s="233"/>
      <c r="AC100" s="233"/>
      <c r="AD100" s="227"/>
      <c r="AE100" s="233"/>
      <c r="AF100" s="233"/>
      <c r="AG100" s="233"/>
      <c r="AH100" s="233"/>
      <c r="AI100" s="227"/>
      <c r="AJ100" s="233"/>
      <c r="AK100" s="233"/>
      <c r="AL100" s="233"/>
      <c r="AM100" s="233"/>
      <c r="AN100" s="227"/>
      <c r="AO100" s="233"/>
      <c r="AP100" s="233"/>
      <c r="AQ100" s="233"/>
      <c r="AR100" s="233"/>
      <c r="AS100" s="227"/>
      <c r="AT100" s="233"/>
      <c r="AU100" s="233"/>
      <c r="AV100" s="233"/>
      <c r="AW100" s="233"/>
      <c r="AX100" s="227"/>
      <c r="AY100" s="233"/>
      <c r="AZ100" s="233"/>
      <c r="BA100" s="233"/>
      <c r="BB100" s="233"/>
      <c r="BC100" s="227"/>
      <c r="BD100" s="233"/>
      <c r="BE100" s="233"/>
      <c r="BF100" s="233"/>
      <c r="BG100" s="233"/>
      <c r="BH100" s="227"/>
      <c r="BI100" s="233"/>
      <c r="BJ100" s="233"/>
      <c r="BK100" s="233"/>
      <c r="BL100" s="233"/>
      <c r="BM100" s="227"/>
      <c r="BN100" s="233"/>
      <c r="BO100" s="233"/>
      <c r="BP100" s="233"/>
      <c r="BQ100" s="233"/>
      <c r="BR100" s="227"/>
      <c r="BS100" s="233"/>
      <c r="BT100" s="233"/>
      <c r="BU100" s="233"/>
      <c r="BV100" s="233"/>
      <c r="BW100" s="233"/>
      <c r="BX100" s="254"/>
      <c r="BY100" s="268"/>
      <c r="BZ100" s="268"/>
    </row>
    <row r="101" spans="1:78" ht="12.75" hidden="1" customHeight="1" x14ac:dyDescent="0.2">
      <c r="A101" s="244"/>
      <c r="B101" s="244"/>
      <c r="D101" s="353" t="s">
        <v>330</v>
      </c>
      <c r="E101" s="261"/>
      <c r="F101" s="244"/>
      <c r="G101" s="233">
        <f>SUM(G102:G102)</f>
        <v>0</v>
      </c>
      <c r="H101" s="233"/>
      <c r="I101" s="233"/>
      <c r="J101" s="227"/>
      <c r="K101" s="233"/>
      <c r="L101" s="233">
        <f>SUM(L102:L102)</f>
        <v>0</v>
      </c>
      <c r="M101" s="233"/>
      <c r="N101" s="233"/>
      <c r="O101" s="227"/>
      <c r="P101" s="233"/>
      <c r="Q101" s="233">
        <f>SUM(Q102:Q102)</f>
        <v>0</v>
      </c>
      <c r="R101" s="233"/>
      <c r="S101" s="233"/>
      <c r="T101" s="227"/>
      <c r="U101" s="233"/>
      <c r="V101" s="233">
        <f>SUM(V102:V102)</f>
        <v>0</v>
      </c>
      <c r="W101" s="233"/>
      <c r="X101" s="233"/>
      <c r="Y101" s="227"/>
      <c r="Z101" s="233"/>
      <c r="AA101" s="233">
        <f>SUM(AA102:AA102)</f>
        <v>0</v>
      </c>
      <c r="AB101" s="233"/>
      <c r="AC101" s="233"/>
      <c r="AD101" s="227"/>
      <c r="AE101" s="233"/>
      <c r="AF101" s="233">
        <f>SUM(AF102:AF102)</f>
        <v>0</v>
      </c>
      <c r="AG101" s="233"/>
      <c r="AH101" s="233"/>
      <c r="AI101" s="227"/>
      <c r="AJ101" s="233"/>
      <c r="AK101" s="233">
        <f>SUM(AK102:AK102)</f>
        <v>0</v>
      </c>
      <c r="AL101" s="233"/>
      <c r="AM101" s="233"/>
      <c r="AN101" s="227"/>
      <c r="AO101" s="233"/>
      <c r="AP101" s="233">
        <f>SUM(AP102:AP102)</f>
        <v>0</v>
      </c>
      <c r="AQ101" s="233"/>
      <c r="AR101" s="233"/>
      <c r="AS101" s="227"/>
      <c r="AT101" s="233"/>
      <c r="AU101" s="233">
        <f>SUM(AU102:AU102)</f>
        <v>0</v>
      </c>
      <c r="AV101" s="233"/>
      <c r="AW101" s="233"/>
      <c r="AX101" s="227"/>
      <c r="AY101" s="233"/>
      <c r="AZ101" s="233">
        <f>SUM(AZ102:AZ102)</f>
        <v>0</v>
      </c>
      <c r="BA101" s="233"/>
      <c r="BB101" s="233"/>
      <c r="BC101" s="227"/>
      <c r="BD101" s="233"/>
      <c r="BE101" s="233">
        <f>SUM(BE102:BE102)</f>
        <v>0</v>
      </c>
      <c r="BF101" s="233"/>
      <c r="BG101" s="233"/>
      <c r="BH101" s="227"/>
      <c r="BI101" s="233"/>
      <c r="BJ101" s="233">
        <f>SUM(BJ102:BJ102)</f>
        <v>0</v>
      </c>
      <c r="BK101" s="233"/>
      <c r="BL101" s="233"/>
      <c r="BM101" s="227"/>
      <c r="BN101" s="233"/>
      <c r="BO101" s="233">
        <f>SUM(BO102:BO102)</f>
        <v>0</v>
      </c>
      <c r="BP101" s="233"/>
      <c r="BQ101" s="233"/>
      <c r="BR101" s="227"/>
      <c r="BS101" s="233"/>
      <c r="BT101" s="233">
        <f>SUM(BT102:BT102)</f>
        <v>0</v>
      </c>
      <c r="BU101" s="233"/>
      <c r="BV101" s="233"/>
      <c r="BW101" s="233"/>
      <c r="BX101" s="254"/>
      <c r="BY101" s="268"/>
      <c r="BZ101" s="268"/>
    </row>
    <row r="102" spans="1:78" ht="12.75" hidden="1" customHeight="1" x14ac:dyDescent="0.2">
      <c r="A102" s="244"/>
      <c r="B102" s="244"/>
      <c r="D102" s="254" t="s">
        <v>310</v>
      </c>
      <c r="E102" s="261"/>
      <c r="F102" s="348"/>
      <c r="G102" s="349">
        <v>0</v>
      </c>
      <c r="H102" s="350"/>
      <c r="I102" s="233"/>
      <c r="J102" s="227"/>
      <c r="K102" s="351"/>
      <c r="L102" s="349">
        <v>0</v>
      </c>
      <c r="M102" s="350"/>
      <c r="N102" s="233"/>
      <c r="O102" s="227"/>
      <c r="P102" s="351"/>
      <c r="Q102" s="349">
        <v>0</v>
      </c>
      <c r="R102" s="350"/>
      <c r="S102" s="233"/>
      <c r="T102" s="227"/>
      <c r="U102" s="351"/>
      <c r="V102" s="349">
        <v>0</v>
      </c>
      <c r="W102" s="350"/>
      <c r="X102" s="233"/>
      <c r="Y102" s="227"/>
      <c r="Z102" s="351"/>
      <c r="AA102" s="349">
        <v>0</v>
      </c>
      <c r="AB102" s="350"/>
      <c r="AC102" s="233"/>
      <c r="AD102" s="227"/>
      <c r="AE102" s="351"/>
      <c r="AF102" s="349">
        <v>0</v>
      </c>
      <c r="AG102" s="350"/>
      <c r="AH102" s="233"/>
      <c r="AI102" s="227"/>
      <c r="AJ102" s="351"/>
      <c r="AK102" s="349">
        <v>0</v>
      </c>
      <c r="AL102" s="350"/>
      <c r="AM102" s="233"/>
      <c r="AN102" s="227"/>
      <c r="AO102" s="351"/>
      <c r="AP102" s="349">
        <v>0</v>
      </c>
      <c r="AQ102" s="350"/>
      <c r="AR102" s="233"/>
      <c r="AS102" s="227"/>
      <c r="AT102" s="351"/>
      <c r="AU102" s="349">
        <v>0</v>
      </c>
      <c r="AV102" s="350"/>
      <c r="AW102" s="233"/>
      <c r="AX102" s="227"/>
      <c r="AY102" s="351"/>
      <c r="AZ102" s="349">
        <v>0</v>
      </c>
      <c r="BA102" s="350"/>
      <c r="BB102" s="233"/>
      <c r="BC102" s="227"/>
      <c r="BD102" s="351"/>
      <c r="BE102" s="349">
        <v>0</v>
      </c>
      <c r="BF102" s="350"/>
      <c r="BG102" s="233"/>
      <c r="BH102" s="227"/>
      <c r="BI102" s="351"/>
      <c r="BJ102" s="349">
        <v>0</v>
      </c>
      <c r="BK102" s="350"/>
      <c r="BL102" s="233"/>
      <c r="BM102" s="227"/>
      <c r="BN102" s="351"/>
      <c r="BO102" s="349">
        <v>0</v>
      </c>
      <c r="BP102" s="350"/>
      <c r="BQ102" s="233"/>
      <c r="BR102" s="227"/>
      <c r="BS102" s="351"/>
      <c r="BT102" s="349">
        <f>SUM(L102:BO102)</f>
        <v>0</v>
      </c>
      <c r="BU102" s="350"/>
      <c r="BV102" s="233"/>
      <c r="BW102" s="233"/>
      <c r="BX102" s="254"/>
      <c r="BY102" s="268"/>
      <c r="BZ102" s="268"/>
    </row>
    <row r="103" spans="1:78" ht="12.75" customHeight="1" x14ac:dyDescent="0.2">
      <c r="A103" s="244"/>
      <c r="B103" s="244"/>
      <c r="D103" s="254"/>
      <c r="E103" s="261"/>
      <c r="F103" s="244"/>
      <c r="G103" s="233"/>
      <c r="H103" s="233"/>
      <c r="I103" s="233"/>
      <c r="J103" s="227"/>
      <c r="K103" s="233"/>
      <c r="L103" s="233"/>
      <c r="M103" s="233"/>
      <c r="N103" s="233"/>
      <c r="O103" s="227"/>
      <c r="P103" s="233"/>
      <c r="Q103" s="233"/>
      <c r="R103" s="233"/>
      <c r="S103" s="233"/>
      <c r="T103" s="227"/>
      <c r="U103" s="233"/>
      <c r="V103" s="233"/>
      <c r="W103" s="233"/>
      <c r="X103" s="233"/>
      <c r="Y103" s="227"/>
      <c r="Z103" s="233"/>
      <c r="AA103" s="233"/>
      <c r="AB103" s="233"/>
      <c r="AC103" s="233"/>
      <c r="AD103" s="227"/>
      <c r="AE103" s="233"/>
      <c r="AF103" s="233"/>
      <c r="AG103" s="233"/>
      <c r="AH103" s="233"/>
      <c r="AI103" s="227"/>
      <c r="AJ103" s="233"/>
      <c r="AK103" s="233"/>
      <c r="AL103" s="233"/>
      <c r="AM103" s="233"/>
      <c r="AN103" s="227"/>
      <c r="AO103" s="233"/>
      <c r="AP103" s="233"/>
      <c r="AQ103" s="233"/>
      <c r="AR103" s="233"/>
      <c r="AS103" s="227"/>
      <c r="AT103" s="233"/>
      <c r="AU103" s="233"/>
      <c r="AV103" s="233"/>
      <c r="AW103" s="233"/>
      <c r="AX103" s="227"/>
      <c r="AY103" s="233"/>
      <c r="AZ103" s="233"/>
      <c r="BA103" s="233"/>
      <c r="BB103" s="233"/>
      <c r="BC103" s="227"/>
      <c r="BD103" s="233"/>
      <c r="BE103" s="233"/>
      <c r="BF103" s="233"/>
      <c r="BG103" s="233"/>
      <c r="BH103" s="227"/>
      <c r="BI103" s="233"/>
      <c r="BJ103" s="233"/>
      <c r="BK103" s="233"/>
      <c r="BL103" s="233"/>
      <c r="BM103" s="227"/>
      <c r="BN103" s="233"/>
      <c r="BO103" s="233"/>
      <c r="BP103" s="233"/>
      <c r="BQ103" s="233"/>
      <c r="BR103" s="227"/>
      <c r="BS103" s="233"/>
      <c r="BT103" s="233"/>
      <c r="BU103" s="233"/>
      <c r="BV103" s="233"/>
      <c r="BW103" s="233"/>
      <c r="BX103" s="254"/>
      <c r="BY103" s="268"/>
      <c r="BZ103" s="268"/>
    </row>
    <row r="104" spans="1:78" x14ac:dyDescent="0.2">
      <c r="A104" s="244"/>
      <c r="B104" s="244"/>
      <c r="D104" s="254" t="s">
        <v>331</v>
      </c>
      <c r="E104" s="261"/>
      <c r="F104" s="244"/>
      <c r="G104" s="233">
        <f>SUM(G105:G105)</f>
        <v>266052</v>
      </c>
      <c r="H104" s="233"/>
      <c r="I104" s="233"/>
      <c r="J104" s="227"/>
      <c r="K104" s="244"/>
      <c r="L104" s="233">
        <f>SUM(L105:L105)</f>
        <v>0</v>
      </c>
      <c r="M104" s="233"/>
      <c r="N104" s="233"/>
      <c r="O104" s="227"/>
      <c r="P104" s="233"/>
      <c r="Q104" s="233">
        <f>SUM(Q105:Q105)</f>
        <v>0</v>
      </c>
      <c r="R104" s="233"/>
      <c r="S104" s="233"/>
      <c r="T104" s="227"/>
      <c r="U104" s="233"/>
      <c r="V104" s="233">
        <f>SUM(V105:V105)</f>
        <v>0</v>
      </c>
      <c r="W104" s="233"/>
      <c r="X104" s="233"/>
      <c r="Y104" s="227"/>
      <c r="Z104" s="233"/>
      <c r="AA104" s="233">
        <f>SUM(AA105:AA105)</f>
        <v>0</v>
      </c>
      <c r="AB104" s="233"/>
      <c r="AC104" s="233"/>
      <c r="AD104" s="227"/>
      <c r="AE104" s="233"/>
      <c r="AF104" s="233">
        <f>SUM(AF105:AF105)</f>
        <v>266052</v>
      </c>
      <c r="AG104" s="233"/>
      <c r="AH104" s="233"/>
      <c r="AI104" s="227"/>
      <c r="AJ104" s="233"/>
      <c r="AK104" s="233">
        <f>SUM(AK105:AK105)</f>
        <v>0</v>
      </c>
      <c r="AL104" s="233"/>
      <c r="AM104" s="233"/>
      <c r="AN104" s="227"/>
      <c r="AO104" s="233"/>
      <c r="AP104" s="233">
        <f>SUM(AP105:AP105)</f>
        <v>0</v>
      </c>
      <c r="AQ104" s="233"/>
      <c r="AR104" s="233"/>
      <c r="AS104" s="227"/>
      <c r="AT104" s="233"/>
      <c r="AU104" s="233">
        <f>SUM(AU105:AU105)</f>
        <v>0</v>
      </c>
      <c r="AV104" s="233"/>
      <c r="AW104" s="233"/>
      <c r="AX104" s="227"/>
      <c r="AY104" s="233"/>
      <c r="AZ104" s="233">
        <f>SUM(AZ105:AZ105)</f>
        <v>0</v>
      </c>
      <c r="BA104" s="233"/>
      <c r="BB104" s="233"/>
      <c r="BC104" s="227"/>
      <c r="BD104" s="233"/>
      <c r="BE104" s="233">
        <f>SUM(BE105:BE105)</f>
        <v>0</v>
      </c>
      <c r="BF104" s="233"/>
      <c r="BG104" s="233"/>
      <c r="BH104" s="227"/>
      <c r="BI104" s="233"/>
      <c r="BJ104" s="233">
        <f>SUM(BJ105:BJ105)</f>
        <v>0</v>
      </c>
      <c r="BK104" s="233"/>
      <c r="BL104" s="233"/>
      <c r="BM104" s="227"/>
      <c r="BN104" s="233"/>
      <c r="BO104" s="233">
        <f>SUM(BO105:BO105)</f>
        <v>0</v>
      </c>
      <c r="BP104" s="233"/>
      <c r="BQ104" s="233"/>
      <c r="BR104" s="227"/>
      <c r="BS104" s="244"/>
      <c r="BT104" s="233">
        <f>SUM(BT105:BT105)</f>
        <v>266052</v>
      </c>
      <c r="BU104" s="233"/>
      <c r="BV104" s="233"/>
      <c r="BW104" s="244"/>
      <c r="BX104" s="254"/>
      <c r="BY104" s="268"/>
      <c r="BZ104" s="268"/>
    </row>
    <row r="105" spans="1:78" x14ac:dyDescent="0.2">
      <c r="A105" s="244"/>
      <c r="B105" s="244"/>
      <c r="D105" s="254" t="s">
        <v>310</v>
      </c>
      <c r="E105" s="261"/>
      <c r="F105" s="348"/>
      <c r="G105" s="349">
        <v>266052</v>
      </c>
      <c r="H105" s="350"/>
      <c r="I105" s="233"/>
      <c r="J105" s="227"/>
      <c r="K105" s="348"/>
      <c r="L105" s="349">
        <v>0</v>
      </c>
      <c r="M105" s="350"/>
      <c r="N105" s="233"/>
      <c r="O105" s="227"/>
      <c r="P105" s="351"/>
      <c r="Q105" s="349">
        <v>0</v>
      </c>
      <c r="R105" s="350"/>
      <c r="S105" s="233"/>
      <c r="T105" s="227"/>
      <c r="U105" s="351"/>
      <c r="V105" s="349">
        <v>0</v>
      </c>
      <c r="W105" s="350"/>
      <c r="X105" s="233"/>
      <c r="Y105" s="227"/>
      <c r="Z105" s="351"/>
      <c r="AA105" s="349">
        <v>0</v>
      </c>
      <c r="AB105" s="350"/>
      <c r="AC105" s="233"/>
      <c r="AD105" s="227"/>
      <c r="AE105" s="351"/>
      <c r="AF105" s="349">
        <v>266052</v>
      </c>
      <c r="AG105" s="350"/>
      <c r="AH105" s="233"/>
      <c r="AI105" s="227"/>
      <c r="AJ105" s="351"/>
      <c r="AK105" s="349">
        <v>0</v>
      </c>
      <c r="AL105" s="350"/>
      <c r="AM105" s="233"/>
      <c r="AN105" s="227"/>
      <c r="AO105" s="351"/>
      <c r="AP105" s="349">
        <v>0</v>
      </c>
      <c r="AQ105" s="350"/>
      <c r="AR105" s="233"/>
      <c r="AS105" s="227"/>
      <c r="AT105" s="351"/>
      <c r="AU105" s="349">
        <v>0</v>
      </c>
      <c r="AV105" s="350"/>
      <c r="AW105" s="233"/>
      <c r="AX105" s="227"/>
      <c r="AY105" s="351"/>
      <c r="AZ105" s="349">
        <v>0</v>
      </c>
      <c r="BA105" s="350"/>
      <c r="BB105" s="233"/>
      <c r="BC105" s="227"/>
      <c r="BD105" s="351"/>
      <c r="BE105" s="349">
        <v>0</v>
      </c>
      <c r="BF105" s="350"/>
      <c r="BG105" s="233"/>
      <c r="BH105" s="227"/>
      <c r="BI105" s="351"/>
      <c r="BJ105" s="349">
        <v>0</v>
      </c>
      <c r="BK105" s="350"/>
      <c r="BL105" s="233"/>
      <c r="BM105" s="227"/>
      <c r="BN105" s="351"/>
      <c r="BO105" s="349">
        <v>0</v>
      </c>
      <c r="BP105" s="350"/>
      <c r="BQ105" s="233"/>
      <c r="BR105" s="227"/>
      <c r="BS105" s="351"/>
      <c r="BT105" s="349">
        <f>SUM(L105:BO105)</f>
        <v>266052</v>
      </c>
      <c r="BU105" s="350"/>
      <c r="BV105" s="233"/>
      <c r="BW105" s="244"/>
      <c r="BX105" s="254"/>
      <c r="BY105" s="268"/>
      <c r="BZ105" s="268"/>
    </row>
    <row r="106" spans="1:78" ht="12.75" hidden="1" customHeight="1" x14ac:dyDescent="0.2">
      <c r="A106" s="244"/>
      <c r="B106" s="244"/>
      <c r="D106" s="254"/>
      <c r="E106" s="261"/>
      <c r="F106" s="244"/>
      <c r="G106" s="233"/>
      <c r="H106" s="233"/>
      <c r="I106" s="233"/>
      <c r="J106" s="227"/>
      <c r="K106" s="233"/>
      <c r="L106" s="233"/>
      <c r="M106" s="233"/>
      <c r="N106" s="233"/>
      <c r="O106" s="227"/>
      <c r="P106" s="233"/>
      <c r="Q106" s="233"/>
      <c r="R106" s="233"/>
      <c r="S106" s="233"/>
      <c r="T106" s="227"/>
      <c r="U106" s="233"/>
      <c r="V106" s="233"/>
      <c r="W106" s="233"/>
      <c r="X106" s="233"/>
      <c r="Y106" s="227"/>
      <c r="Z106" s="233"/>
      <c r="AA106" s="233"/>
      <c r="AB106" s="233"/>
      <c r="AC106" s="233"/>
      <c r="AD106" s="227"/>
      <c r="AE106" s="233"/>
      <c r="AF106" s="233"/>
      <c r="AG106" s="233"/>
      <c r="AH106" s="233"/>
      <c r="AI106" s="227"/>
      <c r="AJ106" s="233"/>
      <c r="AK106" s="233"/>
      <c r="AL106" s="233"/>
      <c r="AM106" s="233"/>
      <c r="AN106" s="227"/>
      <c r="AO106" s="233"/>
      <c r="AP106" s="233"/>
      <c r="AQ106" s="233"/>
      <c r="AR106" s="233"/>
      <c r="AS106" s="227"/>
      <c r="AT106" s="233"/>
      <c r="AU106" s="233"/>
      <c r="AV106" s="233"/>
      <c r="AW106" s="233"/>
      <c r="AX106" s="227"/>
      <c r="AY106" s="233"/>
      <c r="AZ106" s="233"/>
      <c r="BA106" s="233"/>
      <c r="BB106" s="233"/>
      <c r="BC106" s="227"/>
      <c r="BD106" s="233"/>
      <c r="BE106" s="233"/>
      <c r="BF106" s="233"/>
      <c r="BG106" s="233"/>
      <c r="BH106" s="227"/>
      <c r="BI106" s="233"/>
      <c r="BJ106" s="233"/>
      <c r="BK106" s="233"/>
      <c r="BL106" s="233"/>
      <c r="BM106" s="227"/>
      <c r="BN106" s="233"/>
      <c r="BO106" s="233"/>
      <c r="BP106" s="233"/>
      <c r="BQ106" s="233"/>
      <c r="BR106" s="227"/>
      <c r="BS106" s="233"/>
      <c r="BT106" s="233"/>
      <c r="BU106" s="233"/>
      <c r="BV106" s="233"/>
      <c r="BW106" s="244"/>
      <c r="BX106" s="254"/>
      <c r="BY106" s="268"/>
      <c r="BZ106" s="268"/>
    </row>
    <row r="107" spans="1:78" ht="12.75" hidden="1" customHeight="1" x14ac:dyDescent="0.2">
      <c r="A107" s="244"/>
      <c r="B107" s="244"/>
      <c r="D107" s="254" t="str">
        <f>[65]domlongtermissues!D338</f>
        <v xml:space="preserve">  R209  (6.25%  2036/03/31)</v>
      </c>
      <c r="E107" s="261"/>
      <c r="F107" s="244"/>
      <c r="G107" s="233">
        <f>SUM(G108:G108)</f>
        <v>0</v>
      </c>
      <c r="H107" s="233"/>
      <c r="I107" s="233"/>
      <c r="J107" s="227"/>
      <c r="K107" s="233"/>
      <c r="L107" s="233">
        <f>SUM(L108:L108)</f>
        <v>0</v>
      </c>
      <c r="M107" s="233"/>
      <c r="N107" s="233"/>
      <c r="O107" s="227"/>
      <c r="P107" s="233"/>
      <c r="Q107" s="233">
        <f>SUM(Q108:Q108)</f>
        <v>0</v>
      </c>
      <c r="R107" s="233"/>
      <c r="S107" s="233"/>
      <c r="T107" s="227"/>
      <c r="U107" s="233"/>
      <c r="V107" s="233">
        <f>SUM(V108:V108)</f>
        <v>0</v>
      </c>
      <c r="W107" s="233"/>
      <c r="X107" s="233"/>
      <c r="Y107" s="227"/>
      <c r="Z107" s="233"/>
      <c r="AA107" s="233">
        <f>SUM(AA108:AA108)</f>
        <v>0</v>
      </c>
      <c r="AB107" s="233"/>
      <c r="AC107" s="233"/>
      <c r="AD107" s="227"/>
      <c r="AE107" s="233"/>
      <c r="AF107" s="233">
        <f>SUM(AF108:AF108)</f>
        <v>0</v>
      </c>
      <c r="AG107" s="233"/>
      <c r="AH107" s="233"/>
      <c r="AI107" s="227"/>
      <c r="AJ107" s="233"/>
      <c r="AK107" s="233">
        <f>SUM(AK108:AK108)</f>
        <v>0</v>
      </c>
      <c r="AL107" s="233"/>
      <c r="AM107" s="233"/>
      <c r="AN107" s="227"/>
      <c r="AO107" s="233"/>
      <c r="AP107" s="233">
        <f>SUM(AP108:AP108)</f>
        <v>0</v>
      </c>
      <c r="AQ107" s="233"/>
      <c r="AR107" s="233"/>
      <c r="AS107" s="227"/>
      <c r="AT107" s="233"/>
      <c r="AU107" s="233">
        <f>SUM(AU108:AU108)</f>
        <v>0</v>
      </c>
      <c r="AV107" s="233"/>
      <c r="AW107" s="233"/>
      <c r="AX107" s="227"/>
      <c r="AY107" s="233"/>
      <c r="AZ107" s="233">
        <f>SUM(AZ108:AZ108)</f>
        <v>0</v>
      </c>
      <c r="BA107" s="233"/>
      <c r="BB107" s="233"/>
      <c r="BC107" s="227"/>
      <c r="BD107" s="233"/>
      <c r="BE107" s="233">
        <f>SUM(BE108:BE108)</f>
        <v>0</v>
      </c>
      <c r="BF107" s="233"/>
      <c r="BG107" s="233"/>
      <c r="BH107" s="227"/>
      <c r="BI107" s="233"/>
      <c r="BJ107" s="233">
        <f>SUM(BJ108:BJ108)</f>
        <v>0</v>
      </c>
      <c r="BK107" s="233"/>
      <c r="BL107" s="233"/>
      <c r="BM107" s="227"/>
      <c r="BN107" s="233"/>
      <c r="BO107" s="233">
        <f>SUM(BO108:BO108)</f>
        <v>0</v>
      </c>
      <c r="BP107" s="233"/>
      <c r="BQ107" s="233"/>
      <c r="BR107" s="227"/>
      <c r="BS107" s="233"/>
      <c r="BT107" s="233">
        <f>SUM(BT108:BT108)</f>
        <v>0</v>
      </c>
      <c r="BU107" s="233"/>
      <c r="BV107" s="233"/>
      <c r="BW107" s="244"/>
      <c r="BX107" s="254"/>
      <c r="BY107" s="268"/>
      <c r="BZ107" s="268"/>
    </row>
    <row r="108" spans="1:78" ht="12.75" hidden="1" customHeight="1" x14ac:dyDescent="0.2">
      <c r="A108" s="244"/>
      <c r="B108" s="244"/>
      <c r="D108" s="254" t="s">
        <v>310</v>
      </c>
      <c r="E108" s="261"/>
      <c r="F108" s="348"/>
      <c r="G108" s="349">
        <v>0</v>
      </c>
      <c r="H108" s="350"/>
      <c r="I108" s="233"/>
      <c r="J108" s="227"/>
      <c r="K108" s="348"/>
      <c r="L108" s="349">
        <v>0</v>
      </c>
      <c r="M108" s="350"/>
      <c r="N108" s="233"/>
      <c r="O108" s="227"/>
      <c r="P108" s="348"/>
      <c r="Q108" s="349">
        <v>0</v>
      </c>
      <c r="R108" s="350"/>
      <c r="S108" s="233"/>
      <c r="T108" s="227"/>
      <c r="U108" s="348"/>
      <c r="V108" s="349">
        <v>0</v>
      </c>
      <c r="W108" s="350"/>
      <c r="X108" s="233"/>
      <c r="Y108" s="227"/>
      <c r="Z108" s="348"/>
      <c r="AA108" s="349">
        <v>0</v>
      </c>
      <c r="AB108" s="350"/>
      <c r="AC108" s="233"/>
      <c r="AD108" s="227"/>
      <c r="AE108" s="348"/>
      <c r="AF108" s="349">
        <v>0</v>
      </c>
      <c r="AG108" s="350"/>
      <c r="AH108" s="233"/>
      <c r="AI108" s="227"/>
      <c r="AJ108" s="348"/>
      <c r="AK108" s="349">
        <v>0</v>
      </c>
      <c r="AL108" s="350"/>
      <c r="AM108" s="347"/>
      <c r="AN108" s="354"/>
      <c r="AO108" s="348"/>
      <c r="AP108" s="349">
        <v>0</v>
      </c>
      <c r="AQ108" s="350"/>
      <c r="AR108" s="233"/>
      <c r="AS108" s="227"/>
      <c r="AT108" s="348"/>
      <c r="AU108" s="349">
        <v>0</v>
      </c>
      <c r="AV108" s="350"/>
      <c r="AW108" s="233"/>
      <c r="AX108" s="227"/>
      <c r="AY108" s="348"/>
      <c r="AZ108" s="349">
        <v>0</v>
      </c>
      <c r="BA108" s="350"/>
      <c r="BB108" s="233"/>
      <c r="BC108" s="227"/>
      <c r="BD108" s="348"/>
      <c r="BE108" s="349">
        <v>0</v>
      </c>
      <c r="BF108" s="350"/>
      <c r="BG108" s="233"/>
      <c r="BH108" s="227"/>
      <c r="BI108" s="348"/>
      <c r="BJ108" s="349">
        <v>0</v>
      </c>
      <c r="BK108" s="350"/>
      <c r="BL108" s="233"/>
      <c r="BM108" s="227"/>
      <c r="BN108" s="348"/>
      <c r="BO108" s="349">
        <v>0</v>
      </c>
      <c r="BP108" s="350"/>
      <c r="BQ108" s="233"/>
      <c r="BR108" s="227"/>
      <c r="BS108" s="348"/>
      <c r="BT108" s="349">
        <f>SUM(L108:BO108)</f>
        <v>0</v>
      </c>
      <c r="BU108" s="350"/>
      <c r="BV108" s="233"/>
      <c r="BW108" s="244"/>
      <c r="BX108" s="254"/>
      <c r="BY108" s="268"/>
      <c r="BZ108" s="268"/>
    </row>
    <row r="109" spans="1:78" hidden="1" x14ac:dyDescent="0.2">
      <c r="A109" s="244"/>
      <c r="B109" s="244"/>
      <c r="D109" s="254"/>
      <c r="E109" s="261"/>
      <c r="F109" s="244"/>
      <c r="G109" s="233"/>
      <c r="H109" s="233"/>
      <c r="I109" s="233"/>
      <c r="J109" s="227"/>
      <c r="K109" s="244"/>
      <c r="L109" s="233"/>
      <c r="M109" s="233"/>
      <c r="N109" s="233"/>
      <c r="O109" s="227"/>
      <c r="P109" s="244"/>
      <c r="Q109" s="233"/>
      <c r="R109" s="233"/>
      <c r="S109" s="233"/>
      <c r="T109" s="227"/>
      <c r="U109" s="244"/>
      <c r="V109" s="233"/>
      <c r="W109" s="233"/>
      <c r="X109" s="233"/>
      <c r="Y109" s="227"/>
      <c r="Z109" s="244"/>
      <c r="AA109" s="233"/>
      <c r="AB109" s="233"/>
      <c r="AC109" s="233"/>
      <c r="AD109" s="227"/>
      <c r="AE109" s="244"/>
      <c r="AF109" s="233"/>
      <c r="AG109" s="233"/>
      <c r="AH109" s="233"/>
      <c r="AI109" s="227"/>
      <c r="AJ109" s="244"/>
      <c r="AK109" s="233"/>
      <c r="AL109" s="233"/>
      <c r="AM109" s="233"/>
      <c r="AN109" s="227"/>
      <c r="AO109" s="244"/>
      <c r="AP109" s="233"/>
      <c r="AQ109" s="233"/>
      <c r="AR109" s="233"/>
      <c r="AS109" s="227"/>
      <c r="AT109" s="244"/>
      <c r="AU109" s="233"/>
      <c r="AV109" s="233"/>
      <c r="AW109" s="233"/>
      <c r="AX109" s="227"/>
      <c r="AY109" s="244"/>
      <c r="AZ109" s="233"/>
      <c r="BA109" s="233"/>
      <c r="BB109" s="233"/>
      <c r="BC109" s="227"/>
      <c r="BD109" s="244"/>
      <c r="BE109" s="233"/>
      <c r="BF109" s="233"/>
      <c r="BG109" s="233"/>
      <c r="BH109" s="227"/>
      <c r="BI109" s="244"/>
      <c r="BJ109" s="233"/>
      <c r="BK109" s="233"/>
      <c r="BL109" s="233"/>
      <c r="BM109" s="227"/>
      <c r="BN109" s="244"/>
      <c r="BO109" s="233"/>
      <c r="BP109" s="233"/>
      <c r="BQ109" s="233"/>
      <c r="BR109" s="227"/>
      <c r="BS109" s="244"/>
      <c r="BT109" s="233"/>
      <c r="BU109" s="233"/>
      <c r="BV109" s="233"/>
      <c r="BW109" s="244"/>
      <c r="BX109" s="254"/>
      <c r="BY109" s="268"/>
      <c r="BZ109" s="268"/>
    </row>
    <row r="110" spans="1:78" hidden="1" x14ac:dyDescent="0.2">
      <c r="A110" s="244"/>
      <c r="B110" s="244"/>
      <c r="D110" s="254" t="s">
        <v>340</v>
      </c>
      <c r="E110" s="261"/>
      <c r="F110" s="244"/>
      <c r="G110" s="233">
        <f>SUM(G111:G111)</f>
        <v>0</v>
      </c>
      <c r="H110" s="233"/>
      <c r="I110" s="233"/>
      <c r="J110" s="227"/>
      <c r="K110" s="233"/>
      <c r="L110" s="233">
        <f>SUM(L111:L111)</f>
        <v>0</v>
      </c>
      <c r="M110" s="233"/>
      <c r="N110" s="233"/>
      <c r="O110" s="227"/>
      <c r="P110" s="233"/>
      <c r="Q110" s="233">
        <f>SUM(Q111:Q111)</f>
        <v>0</v>
      </c>
      <c r="R110" s="233"/>
      <c r="S110" s="233"/>
      <c r="T110" s="227"/>
      <c r="U110" s="233"/>
      <c r="V110" s="233">
        <f>SUM(V111:V111)</f>
        <v>0</v>
      </c>
      <c r="W110" s="233"/>
      <c r="X110" s="233"/>
      <c r="Y110" s="227"/>
      <c r="Z110" s="233"/>
      <c r="AA110" s="233">
        <f>SUM(AA111:AA111)</f>
        <v>0</v>
      </c>
      <c r="AB110" s="233"/>
      <c r="AC110" s="233"/>
      <c r="AD110" s="227"/>
      <c r="AE110" s="233"/>
      <c r="AF110" s="233">
        <f>SUM(AF111:AF111)</f>
        <v>0</v>
      </c>
      <c r="AG110" s="233"/>
      <c r="AH110" s="233"/>
      <c r="AI110" s="227"/>
      <c r="AJ110" s="233"/>
      <c r="AK110" s="233">
        <f>SUM(AK111:AK111)</f>
        <v>0</v>
      </c>
      <c r="AL110" s="233"/>
      <c r="AM110" s="233"/>
      <c r="AN110" s="227"/>
      <c r="AO110" s="233"/>
      <c r="AP110" s="233">
        <f>SUM(AP111:AP111)</f>
        <v>0</v>
      </c>
      <c r="AQ110" s="233"/>
      <c r="AR110" s="233"/>
      <c r="AS110" s="227"/>
      <c r="AT110" s="233"/>
      <c r="AU110" s="233">
        <f>SUM(AU111:AU111)</f>
        <v>0</v>
      </c>
      <c r="AV110" s="233"/>
      <c r="AW110" s="233"/>
      <c r="AX110" s="227"/>
      <c r="AY110" s="233"/>
      <c r="AZ110" s="233">
        <f>SUM(AZ111:AZ111)</f>
        <v>0</v>
      </c>
      <c r="BA110" s="233"/>
      <c r="BB110" s="233"/>
      <c r="BC110" s="227"/>
      <c r="BD110" s="233"/>
      <c r="BE110" s="233">
        <f>SUM(BE111:BE111)</f>
        <v>0</v>
      </c>
      <c r="BF110" s="233"/>
      <c r="BG110" s="233"/>
      <c r="BH110" s="227"/>
      <c r="BI110" s="233"/>
      <c r="BJ110" s="233">
        <f>SUM(BJ111:BJ111)</f>
        <v>0</v>
      </c>
      <c r="BK110" s="233"/>
      <c r="BL110" s="233"/>
      <c r="BM110" s="227"/>
      <c r="BN110" s="233"/>
      <c r="BO110" s="233">
        <f>SUM(BO111:BO111)</f>
        <v>0</v>
      </c>
      <c r="BP110" s="233"/>
      <c r="BQ110" s="233"/>
      <c r="BR110" s="227"/>
      <c r="BS110" s="244"/>
      <c r="BT110" s="233">
        <f>SUM(BT111:BT111)</f>
        <v>0</v>
      </c>
      <c r="BU110" s="233"/>
      <c r="BV110" s="233"/>
      <c r="BW110" s="244"/>
      <c r="BX110" s="254"/>
      <c r="BY110" s="268"/>
      <c r="BZ110" s="268"/>
    </row>
    <row r="111" spans="1:78" hidden="1" x14ac:dyDescent="0.2">
      <c r="A111" s="244"/>
      <c r="B111" s="244"/>
      <c r="D111" s="254" t="s">
        <v>310</v>
      </c>
      <c r="E111" s="261"/>
      <c r="F111" s="348"/>
      <c r="G111" s="349">
        <v>0</v>
      </c>
      <c r="H111" s="350"/>
      <c r="I111" s="233"/>
      <c r="J111" s="227"/>
      <c r="K111" s="348"/>
      <c r="L111" s="349">
        <v>0</v>
      </c>
      <c r="M111" s="350"/>
      <c r="N111" s="233"/>
      <c r="O111" s="227"/>
      <c r="P111" s="351"/>
      <c r="Q111" s="349">
        <v>0</v>
      </c>
      <c r="R111" s="350"/>
      <c r="S111" s="233"/>
      <c r="T111" s="227"/>
      <c r="U111" s="351"/>
      <c r="V111" s="349">
        <v>0</v>
      </c>
      <c r="W111" s="350"/>
      <c r="X111" s="233"/>
      <c r="Y111" s="227"/>
      <c r="Z111" s="351"/>
      <c r="AA111" s="349">
        <v>0</v>
      </c>
      <c r="AB111" s="350"/>
      <c r="AC111" s="233"/>
      <c r="AD111" s="227"/>
      <c r="AE111" s="351"/>
      <c r="AF111" s="349">
        <v>0</v>
      </c>
      <c r="AG111" s="350"/>
      <c r="AH111" s="233"/>
      <c r="AI111" s="227"/>
      <c r="AJ111" s="351"/>
      <c r="AK111" s="349">
        <v>0</v>
      </c>
      <c r="AL111" s="350"/>
      <c r="AM111" s="233"/>
      <c r="AN111" s="227"/>
      <c r="AO111" s="351"/>
      <c r="AP111" s="349">
        <v>0</v>
      </c>
      <c r="AQ111" s="350"/>
      <c r="AR111" s="233"/>
      <c r="AS111" s="227"/>
      <c r="AT111" s="351"/>
      <c r="AU111" s="349">
        <v>0</v>
      </c>
      <c r="AV111" s="350"/>
      <c r="AW111" s="233"/>
      <c r="AX111" s="227"/>
      <c r="AY111" s="351"/>
      <c r="AZ111" s="349">
        <v>0</v>
      </c>
      <c r="BA111" s="350"/>
      <c r="BB111" s="233"/>
      <c r="BC111" s="227"/>
      <c r="BD111" s="351"/>
      <c r="BE111" s="349">
        <v>0</v>
      </c>
      <c r="BF111" s="350"/>
      <c r="BG111" s="233"/>
      <c r="BH111" s="227"/>
      <c r="BI111" s="351"/>
      <c r="BJ111" s="349">
        <v>0</v>
      </c>
      <c r="BK111" s="350"/>
      <c r="BL111" s="233"/>
      <c r="BM111" s="227"/>
      <c r="BN111" s="351"/>
      <c r="BO111" s="349">
        <v>0</v>
      </c>
      <c r="BP111" s="350"/>
      <c r="BQ111" s="233"/>
      <c r="BR111" s="227"/>
      <c r="BS111" s="348"/>
      <c r="BT111" s="349">
        <f>SUM(L111:BO111)</f>
        <v>0</v>
      </c>
      <c r="BU111" s="350"/>
      <c r="BV111" s="233"/>
      <c r="BW111" s="244"/>
      <c r="BX111" s="254"/>
      <c r="BY111" s="268"/>
      <c r="BZ111" s="268"/>
    </row>
    <row r="112" spans="1:78" x14ac:dyDescent="0.2">
      <c r="A112" s="244"/>
      <c r="B112" s="244"/>
      <c r="D112" s="254"/>
      <c r="E112" s="261"/>
      <c r="F112" s="244"/>
      <c r="G112" s="233"/>
      <c r="H112" s="233"/>
      <c r="I112" s="233"/>
      <c r="J112" s="227"/>
      <c r="K112" s="244"/>
      <c r="L112" s="233"/>
      <c r="M112" s="233"/>
      <c r="N112" s="233"/>
      <c r="O112" s="227"/>
      <c r="P112" s="244"/>
      <c r="Q112" s="233"/>
      <c r="R112" s="233"/>
      <c r="S112" s="233"/>
      <c r="T112" s="227"/>
      <c r="U112" s="244"/>
      <c r="V112" s="233"/>
      <c r="W112" s="233"/>
      <c r="X112" s="233"/>
      <c r="Y112" s="227"/>
      <c r="Z112" s="244"/>
      <c r="AA112" s="233"/>
      <c r="AB112" s="233"/>
      <c r="AC112" s="233"/>
      <c r="AD112" s="227"/>
      <c r="AE112" s="244"/>
      <c r="AF112" s="233"/>
      <c r="AG112" s="233"/>
      <c r="AH112" s="233"/>
      <c r="AI112" s="227"/>
      <c r="AJ112" s="244"/>
      <c r="AK112" s="233"/>
      <c r="AL112" s="233"/>
      <c r="AM112" s="233"/>
      <c r="AN112" s="227"/>
      <c r="AO112" s="244"/>
      <c r="AP112" s="233"/>
      <c r="AQ112" s="233"/>
      <c r="AR112" s="233"/>
      <c r="AS112" s="227"/>
      <c r="AT112" s="244"/>
      <c r="AU112" s="233"/>
      <c r="AV112" s="233"/>
      <c r="AW112" s="233"/>
      <c r="AX112" s="227"/>
      <c r="AY112" s="244"/>
      <c r="AZ112" s="233"/>
      <c r="BA112" s="233"/>
      <c r="BB112" s="233"/>
      <c r="BC112" s="227"/>
      <c r="BD112" s="244"/>
      <c r="BE112" s="233"/>
      <c r="BF112" s="233"/>
      <c r="BG112" s="233"/>
      <c r="BH112" s="227"/>
      <c r="BI112" s="244"/>
      <c r="BJ112" s="233"/>
      <c r="BK112" s="233"/>
      <c r="BL112" s="233"/>
      <c r="BM112" s="227"/>
      <c r="BN112" s="244"/>
      <c r="BO112" s="233"/>
      <c r="BP112" s="233"/>
      <c r="BQ112" s="233"/>
      <c r="BR112" s="227"/>
      <c r="BS112" s="244"/>
      <c r="BT112" s="233"/>
      <c r="BU112" s="233"/>
      <c r="BV112" s="233"/>
      <c r="BW112" s="244"/>
      <c r="BX112" s="254"/>
      <c r="BY112" s="268"/>
      <c r="BZ112" s="268"/>
    </row>
    <row r="113" spans="1:78" hidden="1" x14ac:dyDescent="0.2">
      <c r="A113" s="244"/>
      <c r="B113" s="244"/>
      <c r="D113" s="254" t="s">
        <v>336</v>
      </c>
      <c r="E113" s="261"/>
      <c r="F113" s="244"/>
      <c r="G113" s="233">
        <f>SUM(G114:G114)</f>
        <v>0</v>
      </c>
      <c r="H113" s="233"/>
      <c r="I113" s="233"/>
      <c r="J113" s="227"/>
      <c r="K113" s="233"/>
      <c r="L113" s="233">
        <f>SUM(L114:L114)</f>
        <v>0</v>
      </c>
      <c r="M113" s="233"/>
      <c r="N113" s="233"/>
      <c r="O113" s="227"/>
      <c r="P113" s="233"/>
      <c r="Q113" s="233">
        <f>SUM(Q114:Q114)</f>
        <v>0</v>
      </c>
      <c r="R113" s="233"/>
      <c r="S113" s="233"/>
      <c r="T113" s="227"/>
      <c r="U113" s="233"/>
      <c r="V113" s="233">
        <f>SUM(V114:V114)</f>
        <v>0</v>
      </c>
      <c r="W113" s="233"/>
      <c r="X113" s="233"/>
      <c r="Y113" s="227"/>
      <c r="Z113" s="233"/>
      <c r="AA113" s="233">
        <f>SUM(AA114:AA114)</f>
        <v>0</v>
      </c>
      <c r="AB113" s="233"/>
      <c r="AC113" s="233"/>
      <c r="AD113" s="227"/>
      <c r="AE113" s="233"/>
      <c r="AF113" s="233">
        <f>SUM(AF114:AF114)</f>
        <v>0</v>
      </c>
      <c r="AG113" s="233"/>
      <c r="AH113" s="233"/>
      <c r="AI113" s="227"/>
      <c r="AJ113" s="233"/>
      <c r="AK113" s="233">
        <f>SUM(AK114:AK114)</f>
        <v>0</v>
      </c>
      <c r="AL113" s="233"/>
      <c r="AM113" s="233"/>
      <c r="AN113" s="227"/>
      <c r="AO113" s="233"/>
      <c r="AP113" s="233">
        <f>SUM(AP114:AP114)</f>
        <v>0</v>
      </c>
      <c r="AQ113" s="233"/>
      <c r="AR113" s="233"/>
      <c r="AS113" s="227"/>
      <c r="AT113" s="233"/>
      <c r="AU113" s="233">
        <f>SUM(AU114:AU114)</f>
        <v>0</v>
      </c>
      <c r="AV113" s="233"/>
      <c r="AW113" s="233"/>
      <c r="AX113" s="227"/>
      <c r="AY113" s="233"/>
      <c r="AZ113" s="233">
        <f>SUM(AZ114:AZ114)</f>
        <v>0</v>
      </c>
      <c r="BA113" s="233"/>
      <c r="BB113" s="233"/>
      <c r="BC113" s="227"/>
      <c r="BD113" s="233"/>
      <c r="BE113" s="233">
        <f>SUM(BE114:BE114)</f>
        <v>0</v>
      </c>
      <c r="BF113" s="233"/>
      <c r="BG113" s="233"/>
      <c r="BH113" s="227"/>
      <c r="BI113" s="233"/>
      <c r="BJ113" s="233">
        <f>SUM(BJ114:BJ114)</f>
        <v>0</v>
      </c>
      <c r="BK113" s="233"/>
      <c r="BL113" s="233"/>
      <c r="BM113" s="227"/>
      <c r="BN113" s="233"/>
      <c r="BO113" s="233">
        <f>SUM(BO114:BO114)</f>
        <v>0</v>
      </c>
      <c r="BP113" s="233"/>
      <c r="BQ113" s="233"/>
      <c r="BR113" s="227"/>
      <c r="BS113" s="244"/>
      <c r="BT113" s="233">
        <f>SUM(BT114:BT114)</f>
        <v>0</v>
      </c>
      <c r="BU113" s="233"/>
      <c r="BV113" s="233"/>
      <c r="BW113" s="244"/>
      <c r="BX113" s="254"/>
      <c r="BY113" s="268"/>
      <c r="BZ113" s="268"/>
    </row>
    <row r="114" spans="1:78" hidden="1" x14ac:dyDescent="0.2">
      <c r="A114" s="244"/>
      <c r="B114" s="244"/>
      <c r="D114" s="254" t="s">
        <v>310</v>
      </c>
      <c r="E114" s="261"/>
      <c r="F114" s="348"/>
      <c r="G114" s="349">
        <v>0</v>
      </c>
      <c r="H114" s="350"/>
      <c r="I114" s="233"/>
      <c r="J114" s="227"/>
      <c r="K114" s="348"/>
      <c r="L114" s="349">
        <v>0</v>
      </c>
      <c r="M114" s="350"/>
      <c r="N114" s="233"/>
      <c r="O114" s="227"/>
      <c r="P114" s="351"/>
      <c r="Q114" s="349">
        <v>0</v>
      </c>
      <c r="R114" s="350"/>
      <c r="S114" s="233"/>
      <c r="T114" s="227"/>
      <c r="U114" s="351"/>
      <c r="V114" s="349">
        <v>0</v>
      </c>
      <c r="W114" s="350"/>
      <c r="X114" s="233"/>
      <c r="Y114" s="227"/>
      <c r="Z114" s="351"/>
      <c r="AA114" s="349">
        <v>0</v>
      </c>
      <c r="AB114" s="350"/>
      <c r="AC114" s="233"/>
      <c r="AD114" s="227"/>
      <c r="AE114" s="351"/>
      <c r="AF114" s="349">
        <v>0</v>
      </c>
      <c r="AG114" s="350"/>
      <c r="AH114" s="233"/>
      <c r="AI114" s="227"/>
      <c r="AJ114" s="351"/>
      <c r="AK114" s="349">
        <v>0</v>
      </c>
      <c r="AL114" s="350"/>
      <c r="AM114" s="233"/>
      <c r="AN114" s="227"/>
      <c r="AO114" s="351"/>
      <c r="AP114" s="349">
        <v>0</v>
      </c>
      <c r="AQ114" s="350"/>
      <c r="AR114" s="233"/>
      <c r="AS114" s="227"/>
      <c r="AT114" s="351"/>
      <c r="AU114" s="349">
        <v>0</v>
      </c>
      <c r="AV114" s="350"/>
      <c r="AW114" s="233"/>
      <c r="AX114" s="227"/>
      <c r="AY114" s="351"/>
      <c r="AZ114" s="349">
        <v>0</v>
      </c>
      <c r="BA114" s="350"/>
      <c r="BB114" s="233"/>
      <c r="BC114" s="227"/>
      <c r="BD114" s="351"/>
      <c r="BE114" s="349">
        <v>0</v>
      </c>
      <c r="BF114" s="350"/>
      <c r="BG114" s="233"/>
      <c r="BH114" s="227"/>
      <c r="BI114" s="351"/>
      <c r="BJ114" s="349">
        <v>0</v>
      </c>
      <c r="BK114" s="350"/>
      <c r="BL114" s="233"/>
      <c r="BM114" s="227"/>
      <c r="BN114" s="351"/>
      <c r="BO114" s="349">
        <v>0</v>
      </c>
      <c r="BP114" s="350"/>
      <c r="BQ114" s="233"/>
      <c r="BR114" s="227"/>
      <c r="BS114" s="348"/>
      <c r="BT114" s="349">
        <f>SUM(L114:BO114)</f>
        <v>0</v>
      </c>
      <c r="BU114" s="350"/>
      <c r="BV114" s="233"/>
      <c r="BW114" s="244"/>
      <c r="BX114" s="254"/>
      <c r="BY114" s="268"/>
      <c r="BZ114" s="268"/>
    </row>
    <row r="115" spans="1:78" hidden="1" x14ac:dyDescent="0.2">
      <c r="A115" s="244"/>
      <c r="B115" s="244"/>
      <c r="D115" s="254"/>
      <c r="E115" s="261"/>
      <c r="F115" s="244"/>
      <c r="G115" s="233"/>
      <c r="H115" s="233"/>
      <c r="I115" s="233"/>
      <c r="J115" s="227"/>
      <c r="K115" s="244"/>
      <c r="L115" s="233"/>
      <c r="M115" s="233"/>
      <c r="N115" s="233"/>
      <c r="O115" s="227"/>
      <c r="P115" s="244"/>
      <c r="Q115" s="233"/>
      <c r="R115" s="233"/>
      <c r="S115" s="233"/>
      <c r="T115" s="227"/>
      <c r="U115" s="244"/>
      <c r="V115" s="233"/>
      <c r="W115" s="233"/>
      <c r="X115" s="233"/>
      <c r="Y115" s="227"/>
      <c r="Z115" s="244"/>
      <c r="AA115" s="233"/>
      <c r="AB115" s="233"/>
      <c r="AC115" s="233"/>
      <c r="AD115" s="227"/>
      <c r="AE115" s="244"/>
      <c r="AF115" s="233"/>
      <c r="AG115" s="233"/>
      <c r="AH115" s="233"/>
      <c r="AI115" s="227"/>
      <c r="AJ115" s="244"/>
      <c r="AK115" s="233"/>
      <c r="AL115" s="233"/>
      <c r="AM115" s="233"/>
      <c r="AN115" s="227"/>
      <c r="AO115" s="244"/>
      <c r="AP115" s="233"/>
      <c r="AQ115" s="233"/>
      <c r="AR115" s="233"/>
      <c r="AS115" s="227"/>
      <c r="AT115" s="244"/>
      <c r="AU115" s="233"/>
      <c r="AV115" s="233"/>
      <c r="AW115" s="233"/>
      <c r="AX115" s="227"/>
      <c r="AY115" s="244"/>
      <c r="AZ115" s="233"/>
      <c r="BA115" s="233"/>
      <c r="BB115" s="233"/>
      <c r="BC115" s="227"/>
      <c r="BD115" s="244"/>
      <c r="BE115" s="233"/>
      <c r="BF115" s="233"/>
      <c r="BG115" s="233"/>
      <c r="BH115" s="227"/>
      <c r="BI115" s="244"/>
      <c r="BJ115" s="233"/>
      <c r="BK115" s="233"/>
      <c r="BL115" s="233"/>
      <c r="BM115" s="227"/>
      <c r="BN115" s="244"/>
      <c r="BO115" s="233"/>
      <c r="BP115" s="233"/>
      <c r="BQ115" s="233"/>
      <c r="BR115" s="227"/>
      <c r="BS115" s="244"/>
      <c r="BT115" s="233"/>
      <c r="BU115" s="233"/>
      <c r="BV115" s="233"/>
      <c r="BW115" s="244"/>
      <c r="BX115" s="254"/>
      <c r="BY115" s="268"/>
      <c r="BZ115" s="268"/>
    </row>
    <row r="116" spans="1:78" x14ac:dyDescent="0.2">
      <c r="A116" s="244"/>
      <c r="B116" s="244"/>
      <c r="D116" s="254" t="s">
        <v>376</v>
      </c>
      <c r="E116" s="261"/>
      <c r="F116" s="244"/>
      <c r="G116" s="233">
        <f>SUM(G117:G117)</f>
        <v>23165</v>
      </c>
      <c r="H116" s="233"/>
      <c r="I116" s="233"/>
      <c r="J116" s="227"/>
      <c r="K116" s="233"/>
      <c r="L116" s="233">
        <f>SUM(L117:L117)</f>
        <v>0</v>
      </c>
      <c r="M116" s="233"/>
      <c r="N116" s="233"/>
      <c r="O116" s="227"/>
      <c r="P116" s="233"/>
      <c r="Q116" s="233">
        <f>SUM(Q117:Q117)</f>
        <v>0</v>
      </c>
      <c r="R116" s="233"/>
      <c r="S116" s="233"/>
      <c r="T116" s="227"/>
      <c r="U116" s="233"/>
      <c r="V116" s="233">
        <f>SUM(V117:V117)</f>
        <v>0</v>
      </c>
      <c r="W116" s="233"/>
      <c r="X116" s="233"/>
      <c r="Y116" s="227"/>
      <c r="Z116" s="233"/>
      <c r="AA116" s="233">
        <f>SUM(AA117:AA117)</f>
        <v>0</v>
      </c>
      <c r="AB116" s="233"/>
      <c r="AC116" s="233"/>
      <c r="AD116" s="227"/>
      <c r="AE116" s="233"/>
      <c r="AF116" s="233">
        <f>SUM(AF117:AF117)</f>
        <v>23165</v>
      </c>
      <c r="AG116" s="233"/>
      <c r="AH116" s="233"/>
      <c r="AI116" s="227"/>
      <c r="AJ116" s="233"/>
      <c r="AK116" s="233">
        <f>SUM(AK117:AK117)</f>
        <v>0</v>
      </c>
      <c r="AL116" s="233"/>
      <c r="AM116" s="233"/>
      <c r="AN116" s="227"/>
      <c r="AO116" s="233"/>
      <c r="AP116" s="233">
        <f>SUM(AP117:AP117)</f>
        <v>0</v>
      </c>
      <c r="AQ116" s="233"/>
      <c r="AR116" s="233"/>
      <c r="AS116" s="227"/>
      <c r="AT116" s="233"/>
      <c r="AU116" s="233">
        <f>SUM(AU117:AU117)</f>
        <v>0</v>
      </c>
      <c r="AV116" s="233"/>
      <c r="AW116" s="233"/>
      <c r="AX116" s="227"/>
      <c r="AY116" s="233"/>
      <c r="AZ116" s="233">
        <f>SUM(AZ117:AZ117)</f>
        <v>0</v>
      </c>
      <c r="BA116" s="233"/>
      <c r="BB116" s="233"/>
      <c r="BC116" s="227"/>
      <c r="BD116" s="233"/>
      <c r="BE116" s="233">
        <f>SUM(BE117:BE117)</f>
        <v>0</v>
      </c>
      <c r="BF116" s="233"/>
      <c r="BG116" s="233"/>
      <c r="BH116" s="227"/>
      <c r="BI116" s="233"/>
      <c r="BJ116" s="233">
        <f>SUM(BJ117:BJ117)</f>
        <v>0</v>
      </c>
      <c r="BK116" s="233"/>
      <c r="BL116" s="233"/>
      <c r="BM116" s="227"/>
      <c r="BN116" s="233"/>
      <c r="BO116" s="233">
        <f>SUM(BO117:BO117)</f>
        <v>447729</v>
      </c>
      <c r="BP116" s="233"/>
      <c r="BQ116" s="233"/>
      <c r="BR116" s="227"/>
      <c r="BS116" s="244"/>
      <c r="BT116" s="233">
        <f>SUM(BT117:BT117)</f>
        <v>470894</v>
      </c>
      <c r="BU116" s="233"/>
      <c r="BV116" s="233"/>
      <c r="BW116" s="244"/>
      <c r="BX116" s="254"/>
      <c r="BY116" s="268"/>
      <c r="BZ116" s="268"/>
    </row>
    <row r="117" spans="1:78" x14ac:dyDescent="0.2">
      <c r="A117" s="244"/>
      <c r="B117" s="244"/>
      <c r="D117" s="254" t="s">
        <v>310</v>
      </c>
      <c r="E117" s="261"/>
      <c r="F117" s="348"/>
      <c r="G117" s="349">
        <v>23165</v>
      </c>
      <c r="H117" s="350"/>
      <c r="I117" s="233"/>
      <c r="J117" s="227"/>
      <c r="K117" s="348"/>
      <c r="L117" s="349">
        <v>0</v>
      </c>
      <c r="M117" s="350"/>
      <c r="N117" s="233"/>
      <c r="O117" s="227"/>
      <c r="P117" s="351"/>
      <c r="Q117" s="349">
        <v>0</v>
      </c>
      <c r="R117" s="350"/>
      <c r="S117" s="233"/>
      <c r="T117" s="227"/>
      <c r="U117" s="351"/>
      <c r="V117" s="349">
        <v>0</v>
      </c>
      <c r="W117" s="350"/>
      <c r="X117" s="233"/>
      <c r="Y117" s="227"/>
      <c r="Z117" s="351"/>
      <c r="AA117" s="349">
        <v>0</v>
      </c>
      <c r="AB117" s="350"/>
      <c r="AC117" s="233"/>
      <c r="AD117" s="227"/>
      <c r="AE117" s="351"/>
      <c r="AF117" s="349">
        <v>23165</v>
      </c>
      <c r="AG117" s="350"/>
      <c r="AH117" s="233"/>
      <c r="AI117" s="227"/>
      <c r="AJ117" s="351"/>
      <c r="AK117" s="349">
        <v>0</v>
      </c>
      <c r="AL117" s="350"/>
      <c r="AM117" s="233"/>
      <c r="AN117" s="227"/>
      <c r="AO117" s="351"/>
      <c r="AP117" s="349">
        <v>0</v>
      </c>
      <c r="AQ117" s="350"/>
      <c r="AR117" s="233"/>
      <c r="AS117" s="227"/>
      <c r="AT117" s="351"/>
      <c r="AU117" s="349">
        <v>0</v>
      </c>
      <c r="AV117" s="350"/>
      <c r="AW117" s="233"/>
      <c r="AX117" s="227"/>
      <c r="AY117" s="351"/>
      <c r="AZ117" s="349">
        <v>0</v>
      </c>
      <c r="BA117" s="350"/>
      <c r="BB117" s="233"/>
      <c r="BC117" s="227"/>
      <c r="BD117" s="351"/>
      <c r="BE117" s="349">
        <v>0</v>
      </c>
      <c r="BF117" s="350"/>
      <c r="BG117" s="233"/>
      <c r="BH117" s="227"/>
      <c r="BI117" s="351"/>
      <c r="BJ117" s="349">
        <v>0</v>
      </c>
      <c r="BK117" s="350"/>
      <c r="BL117" s="233"/>
      <c r="BM117" s="227"/>
      <c r="BN117" s="351"/>
      <c r="BO117" s="349">
        <v>447729</v>
      </c>
      <c r="BP117" s="350"/>
      <c r="BQ117" s="233"/>
      <c r="BR117" s="227"/>
      <c r="BS117" s="348"/>
      <c r="BT117" s="349">
        <f>SUM(L117:BO117)</f>
        <v>470894</v>
      </c>
      <c r="BU117" s="350"/>
      <c r="BV117" s="233"/>
      <c r="BW117" s="244"/>
      <c r="BX117" s="254"/>
      <c r="BY117" s="268"/>
      <c r="BZ117" s="268"/>
    </row>
    <row r="118" spans="1:78" x14ac:dyDescent="0.2">
      <c r="A118" s="244"/>
      <c r="B118" s="244"/>
      <c r="D118" s="254"/>
      <c r="E118" s="261"/>
      <c r="F118" s="244"/>
      <c r="G118" s="233"/>
      <c r="H118" s="233"/>
      <c r="I118" s="233"/>
      <c r="J118" s="227"/>
      <c r="K118" s="244"/>
      <c r="L118" s="233"/>
      <c r="M118" s="233"/>
      <c r="N118" s="233"/>
      <c r="O118" s="227"/>
      <c r="P118" s="244"/>
      <c r="Q118" s="233"/>
      <c r="R118" s="233"/>
      <c r="S118" s="233"/>
      <c r="T118" s="227"/>
      <c r="U118" s="244"/>
      <c r="V118" s="233"/>
      <c r="W118" s="233"/>
      <c r="X118" s="233"/>
      <c r="Y118" s="227"/>
      <c r="Z118" s="244"/>
      <c r="AA118" s="233"/>
      <c r="AB118" s="233"/>
      <c r="AC118" s="233"/>
      <c r="AD118" s="227"/>
      <c r="AE118" s="244"/>
      <c r="AF118" s="233"/>
      <c r="AG118" s="233"/>
      <c r="AH118" s="233"/>
      <c r="AI118" s="227"/>
      <c r="AJ118" s="244"/>
      <c r="AK118" s="233"/>
      <c r="AL118" s="233"/>
      <c r="AM118" s="233"/>
      <c r="AN118" s="227"/>
      <c r="AO118" s="244"/>
      <c r="AP118" s="233"/>
      <c r="AQ118" s="233"/>
      <c r="AR118" s="233"/>
      <c r="AS118" s="227"/>
      <c r="AT118" s="244"/>
      <c r="AU118" s="233"/>
      <c r="AV118" s="233"/>
      <c r="AW118" s="233"/>
      <c r="AX118" s="227"/>
      <c r="AY118" s="244"/>
      <c r="AZ118" s="233"/>
      <c r="BA118" s="233"/>
      <c r="BB118" s="233"/>
      <c r="BC118" s="227"/>
      <c r="BD118" s="244"/>
      <c r="BE118" s="233"/>
      <c r="BF118" s="233"/>
      <c r="BG118" s="233"/>
      <c r="BH118" s="227"/>
      <c r="BI118" s="244"/>
      <c r="BJ118" s="233"/>
      <c r="BK118" s="233"/>
      <c r="BL118" s="233"/>
      <c r="BM118" s="227"/>
      <c r="BN118" s="244"/>
      <c r="BO118" s="233"/>
      <c r="BP118" s="233"/>
      <c r="BQ118" s="233"/>
      <c r="BR118" s="227"/>
      <c r="BS118" s="244"/>
      <c r="BT118" s="233"/>
      <c r="BU118" s="233"/>
      <c r="BV118" s="233"/>
      <c r="BW118" s="244"/>
      <c r="BX118" s="254"/>
      <c r="BY118" s="268"/>
      <c r="BZ118" s="268"/>
    </row>
    <row r="119" spans="1:78" x14ac:dyDescent="0.2">
      <c r="A119" s="244"/>
      <c r="B119" s="244"/>
      <c r="D119" s="254" t="s">
        <v>338</v>
      </c>
      <c r="E119" s="261"/>
      <c r="F119" s="244"/>
      <c r="G119" s="233">
        <f>SUM(G120:G120)</f>
        <v>0</v>
      </c>
      <c r="H119" s="233"/>
      <c r="I119" s="233"/>
      <c r="J119" s="227"/>
      <c r="K119" s="233"/>
      <c r="L119" s="233">
        <f>SUM(L120:L120)</f>
        <v>0</v>
      </c>
      <c r="M119" s="233"/>
      <c r="N119" s="233"/>
      <c r="O119" s="227"/>
      <c r="P119" s="233"/>
      <c r="Q119" s="233">
        <f>SUM(Q120:Q120)</f>
        <v>0</v>
      </c>
      <c r="R119" s="233"/>
      <c r="S119" s="233"/>
      <c r="T119" s="227"/>
      <c r="U119" s="233"/>
      <c r="V119" s="233">
        <f>SUM(V120:V120)</f>
        <v>0</v>
      </c>
      <c r="W119" s="233"/>
      <c r="X119" s="233"/>
      <c r="Y119" s="227"/>
      <c r="Z119" s="233"/>
      <c r="AA119" s="233">
        <f>SUM(AA120:AA120)</f>
        <v>0</v>
      </c>
      <c r="AB119" s="233"/>
      <c r="AC119" s="233"/>
      <c r="AD119" s="227"/>
      <c r="AE119" s="233"/>
      <c r="AF119" s="233">
        <f>SUM(AF120:AF120)</f>
        <v>0</v>
      </c>
      <c r="AG119" s="233"/>
      <c r="AH119" s="233"/>
      <c r="AI119" s="227"/>
      <c r="AJ119" s="233"/>
      <c r="AK119" s="233">
        <f>SUM(AK120:AK120)</f>
        <v>0</v>
      </c>
      <c r="AL119" s="233"/>
      <c r="AM119" s="233"/>
      <c r="AN119" s="227"/>
      <c r="AO119" s="233"/>
      <c r="AP119" s="233">
        <f>SUM(AP120:AP120)</f>
        <v>0</v>
      </c>
      <c r="AQ119" s="233"/>
      <c r="AR119" s="233"/>
      <c r="AS119" s="227"/>
      <c r="AT119" s="233"/>
      <c r="AU119" s="233">
        <f>SUM(AU120:AU120)</f>
        <v>0</v>
      </c>
      <c r="AV119" s="233"/>
      <c r="AW119" s="233"/>
      <c r="AX119" s="227"/>
      <c r="AY119" s="233"/>
      <c r="AZ119" s="233">
        <f>SUM(AZ120:AZ120)</f>
        <v>0</v>
      </c>
      <c r="BA119" s="233"/>
      <c r="BB119" s="233"/>
      <c r="BC119" s="227"/>
      <c r="BD119" s="233"/>
      <c r="BE119" s="233">
        <f>SUM(BE120:BE120)</f>
        <v>0</v>
      </c>
      <c r="BF119" s="233"/>
      <c r="BG119" s="233"/>
      <c r="BH119" s="227"/>
      <c r="BI119" s="233"/>
      <c r="BJ119" s="233">
        <f>SUM(BJ120:BJ120)</f>
        <v>0</v>
      </c>
      <c r="BK119" s="233"/>
      <c r="BL119" s="233"/>
      <c r="BM119" s="227"/>
      <c r="BN119" s="233"/>
      <c r="BO119" s="233">
        <f>SUM(BO120:BO120)</f>
        <v>30810</v>
      </c>
      <c r="BP119" s="233"/>
      <c r="BQ119" s="233"/>
      <c r="BR119" s="227"/>
      <c r="BS119" s="244"/>
      <c r="BT119" s="233">
        <f>SUM(BT120:BT120)</f>
        <v>30810</v>
      </c>
      <c r="BU119" s="233"/>
      <c r="BV119" s="233"/>
      <c r="BW119" s="244"/>
      <c r="BX119" s="254"/>
      <c r="BY119" s="268"/>
      <c r="BZ119" s="268"/>
    </row>
    <row r="120" spans="1:78" x14ac:dyDescent="0.2">
      <c r="A120" s="244"/>
      <c r="B120" s="244"/>
      <c r="D120" s="254" t="s">
        <v>310</v>
      </c>
      <c r="E120" s="261"/>
      <c r="F120" s="348"/>
      <c r="G120" s="349">
        <v>0</v>
      </c>
      <c r="H120" s="350"/>
      <c r="I120" s="233"/>
      <c r="J120" s="227"/>
      <c r="K120" s="348"/>
      <c r="L120" s="349">
        <v>0</v>
      </c>
      <c r="M120" s="350"/>
      <c r="N120" s="233"/>
      <c r="O120" s="227"/>
      <c r="P120" s="351"/>
      <c r="Q120" s="349">
        <v>0</v>
      </c>
      <c r="R120" s="350"/>
      <c r="S120" s="233"/>
      <c r="T120" s="227"/>
      <c r="U120" s="351"/>
      <c r="V120" s="349">
        <v>0</v>
      </c>
      <c r="W120" s="350"/>
      <c r="X120" s="233"/>
      <c r="Y120" s="227"/>
      <c r="Z120" s="351"/>
      <c r="AA120" s="349">
        <v>0</v>
      </c>
      <c r="AB120" s="350"/>
      <c r="AC120" s="233"/>
      <c r="AD120" s="227"/>
      <c r="AE120" s="351"/>
      <c r="AF120" s="349">
        <v>0</v>
      </c>
      <c r="AG120" s="350"/>
      <c r="AH120" s="233"/>
      <c r="AI120" s="227"/>
      <c r="AJ120" s="351"/>
      <c r="AK120" s="349">
        <v>0</v>
      </c>
      <c r="AL120" s="350"/>
      <c r="AM120" s="233"/>
      <c r="AN120" s="227"/>
      <c r="AO120" s="351"/>
      <c r="AP120" s="349">
        <v>0</v>
      </c>
      <c r="AQ120" s="350"/>
      <c r="AR120" s="233"/>
      <c r="AS120" s="227"/>
      <c r="AT120" s="351"/>
      <c r="AU120" s="349">
        <v>0</v>
      </c>
      <c r="AV120" s="350"/>
      <c r="AW120" s="233"/>
      <c r="AX120" s="227"/>
      <c r="AY120" s="351"/>
      <c r="AZ120" s="349">
        <v>0</v>
      </c>
      <c r="BA120" s="350"/>
      <c r="BB120" s="233"/>
      <c r="BC120" s="227"/>
      <c r="BD120" s="351"/>
      <c r="BE120" s="349">
        <v>0</v>
      </c>
      <c r="BF120" s="350"/>
      <c r="BG120" s="233"/>
      <c r="BH120" s="227"/>
      <c r="BI120" s="351"/>
      <c r="BJ120" s="349">
        <v>0</v>
      </c>
      <c r="BK120" s="350"/>
      <c r="BL120" s="233"/>
      <c r="BM120" s="227"/>
      <c r="BN120" s="351"/>
      <c r="BO120" s="349">
        <v>30810</v>
      </c>
      <c r="BP120" s="350"/>
      <c r="BQ120" s="233"/>
      <c r="BR120" s="227"/>
      <c r="BS120" s="348"/>
      <c r="BT120" s="349">
        <f>SUM(L120:BO120)</f>
        <v>30810</v>
      </c>
      <c r="BU120" s="350"/>
      <c r="BV120" s="233"/>
      <c r="BW120" s="244"/>
      <c r="BX120" s="254"/>
      <c r="BY120" s="268"/>
      <c r="BZ120" s="268"/>
    </row>
    <row r="121" spans="1:78" hidden="1" x14ac:dyDescent="0.2">
      <c r="A121" s="244"/>
      <c r="B121" s="244"/>
      <c r="D121" s="353"/>
      <c r="E121" s="261"/>
      <c r="F121" s="244"/>
      <c r="G121" s="233"/>
      <c r="H121" s="233"/>
      <c r="I121" s="233"/>
      <c r="J121" s="227"/>
      <c r="K121" s="233"/>
      <c r="L121" s="233"/>
      <c r="M121" s="233"/>
      <c r="N121" s="233"/>
      <c r="O121" s="227"/>
      <c r="P121" s="233"/>
      <c r="Q121" s="233"/>
      <c r="R121" s="233"/>
      <c r="S121" s="233"/>
      <c r="T121" s="227"/>
      <c r="U121" s="233"/>
      <c r="V121" s="233"/>
      <c r="W121" s="233"/>
      <c r="X121" s="233"/>
      <c r="Y121" s="227"/>
      <c r="Z121" s="233"/>
      <c r="AA121" s="233"/>
      <c r="AB121" s="233"/>
      <c r="AC121" s="233"/>
      <c r="AD121" s="227"/>
      <c r="AE121" s="233"/>
      <c r="AF121" s="233"/>
      <c r="AG121" s="233"/>
      <c r="AH121" s="233"/>
      <c r="AI121" s="227"/>
      <c r="AJ121" s="233"/>
      <c r="AK121" s="233"/>
      <c r="AL121" s="233"/>
      <c r="AM121" s="233"/>
      <c r="AN121" s="227"/>
      <c r="AO121" s="233"/>
      <c r="AP121" s="233"/>
      <c r="AQ121" s="233"/>
      <c r="AR121" s="233"/>
      <c r="AS121" s="227"/>
      <c r="AT121" s="233"/>
      <c r="AU121" s="233"/>
      <c r="AV121" s="233"/>
      <c r="AW121" s="233"/>
      <c r="AX121" s="227"/>
      <c r="AY121" s="233"/>
      <c r="AZ121" s="233"/>
      <c r="BA121" s="233"/>
      <c r="BB121" s="233"/>
      <c r="BC121" s="227"/>
      <c r="BD121" s="233"/>
      <c r="BE121" s="233"/>
      <c r="BF121" s="233"/>
      <c r="BG121" s="233"/>
      <c r="BH121" s="227"/>
      <c r="BI121" s="233"/>
      <c r="BJ121" s="233"/>
      <c r="BK121" s="233"/>
      <c r="BL121" s="233"/>
      <c r="BM121" s="227"/>
      <c r="BN121" s="233"/>
      <c r="BO121" s="233"/>
      <c r="BP121" s="233"/>
      <c r="BQ121" s="233"/>
      <c r="BR121" s="227"/>
      <c r="BS121" s="233"/>
      <c r="BT121" s="233"/>
      <c r="BU121" s="233"/>
      <c r="BV121" s="233"/>
      <c r="BW121" s="359"/>
      <c r="BX121" s="254"/>
      <c r="BY121" s="268"/>
      <c r="BZ121" s="268"/>
    </row>
    <row r="122" spans="1:78" s="268" customFormat="1" hidden="1" x14ac:dyDescent="0.2">
      <c r="A122" s="245"/>
      <c r="B122" s="245"/>
      <c r="D122" s="262" t="s">
        <v>398</v>
      </c>
      <c r="E122" s="264"/>
      <c r="F122" s="245"/>
      <c r="G122" s="340">
        <v>0</v>
      </c>
      <c r="H122" s="340"/>
      <c r="I122" s="340"/>
      <c r="J122" s="341"/>
      <c r="K122" s="340"/>
      <c r="L122" s="340">
        <f>SUM(L123:L125)</f>
        <v>0</v>
      </c>
      <c r="M122" s="340"/>
      <c r="N122" s="340"/>
      <c r="O122" s="341"/>
      <c r="P122" s="340"/>
      <c r="Q122" s="340">
        <f>SUM(Q123:Q125)</f>
        <v>0</v>
      </c>
      <c r="R122" s="340"/>
      <c r="S122" s="340"/>
      <c r="T122" s="341"/>
      <c r="U122" s="340"/>
      <c r="V122" s="340">
        <f>SUM(V123:V125)</f>
        <v>0</v>
      </c>
      <c r="W122" s="340"/>
      <c r="X122" s="340"/>
      <c r="Y122" s="341"/>
      <c r="Z122" s="340"/>
      <c r="AA122" s="340">
        <f>SUM(AA123:AA125)</f>
        <v>0</v>
      </c>
      <c r="AB122" s="340"/>
      <c r="AC122" s="340"/>
      <c r="AD122" s="341"/>
      <c r="AE122" s="340"/>
      <c r="AF122" s="340">
        <f>SUM(AF123:AF125)</f>
        <v>0</v>
      </c>
      <c r="AG122" s="340"/>
      <c r="AH122" s="340"/>
      <c r="AI122" s="341"/>
      <c r="AJ122" s="340"/>
      <c r="AK122" s="340">
        <f>SUM(AK123:AK125)</f>
        <v>0</v>
      </c>
      <c r="AL122" s="340"/>
      <c r="AM122" s="340"/>
      <c r="AN122" s="341"/>
      <c r="AO122" s="340"/>
      <c r="AP122" s="340">
        <f>SUM(AP123:AP125)</f>
        <v>0</v>
      </c>
      <c r="AQ122" s="340"/>
      <c r="AR122" s="340"/>
      <c r="AS122" s="341"/>
      <c r="AT122" s="340"/>
      <c r="AU122" s="340">
        <f>SUM(AU123:AU125)</f>
        <v>0</v>
      </c>
      <c r="AV122" s="340"/>
      <c r="AW122" s="340"/>
      <c r="AX122" s="341"/>
      <c r="AY122" s="340"/>
      <c r="AZ122" s="340">
        <f>SUM(AZ123:AZ125)</f>
        <v>0</v>
      </c>
      <c r="BA122" s="340"/>
      <c r="BB122" s="340"/>
      <c r="BC122" s="341"/>
      <c r="BD122" s="340"/>
      <c r="BE122" s="340">
        <f>SUM(BE123:BE125)</f>
        <v>0</v>
      </c>
      <c r="BF122" s="340"/>
      <c r="BG122" s="340"/>
      <c r="BH122" s="341"/>
      <c r="BI122" s="340"/>
      <c r="BJ122" s="340">
        <f>SUM(BJ123:BJ125)</f>
        <v>0</v>
      </c>
      <c r="BK122" s="340"/>
      <c r="BL122" s="340"/>
      <c r="BM122" s="341"/>
      <c r="BN122" s="340"/>
      <c r="BO122" s="340">
        <f>SUM(BO123:BO125)</f>
        <v>0</v>
      </c>
      <c r="BP122" s="340"/>
      <c r="BQ122" s="340"/>
      <c r="BR122" s="341"/>
      <c r="BS122" s="340"/>
      <c r="BT122" s="340">
        <f>SUM(BT123:BT125)</f>
        <v>0</v>
      </c>
      <c r="BU122" s="340"/>
      <c r="BV122" s="340"/>
      <c r="BW122" s="245"/>
      <c r="BX122" s="262"/>
    </row>
    <row r="123" spans="1:78" hidden="1" x14ac:dyDescent="0.2">
      <c r="A123" s="244"/>
      <c r="B123" s="244"/>
      <c r="D123" s="254" t="s">
        <v>310</v>
      </c>
      <c r="E123" s="261"/>
      <c r="F123" s="269"/>
      <c r="G123" s="343">
        <f>G133+G153</f>
        <v>0</v>
      </c>
      <c r="H123" s="344"/>
      <c r="I123" s="233"/>
      <c r="J123" s="227"/>
      <c r="K123" s="345"/>
      <c r="L123" s="343">
        <f>L133+L153</f>
        <v>0</v>
      </c>
      <c r="M123" s="344"/>
      <c r="N123" s="233"/>
      <c r="O123" s="227"/>
      <c r="P123" s="345"/>
      <c r="Q123" s="343">
        <f>Q133+Q153</f>
        <v>0</v>
      </c>
      <c r="R123" s="344"/>
      <c r="S123" s="233"/>
      <c r="T123" s="227"/>
      <c r="U123" s="345"/>
      <c r="V123" s="343">
        <f>V133+V153</f>
        <v>0</v>
      </c>
      <c r="W123" s="344"/>
      <c r="X123" s="233"/>
      <c r="Y123" s="227"/>
      <c r="Z123" s="345"/>
      <c r="AA123" s="343">
        <f>AA133+AA153</f>
        <v>0</v>
      </c>
      <c r="AB123" s="344"/>
      <c r="AC123" s="233"/>
      <c r="AD123" s="227"/>
      <c r="AE123" s="345"/>
      <c r="AF123" s="343">
        <f>AF133+AF153</f>
        <v>0</v>
      </c>
      <c r="AG123" s="344"/>
      <c r="AH123" s="233"/>
      <c r="AI123" s="227"/>
      <c r="AJ123" s="345"/>
      <c r="AK123" s="343">
        <f>AK133+AK153</f>
        <v>0</v>
      </c>
      <c r="AL123" s="344"/>
      <c r="AM123" s="233"/>
      <c r="AN123" s="227"/>
      <c r="AO123" s="345"/>
      <c r="AP123" s="343">
        <f>AP133+AP153</f>
        <v>0</v>
      </c>
      <c r="AQ123" s="344"/>
      <c r="AR123" s="233"/>
      <c r="AS123" s="227"/>
      <c r="AT123" s="345"/>
      <c r="AU123" s="343">
        <f>AU133+AU153</f>
        <v>0</v>
      </c>
      <c r="AV123" s="344"/>
      <c r="AW123" s="233"/>
      <c r="AX123" s="227"/>
      <c r="AY123" s="345"/>
      <c r="AZ123" s="343">
        <f>AZ133+AZ153</f>
        <v>0</v>
      </c>
      <c r="BA123" s="344"/>
      <c r="BB123" s="233"/>
      <c r="BC123" s="227"/>
      <c r="BD123" s="345"/>
      <c r="BE123" s="343">
        <f>BE133+BE153</f>
        <v>0</v>
      </c>
      <c r="BF123" s="344"/>
      <c r="BG123" s="233"/>
      <c r="BH123" s="227"/>
      <c r="BI123" s="345"/>
      <c r="BJ123" s="343">
        <f>BJ133+BJ153</f>
        <v>0</v>
      </c>
      <c r="BK123" s="344"/>
      <c r="BL123" s="233"/>
      <c r="BM123" s="227"/>
      <c r="BN123" s="345"/>
      <c r="BO123" s="343">
        <f>BO133+BO153</f>
        <v>0</v>
      </c>
      <c r="BP123" s="344"/>
      <c r="BQ123" s="233"/>
      <c r="BR123" s="227"/>
      <c r="BS123" s="345"/>
      <c r="BT123" s="343">
        <f>BT133+BT128+BT153+BT138+BT143+BT148</f>
        <v>0</v>
      </c>
      <c r="BU123" s="344"/>
      <c r="BV123" s="233"/>
      <c r="BW123" s="244"/>
      <c r="BX123" s="254"/>
      <c r="BY123" s="268"/>
      <c r="BZ123" s="268"/>
    </row>
    <row r="124" spans="1:78" hidden="1" x14ac:dyDescent="0.2">
      <c r="A124" s="244"/>
      <c r="B124" s="244"/>
      <c r="D124" s="254" t="s">
        <v>399</v>
      </c>
      <c r="E124" s="261"/>
      <c r="F124" s="261"/>
      <c r="G124" s="233">
        <f>G134+G154</f>
        <v>0</v>
      </c>
      <c r="H124" s="347"/>
      <c r="I124" s="233"/>
      <c r="J124" s="227"/>
      <c r="K124" s="227"/>
      <c r="L124" s="233">
        <f>L134+L154</f>
        <v>0</v>
      </c>
      <c r="M124" s="347"/>
      <c r="N124" s="233"/>
      <c r="O124" s="227"/>
      <c r="P124" s="227"/>
      <c r="Q124" s="233">
        <f>Q134+Q154</f>
        <v>0</v>
      </c>
      <c r="R124" s="347"/>
      <c r="S124" s="233"/>
      <c r="T124" s="227"/>
      <c r="U124" s="227"/>
      <c r="V124" s="233">
        <f>V134+V154</f>
        <v>0</v>
      </c>
      <c r="W124" s="347"/>
      <c r="X124" s="233"/>
      <c r="Y124" s="227"/>
      <c r="Z124" s="227"/>
      <c r="AA124" s="233">
        <f>AA134+AA154</f>
        <v>0</v>
      </c>
      <c r="AB124" s="347"/>
      <c r="AC124" s="233"/>
      <c r="AD124" s="227"/>
      <c r="AE124" s="227"/>
      <c r="AF124" s="233">
        <f>AF134+AF154</f>
        <v>0</v>
      </c>
      <c r="AG124" s="347"/>
      <c r="AH124" s="233"/>
      <c r="AI124" s="227"/>
      <c r="AJ124" s="227"/>
      <c r="AK124" s="233">
        <f>AK134+AK154</f>
        <v>0</v>
      </c>
      <c r="AL124" s="347"/>
      <c r="AM124" s="233"/>
      <c r="AN124" s="227"/>
      <c r="AO124" s="227"/>
      <c r="AP124" s="233">
        <f>AP134+AP154</f>
        <v>0</v>
      </c>
      <c r="AQ124" s="347"/>
      <c r="AR124" s="233"/>
      <c r="AS124" s="227"/>
      <c r="AT124" s="227"/>
      <c r="AU124" s="233">
        <f>AU134+AU154</f>
        <v>0</v>
      </c>
      <c r="AV124" s="347"/>
      <c r="AW124" s="233"/>
      <c r="AX124" s="227"/>
      <c r="AY124" s="227"/>
      <c r="AZ124" s="233">
        <f>AZ134+AZ154</f>
        <v>0</v>
      </c>
      <c r="BA124" s="347"/>
      <c r="BB124" s="233"/>
      <c r="BC124" s="227"/>
      <c r="BD124" s="227"/>
      <c r="BE124" s="233">
        <f>BE134+BE154</f>
        <v>0</v>
      </c>
      <c r="BF124" s="347"/>
      <c r="BG124" s="233"/>
      <c r="BH124" s="227"/>
      <c r="BI124" s="227"/>
      <c r="BJ124" s="233">
        <f>BJ134+BJ154</f>
        <v>0</v>
      </c>
      <c r="BK124" s="347"/>
      <c r="BL124" s="233"/>
      <c r="BM124" s="227"/>
      <c r="BN124" s="227"/>
      <c r="BO124" s="233">
        <f>BO134+BO154</f>
        <v>0</v>
      </c>
      <c r="BP124" s="347"/>
      <c r="BQ124" s="233"/>
      <c r="BR124" s="227"/>
      <c r="BS124" s="227"/>
      <c r="BT124" s="233">
        <f>BT134+BT129+BT139+BT144+BT154+BT149</f>
        <v>0</v>
      </c>
      <c r="BU124" s="347"/>
      <c r="BV124" s="233"/>
      <c r="BW124" s="244"/>
      <c r="BX124" s="254"/>
      <c r="BY124" s="268"/>
      <c r="BZ124" s="268"/>
    </row>
    <row r="125" spans="1:78" hidden="1" x14ac:dyDescent="0.2">
      <c r="A125" s="244"/>
      <c r="B125" s="244"/>
      <c r="D125" s="254" t="s">
        <v>400</v>
      </c>
      <c r="E125" s="261"/>
      <c r="F125" s="284"/>
      <c r="G125" s="355">
        <f>G135+G155</f>
        <v>0</v>
      </c>
      <c r="H125" s="356"/>
      <c r="I125" s="233"/>
      <c r="J125" s="227"/>
      <c r="K125" s="357"/>
      <c r="L125" s="355">
        <f>L135+L155</f>
        <v>0</v>
      </c>
      <c r="M125" s="356"/>
      <c r="N125" s="233"/>
      <c r="O125" s="227"/>
      <c r="P125" s="357"/>
      <c r="Q125" s="355">
        <f>Q135+Q155</f>
        <v>0</v>
      </c>
      <c r="R125" s="356"/>
      <c r="S125" s="233"/>
      <c r="T125" s="227"/>
      <c r="U125" s="357"/>
      <c r="V125" s="355">
        <f>V135+V155</f>
        <v>0</v>
      </c>
      <c r="W125" s="356"/>
      <c r="X125" s="233"/>
      <c r="Y125" s="227"/>
      <c r="Z125" s="357"/>
      <c r="AA125" s="355">
        <f>AA135+AA155</f>
        <v>0</v>
      </c>
      <c r="AB125" s="356"/>
      <c r="AC125" s="233"/>
      <c r="AD125" s="227"/>
      <c r="AE125" s="357"/>
      <c r="AF125" s="355">
        <f>AF135+AF155</f>
        <v>0</v>
      </c>
      <c r="AG125" s="356"/>
      <c r="AH125" s="233"/>
      <c r="AI125" s="227"/>
      <c r="AJ125" s="357"/>
      <c r="AK125" s="355">
        <f>AK135+AK155</f>
        <v>0</v>
      </c>
      <c r="AL125" s="356"/>
      <c r="AM125" s="233"/>
      <c r="AN125" s="227"/>
      <c r="AO125" s="357"/>
      <c r="AP125" s="355">
        <f>AP135+AP155</f>
        <v>0</v>
      </c>
      <c r="AQ125" s="356"/>
      <c r="AR125" s="233"/>
      <c r="AS125" s="227"/>
      <c r="AT125" s="357"/>
      <c r="AU125" s="355">
        <f>AU135+AU155</f>
        <v>0</v>
      </c>
      <c r="AV125" s="356"/>
      <c r="AW125" s="233"/>
      <c r="AX125" s="227"/>
      <c r="AY125" s="357"/>
      <c r="AZ125" s="355">
        <f>AZ135+AZ155</f>
        <v>0</v>
      </c>
      <c r="BA125" s="356"/>
      <c r="BB125" s="233"/>
      <c r="BC125" s="227"/>
      <c r="BD125" s="357"/>
      <c r="BE125" s="355">
        <f>BE135+BE155</f>
        <v>0</v>
      </c>
      <c r="BF125" s="356"/>
      <c r="BG125" s="233"/>
      <c r="BH125" s="227"/>
      <c r="BI125" s="357"/>
      <c r="BJ125" s="355">
        <f>BJ135+BJ155</f>
        <v>0</v>
      </c>
      <c r="BK125" s="356"/>
      <c r="BL125" s="233"/>
      <c r="BM125" s="227"/>
      <c r="BN125" s="357"/>
      <c r="BO125" s="355">
        <f>BO135+BO155</f>
        <v>0</v>
      </c>
      <c r="BP125" s="356"/>
      <c r="BQ125" s="233"/>
      <c r="BR125" s="227"/>
      <c r="BS125" s="357"/>
      <c r="BT125" s="355">
        <f>BT135+BT130+BT155+BT140+BT145+BT150</f>
        <v>0</v>
      </c>
      <c r="BU125" s="356"/>
      <c r="BV125" s="233"/>
      <c r="BW125" s="244"/>
      <c r="BX125" s="254"/>
      <c r="BY125" s="268"/>
      <c r="BZ125" s="268"/>
    </row>
    <row r="126" spans="1:78" hidden="1" x14ac:dyDescent="0.2">
      <c r="A126" s="244"/>
      <c r="B126" s="244"/>
      <c r="D126" s="254"/>
      <c r="E126" s="261"/>
      <c r="F126" s="244"/>
      <c r="G126" s="233"/>
      <c r="H126" s="233"/>
      <c r="I126" s="233"/>
      <c r="J126" s="227"/>
      <c r="K126" s="233"/>
      <c r="L126" s="233"/>
      <c r="M126" s="233"/>
      <c r="N126" s="233"/>
      <c r="O126" s="227"/>
      <c r="P126" s="233"/>
      <c r="Q126" s="233"/>
      <c r="R126" s="233"/>
      <c r="S126" s="233"/>
      <c r="T126" s="227"/>
      <c r="U126" s="233"/>
      <c r="V126" s="233"/>
      <c r="W126" s="233"/>
      <c r="X126" s="233"/>
      <c r="Y126" s="227"/>
      <c r="Z126" s="233"/>
      <c r="AA126" s="233"/>
      <c r="AB126" s="233"/>
      <c r="AC126" s="233"/>
      <c r="AD126" s="227"/>
      <c r="AE126" s="233"/>
      <c r="AF126" s="233"/>
      <c r="AG126" s="233"/>
      <c r="AH126" s="233"/>
      <c r="AI126" s="227"/>
      <c r="AJ126" s="233"/>
      <c r="AK126" s="233"/>
      <c r="AL126" s="233"/>
      <c r="AM126" s="233"/>
      <c r="AN126" s="227"/>
      <c r="AO126" s="233"/>
      <c r="AP126" s="233"/>
      <c r="AQ126" s="233"/>
      <c r="AR126" s="233"/>
      <c r="AS126" s="227"/>
      <c r="AT126" s="233"/>
      <c r="AU126" s="233"/>
      <c r="AV126" s="233"/>
      <c r="AW126" s="233"/>
      <c r="AX126" s="227"/>
      <c r="AY126" s="233"/>
      <c r="AZ126" s="233"/>
      <c r="BA126" s="233"/>
      <c r="BB126" s="233"/>
      <c r="BC126" s="227"/>
      <c r="BD126" s="233"/>
      <c r="BE126" s="233"/>
      <c r="BF126" s="233"/>
      <c r="BG126" s="233"/>
      <c r="BH126" s="227"/>
      <c r="BI126" s="233"/>
      <c r="BJ126" s="233"/>
      <c r="BK126" s="233"/>
      <c r="BL126" s="233"/>
      <c r="BM126" s="227"/>
      <c r="BN126" s="233"/>
      <c r="BO126" s="233"/>
      <c r="BP126" s="233"/>
      <c r="BQ126" s="233"/>
      <c r="BR126" s="227"/>
      <c r="BS126" s="233"/>
      <c r="BT126" s="233"/>
      <c r="BU126" s="233"/>
      <c r="BV126" s="233"/>
      <c r="BW126" s="244"/>
      <c r="BX126" s="254"/>
      <c r="BY126" s="268"/>
      <c r="BZ126" s="268"/>
    </row>
    <row r="127" spans="1:78" hidden="1" x14ac:dyDescent="0.2">
      <c r="A127" s="244"/>
      <c r="B127" s="244"/>
      <c r="D127" s="254" t="s">
        <v>401</v>
      </c>
      <c r="E127" s="261"/>
      <c r="F127" s="244"/>
      <c r="G127" s="233">
        <f>SUM(G128:G130)</f>
        <v>0</v>
      </c>
      <c r="H127" s="233"/>
      <c r="I127" s="233"/>
      <c r="J127" s="227"/>
      <c r="K127" s="233"/>
      <c r="L127" s="233">
        <f>SUM(L128:L130)</f>
        <v>0</v>
      </c>
      <c r="M127" s="233"/>
      <c r="N127" s="233"/>
      <c r="O127" s="227"/>
      <c r="P127" s="233"/>
      <c r="Q127" s="233">
        <f>SUM(Q128:Q130)</f>
        <v>0</v>
      </c>
      <c r="R127" s="233"/>
      <c r="S127" s="233"/>
      <c r="T127" s="227"/>
      <c r="U127" s="233"/>
      <c r="V127" s="233">
        <f>SUM(V128:V130)</f>
        <v>0</v>
      </c>
      <c r="W127" s="233"/>
      <c r="X127" s="233"/>
      <c r="Y127" s="227"/>
      <c r="Z127" s="233"/>
      <c r="AA127" s="233">
        <f>SUM(AA128:AA130)</f>
        <v>0</v>
      </c>
      <c r="AB127" s="233"/>
      <c r="AC127" s="233"/>
      <c r="AD127" s="227"/>
      <c r="AE127" s="233"/>
      <c r="AF127" s="233">
        <f>SUM(AF128:AF130)</f>
        <v>0</v>
      </c>
      <c r="AG127" s="233"/>
      <c r="AH127" s="233"/>
      <c r="AI127" s="227"/>
      <c r="AJ127" s="233"/>
      <c r="AK127" s="233">
        <f>SUM(AK128:AK130)</f>
        <v>0</v>
      </c>
      <c r="AL127" s="233"/>
      <c r="AM127" s="233"/>
      <c r="AN127" s="227"/>
      <c r="AO127" s="233"/>
      <c r="AP127" s="233">
        <f>SUM(AP128:AP130)</f>
        <v>0</v>
      </c>
      <c r="AQ127" s="233"/>
      <c r="AR127" s="233"/>
      <c r="AS127" s="227"/>
      <c r="AT127" s="233"/>
      <c r="AU127" s="233">
        <f>SUM(AU128:AU130)</f>
        <v>0</v>
      </c>
      <c r="AV127" s="233"/>
      <c r="AW127" s="233"/>
      <c r="AX127" s="227"/>
      <c r="AY127" s="233"/>
      <c r="AZ127" s="233">
        <f>SUM(AZ128:AZ130)</f>
        <v>0</v>
      </c>
      <c r="BA127" s="233"/>
      <c r="BB127" s="233"/>
      <c r="BC127" s="227"/>
      <c r="BD127" s="233"/>
      <c r="BE127" s="233">
        <f>SUM(BE128:BE130)</f>
        <v>0</v>
      </c>
      <c r="BF127" s="233"/>
      <c r="BG127" s="233"/>
      <c r="BH127" s="227"/>
      <c r="BI127" s="233"/>
      <c r="BJ127" s="233">
        <f>SUM(BJ128:BJ130)</f>
        <v>0</v>
      </c>
      <c r="BK127" s="233"/>
      <c r="BL127" s="233"/>
      <c r="BM127" s="227"/>
      <c r="BN127" s="233"/>
      <c r="BO127" s="233">
        <f>SUM(BO128:BO130)</f>
        <v>0</v>
      </c>
      <c r="BP127" s="233"/>
      <c r="BQ127" s="233"/>
      <c r="BR127" s="227"/>
      <c r="BS127" s="233"/>
      <c r="BT127" s="233">
        <f>SUM(BT128:BT130)</f>
        <v>0</v>
      </c>
      <c r="BU127" s="233"/>
      <c r="BV127" s="233"/>
      <c r="BW127" s="244"/>
      <c r="BX127" s="254"/>
      <c r="BY127" s="268"/>
      <c r="BZ127" s="268"/>
    </row>
    <row r="128" spans="1:78" hidden="1" x14ac:dyDescent="0.2">
      <c r="A128" s="244"/>
      <c r="B128" s="244"/>
      <c r="D128" s="254" t="s">
        <v>310</v>
      </c>
      <c r="E128" s="261"/>
      <c r="F128" s="269"/>
      <c r="G128" s="343">
        <v>0</v>
      </c>
      <c r="H128" s="344"/>
      <c r="I128" s="233"/>
      <c r="J128" s="227"/>
      <c r="K128" s="345"/>
      <c r="L128" s="343">
        <v>0</v>
      </c>
      <c r="M128" s="344"/>
      <c r="N128" s="233"/>
      <c r="O128" s="227"/>
      <c r="P128" s="345"/>
      <c r="Q128" s="343">
        <v>0</v>
      </c>
      <c r="R128" s="344"/>
      <c r="S128" s="233"/>
      <c r="T128" s="227"/>
      <c r="U128" s="345"/>
      <c r="V128" s="343">
        <v>0</v>
      </c>
      <c r="W128" s="344"/>
      <c r="X128" s="233"/>
      <c r="Y128" s="227"/>
      <c r="Z128" s="345"/>
      <c r="AA128" s="343">
        <v>0</v>
      </c>
      <c r="AB128" s="344"/>
      <c r="AC128" s="233"/>
      <c r="AD128" s="227"/>
      <c r="AE128" s="345"/>
      <c r="AF128" s="343">
        <v>0</v>
      </c>
      <c r="AG128" s="344"/>
      <c r="AH128" s="233"/>
      <c r="AI128" s="227"/>
      <c r="AJ128" s="345"/>
      <c r="AK128" s="343">
        <v>0</v>
      </c>
      <c r="AL128" s="344"/>
      <c r="AM128" s="233"/>
      <c r="AN128" s="227"/>
      <c r="AO128" s="345"/>
      <c r="AP128" s="343">
        <v>0</v>
      </c>
      <c r="AQ128" s="344"/>
      <c r="AR128" s="233"/>
      <c r="AS128" s="227"/>
      <c r="AT128" s="345"/>
      <c r="AU128" s="343">
        <v>0</v>
      </c>
      <c r="AV128" s="344"/>
      <c r="AW128" s="233"/>
      <c r="AX128" s="227"/>
      <c r="AY128" s="345"/>
      <c r="AZ128" s="343">
        <v>0</v>
      </c>
      <c r="BA128" s="344"/>
      <c r="BB128" s="233"/>
      <c r="BC128" s="227"/>
      <c r="BD128" s="345"/>
      <c r="BE128" s="343">
        <v>0</v>
      </c>
      <c r="BF128" s="344"/>
      <c r="BG128" s="233"/>
      <c r="BH128" s="227"/>
      <c r="BI128" s="345"/>
      <c r="BJ128" s="343">
        <v>0</v>
      </c>
      <c r="BK128" s="344"/>
      <c r="BL128" s="233"/>
      <c r="BM128" s="227"/>
      <c r="BN128" s="345"/>
      <c r="BO128" s="343">
        <v>0</v>
      </c>
      <c r="BP128" s="344"/>
      <c r="BQ128" s="233"/>
      <c r="BR128" s="227"/>
      <c r="BS128" s="345"/>
      <c r="BT128" s="343">
        <f>SUM(L128:BO128)</f>
        <v>0</v>
      </c>
      <c r="BU128" s="344"/>
      <c r="BV128" s="233"/>
      <c r="BW128" s="244"/>
      <c r="BX128" s="254"/>
      <c r="BY128" s="268"/>
      <c r="BZ128" s="268"/>
    </row>
    <row r="129" spans="1:78" hidden="1" x14ac:dyDescent="0.2">
      <c r="A129" s="244"/>
      <c r="B129" s="244"/>
      <c r="D129" s="254" t="s">
        <v>399</v>
      </c>
      <c r="E129" s="261"/>
      <c r="F129" s="261"/>
      <c r="G129" s="233">
        <v>0</v>
      </c>
      <c r="H129" s="347"/>
      <c r="I129" s="233"/>
      <c r="J129" s="227"/>
      <c r="K129" s="227"/>
      <c r="L129" s="233">
        <v>0</v>
      </c>
      <c r="M129" s="347"/>
      <c r="N129" s="233"/>
      <c r="O129" s="227"/>
      <c r="P129" s="227"/>
      <c r="Q129" s="233">
        <v>0</v>
      </c>
      <c r="R129" s="347"/>
      <c r="S129" s="233"/>
      <c r="T129" s="227"/>
      <c r="U129" s="227"/>
      <c r="V129" s="233">
        <v>0</v>
      </c>
      <c r="W129" s="347"/>
      <c r="X129" s="233"/>
      <c r="Y129" s="227"/>
      <c r="Z129" s="227"/>
      <c r="AA129" s="233">
        <v>0</v>
      </c>
      <c r="AB129" s="347"/>
      <c r="AC129" s="233"/>
      <c r="AD129" s="227"/>
      <c r="AE129" s="227"/>
      <c r="AF129" s="233">
        <v>0</v>
      </c>
      <c r="AG129" s="347"/>
      <c r="AH129" s="233"/>
      <c r="AI129" s="227"/>
      <c r="AJ129" s="227"/>
      <c r="AK129" s="233">
        <v>0</v>
      </c>
      <c r="AL129" s="347"/>
      <c r="AM129" s="233"/>
      <c r="AN129" s="227"/>
      <c r="AO129" s="227"/>
      <c r="AP129" s="233">
        <v>0</v>
      </c>
      <c r="AQ129" s="347"/>
      <c r="AR129" s="233"/>
      <c r="AS129" s="227"/>
      <c r="AT129" s="227"/>
      <c r="AU129" s="233">
        <v>0</v>
      </c>
      <c r="AV129" s="347"/>
      <c r="AW129" s="233"/>
      <c r="AX129" s="227"/>
      <c r="AY129" s="227"/>
      <c r="AZ129" s="233">
        <v>0</v>
      </c>
      <c r="BA129" s="347"/>
      <c r="BB129" s="233"/>
      <c r="BC129" s="227"/>
      <c r="BD129" s="227"/>
      <c r="BE129" s="233">
        <v>0</v>
      </c>
      <c r="BF129" s="347"/>
      <c r="BG129" s="233"/>
      <c r="BH129" s="227"/>
      <c r="BI129" s="227"/>
      <c r="BJ129" s="233">
        <v>0</v>
      </c>
      <c r="BK129" s="347"/>
      <c r="BL129" s="233"/>
      <c r="BM129" s="227"/>
      <c r="BN129" s="227"/>
      <c r="BO129" s="233">
        <v>0</v>
      </c>
      <c r="BP129" s="347"/>
      <c r="BQ129" s="233"/>
      <c r="BR129" s="227"/>
      <c r="BS129" s="227"/>
      <c r="BT129" s="233">
        <f>SUM(L129:BO129)</f>
        <v>0</v>
      </c>
      <c r="BU129" s="347"/>
      <c r="BV129" s="233"/>
      <c r="BW129" s="244"/>
      <c r="BX129" s="254"/>
      <c r="BY129" s="268"/>
      <c r="BZ129" s="268"/>
    </row>
    <row r="130" spans="1:78" hidden="1" x14ac:dyDescent="0.2">
      <c r="A130" s="244"/>
      <c r="B130" s="244"/>
      <c r="D130" s="254" t="s">
        <v>400</v>
      </c>
      <c r="E130" s="261"/>
      <c r="F130" s="284"/>
      <c r="G130" s="355">
        <v>0</v>
      </c>
      <c r="H130" s="356"/>
      <c r="I130" s="233"/>
      <c r="J130" s="227"/>
      <c r="K130" s="357"/>
      <c r="L130" s="355">
        <v>0</v>
      </c>
      <c r="M130" s="356"/>
      <c r="N130" s="233"/>
      <c r="O130" s="227"/>
      <c r="P130" s="357"/>
      <c r="Q130" s="355">
        <v>0</v>
      </c>
      <c r="R130" s="356"/>
      <c r="S130" s="233"/>
      <c r="T130" s="227"/>
      <c r="U130" s="357"/>
      <c r="V130" s="355">
        <v>0</v>
      </c>
      <c r="W130" s="356"/>
      <c r="X130" s="233"/>
      <c r="Y130" s="227"/>
      <c r="Z130" s="357"/>
      <c r="AA130" s="355">
        <v>0</v>
      </c>
      <c r="AB130" s="356"/>
      <c r="AC130" s="233"/>
      <c r="AD130" s="227"/>
      <c r="AE130" s="357"/>
      <c r="AF130" s="355">
        <v>0</v>
      </c>
      <c r="AG130" s="356"/>
      <c r="AH130" s="233"/>
      <c r="AI130" s="227"/>
      <c r="AJ130" s="357"/>
      <c r="AK130" s="355">
        <v>0</v>
      </c>
      <c r="AL130" s="356"/>
      <c r="AM130" s="233"/>
      <c r="AN130" s="227"/>
      <c r="AO130" s="357"/>
      <c r="AP130" s="355">
        <v>0</v>
      </c>
      <c r="AQ130" s="356"/>
      <c r="AR130" s="233"/>
      <c r="AS130" s="227"/>
      <c r="AT130" s="357"/>
      <c r="AU130" s="355">
        <v>0</v>
      </c>
      <c r="AV130" s="356"/>
      <c r="AW130" s="233"/>
      <c r="AX130" s="227"/>
      <c r="AY130" s="357"/>
      <c r="AZ130" s="355">
        <v>0</v>
      </c>
      <c r="BA130" s="356"/>
      <c r="BB130" s="233"/>
      <c r="BC130" s="227"/>
      <c r="BD130" s="357"/>
      <c r="BE130" s="355">
        <v>0</v>
      </c>
      <c r="BF130" s="356"/>
      <c r="BG130" s="233"/>
      <c r="BH130" s="227"/>
      <c r="BI130" s="357"/>
      <c r="BJ130" s="355">
        <v>0</v>
      </c>
      <c r="BK130" s="356"/>
      <c r="BL130" s="233"/>
      <c r="BM130" s="227"/>
      <c r="BN130" s="357"/>
      <c r="BO130" s="355">
        <v>0</v>
      </c>
      <c r="BP130" s="356"/>
      <c r="BQ130" s="233"/>
      <c r="BR130" s="227"/>
      <c r="BS130" s="357"/>
      <c r="BT130" s="355">
        <f>SUM(L130:BO130)</f>
        <v>0</v>
      </c>
      <c r="BU130" s="356"/>
      <c r="BV130" s="233"/>
      <c r="BW130" s="244"/>
      <c r="BX130" s="254"/>
      <c r="BY130" s="268"/>
      <c r="BZ130" s="268"/>
    </row>
    <row r="131" spans="1:78" hidden="1" x14ac:dyDescent="0.2">
      <c r="A131" s="244"/>
      <c r="B131" s="244"/>
      <c r="D131" s="254"/>
      <c r="E131" s="261"/>
      <c r="F131" s="244"/>
      <c r="G131" s="233"/>
      <c r="H131" s="233"/>
      <c r="I131" s="233"/>
      <c r="J131" s="227"/>
      <c r="K131" s="233"/>
      <c r="L131" s="233"/>
      <c r="M131" s="233"/>
      <c r="N131" s="233"/>
      <c r="O131" s="227"/>
      <c r="P131" s="233"/>
      <c r="Q131" s="233"/>
      <c r="R131" s="233"/>
      <c r="S131" s="233"/>
      <c r="T131" s="227"/>
      <c r="U131" s="233"/>
      <c r="V131" s="233"/>
      <c r="W131" s="233"/>
      <c r="X131" s="233"/>
      <c r="Y131" s="227"/>
      <c r="Z131" s="233"/>
      <c r="AA131" s="233"/>
      <c r="AB131" s="233"/>
      <c r="AC131" s="233"/>
      <c r="AD131" s="227"/>
      <c r="AE131" s="233"/>
      <c r="AF131" s="233"/>
      <c r="AG131" s="233"/>
      <c r="AH131" s="233"/>
      <c r="AI131" s="227"/>
      <c r="AJ131" s="233"/>
      <c r="AK131" s="233"/>
      <c r="AL131" s="233"/>
      <c r="AM131" s="233"/>
      <c r="AN131" s="227"/>
      <c r="AO131" s="233"/>
      <c r="AP131" s="233"/>
      <c r="AQ131" s="233"/>
      <c r="AR131" s="233"/>
      <c r="AS131" s="227"/>
      <c r="AT131" s="233"/>
      <c r="AU131" s="233"/>
      <c r="AV131" s="233"/>
      <c r="AW131" s="233"/>
      <c r="AX131" s="227"/>
      <c r="AY131" s="233"/>
      <c r="AZ131" s="233"/>
      <c r="BA131" s="233"/>
      <c r="BB131" s="233"/>
      <c r="BC131" s="227"/>
      <c r="BD131" s="233"/>
      <c r="BE131" s="233"/>
      <c r="BF131" s="233"/>
      <c r="BG131" s="233"/>
      <c r="BH131" s="227"/>
      <c r="BI131" s="233"/>
      <c r="BJ131" s="233"/>
      <c r="BK131" s="233"/>
      <c r="BL131" s="233"/>
      <c r="BM131" s="227"/>
      <c r="BN131" s="233"/>
      <c r="BO131" s="233"/>
      <c r="BP131" s="233"/>
      <c r="BQ131" s="233"/>
      <c r="BR131" s="227"/>
      <c r="BS131" s="233"/>
      <c r="BT131" s="233"/>
      <c r="BU131" s="233"/>
      <c r="BV131" s="233"/>
      <c r="BW131" s="244"/>
      <c r="BX131" s="254"/>
      <c r="BY131" s="268"/>
      <c r="BZ131" s="268"/>
    </row>
    <row r="132" spans="1:78" hidden="1" x14ac:dyDescent="0.2">
      <c r="A132" s="244"/>
      <c r="B132" s="244"/>
      <c r="D132" s="254" t="s">
        <v>402</v>
      </c>
      <c r="E132" s="261"/>
      <c r="F132" s="244"/>
      <c r="G132" s="233">
        <f>SUM(G133:G135)</f>
        <v>0</v>
      </c>
      <c r="H132" s="233"/>
      <c r="I132" s="233"/>
      <c r="J132" s="227"/>
      <c r="K132" s="233"/>
      <c r="L132" s="233">
        <f>SUM(L133:L135)</f>
        <v>0</v>
      </c>
      <c r="M132" s="233"/>
      <c r="N132" s="233"/>
      <c r="O132" s="227"/>
      <c r="P132" s="233"/>
      <c r="Q132" s="233">
        <f>SUM(Q133:Q135)</f>
        <v>0</v>
      </c>
      <c r="R132" s="233"/>
      <c r="S132" s="233"/>
      <c r="T132" s="227"/>
      <c r="U132" s="233"/>
      <c r="V132" s="233">
        <f>SUM(V133:V135)</f>
        <v>0</v>
      </c>
      <c r="W132" s="233"/>
      <c r="X132" s="233"/>
      <c r="Y132" s="227"/>
      <c r="Z132" s="233"/>
      <c r="AA132" s="233">
        <f>SUM(AA133:AA135)</f>
        <v>0</v>
      </c>
      <c r="AB132" s="233"/>
      <c r="AC132" s="233"/>
      <c r="AD132" s="227"/>
      <c r="AE132" s="233"/>
      <c r="AF132" s="233">
        <f>SUM(AF133:AF135)</f>
        <v>0</v>
      </c>
      <c r="AG132" s="233"/>
      <c r="AH132" s="233"/>
      <c r="AI132" s="227"/>
      <c r="AJ132" s="233"/>
      <c r="AK132" s="233">
        <f>SUM(AK133:AK135)</f>
        <v>0</v>
      </c>
      <c r="AL132" s="233"/>
      <c r="AM132" s="233"/>
      <c r="AN132" s="227"/>
      <c r="AO132" s="233"/>
      <c r="AP132" s="233">
        <f>SUM(AP133:AP135)</f>
        <v>0</v>
      </c>
      <c r="AQ132" s="233"/>
      <c r="AR132" s="233"/>
      <c r="AS132" s="227"/>
      <c r="AT132" s="233"/>
      <c r="AU132" s="233">
        <f>SUM(AU133:AU135)</f>
        <v>0</v>
      </c>
      <c r="AV132" s="233"/>
      <c r="AW132" s="233"/>
      <c r="AX132" s="227"/>
      <c r="AY132" s="233"/>
      <c r="AZ132" s="233">
        <f>SUM(AZ133:AZ135)</f>
        <v>0</v>
      </c>
      <c r="BA132" s="233"/>
      <c r="BB132" s="233"/>
      <c r="BC132" s="227"/>
      <c r="BD132" s="233"/>
      <c r="BE132" s="233">
        <f>SUM(BE133:BE135)</f>
        <v>0</v>
      </c>
      <c r="BF132" s="233"/>
      <c r="BG132" s="233"/>
      <c r="BH132" s="227"/>
      <c r="BI132" s="233"/>
      <c r="BJ132" s="233">
        <f>SUM(BJ133:BJ135)</f>
        <v>0</v>
      </c>
      <c r="BK132" s="233"/>
      <c r="BL132" s="233"/>
      <c r="BM132" s="227"/>
      <c r="BN132" s="233"/>
      <c r="BO132" s="233">
        <f>SUM(BO133:BO135)</f>
        <v>0</v>
      </c>
      <c r="BP132" s="233"/>
      <c r="BQ132" s="233"/>
      <c r="BR132" s="227"/>
      <c r="BS132" s="233"/>
      <c r="BT132" s="233">
        <f>SUM(BT133:BT135)</f>
        <v>0</v>
      </c>
      <c r="BU132" s="233"/>
      <c r="BV132" s="233"/>
      <c r="BW132" s="244"/>
      <c r="BX132" s="254"/>
      <c r="BY132" s="268"/>
      <c r="BZ132" s="268"/>
    </row>
    <row r="133" spans="1:78" hidden="1" x14ac:dyDescent="0.2">
      <c r="A133" s="244"/>
      <c r="B133" s="244"/>
      <c r="D133" s="254" t="s">
        <v>310</v>
      </c>
      <c r="E133" s="261"/>
      <c r="F133" s="269"/>
      <c r="G133" s="343">
        <v>0</v>
      </c>
      <c r="H133" s="344"/>
      <c r="I133" s="233"/>
      <c r="J133" s="227"/>
      <c r="K133" s="345"/>
      <c r="L133" s="343">
        <v>0</v>
      </c>
      <c r="M133" s="344"/>
      <c r="N133" s="233"/>
      <c r="O133" s="227"/>
      <c r="P133" s="345"/>
      <c r="Q133" s="343">
        <v>0</v>
      </c>
      <c r="R133" s="344"/>
      <c r="S133" s="233"/>
      <c r="T133" s="227"/>
      <c r="U133" s="345"/>
      <c r="V133" s="343">
        <v>0</v>
      </c>
      <c r="W133" s="344"/>
      <c r="X133" s="233"/>
      <c r="Y133" s="227"/>
      <c r="Z133" s="345"/>
      <c r="AA133" s="343">
        <v>0</v>
      </c>
      <c r="AB133" s="344"/>
      <c r="AC133" s="233"/>
      <c r="AD133" s="227"/>
      <c r="AE133" s="345"/>
      <c r="AF133" s="343">
        <v>0</v>
      </c>
      <c r="AG133" s="344"/>
      <c r="AH133" s="233"/>
      <c r="AI133" s="227"/>
      <c r="AJ133" s="345"/>
      <c r="AK133" s="343">
        <v>0</v>
      </c>
      <c r="AL133" s="344"/>
      <c r="AM133" s="233"/>
      <c r="AN133" s="227"/>
      <c r="AO133" s="345"/>
      <c r="AP133" s="343">
        <v>0</v>
      </c>
      <c r="AQ133" s="344"/>
      <c r="AR133" s="233"/>
      <c r="AS133" s="227"/>
      <c r="AT133" s="345"/>
      <c r="AU133" s="343">
        <v>0</v>
      </c>
      <c r="AV133" s="344"/>
      <c r="AW133" s="233"/>
      <c r="AX133" s="227"/>
      <c r="AY133" s="345"/>
      <c r="AZ133" s="343">
        <v>0</v>
      </c>
      <c r="BA133" s="344"/>
      <c r="BB133" s="233"/>
      <c r="BC133" s="227"/>
      <c r="BD133" s="345"/>
      <c r="BE133" s="343">
        <v>0</v>
      </c>
      <c r="BF133" s="344"/>
      <c r="BG133" s="233"/>
      <c r="BH133" s="227"/>
      <c r="BI133" s="345"/>
      <c r="BJ133" s="343">
        <v>0</v>
      </c>
      <c r="BK133" s="344"/>
      <c r="BL133" s="233"/>
      <c r="BM133" s="227"/>
      <c r="BN133" s="345"/>
      <c r="BO133" s="343">
        <v>0</v>
      </c>
      <c r="BP133" s="344"/>
      <c r="BQ133" s="233"/>
      <c r="BR133" s="227"/>
      <c r="BS133" s="345"/>
      <c r="BT133" s="343">
        <f>SUM(L133:BO133)</f>
        <v>0</v>
      </c>
      <c r="BU133" s="344"/>
      <c r="BV133" s="233"/>
      <c r="BW133" s="244"/>
      <c r="BX133" s="254"/>
      <c r="BY133" s="268"/>
      <c r="BZ133" s="268"/>
    </row>
    <row r="134" spans="1:78" hidden="1" x14ac:dyDescent="0.2">
      <c r="A134" s="244"/>
      <c r="B134" s="244"/>
      <c r="D134" s="254" t="s">
        <v>399</v>
      </c>
      <c r="E134" s="261"/>
      <c r="F134" s="261"/>
      <c r="G134" s="233">
        <v>0</v>
      </c>
      <c r="H134" s="347"/>
      <c r="I134" s="233"/>
      <c r="J134" s="227"/>
      <c r="K134" s="227"/>
      <c r="L134" s="233">
        <v>0</v>
      </c>
      <c r="M134" s="347"/>
      <c r="N134" s="233"/>
      <c r="O134" s="227"/>
      <c r="P134" s="227"/>
      <c r="Q134" s="233">
        <v>0</v>
      </c>
      <c r="R134" s="347"/>
      <c r="S134" s="233"/>
      <c r="T134" s="227"/>
      <c r="U134" s="227"/>
      <c r="V134" s="233">
        <v>0</v>
      </c>
      <c r="W134" s="347"/>
      <c r="X134" s="233"/>
      <c r="Y134" s="227"/>
      <c r="Z134" s="227"/>
      <c r="AA134" s="233">
        <v>0</v>
      </c>
      <c r="AB134" s="347"/>
      <c r="AC134" s="233"/>
      <c r="AD134" s="227"/>
      <c r="AE134" s="227"/>
      <c r="AF134" s="233">
        <v>0</v>
      </c>
      <c r="AG134" s="347"/>
      <c r="AH134" s="233"/>
      <c r="AI134" s="227"/>
      <c r="AJ134" s="227"/>
      <c r="AK134" s="233">
        <v>0</v>
      </c>
      <c r="AL134" s="347"/>
      <c r="AM134" s="233"/>
      <c r="AN134" s="227"/>
      <c r="AO134" s="227"/>
      <c r="AP134" s="233">
        <v>0</v>
      </c>
      <c r="AQ134" s="347"/>
      <c r="AR134" s="233"/>
      <c r="AS134" s="227"/>
      <c r="AT134" s="227"/>
      <c r="AU134" s="233">
        <v>0</v>
      </c>
      <c r="AV134" s="347"/>
      <c r="AW134" s="233"/>
      <c r="AX134" s="227"/>
      <c r="AY134" s="227"/>
      <c r="AZ134" s="233">
        <v>0</v>
      </c>
      <c r="BA134" s="347"/>
      <c r="BB134" s="233"/>
      <c r="BC134" s="227"/>
      <c r="BD134" s="227"/>
      <c r="BE134" s="233">
        <v>0</v>
      </c>
      <c r="BF134" s="347"/>
      <c r="BG134" s="233"/>
      <c r="BH134" s="227"/>
      <c r="BI134" s="227"/>
      <c r="BJ134" s="233">
        <v>0</v>
      </c>
      <c r="BK134" s="347"/>
      <c r="BL134" s="233"/>
      <c r="BM134" s="227"/>
      <c r="BN134" s="227"/>
      <c r="BO134" s="233">
        <v>0</v>
      </c>
      <c r="BP134" s="347"/>
      <c r="BQ134" s="233"/>
      <c r="BR134" s="227"/>
      <c r="BS134" s="227"/>
      <c r="BT134" s="233">
        <f>SUM(L134:BO134)</f>
        <v>0</v>
      </c>
      <c r="BU134" s="347"/>
      <c r="BV134" s="233"/>
      <c r="BW134" s="244"/>
      <c r="BX134" s="254"/>
      <c r="BY134" s="268"/>
      <c r="BZ134" s="268"/>
    </row>
    <row r="135" spans="1:78" hidden="1" x14ac:dyDescent="0.2">
      <c r="A135" s="244"/>
      <c r="B135" s="244"/>
      <c r="D135" s="254" t="s">
        <v>400</v>
      </c>
      <c r="E135" s="261"/>
      <c r="F135" s="284"/>
      <c r="G135" s="355">
        <v>0</v>
      </c>
      <c r="H135" s="356"/>
      <c r="I135" s="233"/>
      <c r="J135" s="227"/>
      <c r="K135" s="357"/>
      <c r="L135" s="355">
        <v>0</v>
      </c>
      <c r="M135" s="356"/>
      <c r="N135" s="233"/>
      <c r="O135" s="227"/>
      <c r="P135" s="357"/>
      <c r="Q135" s="355">
        <v>0</v>
      </c>
      <c r="R135" s="356"/>
      <c r="S135" s="233"/>
      <c r="T135" s="227"/>
      <c r="U135" s="357"/>
      <c r="V135" s="355">
        <v>0</v>
      </c>
      <c r="W135" s="356"/>
      <c r="X135" s="233"/>
      <c r="Y135" s="227"/>
      <c r="Z135" s="357"/>
      <c r="AA135" s="355">
        <v>0</v>
      </c>
      <c r="AB135" s="356"/>
      <c r="AC135" s="233"/>
      <c r="AD135" s="227"/>
      <c r="AE135" s="357"/>
      <c r="AF135" s="355">
        <v>0</v>
      </c>
      <c r="AG135" s="356"/>
      <c r="AH135" s="233"/>
      <c r="AI135" s="227"/>
      <c r="AJ135" s="357"/>
      <c r="AK135" s="355">
        <v>0</v>
      </c>
      <c r="AL135" s="356"/>
      <c r="AM135" s="233"/>
      <c r="AN135" s="227"/>
      <c r="AO135" s="357"/>
      <c r="AP135" s="355">
        <v>0</v>
      </c>
      <c r="AQ135" s="356"/>
      <c r="AR135" s="233"/>
      <c r="AS135" s="227"/>
      <c r="AT135" s="357"/>
      <c r="AU135" s="355">
        <v>0</v>
      </c>
      <c r="AV135" s="356"/>
      <c r="AW135" s="233"/>
      <c r="AX135" s="227"/>
      <c r="AY135" s="357"/>
      <c r="AZ135" s="355">
        <v>0</v>
      </c>
      <c r="BA135" s="356"/>
      <c r="BB135" s="233"/>
      <c r="BC135" s="227"/>
      <c r="BD135" s="357"/>
      <c r="BE135" s="355">
        <v>0</v>
      </c>
      <c r="BF135" s="356"/>
      <c r="BG135" s="233"/>
      <c r="BH135" s="227"/>
      <c r="BI135" s="357"/>
      <c r="BJ135" s="355">
        <v>0</v>
      </c>
      <c r="BK135" s="356"/>
      <c r="BL135" s="233"/>
      <c r="BM135" s="227"/>
      <c r="BN135" s="357"/>
      <c r="BO135" s="355">
        <v>0</v>
      </c>
      <c r="BP135" s="356"/>
      <c r="BQ135" s="233"/>
      <c r="BR135" s="227"/>
      <c r="BS135" s="357"/>
      <c r="BT135" s="355">
        <f>SUM(L135:BO135)</f>
        <v>0</v>
      </c>
      <c r="BU135" s="356"/>
      <c r="BV135" s="233"/>
      <c r="BW135" s="244"/>
      <c r="BX135" s="254"/>
      <c r="BY135" s="268"/>
      <c r="BZ135" s="268"/>
    </row>
    <row r="136" spans="1:78" hidden="1" x14ac:dyDescent="0.2">
      <c r="A136" s="244"/>
      <c r="B136" s="244"/>
      <c r="D136" s="254"/>
      <c r="E136" s="261"/>
      <c r="F136" s="244"/>
      <c r="G136" s="233"/>
      <c r="H136" s="233"/>
      <c r="I136" s="233"/>
      <c r="J136" s="227"/>
      <c r="K136" s="233"/>
      <c r="L136" s="233"/>
      <c r="M136" s="233"/>
      <c r="N136" s="233"/>
      <c r="O136" s="227"/>
      <c r="P136" s="233"/>
      <c r="Q136" s="233"/>
      <c r="R136" s="233"/>
      <c r="S136" s="233"/>
      <c r="T136" s="227"/>
      <c r="U136" s="233"/>
      <c r="V136" s="233"/>
      <c r="W136" s="233"/>
      <c r="X136" s="233"/>
      <c r="Y136" s="227"/>
      <c r="Z136" s="233"/>
      <c r="AA136" s="233"/>
      <c r="AB136" s="233"/>
      <c r="AC136" s="233"/>
      <c r="AD136" s="227"/>
      <c r="AE136" s="233"/>
      <c r="AF136" s="233"/>
      <c r="AG136" s="233"/>
      <c r="AH136" s="233"/>
      <c r="AI136" s="227"/>
      <c r="AJ136" s="233"/>
      <c r="AK136" s="233"/>
      <c r="AL136" s="233"/>
      <c r="AM136" s="233"/>
      <c r="AN136" s="227"/>
      <c r="AO136" s="233"/>
      <c r="AP136" s="233"/>
      <c r="AQ136" s="233"/>
      <c r="AR136" s="233"/>
      <c r="AS136" s="227"/>
      <c r="AT136" s="233"/>
      <c r="AU136" s="233"/>
      <c r="AV136" s="233"/>
      <c r="AW136" s="233"/>
      <c r="AX136" s="227"/>
      <c r="AY136" s="233"/>
      <c r="AZ136" s="233"/>
      <c r="BA136" s="233"/>
      <c r="BB136" s="233"/>
      <c r="BC136" s="227"/>
      <c r="BD136" s="233"/>
      <c r="BE136" s="233"/>
      <c r="BF136" s="233"/>
      <c r="BG136" s="233"/>
      <c r="BH136" s="227"/>
      <c r="BI136" s="233"/>
      <c r="BJ136" s="233"/>
      <c r="BK136" s="233"/>
      <c r="BL136" s="233"/>
      <c r="BM136" s="227"/>
      <c r="BN136" s="233"/>
      <c r="BO136" s="233"/>
      <c r="BP136" s="233"/>
      <c r="BQ136" s="233"/>
      <c r="BR136" s="227"/>
      <c r="BS136" s="233"/>
      <c r="BT136" s="233"/>
      <c r="BU136" s="233"/>
      <c r="BV136" s="233"/>
      <c r="BW136" s="244"/>
      <c r="BX136" s="254"/>
      <c r="BY136" s="268"/>
      <c r="BZ136" s="268"/>
    </row>
    <row r="137" spans="1:78" hidden="1" x14ac:dyDescent="0.2">
      <c r="A137" s="244"/>
      <c r="B137" s="244"/>
      <c r="D137" s="254" t="s">
        <v>403</v>
      </c>
      <c r="E137" s="261"/>
      <c r="F137" s="244"/>
      <c r="G137" s="233">
        <f>SUM(G138:G140)</f>
        <v>0</v>
      </c>
      <c r="H137" s="233"/>
      <c r="I137" s="233"/>
      <c r="J137" s="227"/>
      <c r="K137" s="233"/>
      <c r="L137" s="233">
        <f>SUM(L138:L140)</f>
        <v>0</v>
      </c>
      <c r="M137" s="233"/>
      <c r="N137" s="233"/>
      <c r="O137" s="227"/>
      <c r="P137" s="233"/>
      <c r="Q137" s="233">
        <f>SUM(Q138:Q140)</f>
        <v>0</v>
      </c>
      <c r="R137" s="233"/>
      <c r="S137" s="233"/>
      <c r="T137" s="227"/>
      <c r="U137" s="233"/>
      <c r="V137" s="233">
        <f>SUM(V138:V140)</f>
        <v>0</v>
      </c>
      <c r="W137" s="233"/>
      <c r="X137" s="233"/>
      <c r="Y137" s="227"/>
      <c r="Z137" s="233"/>
      <c r="AA137" s="233">
        <f>SUM(AA138:AA140)</f>
        <v>0</v>
      </c>
      <c r="AB137" s="233"/>
      <c r="AC137" s="233"/>
      <c r="AD137" s="227"/>
      <c r="AE137" s="233"/>
      <c r="AF137" s="233">
        <f>SUM(AF138:AF140)</f>
        <v>0</v>
      </c>
      <c r="AG137" s="233"/>
      <c r="AH137" s="233"/>
      <c r="AI137" s="227"/>
      <c r="AJ137" s="233"/>
      <c r="AK137" s="233">
        <f>SUM(AK138:AK140)</f>
        <v>0</v>
      </c>
      <c r="AL137" s="233"/>
      <c r="AM137" s="233"/>
      <c r="AN137" s="227"/>
      <c r="AO137" s="233"/>
      <c r="AP137" s="233">
        <f>SUM(AP138:AP140)</f>
        <v>0</v>
      </c>
      <c r="AQ137" s="233"/>
      <c r="AR137" s="233"/>
      <c r="AS137" s="227"/>
      <c r="AT137" s="233"/>
      <c r="AU137" s="233">
        <f>SUM(AU138:AU140)</f>
        <v>0</v>
      </c>
      <c r="AV137" s="233"/>
      <c r="AW137" s="233"/>
      <c r="AX137" s="227"/>
      <c r="AY137" s="233"/>
      <c r="AZ137" s="233">
        <f>SUM(AZ138:AZ140)</f>
        <v>0</v>
      </c>
      <c r="BA137" s="233"/>
      <c r="BB137" s="233"/>
      <c r="BC137" s="227"/>
      <c r="BD137" s="233"/>
      <c r="BE137" s="233">
        <f>SUM(BE138:BE140)</f>
        <v>0</v>
      </c>
      <c r="BF137" s="233"/>
      <c r="BG137" s="233"/>
      <c r="BH137" s="227"/>
      <c r="BI137" s="233"/>
      <c r="BJ137" s="233">
        <f>SUM(BJ138:BJ140)</f>
        <v>0</v>
      </c>
      <c r="BK137" s="233"/>
      <c r="BL137" s="233"/>
      <c r="BM137" s="227"/>
      <c r="BN137" s="233"/>
      <c r="BO137" s="233">
        <f>SUM(BO138:BO140)</f>
        <v>0</v>
      </c>
      <c r="BP137" s="233"/>
      <c r="BQ137" s="233"/>
      <c r="BR137" s="227"/>
      <c r="BS137" s="233"/>
      <c r="BT137" s="233">
        <f>SUM(BT138:BT140)</f>
        <v>0</v>
      </c>
      <c r="BU137" s="233"/>
      <c r="BV137" s="233"/>
      <c r="BW137" s="244"/>
      <c r="BX137" s="254"/>
      <c r="BY137" s="268"/>
      <c r="BZ137" s="268"/>
    </row>
    <row r="138" spans="1:78" hidden="1" x14ac:dyDescent="0.2">
      <c r="A138" s="244"/>
      <c r="B138" s="244"/>
      <c r="D138" s="254" t="s">
        <v>310</v>
      </c>
      <c r="E138" s="261"/>
      <c r="F138" s="269"/>
      <c r="G138" s="343">
        <v>0</v>
      </c>
      <c r="H138" s="344"/>
      <c r="I138" s="233"/>
      <c r="J138" s="227"/>
      <c r="K138" s="345"/>
      <c r="L138" s="343">
        <v>0</v>
      </c>
      <c r="M138" s="344"/>
      <c r="N138" s="233"/>
      <c r="O138" s="227"/>
      <c r="P138" s="345"/>
      <c r="Q138" s="343">
        <v>0</v>
      </c>
      <c r="R138" s="344"/>
      <c r="S138" s="233"/>
      <c r="T138" s="227"/>
      <c r="U138" s="345"/>
      <c r="V138" s="343">
        <v>0</v>
      </c>
      <c r="W138" s="344"/>
      <c r="X138" s="233"/>
      <c r="Y138" s="227"/>
      <c r="Z138" s="345"/>
      <c r="AA138" s="343">
        <v>0</v>
      </c>
      <c r="AB138" s="344"/>
      <c r="AC138" s="233"/>
      <c r="AD138" s="227"/>
      <c r="AE138" s="345"/>
      <c r="AF138" s="343">
        <v>0</v>
      </c>
      <c r="AG138" s="344"/>
      <c r="AH138" s="233"/>
      <c r="AI138" s="227"/>
      <c r="AJ138" s="345"/>
      <c r="AK138" s="343">
        <v>0</v>
      </c>
      <c r="AL138" s="344"/>
      <c r="AM138" s="233"/>
      <c r="AN138" s="227"/>
      <c r="AO138" s="345"/>
      <c r="AP138" s="343">
        <v>0</v>
      </c>
      <c r="AQ138" s="344"/>
      <c r="AR138" s="233"/>
      <c r="AS138" s="227"/>
      <c r="AT138" s="345"/>
      <c r="AU138" s="343">
        <v>0</v>
      </c>
      <c r="AV138" s="344"/>
      <c r="AW138" s="233"/>
      <c r="AX138" s="227"/>
      <c r="AY138" s="345"/>
      <c r="AZ138" s="343">
        <v>0</v>
      </c>
      <c r="BA138" s="344"/>
      <c r="BB138" s="233"/>
      <c r="BC138" s="227"/>
      <c r="BD138" s="345"/>
      <c r="BE138" s="343">
        <v>0</v>
      </c>
      <c r="BF138" s="344"/>
      <c r="BG138" s="233"/>
      <c r="BH138" s="227"/>
      <c r="BI138" s="345"/>
      <c r="BJ138" s="343">
        <v>0</v>
      </c>
      <c r="BK138" s="344"/>
      <c r="BL138" s="233"/>
      <c r="BM138" s="227"/>
      <c r="BN138" s="345"/>
      <c r="BO138" s="343">
        <v>0</v>
      </c>
      <c r="BP138" s="344"/>
      <c r="BQ138" s="233"/>
      <c r="BR138" s="227"/>
      <c r="BS138" s="345"/>
      <c r="BT138" s="343">
        <f>SUM(L138:BO138)</f>
        <v>0</v>
      </c>
      <c r="BU138" s="344"/>
      <c r="BV138" s="233"/>
      <c r="BW138" s="244"/>
      <c r="BX138" s="254"/>
      <c r="BY138" s="268"/>
      <c r="BZ138" s="268"/>
    </row>
    <row r="139" spans="1:78" hidden="1" x14ac:dyDescent="0.2">
      <c r="A139" s="244"/>
      <c r="B139" s="244"/>
      <c r="D139" s="254" t="s">
        <v>399</v>
      </c>
      <c r="E139" s="261"/>
      <c r="F139" s="261"/>
      <c r="G139" s="233">
        <v>0</v>
      </c>
      <c r="H139" s="347"/>
      <c r="I139" s="233"/>
      <c r="J139" s="227"/>
      <c r="K139" s="227"/>
      <c r="L139" s="233">
        <v>0</v>
      </c>
      <c r="M139" s="347"/>
      <c r="N139" s="233"/>
      <c r="O139" s="227"/>
      <c r="P139" s="227"/>
      <c r="Q139" s="233">
        <v>0</v>
      </c>
      <c r="R139" s="347"/>
      <c r="S139" s="233"/>
      <c r="T139" s="227"/>
      <c r="U139" s="227"/>
      <c r="V139" s="233">
        <v>0</v>
      </c>
      <c r="W139" s="347"/>
      <c r="X139" s="233"/>
      <c r="Y139" s="227"/>
      <c r="Z139" s="227"/>
      <c r="AA139" s="233">
        <v>0</v>
      </c>
      <c r="AB139" s="347"/>
      <c r="AC139" s="233"/>
      <c r="AD139" s="227"/>
      <c r="AE139" s="227"/>
      <c r="AF139" s="233">
        <v>0</v>
      </c>
      <c r="AG139" s="347"/>
      <c r="AH139" s="233"/>
      <c r="AI139" s="227"/>
      <c r="AJ139" s="227"/>
      <c r="AK139" s="233">
        <v>0</v>
      </c>
      <c r="AL139" s="347"/>
      <c r="AM139" s="233"/>
      <c r="AN139" s="227"/>
      <c r="AO139" s="227"/>
      <c r="AP139" s="233">
        <v>0</v>
      </c>
      <c r="AQ139" s="347"/>
      <c r="AR139" s="233"/>
      <c r="AS139" s="227"/>
      <c r="AT139" s="227"/>
      <c r="AU139" s="233">
        <v>0</v>
      </c>
      <c r="AV139" s="347"/>
      <c r="AW139" s="233"/>
      <c r="AX139" s="227"/>
      <c r="AY139" s="227"/>
      <c r="AZ139" s="233">
        <v>0</v>
      </c>
      <c r="BA139" s="347"/>
      <c r="BB139" s="233"/>
      <c r="BC139" s="227"/>
      <c r="BD139" s="227"/>
      <c r="BE139" s="233">
        <v>0</v>
      </c>
      <c r="BF139" s="347"/>
      <c r="BG139" s="233"/>
      <c r="BH139" s="227"/>
      <c r="BI139" s="227"/>
      <c r="BJ139" s="233">
        <v>0</v>
      </c>
      <c r="BK139" s="347"/>
      <c r="BL139" s="233"/>
      <c r="BM139" s="227"/>
      <c r="BN139" s="227"/>
      <c r="BO139" s="233">
        <v>0</v>
      </c>
      <c r="BP139" s="347"/>
      <c r="BQ139" s="233"/>
      <c r="BR139" s="227"/>
      <c r="BS139" s="227"/>
      <c r="BT139" s="233">
        <f>SUM(L139:BO139)</f>
        <v>0</v>
      </c>
      <c r="BU139" s="347"/>
      <c r="BV139" s="233"/>
      <c r="BW139" s="244"/>
      <c r="BX139" s="254"/>
      <c r="BY139" s="268"/>
      <c r="BZ139" s="268"/>
    </row>
    <row r="140" spans="1:78" hidden="1" x14ac:dyDescent="0.2">
      <c r="A140" s="244"/>
      <c r="B140" s="244"/>
      <c r="D140" s="254" t="s">
        <v>400</v>
      </c>
      <c r="E140" s="261"/>
      <c r="F140" s="284"/>
      <c r="G140" s="355">
        <v>0</v>
      </c>
      <c r="H140" s="356"/>
      <c r="I140" s="233"/>
      <c r="J140" s="227"/>
      <c r="K140" s="357"/>
      <c r="L140" s="355">
        <v>0</v>
      </c>
      <c r="M140" s="356"/>
      <c r="N140" s="233"/>
      <c r="O140" s="227"/>
      <c r="P140" s="357"/>
      <c r="Q140" s="355">
        <v>0</v>
      </c>
      <c r="R140" s="356"/>
      <c r="S140" s="233"/>
      <c r="T140" s="227"/>
      <c r="U140" s="357"/>
      <c r="V140" s="355">
        <v>0</v>
      </c>
      <c r="W140" s="356"/>
      <c r="X140" s="233"/>
      <c r="Y140" s="227"/>
      <c r="Z140" s="357"/>
      <c r="AA140" s="355">
        <v>0</v>
      </c>
      <c r="AB140" s="356"/>
      <c r="AC140" s="233"/>
      <c r="AD140" s="227"/>
      <c r="AE140" s="357"/>
      <c r="AF140" s="355">
        <v>0</v>
      </c>
      <c r="AG140" s="356"/>
      <c r="AH140" s="233"/>
      <c r="AI140" s="227"/>
      <c r="AJ140" s="357"/>
      <c r="AK140" s="355">
        <v>0</v>
      </c>
      <c r="AL140" s="356"/>
      <c r="AM140" s="233"/>
      <c r="AN140" s="227"/>
      <c r="AO140" s="357"/>
      <c r="AP140" s="355">
        <v>0</v>
      </c>
      <c r="AQ140" s="356"/>
      <c r="AR140" s="233"/>
      <c r="AS140" s="227"/>
      <c r="AT140" s="357"/>
      <c r="AU140" s="355">
        <v>0</v>
      </c>
      <c r="AV140" s="356"/>
      <c r="AW140" s="233"/>
      <c r="AX140" s="227"/>
      <c r="AY140" s="357"/>
      <c r="AZ140" s="355">
        <v>0</v>
      </c>
      <c r="BA140" s="356"/>
      <c r="BB140" s="233"/>
      <c r="BC140" s="227"/>
      <c r="BD140" s="357"/>
      <c r="BE140" s="355">
        <v>0</v>
      </c>
      <c r="BF140" s="356"/>
      <c r="BG140" s="233"/>
      <c r="BH140" s="227"/>
      <c r="BI140" s="357"/>
      <c r="BJ140" s="355">
        <v>0</v>
      </c>
      <c r="BK140" s="356"/>
      <c r="BL140" s="233"/>
      <c r="BM140" s="227"/>
      <c r="BN140" s="357"/>
      <c r="BO140" s="355">
        <v>0</v>
      </c>
      <c r="BP140" s="356"/>
      <c r="BQ140" s="233"/>
      <c r="BR140" s="227"/>
      <c r="BS140" s="357"/>
      <c r="BT140" s="355">
        <f>SUM(L140:BO140)</f>
        <v>0</v>
      </c>
      <c r="BU140" s="356"/>
      <c r="BV140" s="233"/>
      <c r="BW140" s="244"/>
      <c r="BX140" s="254"/>
      <c r="BY140" s="268"/>
      <c r="BZ140" s="268"/>
    </row>
    <row r="141" spans="1:78" hidden="1" x14ac:dyDescent="0.2">
      <c r="A141" s="244"/>
      <c r="B141" s="244"/>
      <c r="D141" s="254"/>
      <c r="E141" s="261"/>
      <c r="F141" s="244"/>
      <c r="G141" s="233"/>
      <c r="H141" s="233"/>
      <c r="I141" s="233"/>
      <c r="J141" s="227"/>
      <c r="K141" s="233"/>
      <c r="L141" s="233"/>
      <c r="M141" s="233"/>
      <c r="N141" s="233"/>
      <c r="O141" s="227"/>
      <c r="P141" s="233"/>
      <c r="Q141" s="233"/>
      <c r="R141" s="233"/>
      <c r="S141" s="233"/>
      <c r="T141" s="227"/>
      <c r="U141" s="233"/>
      <c r="V141" s="233"/>
      <c r="W141" s="233"/>
      <c r="X141" s="233"/>
      <c r="Y141" s="227"/>
      <c r="Z141" s="233"/>
      <c r="AA141" s="233"/>
      <c r="AB141" s="233"/>
      <c r="AC141" s="233"/>
      <c r="AD141" s="227"/>
      <c r="AE141" s="233"/>
      <c r="AF141" s="233"/>
      <c r="AG141" s="233"/>
      <c r="AH141" s="233"/>
      <c r="AI141" s="227"/>
      <c r="AJ141" s="233"/>
      <c r="AK141" s="233"/>
      <c r="AL141" s="233"/>
      <c r="AM141" s="233"/>
      <c r="AN141" s="227"/>
      <c r="AO141" s="233"/>
      <c r="AP141" s="233"/>
      <c r="AQ141" s="233"/>
      <c r="AR141" s="233"/>
      <c r="AS141" s="227"/>
      <c r="AT141" s="233"/>
      <c r="AU141" s="233"/>
      <c r="AV141" s="233"/>
      <c r="AW141" s="233"/>
      <c r="AX141" s="227"/>
      <c r="AY141" s="233"/>
      <c r="AZ141" s="233"/>
      <c r="BA141" s="233"/>
      <c r="BB141" s="233"/>
      <c r="BC141" s="227"/>
      <c r="BD141" s="233"/>
      <c r="BE141" s="233"/>
      <c r="BF141" s="233"/>
      <c r="BG141" s="233"/>
      <c r="BH141" s="227"/>
      <c r="BI141" s="233"/>
      <c r="BJ141" s="233"/>
      <c r="BK141" s="233"/>
      <c r="BL141" s="233"/>
      <c r="BM141" s="227"/>
      <c r="BN141" s="233"/>
      <c r="BO141" s="233"/>
      <c r="BP141" s="233"/>
      <c r="BQ141" s="233"/>
      <c r="BR141" s="227"/>
      <c r="BS141" s="233"/>
      <c r="BT141" s="233"/>
      <c r="BU141" s="233"/>
      <c r="BV141" s="233"/>
      <c r="BW141" s="244"/>
      <c r="BX141" s="254"/>
      <c r="BY141" s="268"/>
      <c r="BZ141" s="268"/>
    </row>
    <row r="142" spans="1:78" hidden="1" x14ac:dyDescent="0.2">
      <c r="A142" s="244"/>
      <c r="B142" s="244"/>
      <c r="D142" s="254" t="s">
        <v>404</v>
      </c>
      <c r="E142" s="261"/>
      <c r="F142" s="244"/>
      <c r="G142" s="233">
        <f>SUM(G143:G145)</f>
        <v>0</v>
      </c>
      <c r="H142" s="233"/>
      <c r="I142" s="233"/>
      <c r="J142" s="227"/>
      <c r="K142" s="233"/>
      <c r="L142" s="233">
        <f>SUM(L143:L145)</f>
        <v>0</v>
      </c>
      <c r="M142" s="233"/>
      <c r="N142" s="233"/>
      <c r="O142" s="227"/>
      <c r="P142" s="233"/>
      <c r="Q142" s="233">
        <f>SUM(Q143:Q145)</f>
        <v>0</v>
      </c>
      <c r="R142" s="233"/>
      <c r="S142" s="233"/>
      <c r="T142" s="227"/>
      <c r="U142" s="233"/>
      <c r="V142" s="233">
        <f>SUM(V143:V145)</f>
        <v>0</v>
      </c>
      <c r="W142" s="233"/>
      <c r="X142" s="233"/>
      <c r="Y142" s="227"/>
      <c r="Z142" s="233"/>
      <c r="AA142" s="233">
        <f>SUM(AA143:AA145)</f>
        <v>0</v>
      </c>
      <c r="AB142" s="233"/>
      <c r="AC142" s="233"/>
      <c r="AD142" s="227"/>
      <c r="AE142" s="233"/>
      <c r="AF142" s="233">
        <f>SUM(AF143:AF145)</f>
        <v>0</v>
      </c>
      <c r="AG142" s="233"/>
      <c r="AH142" s="233"/>
      <c r="AI142" s="227"/>
      <c r="AJ142" s="233"/>
      <c r="AK142" s="233">
        <f>SUM(AK143:AK145)</f>
        <v>0</v>
      </c>
      <c r="AL142" s="233"/>
      <c r="AM142" s="233"/>
      <c r="AN142" s="227"/>
      <c r="AO142" s="233"/>
      <c r="AP142" s="233">
        <f>SUM(AP143:AP145)</f>
        <v>0</v>
      </c>
      <c r="AQ142" s="233"/>
      <c r="AR142" s="233"/>
      <c r="AS142" s="227"/>
      <c r="AT142" s="233"/>
      <c r="AU142" s="233">
        <f>SUM(AU143:AU145)</f>
        <v>0</v>
      </c>
      <c r="AV142" s="233"/>
      <c r="AW142" s="233"/>
      <c r="AX142" s="227"/>
      <c r="AY142" s="233"/>
      <c r="AZ142" s="233">
        <f>SUM(AZ143:AZ145)</f>
        <v>0</v>
      </c>
      <c r="BA142" s="233"/>
      <c r="BB142" s="233"/>
      <c r="BC142" s="227"/>
      <c r="BD142" s="233"/>
      <c r="BE142" s="233">
        <f>SUM(BE143:BE145)</f>
        <v>0</v>
      </c>
      <c r="BF142" s="233"/>
      <c r="BG142" s="233"/>
      <c r="BH142" s="227"/>
      <c r="BI142" s="233"/>
      <c r="BJ142" s="233">
        <f>SUM(BJ143:BJ145)</f>
        <v>0</v>
      </c>
      <c r="BK142" s="233"/>
      <c r="BL142" s="233"/>
      <c r="BM142" s="227"/>
      <c r="BN142" s="233"/>
      <c r="BO142" s="233">
        <f>SUM(BO143:BO145)</f>
        <v>0</v>
      </c>
      <c r="BP142" s="233"/>
      <c r="BQ142" s="233"/>
      <c r="BR142" s="227"/>
      <c r="BS142" s="233"/>
      <c r="BT142" s="233">
        <f>SUM(BT143:BT145)</f>
        <v>0</v>
      </c>
      <c r="BU142" s="233"/>
      <c r="BV142" s="233"/>
      <c r="BW142" s="244"/>
      <c r="BX142" s="254"/>
      <c r="BY142" s="268"/>
      <c r="BZ142" s="268"/>
    </row>
    <row r="143" spans="1:78" hidden="1" x14ac:dyDescent="0.2">
      <c r="A143" s="244"/>
      <c r="B143" s="244"/>
      <c r="D143" s="254" t="s">
        <v>310</v>
      </c>
      <c r="E143" s="261"/>
      <c r="F143" s="269"/>
      <c r="G143" s="343">
        <v>0</v>
      </c>
      <c r="H143" s="344"/>
      <c r="I143" s="233"/>
      <c r="J143" s="227"/>
      <c r="K143" s="345"/>
      <c r="L143" s="343">
        <v>0</v>
      </c>
      <c r="M143" s="344"/>
      <c r="N143" s="233"/>
      <c r="O143" s="227"/>
      <c r="P143" s="345"/>
      <c r="Q143" s="343">
        <v>0</v>
      </c>
      <c r="R143" s="344"/>
      <c r="S143" s="233"/>
      <c r="T143" s="227"/>
      <c r="U143" s="345"/>
      <c r="V143" s="343">
        <v>0</v>
      </c>
      <c r="W143" s="344"/>
      <c r="X143" s="233"/>
      <c r="Y143" s="227"/>
      <c r="Z143" s="345"/>
      <c r="AA143" s="343">
        <v>0</v>
      </c>
      <c r="AB143" s="344"/>
      <c r="AC143" s="233"/>
      <c r="AD143" s="227"/>
      <c r="AE143" s="345"/>
      <c r="AF143" s="343">
        <v>0</v>
      </c>
      <c r="AG143" s="344"/>
      <c r="AH143" s="233"/>
      <c r="AI143" s="227"/>
      <c r="AJ143" s="345"/>
      <c r="AK143" s="343">
        <v>0</v>
      </c>
      <c r="AL143" s="344"/>
      <c r="AM143" s="233"/>
      <c r="AN143" s="227"/>
      <c r="AO143" s="345"/>
      <c r="AP143" s="343">
        <v>0</v>
      </c>
      <c r="AQ143" s="344"/>
      <c r="AR143" s="233"/>
      <c r="AS143" s="227"/>
      <c r="AT143" s="345"/>
      <c r="AU143" s="343">
        <v>0</v>
      </c>
      <c r="AV143" s="344"/>
      <c r="AW143" s="233"/>
      <c r="AX143" s="227"/>
      <c r="AY143" s="345"/>
      <c r="AZ143" s="343">
        <v>0</v>
      </c>
      <c r="BA143" s="344"/>
      <c r="BB143" s="233"/>
      <c r="BC143" s="227"/>
      <c r="BD143" s="345"/>
      <c r="BE143" s="343">
        <v>0</v>
      </c>
      <c r="BF143" s="344"/>
      <c r="BG143" s="233"/>
      <c r="BH143" s="227"/>
      <c r="BI143" s="345"/>
      <c r="BJ143" s="343">
        <v>0</v>
      </c>
      <c r="BK143" s="344"/>
      <c r="BL143" s="233"/>
      <c r="BM143" s="227"/>
      <c r="BN143" s="345"/>
      <c r="BO143" s="343">
        <v>0</v>
      </c>
      <c r="BP143" s="344"/>
      <c r="BQ143" s="233"/>
      <c r="BR143" s="227"/>
      <c r="BS143" s="345"/>
      <c r="BT143" s="343">
        <f>SUM(L143:BO143)</f>
        <v>0</v>
      </c>
      <c r="BU143" s="344"/>
      <c r="BV143" s="233"/>
      <c r="BW143" s="244"/>
      <c r="BX143" s="254"/>
      <c r="BY143" s="268"/>
      <c r="BZ143" s="268"/>
    </row>
    <row r="144" spans="1:78" hidden="1" x14ac:dyDescent="0.2">
      <c r="A144" s="244"/>
      <c r="B144" s="244"/>
      <c r="D144" s="254" t="s">
        <v>399</v>
      </c>
      <c r="E144" s="261"/>
      <c r="F144" s="261"/>
      <c r="G144" s="233">
        <v>0</v>
      </c>
      <c r="H144" s="347"/>
      <c r="I144" s="233"/>
      <c r="J144" s="227"/>
      <c r="K144" s="227"/>
      <c r="L144" s="233">
        <v>0</v>
      </c>
      <c r="M144" s="347"/>
      <c r="N144" s="233"/>
      <c r="O144" s="227"/>
      <c r="P144" s="227"/>
      <c r="Q144" s="233">
        <v>0</v>
      </c>
      <c r="R144" s="347"/>
      <c r="S144" s="233"/>
      <c r="T144" s="227"/>
      <c r="U144" s="227"/>
      <c r="V144" s="233">
        <v>0</v>
      </c>
      <c r="W144" s="347"/>
      <c r="X144" s="233"/>
      <c r="Y144" s="227"/>
      <c r="Z144" s="227"/>
      <c r="AA144" s="233">
        <v>0</v>
      </c>
      <c r="AB144" s="347"/>
      <c r="AC144" s="233"/>
      <c r="AD144" s="227"/>
      <c r="AE144" s="227"/>
      <c r="AF144" s="233">
        <v>0</v>
      </c>
      <c r="AG144" s="347"/>
      <c r="AH144" s="233"/>
      <c r="AI144" s="227"/>
      <c r="AJ144" s="227"/>
      <c r="AK144" s="233">
        <v>0</v>
      </c>
      <c r="AL144" s="347"/>
      <c r="AM144" s="233"/>
      <c r="AN144" s="227"/>
      <c r="AO144" s="227"/>
      <c r="AP144" s="233">
        <v>0</v>
      </c>
      <c r="AQ144" s="347"/>
      <c r="AR144" s="233"/>
      <c r="AS144" s="227"/>
      <c r="AT144" s="227"/>
      <c r="AU144" s="233">
        <v>0</v>
      </c>
      <c r="AV144" s="347"/>
      <c r="AW144" s="233"/>
      <c r="AX144" s="227"/>
      <c r="AY144" s="227"/>
      <c r="AZ144" s="233">
        <v>0</v>
      </c>
      <c r="BA144" s="347"/>
      <c r="BB144" s="233"/>
      <c r="BC144" s="227"/>
      <c r="BD144" s="227"/>
      <c r="BE144" s="233">
        <v>0</v>
      </c>
      <c r="BF144" s="347"/>
      <c r="BG144" s="233"/>
      <c r="BH144" s="227"/>
      <c r="BI144" s="227"/>
      <c r="BJ144" s="233">
        <v>0</v>
      </c>
      <c r="BK144" s="347"/>
      <c r="BL144" s="233"/>
      <c r="BM144" s="227"/>
      <c r="BN144" s="227"/>
      <c r="BO144" s="233">
        <v>0</v>
      </c>
      <c r="BP144" s="347"/>
      <c r="BQ144" s="233"/>
      <c r="BR144" s="227"/>
      <c r="BS144" s="227"/>
      <c r="BT144" s="233">
        <f>SUM(L144:BO144)</f>
        <v>0</v>
      </c>
      <c r="BU144" s="347"/>
      <c r="BV144" s="233"/>
      <c r="BW144" s="244"/>
      <c r="BX144" s="254"/>
      <c r="BY144" s="268"/>
      <c r="BZ144" s="268"/>
    </row>
    <row r="145" spans="1:78" hidden="1" x14ac:dyDescent="0.2">
      <c r="A145" s="244"/>
      <c r="B145" s="244"/>
      <c r="D145" s="254" t="s">
        <v>400</v>
      </c>
      <c r="E145" s="261"/>
      <c r="F145" s="284"/>
      <c r="G145" s="355">
        <v>0</v>
      </c>
      <c r="H145" s="356"/>
      <c r="I145" s="233"/>
      <c r="J145" s="227"/>
      <c r="K145" s="357"/>
      <c r="L145" s="355">
        <v>0</v>
      </c>
      <c r="M145" s="356"/>
      <c r="N145" s="233"/>
      <c r="O145" s="227"/>
      <c r="P145" s="357"/>
      <c r="Q145" s="355">
        <v>0</v>
      </c>
      <c r="R145" s="356"/>
      <c r="S145" s="233"/>
      <c r="T145" s="227"/>
      <c r="U145" s="357"/>
      <c r="V145" s="355">
        <v>0</v>
      </c>
      <c r="W145" s="356"/>
      <c r="X145" s="233"/>
      <c r="Y145" s="227"/>
      <c r="Z145" s="357"/>
      <c r="AA145" s="355">
        <v>0</v>
      </c>
      <c r="AB145" s="356"/>
      <c r="AC145" s="233"/>
      <c r="AD145" s="227"/>
      <c r="AE145" s="357"/>
      <c r="AF145" s="355">
        <v>0</v>
      </c>
      <c r="AG145" s="356"/>
      <c r="AH145" s="233"/>
      <c r="AI145" s="227"/>
      <c r="AJ145" s="357"/>
      <c r="AK145" s="355">
        <v>0</v>
      </c>
      <c r="AL145" s="356"/>
      <c r="AM145" s="233"/>
      <c r="AN145" s="227"/>
      <c r="AO145" s="357"/>
      <c r="AP145" s="355">
        <v>0</v>
      </c>
      <c r="AQ145" s="356"/>
      <c r="AR145" s="233"/>
      <c r="AS145" s="227"/>
      <c r="AT145" s="357"/>
      <c r="AU145" s="355">
        <v>0</v>
      </c>
      <c r="AV145" s="356"/>
      <c r="AW145" s="233"/>
      <c r="AX145" s="227"/>
      <c r="AY145" s="357"/>
      <c r="AZ145" s="355">
        <v>0</v>
      </c>
      <c r="BA145" s="356"/>
      <c r="BB145" s="233"/>
      <c r="BC145" s="227"/>
      <c r="BD145" s="357"/>
      <c r="BE145" s="355">
        <v>0</v>
      </c>
      <c r="BF145" s="356"/>
      <c r="BG145" s="233"/>
      <c r="BH145" s="227"/>
      <c r="BI145" s="357"/>
      <c r="BJ145" s="355">
        <v>0</v>
      </c>
      <c r="BK145" s="356"/>
      <c r="BL145" s="233"/>
      <c r="BM145" s="227"/>
      <c r="BN145" s="357"/>
      <c r="BO145" s="355">
        <v>0</v>
      </c>
      <c r="BP145" s="356"/>
      <c r="BQ145" s="233"/>
      <c r="BR145" s="227"/>
      <c r="BS145" s="357"/>
      <c r="BT145" s="355">
        <f>SUM(L145:BO145)</f>
        <v>0</v>
      </c>
      <c r="BU145" s="356"/>
      <c r="BV145" s="233"/>
      <c r="BW145" s="244"/>
      <c r="BX145" s="254"/>
      <c r="BY145" s="268"/>
      <c r="BZ145" s="268"/>
    </row>
    <row r="146" spans="1:78" hidden="1" x14ac:dyDescent="0.2">
      <c r="A146" s="244"/>
      <c r="B146" s="244"/>
      <c r="D146" s="254"/>
      <c r="E146" s="261"/>
      <c r="F146" s="244"/>
      <c r="G146" s="233"/>
      <c r="H146" s="233"/>
      <c r="I146" s="233"/>
      <c r="J146" s="227"/>
      <c r="K146" s="233"/>
      <c r="L146" s="233"/>
      <c r="M146" s="233"/>
      <c r="N146" s="233"/>
      <c r="O146" s="227"/>
      <c r="P146" s="233"/>
      <c r="Q146" s="233"/>
      <c r="R146" s="233"/>
      <c r="S146" s="233"/>
      <c r="T146" s="227"/>
      <c r="U146" s="233"/>
      <c r="V146" s="233"/>
      <c r="W146" s="233"/>
      <c r="X146" s="233"/>
      <c r="Y146" s="227"/>
      <c r="Z146" s="233"/>
      <c r="AA146" s="233"/>
      <c r="AB146" s="233"/>
      <c r="AC146" s="233"/>
      <c r="AD146" s="227"/>
      <c r="AE146" s="233"/>
      <c r="AF146" s="233"/>
      <c r="AG146" s="233"/>
      <c r="AH146" s="233"/>
      <c r="AI146" s="227"/>
      <c r="AJ146" s="233"/>
      <c r="AK146" s="233"/>
      <c r="AL146" s="233"/>
      <c r="AM146" s="233"/>
      <c r="AN146" s="227"/>
      <c r="AO146" s="233"/>
      <c r="AP146" s="233"/>
      <c r="AQ146" s="233"/>
      <c r="AR146" s="233"/>
      <c r="AS146" s="227"/>
      <c r="AT146" s="233"/>
      <c r="AU146" s="233"/>
      <c r="AV146" s="233"/>
      <c r="AW146" s="233"/>
      <c r="AX146" s="227"/>
      <c r="AY146" s="233"/>
      <c r="AZ146" s="233"/>
      <c r="BA146" s="233"/>
      <c r="BB146" s="233"/>
      <c r="BC146" s="227"/>
      <c r="BD146" s="233"/>
      <c r="BE146" s="233"/>
      <c r="BF146" s="233"/>
      <c r="BG146" s="233"/>
      <c r="BH146" s="227"/>
      <c r="BI146" s="233"/>
      <c r="BJ146" s="233"/>
      <c r="BK146" s="233"/>
      <c r="BL146" s="233"/>
      <c r="BM146" s="227"/>
      <c r="BN146" s="233"/>
      <c r="BO146" s="233"/>
      <c r="BP146" s="233"/>
      <c r="BQ146" s="233"/>
      <c r="BR146" s="227"/>
      <c r="BS146" s="233"/>
      <c r="BT146" s="233"/>
      <c r="BU146" s="233"/>
      <c r="BV146" s="233"/>
      <c r="BW146" s="244"/>
      <c r="BX146" s="254"/>
      <c r="BY146" s="268"/>
      <c r="BZ146" s="268"/>
    </row>
    <row r="147" spans="1:78" hidden="1" x14ac:dyDescent="0.2">
      <c r="A147" s="244"/>
      <c r="B147" s="244"/>
      <c r="D147" s="254" t="s">
        <v>405</v>
      </c>
      <c r="E147" s="261"/>
      <c r="F147" s="244"/>
      <c r="G147" s="233">
        <f>SUM(G148:G150)</f>
        <v>0</v>
      </c>
      <c r="H147" s="233"/>
      <c r="I147" s="233"/>
      <c r="J147" s="227"/>
      <c r="K147" s="233"/>
      <c r="L147" s="233">
        <f>SUM(L148:L150)</f>
        <v>0</v>
      </c>
      <c r="M147" s="233"/>
      <c r="N147" s="233"/>
      <c r="O147" s="227"/>
      <c r="P147" s="233"/>
      <c r="Q147" s="233">
        <f>SUM(Q148:Q150)</f>
        <v>0</v>
      </c>
      <c r="R147" s="233"/>
      <c r="S147" s="233"/>
      <c r="T147" s="227"/>
      <c r="U147" s="233"/>
      <c r="V147" s="233">
        <f>SUM(V148:V150)</f>
        <v>0</v>
      </c>
      <c r="W147" s="233"/>
      <c r="X147" s="233"/>
      <c r="Y147" s="227"/>
      <c r="Z147" s="233"/>
      <c r="AA147" s="233">
        <f>SUM(AA148:AA150)</f>
        <v>0</v>
      </c>
      <c r="AB147" s="233"/>
      <c r="AC147" s="233"/>
      <c r="AD147" s="227"/>
      <c r="AE147" s="233"/>
      <c r="AF147" s="233">
        <f>SUM(AF148:AF150)</f>
        <v>0</v>
      </c>
      <c r="AG147" s="233"/>
      <c r="AH147" s="233"/>
      <c r="AI147" s="227"/>
      <c r="AJ147" s="233"/>
      <c r="AK147" s="233">
        <f>SUM(AK148:AK150)</f>
        <v>0</v>
      </c>
      <c r="AL147" s="233"/>
      <c r="AM147" s="233"/>
      <c r="AN147" s="227"/>
      <c r="AO147" s="233"/>
      <c r="AP147" s="233">
        <f>SUM(AP148:AP150)</f>
        <v>0</v>
      </c>
      <c r="AQ147" s="233"/>
      <c r="AR147" s="233"/>
      <c r="AS147" s="227"/>
      <c r="AT147" s="233"/>
      <c r="AU147" s="233">
        <f>SUM(AU148:AU150)</f>
        <v>0</v>
      </c>
      <c r="AV147" s="233"/>
      <c r="AW147" s="233"/>
      <c r="AX147" s="227"/>
      <c r="AY147" s="233"/>
      <c r="AZ147" s="233">
        <f>SUM(AZ148:AZ150)</f>
        <v>0</v>
      </c>
      <c r="BA147" s="233"/>
      <c r="BB147" s="233"/>
      <c r="BC147" s="227"/>
      <c r="BD147" s="233"/>
      <c r="BE147" s="233">
        <f>SUM(BE148:BE150)</f>
        <v>0</v>
      </c>
      <c r="BF147" s="233"/>
      <c r="BG147" s="233"/>
      <c r="BH147" s="227"/>
      <c r="BI147" s="233"/>
      <c r="BJ147" s="233">
        <f>SUM(BJ148:BJ150)</f>
        <v>0</v>
      </c>
      <c r="BK147" s="233"/>
      <c r="BL147" s="233"/>
      <c r="BM147" s="227"/>
      <c r="BN147" s="233"/>
      <c r="BO147" s="233">
        <f>SUM(BO148:BO150)</f>
        <v>0</v>
      </c>
      <c r="BP147" s="233"/>
      <c r="BQ147" s="233"/>
      <c r="BR147" s="227"/>
      <c r="BS147" s="233"/>
      <c r="BT147" s="233">
        <f>SUM(BT148:BT150)</f>
        <v>0</v>
      </c>
      <c r="BU147" s="233"/>
      <c r="BV147" s="233"/>
      <c r="BW147" s="244"/>
      <c r="BX147" s="254"/>
      <c r="BY147" s="268"/>
      <c r="BZ147" s="268"/>
    </row>
    <row r="148" spans="1:78" hidden="1" x14ac:dyDescent="0.2">
      <c r="A148" s="244"/>
      <c r="B148" s="244"/>
      <c r="D148" s="254" t="s">
        <v>310</v>
      </c>
      <c r="E148" s="261"/>
      <c r="F148" s="269"/>
      <c r="G148" s="343">
        <v>0</v>
      </c>
      <c r="H148" s="344"/>
      <c r="I148" s="233"/>
      <c r="J148" s="227"/>
      <c r="K148" s="345"/>
      <c r="L148" s="343">
        <v>0</v>
      </c>
      <c r="M148" s="344"/>
      <c r="N148" s="233"/>
      <c r="O148" s="227"/>
      <c r="P148" s="345"/>
      <c r="Q148" s="343">
        <v>0</v>
      </c>
      <c r="R148" s="344"/>
      <c r="S148" s="233"/>
      <c r="T148" s="227"/>
      <c r="U148" s="345"/>
      <c r="V148" s="343">
        <v>0</v>
      </c>
      <c r="W148" s="344"/>
      <c r="X148" s="233"/>
      <c r="Y148" s="227"/>
      <c r="Z148" s="345"/>
      <c r="AA148" s="343">
        <v>0</v>
      </c>
      <c r="AB148" s="344"/>
      <c r="AC148" s="233"/>
      <c r="AD148" s="227"/>
      <c r="AE148" s="345"/>
      <c r="AF148" s="343">
        <v>0</v>
      </c>
      <c r="AG148" s="344"/>
      <c r="AH148" s="233"/>
      <c r="AI148" s="227"/>
      <c r="AJ148" s="345"/>
      <c r="AK148" s="343">
        <v>0</v>
      </c>
      <c r="AL148" s="344"/>
      <c r="AM148" s="233"/>
      <c r="AN148" s="227"/>
      <c r="AO148" s="345"/>
      <c r="AP148" s="343">
        <v>0</v>
      </c>
      <c r="AQ148" s="344"/>
      <c r="AR148" s="233"/>
      <c r="AS148" s="227"/>
      <c r="AT148" s="345"/>
      <c r="AU148" s="343">
        <v>0</v>
      </c>
      <c r="AV148" s="344"/>
      <c r="AW148" s="233"/>
      <c r="AX148" s="227"/>
      <c r="AY148" s="345"/>
      <c r="AZ148" s="343">
        <v>0</v>
      </c>
      <c r="BA148" s="344"/>
      <c r="BB148" s="233"/>
      <c r="BC148" s="227"/>
      <c r="BD148" s="345"/>
      <c r="BE148" s="343">
        <v>0</v>
      </c>
      <c r="BF148" s="344"/>
      <c r="BG148" s="233"/>
      <c r="BH148" s="227"/>
      <c r="BI148" s="345"/>
      <c r="BJ148" s="343">
        <v>0</v>
      </c>
      <c r="BK148" s="344"/>
      <c r="BL148" s="233"/>
      <c r="BM148" s="227"/>
      <c r="BN148" s="345"/>
      <c r="BO148" s="343">
        <v>0</v>
      </c>
      <c r="BP148" s="344"/>
      <c r="BQ148" s="233"/>
      <c r="BR148" s="227"/>
      <c r="BS148" s="345"/>
      <c r="BT148" s="343">
        <f>SUM(L148:BO148)</f>
        <v>0</v>
      </c>
      <c r="BU148" s="344"/>
      <c r="BV148" s="233"/>
      <c r="BW148" s="244"/>
      <c r="BX148" s="254"/>
      <c r="BY148" s="268"/>
      <c r="BZ148" s="268"/>
    </row>
    <row r="149" spans="1:78" hidden="1" x14ac:dyDescent="0.2">
      <c r="A149" s="244"/>
      <c r="B149" s="244"/>
      <c r="D149" s="254" t="s">
        <v>399</v>
      </c>
      <c r="E149" s="261"/>
      <c r="F149" s="261"/>
      <c r="G149" s="233">
        <v>0</v>
      </c>
      <c r="H149" s="347"/>
      <c r="I149" s="233"/>
      <c r="J149" s="227"/>
      <c r="K149" s="227"/>
      <c r="L149" s="233">
        <v>0</v>
      </c>
      <c r="M149" s="347"/>
      <c r="N149" s="233"/>
      <c r="O149" s="227"/>
      <c r="P149" s="227"/>
      <c r="Q149" s="233">
        <v>0</v>
      </c>
      <c r="R149" s="347"/>
      <c r="S149" s="233"/>
      <c r="T149" s="227"/>
      <c r="U149" s="227"/>
      <c r="V149" s="233">
        <v>0</v>
      </c>
      <c r="W149" s="347"/>
      <c r="X149" s="233"/>
      <c r="Y149" s="227"/>
      <c r="Z149" s="227"/>
      <c r="AA149" s="233">
        <v>0</v>
      </c>
      <c r="AB149" s="347"/>
      <c r="AC149" s="233"/>
      <c r="AD149" s="227"/>
      <c r="AE149" s="227"/>
      <c r="AF149" s="233">
        <v>0</v>
      </c>
      <c r="AG149" s="347"/>
      <c r="AH149" s="233"/>
      <c r="AI149" s="227"/>
      <c r="AJ149" s="227"/>
      <c r="AK149" s="233">
        <v>0</v>
      </c>
      <c r="AL149" s="347"/>
      <c r="AM149" s="233"/>
      <c r="AN149" s="227"/>
      <c r="AO149" s="227"/>
      <c r="AP149" s="233">
        <v>0</v>
      </c>
      <c r="AQ149" s="347"/>
      <c r="AR149" s="233"/>
      <c r="AS149" s="227"/>
      <c r="AT149" s="227"/>
      <c r="AU149" s="233">
        <v>0</v>
      </c>
      <c r="AV149" s="347"/>
      <c r="AW149" s="233"/>
      <c r="AX149" s="227"/>
      <c r="AY149" s="227"/>
      <c r="AZ149" s="233">
        <v>0</v>
      </c>
      <c r="BA149" s="347"/>
      <c r="BB149" s="233"/>
      <c r="BC149" s="227"/>
      <c r="BD149" s="227"/>
      <c r="BE149" s="233">
        <v>0</v>
      </c>
      <c r="BF149" s="347"/>
      <c r="BG149" s="233"/>
      <c r="BH149" s="227"/>
      <c r="BI149" s="227"/>
      <c r="BJ149" s="233">
        <v>0</v>
      </c>
      <c r="BK149" s="347"/>
      <c r="BL149" s="233"/>
      <c r="BM149" s="227"/>
      <c r="BN149" s="227"/>
      <c r="BO149" s="233">
        <v>0</v>
      </c>
      <c r="BP149" s="347"/>
      <c r="BQ149" s="233"/>
      <c r="BR149" s="227"/>
      <c r="BS149" s="227"/>
      <c r="BT149" s="233">
        <f>SUM(L149:BO149)</f>
        <v>0</v>
      </c>
      <c r="BU149" s="347"/>
      <c r="BV149" s="233"/>
      <c r="BW149" s="244"/>
      <c r="BX149" s="254"/>
      <c r="BY149" s="268"/>
      <c r="BZ149" s="268"/>
    </row>
    <row r="150" spans="1:78" hidden="1" x14ac:dyDescent="0.2">
      <c r="A150" s="244"/>
      <c r="B150" s="244"/>
      <c r="D150" s="254" t="s">
        <v>400</v>
      </c>
      <c r="E150" s="261"/>
      <c r="F150" s="284"/>
      <c r="G150" s="355">
        <v>0</v>
      </c>
      <c r="H150" s="356"/>
      <c r="I150" s="233"/>
      <c r="J150" s="227"/>
      <c r="K150" s="357"/>
      <c r="L150" s="355">
        <v>0</v>
      </c>
      <c r="M150" s="356"/>
      <c r="N150" s="233"/>
      <c r="O150" s="227"/>
      <c r="P150" s="357"/>
      <c r="Q150" s="355">
        <v>0</v>
      </c>
      <c r="R150" s="356"/>
      <c r="S150" s="233"/>
      <c r="T150" s="227"/>
      <c r="U150" s="357"/>
      <c r="V150" s="355">
        <v>0</v>
      </c>
      <c r="W150" s="356"/>
      <c r="X150" s="233"/>
      <c r="Y150" s="227"/>
      <c r="Z150" s="357"/>
      <c r="AA150" s="355">
        <v>0</v>
      </c>
      <c r="AB150" s="356"/>
      <c r="AC150" s="233"/>
      <c r="AD150" s="227"/>
      <c r="AE150" s="357"/>
      <c r="AF150" s="355">
        <v>0</v>
      </c>
      <c r="AG150" s="356"/>
      <c r="AH150" s="233"/>
      <c r="AI150" s="227"/>
      <c r="AJ150" s="357"/>
      <c r="AK150" s="355">
        <v>0</v>
      </c>
      <c r="AL150" s="356"/>
      <c r="AM150" s="233"/>
      <c r="AN150" s="227"/>
      <c r="AO150" s="357"/>
      <c r="AP150" s="355">
        <v>0</v>
      </c>
      <c r="AQ150" s="356"/>
      <c r="AR150" s="233"/>
      <c r="AS150" s="227"/>
      <c r="AT150" s="357"/>
      <c r="AU150" s="355">
        <v>0</v>
      </c>
      <c r="AV150" s="356"/>
      <c r="AW150" s="233"/>
      <c r="AX150" s="227"/>
      <c r="AY150" s="357"/>
      <c r="AZ150" s="355">
        <v>0</v>
      </c>
      <c r="BA150" s="356"/>
      <c r="BB150" s="233"/>
      <c r="BC150" s="227"/>
      <c r="BD150" s="357"/>
      <c r="BE150" s="355">
        <v>0</v>
      </c>
      <c r="BF150" s="356"/>
      <c r="BG150" s="233"/>
      <c r="BH150" s="227"/>
      <c r="BI150" s="357"/>
      <c r="BJ150" s="355">
        <v>0</v>
      </c>
      <c r="BK150" s="356"/>
      <c r="BL150" s="233"/>
      <c r="BM150" s="227"/>
      <c r="BN150" s="357"/>
      <c r="BO150" s="355">
        <v>0</v>
      </c>
      <c r="BP150" s="356"/>
      <c r="BQ150" s="233"/>
      <c r="BR150" s="227"/>
      <c r="BS150" s="357"/>
      <c r="BT150" s="355">
        <f>SUM(L150:BO150)</f>
        <v>0</v>
      </c>
      <c r="BU150" s="356"/>
      <c r="BV150" s="233"/>
      <c r="BW150" s="244"/>
      <c r="BX150" s="254"/>
      <c r="BY150" s="268"/>
      <c r="BZ150" s="268"/>
    </row>
    <row r="151" spans="1:78" hidden="1" x14ac:dyDescent="0.2">
      <c r="A151" s="244"/>
      <c r="B151" s="244"/>
      <c r="D151" s="254"/>
      <c r="E151" s="261"/>
      <c r="F151" s="244"/>
      <c r="G151" s="384"/>
      <c r="H151" s="384"/>
      <c r="I151" s="384"/>
      <c r="J151" s="385"/>
      <c r="K151" s="384"/>
      <c r="L151" s="384"/>
      <c r="M151" s="384"/>
      <c r="N151" s="384"/>
      <c r="O151" s="385"/>
      <c r="P151" s="384"/>
      <c r="Q151" s="384"/>
      <c r="R151" s="384"/>
      <c r="S151" s="384"/>
      <c r="T151" s="385"/>
      <c r="U151" s="384"/>
      <c r="V151" s="384"/>
      <c r="W151" s="384"/>
      <c r="X151" s="384"/>
      <c r="Y151" s="385"/>
      <c r="Z151" s="384"/>
      <c r="AA151" s="384"/>
      <c r="AB151" s="384"/>
      <c r="AC151" s="384"/>
      <c r="AD151" s="385"/>
      <c r="AE151" s="384"/>
      <c r="AF151" s="384"/>
      <c r="AG151" s="384"/>
      <c r="AH151" s="384"/>
      <c r="AI151" s="385"/>
      <c r="AJ151" s="384"/>
      <c r="AK151" s="384"/>
      <c r="AL151" s="384"/>
      <c r="AM151" s="384"/>
      <c r="AN151" s="385"/>
      <c r="AO151" s="384"/>
      <c r="AP151" s="384"/>
      <c r="AQ151" s="384"/>
      <c r="AR151" s="384"/>
      <c r="AS151" s="385"/>
      <c r="AT151" s="384"/>
      <c r="AU151" s="384"/>
      <c r="AV151" s="384"/>
      <c r="AW151" s="384"/>
      <c r="AX151" s="385"/>
      <c r="AY151" s="384"/>
      <c r="AZ151" s="384"/>
      <c r="BA151" s="384"/>
      <c r="BB151" s="384"/>
      <c r="BC151" s="385"/>
      <c r="BD151" s="384"/>
      <c r="BE151" s="384"/>
      <c r="BF151" s="384"/>
      <c r="BG151" s="384"/>
      <c r="BH151" s="385"/>
      <c r="BI151" s="384"/>
      <c r="BJ151" s="384"/>
      <c r="BK151" s="384"/>
      <c r="BL151" s="384"/>
      <c r="BM151" s="385"/>
      <c r="BN151" s="384"/>
      <c r="BO151" s="384"/>
      <c r="BP151" s="384"/>
      <c r="BQ151" s="384"/>
      <c r="BR151" s="385"/>
      <c r="BS151" s="384"/>
      <c r="BT151" s="233"/>
      <c r="BU151" s="233"/>
      <c r="BV151" s="233"/>
      <c r="BW151" s="244"/>
      <c r="BX151" s="254"/>
      <c r="BY151" s="268"/>
      <c r="BZ151" s="268"/>
    </row>
    <row r="152" spans="1:78" hidden="1" x14ac:dyDescent="0.2">
      <c r="A152" s="244"/>
      <c r="B152" s="244"/>
      <c r="D152" s="254" t="s">
        <v>406</v>
      </c>
      <c r="E152" s="261"/>
      <c r="F152" s="244"/>
      <c r="G152" s="233">
        <f>SUM(G153:G155)</f>
        <v>0</v>
      </c>
      <c r="H152" s="233"/>
      <c r="I152" s="233"/>
      <c r="J152" s="227"/>
      <c r="K152" s="233"/>
      <c r="L152" s="233">
        <f>SUM(L153:L155)</f>
        <v>0</v>
      </c>
      <c r="M152" s="233"/>
      <c r="N152" s="233"/>
      <c r="O152" s="227"/>
      <c r="P152" s="233"/>
      <c r="Q152" s="233">
        <f>SUM(Q153:Q155)</f>
        <v>0</v>
      </c>
      <c r="R152" s="233"/>
      <c r="S152" s="233"/>
      <c r="T152" s="227"/>
      <c r="U152" s="233"/>
      <c r="V152" s="233">
        <f>SUM(V153:V155)</f>
        <v>0</v>
      </c>
      <c r="W152" s="233"/>
      <c r="X152" s="233"/>
      <c r="Y152" s="227"/>
      <c r="Z152" s="233"/>
      <c r="AA152" s="233">
        <f>SUM(AA153:AA155)</f>
        <v>0</v>
      </c>
      <c r="AB152" s="233"/>
      <c r="AC152" s="233"/>
      <c r="AD152" s="227"/>
      <c r="AE152" s="233"/>
      <c r="AF152" s="233">
        <f>SUM(AF153:AF155)</f>
        <v>0</v>
      </c>
      <c r="AG152" s="233"/>
      <c r="AH152" s="233"/>
      <c r="AI152" s="227"/>
      <c r="AJ152" s="233"/>
      <c r="AK152" s="233">
        <f>SUM(AK153:AK155)</f>
        <v>0</v>
      </c>
      <c r="AL152" s="233"/>
      <c r="AM152" s="233"/>
      <c r="AN152" s="227"/>
      <c r="AO152" s="233"/>
      <c r="AP152" s="233">
        <f>SUM(AP153:AP155)</f>
        <v>0</v>
      </c>
      <c r="AQ152" s="233"/>
      <c r="AR152" s="233"/>
      <c r="AS152" s="227"/>
      <c r="AT152" s="233"/>
      <c r="AU152" s="233">
        <f>SUM(AU153:AU155)</f>
        <v>0</v>
      </c>
      <c r="AV152" s="233"/>
      <c r="AW152" s="233"/>
      <c r="AX152" s="227"/>
      <c r="AY152" s="233"/>
      <c r="AZ152" s="233">
        <f>SUM(AZ153:AZ155)</f>
        <v>0</v>
      </c>
      <c r="BA152" s="233"/>
      <c r="BB152" s="233"/>
      <c r="BC152" s="227"/>
      <c r="BD152" s="233"/>
      <c r="BE152" s="233">
        <f>SUM(BE153:BE155)</f>
        <v>0</v>
      </c>
      <c r="BF152" s="233"/>
      <c r="BG152" s="233"/>
      <c r="BH152" s="227"/>
      <c r="BI152" s="233"/>
      <c r="BJ152" s="233">
        <f>SUM(BJ153:BJ155)</f>
        <v>0</v>
      </c>
      <c r="BK152" s="233"/>
      <c r="BL152" s="233"/>
      <c r="BM152" s="227"/>
      <c r="BN152" s="233"/>
      <c r="BO152" s="233">
        <f>SUM(BO153:BO155)</f>
        <v>0</v>
      </c>
      <c r="BP152" s="233"/>
      <c r="BQ152" s="233"/>
      <c r="BR152" s="227"/>
      <c r="BS152" s="233"/>
      <c r="BT152" s="233">
        <f>SUM(BT153:BT155)</f>
        <v>0</v>
      </c>
      <c r="BU152" s="233"/>
      <c r="BV152" s="233"/>
      <c r="BW152" s="244"/>
      <c r="BX152" s="254"/>
      <c r="BY152" s="268"/>
      <c r="BZ152" s="268"/>
    </row>
    <row r="153" spans="1:78" hidden="1" x14ac:dyDescent="0.2">
      <c r="A153" s="244"/>
      <c r="B153" s="244"/>
      <c r="D153" s="254" t="s">
        <v>310</v>
      </c>
      <c r="E153" s="261"/>
      <c r="F153" s="269"/>
      <c r="G153" s="343">
        <v>0</v>
      </c>
      <c r="H153" s="344"/>
      <c r="I153" s="233"/>
      <c r="J153" s="227"/>
      <c r="K153" s="345"/>
      <c r="L153" s="343">
        <v>0</v>
      </c>
      <c r="M153" s="344"/>
      <c r="N153" s="233"/>
      <c r="O153" s="227"/>
      <c r="P153" s="345"/>
      <c r="Q153" s="343">
        <v>0</v>
      </c>
      <c r="R153" s="344"/>
      <c r="S153" s="233"/>
      <c r="T153" s="227"/>
      <c r="U153" s="345"/>
      <c r="V153" s="343">
        <v>0</v>
      </c>
      <c r="W153" s="344"/>
      <c r="X153" s="233"/>
      <c r="Y153" s="227"/>
      <c r="Z153" s="345"/>
      <c r="AA153" s="343">
        <v>0</v>
      </c>
      <c r="AB153" s="344"/>
      <c r="AC153" s="233"/>
      <c r="AD153" s="227"/>
      <c r="AE153" s="345"/>
      <c r="AF153" s="343">
        <v>0</v>
      </c>
      <c r="AG153" s="344"/>
      <c r="AH153" s="233"/>
      <c r="AI153" s="227"/>
      <c r="AJ153" s="345"/>
      <c r="AK153" s="343">
        <v>0</v>
      </c>
      <c r="AL153" s="344"/>
      <c r="AM153" s="233"/>
      <c r="AN153" s="227"/>
      <c r="AO153" s="345"/>
      <c r="AP153" s="343">
        <v>0</v>
      </c>
      <c r="AQ153" s="344"/>
      <c r="AR153" s="233"/>
      <c r="AS153" s="227"/>
      <c r="AT153" s="345"/>
      <c r="AU153" s="343">
        <v>0</v>
      </c>
      <c r="AV153" s="344"/>
      <c r="AW153" s="233"/>
      <c r="AX153" s="227"/>
      <c r="AY153" s="345"/>
      <c r="AZ153" s="343">
        <v>0</v>
      </c>
      <c r="BA153" s="344"/>
      <c r="BB153" s="233"/>
      <c r="BC153" s="227"/>
      <c r="BD153" s="345"/>
      <c r="BE153" s="343">
        <v>0</v>
      </c>
      <c r="BF153" s="344"/>
      <c r="BG153" s="233"/>
      <c r="BH153" s="227"/>
      <c r="BI153" s="345"/>
      <c r="BJ153" s="343">
        <v>0</v>
      </c>
      <c r="BK153" s="344"/>
      <c r="BL153" s="233"/>
      <c r="BM153" s="227"/>
      <c r="BN153" s="345"/>
      <c r="BO153" s="343">
        <v>0</v>
      </c>
      <c r="BP153" s="344"/>
      <c r="BQ153" s="233"/>
      <c r="BR153" s="227"/>
      <c r="BS153" s="345"/>
      <c r="BT153" s="343">
        <f>SUM(L153:BO153)</f>
        <v>0</v>
      </c>
      <c r="BU153" s="344"/>
      <c r="BV153" s="233"/>
      <c r="BW153" s="244"/>
      <c r="BX153" s="254"/>
      <c r="BY153" s="268"/>
      <c r="BZ153" s="268"/>
    </row>
    <row r="154" spans="1:78" hidden="1" x14ac:dyDescent="0.2">
      <c r="A154" s="244"/>
      <c r="B154" s="244"/>
      <c r="D154" s="254" t="s">
        <v>399</v>
      </c>
      <c r="E154" s="261"/>
      <c r="F154" s="261"/>
      <c r="G154" s="233">
        <v>0</v>
      </c>
      <c r="H154" s="347"/>
      <c r="I154" s="233"/>
      <c r="J154" s="227"/>
      <c r="K154" s="227"/>
      <c r="L154" s="233">
        <v>0</v>
      </c>
      <c r="M154" s="347"/>
      <c r="N154" s="233"/>
      <c r="O154" s="227"/>
      <c r="P154" s="227"/>
      <c r="Q154" s="233">
        <v>0</v>
      </c>
      <c r="R154" s="347"/>
      <c r="S154" s="233"/>
      <c r="T154" s="227"/>
      <c r="U154" s="227"/>
      <c r="V154" s="233">
        <v>0</v>
      </c>
      <c r="W154" s="347"/>
      <c r="X154" s="233"/>
      <c r="Y154" s="227"/>
      <c r="Z154" s="227"/>
      <c r="AA154" s="233">
        <v>0</v>
      </c>
      <c r="AB154" s="347"/>
      <c r="AC154" s="233"/>
      <c r="AD154" s="227"/>
      <c r="AE154" s="227"/>
      <c r="AF154" s="233">
        <v>0</v>
      </c>
      <c r="AG154" s="347"/>
      <c r="AH154" s="233"/>
      <c r="AI154" s="227"/>
      <c r="AJ154" s="227"/>
      <c r="AK154" s="233">
        <v>0</v>
      </c>
      <c r="AL154" s="347"/>
      <c r="AM154" s="233"/>
      <c r="AN154" s="227"/>
      <c r="AO154" s="227"/>
      <c r="AP154" s="233">
        <v>0</v>
      </c>
      <c r="AQ154" s="347"/>
      <c r="AR154" s="233"/>
      <c r="AS154" s="227"/>
      <c r="AT154" s="227"/>
      <c r="AU154" s="233">
        <v>0</v>
      </c>
      <c r="AV154" s="347"/>
      <c r="AW154" s="233"/>
      <c r="AX154" s="227"/>
      <c r="AY154" s="227"/>
      <c r="AZ154" s="233">
        <v>0</v>
      </c>
      <c r="BA154" s="347"/>
      <c r="BB154" s="233"/>
      <c r="BC154" s="227"/>
      <c r="BD154" s="227"/>
      <c r="BE154" s="233">
        <v>0</v>
      </c>
      <c r="BF154" s="347"/>
      <c r="BG154" s="233"/>
      <c r="BH154" s="227"/>
      <c r="BI154" s="227"/>
      <c r="BJ154" s="233">
        <v>0</v>
      </c>
      <c r="BK154" s="347"/>
      <c r="BL154" s="233"/>
      <c r="BM154" s="227"/>
      <c r="BN154" s="227"/>
      <c r="BO154" s="233">
        <v>0</v>
      </c>
      <c r="BP154" s="347"/>
      <c r="BQ154" s="233"/>
      <c r="BR154" s="227"/>
      <c r="BS154" s="227"/>
      <c r="BT154" s="233">
        <f>SUM(L154:BO154)</f>
        <v>0</v>
      </c>
      <c r="BU154" s="347"/>
      <c r="BV154" s="233"/>
      <c r="BW154" s="244"/>
      <c r="BX154" s="254"/>
      <c r="BY154" s="268"/>
      <c r="BZ154" s="268"/>
    </row>
    <row r="155" spans="1:78" hidden="1" x14ac:dyDescent="0.2">
      <c r="A155" s="244"/>
      <c r="B155" s="244"/>
      <c r="D155" s="254" t="s">
        <v>400</v>
      </c>
      <c r="E155" s="261"/>
      <c r="F155" s="284"/>
      <c r="G155" s="355">
        <v>0</v>
      </c>
      <c r="H155" s="356"/>
      <c r="I155" s="233"/>
      <c r="J155" s="227"/>
      <c r="K155" s="357"/>
      <c r="L155" s="355">
        <v>0</v>
      </c>
      <c r="M155" s="356"/>
      <c r="N155" s="233"/>
      <c r="O155" s="227"/>
      <c r="P155" s="357"/>
      <c r="Q155" s="355">
        <v>0</v>
      </c>
      <c r="R155" s="356"/>
      <c r="S155" s="233"/>
      <c r="T155" s="227"/>
      <c r="U155" s="357"/>
      <c r="V155" s="355">
        <v>0</v>
      </c>
      <c r="W155" s="356"/>
      <c r="X155" s="233"/>
      <c r="Y155" s="227"/>
      <c r="Z155" s="357"/>
      <c r="AA155" s="355">
        <v>0</v>
      </c>
      <c r="AB155" s="356"/>
      <c r="AC155" s="233"/>
      <c r="AD155" s="227"/>
      <c r="AE155" s="357"/>
      <c r="AF155" s="355">
        <v>0</v>
      </c>
      <c r="AG155" s="356"/>
      <c r="AH155" s="233"/>
      <c r="AI155" s="227"/>
      <c r="AJ155" s="357"/>
      <c r="AK155" s="355">
        <v>0</v>
      </c>
      <c r="AL155" s="356"/>
      <c r="AM155" s="233"/>
      <c r="AN155" s="227"/>
      <c r="AO155" s="357"/>
      <c r="AP155" s="355">
        <v>0</v>
      </c>
      <c r="AQ155" s="356"/>
      <c r="AR155" s="233"/>
      <c r="AS155" s="227"/>
      <c r="AT155" s="357"/>
      <c r="AU155" s="355">
        <v>0</v>
      </c>
      <c r="AV155" s="356"/>
      <c r="AW155" s="233"/>
      <c r="AX155" s="227"/>
      <c r="AY155" s="357"/>
      <c r="AZ155" s="355">
        <v>0</v>
      </c>
      <c r="BA155" s="356"/>
      <c r="BB155" s="233"/>
      <c r="BC155" s="227"/>
      <c r="BD155" s="357"/>
      <c r="BE155" s="355">
        <v>0</v>
      </c>
      <c r="BF155" s="356"/>
      <c r="BG155" s="233"/>
      <c r="BH155" s="227"/>
      <c r="BI155" s="357"/>
      <c r="BJ155" s="355">
        <v>0</v>
      </c>
      <c r="BK155" s="356"/>
      <c r="BL155" s="233"/>
      <c r="BM155" s="227"/>
      <c r="BN155" s="357"/>
      <c r="BO155" s="355">
        <v>0</v>
      </c>
      <c r="BP155" s="356"/>
      <c r="BQ155" s="233"/>
      <c r="BR155" s="227"/>
      <c r="BS155" s="357"/>
      <c r="BT155" s="355">
        <f>SUM(L155:BO155)</f>
        <v>0</v>
      </c>
      <c r="BU155" s="356"/>
      <c r="BV155" s="233"/>
      <c r="BW155" s="244"/>
      <c r="BX155" s="254"/>
      <c r="BY155" s="268"/>
      <c r="BZ155" s="268"/>
    </row>
    <row r="156" spans="1:78" hidden="1" x14ac:dyDescent="0.2">
      <c r="A156" s="244"/>
      <c r="B156" s="244"/>
      <c r="D156" s="254"/>
      <c r="E156" s="261"/>
      <c r="F156" s="244"/>
      <c r="G156" s="384"/>
      <c r="H156" s="384"/>
      <c r="I156" s="384"/>
      <c r="J156" s="385"/>
      <c r="K156" s="384"/>
      <c r="L156" s="384"/>
      <c r="M156" s="384"/>
      <c r="N156" s="384"/>
      <c r="O156" s="385"/>
      <c r="P156" s="384"/>
      <c r="Q156" s="384"/>
      <c r="R156" s="384"/>
      <c r="S156" s="384"/>
      <c r="T156" s="385"/>
      <c r="U156" s="384"/>
      <c r="V156" s="384"/>
      <c r="W156" s="384"/>
      <c r="X156" s="384"/>
      <c r="Y156" s="385"/>
      <c r="Z156" s="384"/>
      <c r="AA156" s="384"/>
      <c r="AB156" s="384"/>
      <c r="AC156" s="384"/>
      <c r="AD156" s="385"/>
      <c r="AE156" s="384"/>
      <c r="AF156" s="384"/>
      <c r="AG156" s="384"/>
      <c r="AH156" s="384"/>
      <c r="AI156" s="385"/>
      <c r="AJ156" s="384"/>
      <c r="AK156" s="384"/>
      <c r="AL156" s="384"/>
      <c r="AM156" s="384"/>
      <c r="AN156" s="385"/>
      <c r="AO156" s="384"/>
      <c r="AP156" s="384"/>
      <c r="AQ156" s="384"/>
      <c r="AR156" s="384"/>
      <c r="AS156" s="385"/>
      <c r="AT156" s="384"/>
      <c r="AU156" s="384"/>
      <c r="AV156" s="384"/>
      <c r="AW156" s="384"/>
      <c r="AX156" s="385"/>
      <c r="AY156" s="384"/>
      <c r="AZ156" s="384"/>
      <c r="BA156" s="384"/>
      <c r="BB156" s="384"/>
      <c r="BC156" s="385"/>
      <c r="BD156" s="384"/>
      <c r="BE156" s="384"/>
      <c r="BF156" s="384"/>
      <c r="BG156" s="384"/>
      <c r="BH156" s="385"/>
      <c r="BI156" s="384"/>
      <c r="BJ156" s="384"/>
      <c r="BK156" s="384"/>
      <c r="BL156" s="384"/>
      <c r="BM156" s="385"/>
      <c r="BN156" s="384"/>
      <c r="BO156" s="384"/>
      <c r="BP156" s="384"/>
      <c r="BQ156" s="384"/>
      <c r="BR156" s="385"/>
      <c r="BS156" s="384"/>
      <c r="BT156" s="233"/>
      <c r="BU156" s="233"/>
      <c r="BV156" s="233"/>
      <c r="BW156" s="244"/>
      <c r="BX156" s="254"/>
      <c r="BY156" s="268"/>
      <c r="BZ156" s="268"/>
    </row>
    <row r="157" spans="1:78" x14ac:dyDescent="0.2">
      <c r="A157" s="244"/>
      <c r="B157" s="244"/>
      <c r="D157" s="386"/>
      <c r="E157" s="361"/>
      <c r="F157" s="247"/>
      <c r="G157" s="387"/>
      <c r="H157" s="387"/>
      <c r="I157" s="387"/>
      <c r="J157" s="388"/>
      <c r="K157" s="387"/>
      <c r="L157" s="387"/>
      <c r="M157" s="387"/>
      <c r="N157" s="387"/>
      <c r="O157" s="388"/>
      <c r="P157" s="387"/>
      <c r="Q157" s="387"/>
      <c r="R157" s="387"/>
      <c r="S157" s="387"/>
      <c r="T157" s="388"/>
      <c r="U157" s="387"/>
      <c r="V157" s="387"/>
      <c r="W157" s="387"/>
      <c r="X157" s="387"/>
      <c r="Y157" s="388"/>
      <c r="Z157" s="387"/>
      <c r="AA157" s="387"/>
      <c r="AB157" s="387"/>
      <c r="AC157" s="387"/>
      <c r="AD157" s="388"/>
      <c r="AE157" s="387"/>
      <c r="AF157" s="387"/>
      <c r="AG157" s="387"/>
      <c r="AH157" s="387"/>
      <c r="AI157" s="388"/>
      <c r="AJ157" s="387"/>
      <c r="AK157" s="387"/>
      <c r="AL157" s="387"/>
      <c r="AM157" s="387"/>
      <c r="AN157" s="388"/>
      <c r="AO157" s="387"/>
      <c r="AP157" s="387"/>
      <c r="AQ157" s="387"/>
      <c r="AR157" s="387"/>
      <c r="AS157" s="388"/>
      <c r="AT157" s="387"/>
      <c r="AU157" s="387"/>
      <c r="AV157" s="387"/>
      <c r="AW157" s="387"/>
      <c r="AX157" s="388"/>
      <c r="AY157" s="387"/>
      <c r="AZ157" s="387"/>
      <c r="BA157" s="387"/>
      <c r="BB157" s="387"/>
      <c r="BC157" s="388"/>
      <c r="BD157" s="387"/>
      <c r="BE157" s="387"/>
      <c r="BF157" s="387"/>
      <c r="BG157" s="387"/>
      <c r="BH157" s="388"/>
      <c r="BI157" s="387"/>
      <c r="BJ157" s="387"/>
      <c r="BK157" s="387"/>
      <c r="BL157" s="387"/>
      <c r="BM157" s="388"/>
      <c r="BN157" s="387"/>
      <c r="BO157" s="387"/>
      <c r="BP157" s="387"/>
      <c r="BQ157" s="387"/>
      <c r="BR157" s="388"/>
      <c r="BS157" s="387"/>
      <c r="BT157" s="362"/>
      <c r="BU157" s="362"/>
      <c r="BV157" s="362"/>
      <c r="BW157" s="247"/>
      <c r="BX157" s="254"/>
      <c r="BY157" s="268"/>
      <c r="BZ157" s="268"/>
    </row>
    <row r="158" spans="1:78" x14ac:dyDescent="0.2">
      <c r="A158" s="244"/>
      <c r="B158" s="244"/>
      <c r="C158" s="244"/>
      <c r="D158" s="244"/>
      <c r="E158" s="244"/>
      <c r="F158" s="24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/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90"/>
      <c r="BU158" s="390"/>
      <c r="BV158" s="390"/>
      <c r="BW158" s="244"/>
    </row>
    <row r="159" spans="1:78" x14ac:dyDescent="0.2">
      <c r="A159" s="244"/>
      <c r="B159" s="244"/>
      <c r="C159" s="244"/>
      <c r="D159" s="244"/>
      <c r="E159" s="244"/>
      <c r="F159" s="24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4"/>
      <c r="BA159" s="384"/>
      <c r="BB159" s="384"/>
      <c r="BC159" s="384"/>
      <c r="BD159" s="384"/>
      <c r="BE159" s="384"/>
      <c r="BF159" s="384"/>
      <c r="BG159" s="384"/>
      <c r="BH159" s="384"/>
      <c r="BI159" s="384"/>
      <c r="BJ159" s="384"/>
      <c r="BK159" s="384"/>
      <c r="BL159" s="384"/>
      <c r="BM159" s="384"/>
      <c r="BN159" s="384"/>
      <c r="BO159" s="384"/>
      <c r="BP159" s="384"/>
      <c r="BQ159" s="384"/>
      <c r="BR159" s="384"/>
      <c r="BS159" s="384"/>
      <c r="BT159" s="233"/>
      <c r="BU159" s="233"/>
      <c r="BV159" s="233"/>
      <c r="BW159" s="244"/>
    </row>
    <row r="160" spans="1:78" x14ac:dyDescent="0.2">
      <c r="A160" s="244"/>
      <c r="B160" s="244"/>
      <c r="C160" s="244"/>
      <c r="D160" s="244"/>
      <c r="E160" s="244"/>
      <c r="F160" s="24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  <c r="AL160" s="384"/>
      <c r="AM160" s="384"/>
      <c r="AN160" s="384"/>
      <c r="AO160" s="384"/>
      <c r="AP160" s="384"/>
      <c r="AQ160" s="384"/>
      <c r="AR160" s="384"/>
      <c r="AS160" s="384"/>
      <c r="AT160" s="384"/>
      <c r="AU160" s="384"/>
      <c r="AV160" s="384"/>
      <c r="AW160" s="384"/>
      <c r="AX160" s="384"/>
      <c r="AY160" s="384"/>
      <c r="AZ160" s="384"/>
      <c r="BA160" s="384"/>
      <c r="BB160" s="384"/>
      <c r="BC160" s="384"/>
      <c r="BD160" s="384"/>
      <c r="BE160" s="384"/>
      <c r="BF160" s="384"/>
      <c r="BG160" s="384"/>
      <c r="BH160" s="384"/>
      <c r="BI160" s="384"/>
      <c r="BJ160" s="384"/>
      <c r="BK160" s="384"/>
      <c r="BL160" s="384"/>
      <c r="BM160" s="384"/>
      <c r="BN160" s="384"/>
      <c r="BO160" s="384"/>
      <c r="BP160" s="384"/>
      <c r="BQ160" s="384"/>
      <c r="BR160" s="384"/>
      <c r="BS160" s="384"/>
      <c r="BT160" s="233"/>
      <c r="BU160" s="233"/>
      <c r="BV160" s="233"/>
      <c r="BW160" s="244"/>
    </row>
  </sheetData>
  <mergeCells count="1">
    <mergeCell ref="G8:BT8"/>
  </mergeCells>
  <pageMargins left="0.7" right="0.7" top="0.75" bottom="0.75" header="0.3" footer="0.3"/>
  <pageSetup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3"/>
  <sheetViews>
    <sheetView view="pageBreakPreview" topLeftCell="AF1" zoomScaleNormal="100" zoomScaleSheetLayoutView="100" workbookViewId="0">
      <selection activeCell="C28" sqref="C28"/>
    </sheetView>
  </sheetViews>
  <sheetFormatPr defaultColWidth="10" defaultRowHeight="12.75" x14ac:dyDescent="0.2"/>
  <cols>
    <col min="1" max="1" width="1.85546875" style="243" customWidth="1"/>
    <col min="2" max="2" width="1" style="243" customWidth="1"/>
    <col min="3" max="3" width="0.85546875" style="243" customWidth="1"/>
    <col min="4" max="4" width="52.28515625" style="243" customWidth="1"/>
    <col min="5" max="6" width="1" style="243" customWidth="1"/>
    <col min="7" max="7" width="17.85546875" style="243" customWidth="1"/>
    <col min="8" max="11" width="1" style="243" customWidth="1"/>
    <col min="12" max="12" width="17.85546875" style="243" customWidth="1"/>
    <col min="13" max="16" width="1" style="243" customWidth="1"/>
    <col min="17" max="17" width="17.85546875" style="243" customWidth="1"/>
    <col min="18" max="21" width="1" style="243" customWidth="1"/>
    <col min="22" max="22" width="17.85546875" style="243" customWidth="1"/>
    <col min="23" max="26" width="1" style="243" customWidth="1"/>
    <col min="27" max="27" width="17.85546875" style="243" customWidth="1"/>
    <col min="28" max="31" width="1" style="243" customWidth="1"/>
    <col min="32" max="32" width="17.85546875" style="243" customWidth="1"/>
    <col min="33" max="36" width="1" style="243" customWidth="1"/>
    <col min="37" max="37" width="17.85546875" style="243" customWidth="1"/>
    <col min="38" max="41" width="1" style="243" customWidth="1"/>
    <col min="42" max="42" width="17.85546875" style="243" customWidth="1"/>
    <col min="43" max="46" width="1" style="243" customWidth="1"/>
    <col min="47" max="47" width="17.85546875" style="243" customWidth="1"/>
    <col min="48" max="51" width="1" style="243" customWidth="1"/>
    <col min="52" max="52" width="17.85546875" style="243" customWidth="1"/>
    <col min="53" max="56" width="1" style="243" customWidth="1"/>
    <col min="57" max="57" width="17.85546875" style="243" customWidth="1"/>
    <col min="58" max="61" width="1" style="243" customWidth="1"/>
    <col min="62" max="62" width="17.85546875" style="243" customWidth="1"/>
    <col min="63" max="66" width="1" style="243" customWidth="1"/>
    <col min="67" max="67" width="17.85546875" style="243" customWidth="1"/>
    <col min="68" max="71" width="1" style="243" customWidth="1"/>
    <col min="72" max="72" width="17.85546875" style="243" customWidth="1"/>
    <col min="73" max="75" width="1" style="243" customWidth="1"/>
    <col min="76" max="76" width="0.7109375" style="243" customWidth="1"/>
    <col min="77" max="77" width="3.28515625" style="243" customWidth="1"/>
    <col min="78" max="78" width="10" style="243"/>
    <col min="79" max="79" width="10.42578125" style="243" bestFit="1" customWidth="1"/>
    <col min="80" max="187" width="10" style="243"/>
    <col min="188" max="188" width="1.85546875" style="243" customWidth="1"/>
    <col min="189" max="189" width="1" style="243" customWidth="1"/>
    <col min="190" max="190" width="0.85546875" style="243" customWidth="1"/>
    <col min="191" max="191" width="52.28515625" style="243" customWidth="1"/>
    <col min="192" max="193" width="1" style="243" customWidth="1"/>
    <col min="194" max="194" width="16.85546875" style="243" customWidth="1"/>
    <col min="195" max="196" width="1" style="243" customWidth="1"/>
    <col min="197" max="251" width="0" style="243" hidden="1" customWidth="1"/>
    <col min="252" max="253" width="1" style="243" customWidth="1"/>
    <col min="254" max="254" width="17.85546875" style="243" customWidth="1"/>
    <col min="255" max="258" width="1" style="243" customWidth="1"/>
    <col min="259" max="259" width="16.140625" style="243" customWidth="1"/>
    <col min="260" max="263" width="1" style="243" customWidth="1"/>
    <col min="264" max="264" width="15.140625" style="243" customWidth="1"/>
    <col min="265" max="266" width="1" style="243" customWidth="1"/>
    <col min="267" max="321" width="0" style="243" hidden="1" customWidth="1"/>
    <col min="322" max="323" width="1" style="243" customWidth="1"/>
    <col min="324" max="324" width="17.85546875" style="243" customWidth="1"/>
    <col min="325" max="328" width="1" style="243" customWidth="1"/>
    <col min="329" max="329" width="15.7109375" style="243" customWidth="1"/>
    <col min="330" max="331" width="1" style="243" customWidth="1"/>
    <col min="332" max="332" width="0.7109375" style="243" customWidth="1"/>
    <col min="333" max="333" width="3.28515625" style="243" customWidth="1"/>
    <col min="334" max="334" width="10" style="243"/>
    <col min="335" max="335" width="10.42578125" style="243" bestFit="1" customWidth="1"/>
    <col min="336" max="443" width="10" style="243"/>
    <col min="444" max="444" width="1.85546875" style="243" customWidth="1"/>
    <col min="445" max="445" width="1" style="243" customWidth="1"/>
    <col min="446" max="446" width="0.85546875" style="243" customWidth="1"/>
    <col min="447" max="447" width="52.28515625" style="243" customWidth="1"/>
    <col min="448" max="449" width="1" style="243" customWidth="1"/>
    <col min="450" max="450" width="16.85546875" style="243" customWidth="1"/>
    <col min="451" max="452" width="1" style="243" customWidth="1"/>
    <col min="453" max="507" width="0" style="243" hidden="1" customWidth="1"/>
    <col min="508" max="509" width="1" style="243" customWidth="1"/>
    <col min="510" max="510" width="17.85546875" style="243" customWidth="1"/>
    <col min="511" max="514" width="1" style="243" customWidth="1"/>
    <col min="515" max="515" width="16.140625" style="243" customWidth="1"/>
    <col min="516" max="519" width="1" style="243" customWidth="1"/>
    <col min="520" max="520" width="15.140625" style="243" customWidth="1"/>
    <col min="521" max="522" width="1" style="243" customWidth="1"/>
    <col min="523" max="577" width="0" style="243" hidden="1" customWidth="1"/>
    <col min="578" max="579" width="1" style="243" customWidth="1"/>
    <col min="580" max="580" width="17.85546875" style="243" customWidth="1"/>
    <col min="581" max="584" width="1" style="243" customWidth="1"/>
    <col min="585" max="585" width="15.7109375" style="243" customWidth="1"/>
    <col min="586" max="587" width="1" style="243" customWidth="1"/>
    <col min="588" max="588" width="0.7109375" style="243" customWidth="1"/>
    <col min="589" max="589" width="3.28515625" style="243" customWidth="1"/>
    <col min="590" max="590" width="10" style="243"/>
    <col min="591" max="591" width="10.42578125" style="243" bestFit="1" customWidth="1"/>
    <col min="592" max="699" width="10" style="243"/>
    <col min="700" max="700" width="1.85546875" style="243" customWidth="1"/>
    <col min="701" max="701" width="1" style="243" customWidth="1"/>
    <col min="702" max="702" width="0.85546875" style="243" customWidth="1"/>
    <col min="703" max="703" width="52.28515625" style="243" customWidth="1"/>
    <col min="704" max="705" width="1" style="243" customWidth="1"/>
    <col min="706" max="706" width="16.85546875" style="243" customWidth="1"/>
    <col min="707" max="708" width="1" style="243" customWidth="1"/>
    <col min="709" max="763" width="0" style="243" hidden="1" customWidth="1"/>
    <col min="764" max="765" width="1" style="243" customWidth="1"/>
    <col min="766" max="766" width="17.85546875" style="243" customWidth="1"/>
    <col min="767" max="770" width="1" style="243" customWidth="1"/>
    <col min="771" max="771" width="16.140625" style="243" customWidth="1"/>
    <col min="772" max="775" width="1" style="243" customWidth="1"/>
    <col min="776" max="776" width="15.140625" style="243" customWidth="1"/>
    <col min="777" max="778" width="1" style="243" customWidth="1"/>
    <col min="779" max="833" width="0" style="243" hidden="1" customWidth="1"/>
    <col min="834" max="835" width="1" style="243" customWidth="1"/>
    <col min="836" max="836" width="17.85546875" style="243" customWidth="1"/>
    <col min="837" max="840" width="1" style="243" customWidth="1"/>
    <col min="841" max="841" width="15.7109375" style="243" customWidth="1"/>
    <col min="842" max="843" width="1" style="243" customWidth="1"/>
    <col min="844" max="844" width="0.7109375" style="243" customWidth="1"/>
    <col min="845" max="845" width="3.28515625" style="243" customWidth="1"/>
    <col min="846" max="846" width="10" style="243"/>
    <col min="847" max="847" width="10.42578125" style="243" bestFit="1" customWidth="1"/>
    <col min="848" max="955" width="10" style="243"/>
    <col min="956" max="956" width="1.85546875" style="243" customWidth="1"/>
    <col min="957" max="957" width="1" style="243" customWidth="1"/>
    <col min="958" max="958" width="0.85546875" style="243" customWidth="1"/>
    <col min="959" max="959" width="52.28515625" style="243" customWidth="1"/>
    <col min="960" max="961" width="1" style="243" customWidth="1"/>
    <col min="962" max="962" width="16.85546875" style="243" customWidth="1"/>
    <col min="963" max="964" width="1" style="243" customWidth="1"/>
    <col min="965" max="1019" width="0" style="243" hidden="1" customWidth="1"/>
    <col min="1020" max="1021" width="1" style="243" customWidth="1"/>
    <col min="1022" max="1022" width="17.85546875" style="243" customWidth="1"/>
    <col min="1023" max="1026" width="1" style="243" customWidth="1"/>
    <col min="1027" max="1027" width="16.140625" style="243" customWidth="1"/>
    <col min="1028" max="1031" width="1" style="243" customWidth="1"/>
    <col min="1032" max="1032" width="15.140625" style="243" customWidth="1"/>
    <col min="1033" max="1034" width="1" style="243" customWidth="1"/>
    <col min="1035" max="1089" width="0" style="243" hidden="1" customWidth="1"/>
    <col min="1090" max="1091" width="1" style="243" customWidth="1"/>
    <col min="1092" max="1092" width="17.85546875" style="243" customWidth="1"/>
    <col min="1093" max="1096" width="1" style="243" customWidth="1"/>
    <col min="1097" max="1097" width="15.7109375" style="243" customWidth="1"/>
    <col min="1098" max="1099" width="1" style="243" customWidth="1"/>
    <col min="1100" max="1100" width="0.7109375" style="243" customWidth="1"/>
    <col min="1101" max="1101" width="3.28515625" style="243" customWidth="1"/>
    <col min="1102" max="1102" width="10" style="243"/>
    <col min="1103" max="1103" width="10.42578125" style="243" bestFit="1" customWidth="1"/>
    <col min="1104" max="1211" width="10" style="243"/>
    <col min="1212" max="1212" width="1.85546875" style="243" customWidth="1"/>
    <col min="1213" max="1213" width="1" style="243" customWidth="1"/>
    <col min="1214" max="1214" width="0.85546875" style="243" customWidth="1"/>
    <col min="1215" max="1215" width="52.28515625" style="243" customWidth="1"/>
    <col min="1216" max="1217" width="1" style="243" customWidth="1"/>
    <col min="1218" max="1218" width="16.85546875" style="243" customWidth="1"/>
    <col min="1219" max="1220" width="1" style="243" customWidth="1"/>
    <col min="1221" max="1275" width="0" style="243" hidden="1" customWidth="1"/>
    <col min="1276" max="1277" width="1" style="243" customWidth="1"/>
    <col min="1278" max="1278" width="17.85546875" style="243" customWidth="1"/>
    <col min="1279" max="1282" width="1" style="243" customWidth="1"/>
    <col min="1283" max="1283" width="16.140625" style="243" customWidth="1"/>
    <col min="1284" max="1287" width="1" style="243" customWidth="1"/>
    <col min="1288" max="1288" width="15.140625" style="243" customWidth="1"/>
    <col min="1289" max="1290" width="1" style="243" customWidth="1"/>
    <col min="1291" max="1345" width="0" style="243" hidden="1" customWidth="1"/>
    <col min="1346" max="1347" width="1" style="243" customWidth="1"/>
    <col min="1348" max="1348" width="17.85546875" style="243" customWidth="1"/>
    <col min="1349" max="1352" width="1" style="243" customWidth="1"/>
    <col min="1353" max="1353" width="15.7109375" style="243" customWidth="1"/>
    <col min="1354" max="1355" width="1" style="243" customWidth="1"/>
    <col min="1356" max="1356" width="0.7109375" style="243" customWidth="1"/>
    <col min="1357" max="1357" width="3.28515625" style="243" customWidth="1"/>
    <col min="1358" max="1358" width="10" style="243"/>
    <col min="1359" max="1359" width="10.42578125" style="243" bestFit="1" customWidth="1"/>
    <col min="1360" max="1467" width="10" style="243"/>
    <col min="1468" max="1468" width="1.85546875" style="243" customWidth="1"/>
    <col min="1469" max="1469" width="1" style="243" customWidth="1"/>
    <col min="1470" max="1470" width="0.85546875" style="243" customWidth="1"/>
    <col min="1471" max="1471" width="52.28515625" style="243" customWidth="1"/>
    <col min="1472" max="1473" width="1" style="243" customWidth="1"/>
    <col min="1474" max="1474" width="16.85546875" style="243" customWidth="1"/>
    <col min="1475" max="1476" width="1" style="243" customWidth="1"/>
    <col min="1477" max="1531" width="0" style="243" hidden="1" customWidth="1"/>
    <col min="1532" max="1533" width="1" style="243" customWidth="1"/>
    <col min="1534" max="1534" width="17.85546875" style="243" customWidth="1"/>
    <col min="1535" max="1538" width="1" style="243" customWidth="1"/>
    <col min="1539" max="1539" width="16.140625" style="243" customWidth="1"/>
    <col min="1540" max="1543" width="1" style="243" customWidth="1"/>
    <col min="1544" max="1544" width="15.140625" style="243" customWidth="1"/>
    <col min="1545" max="1546" width="1" style="243" customWidth="1"/>
    <col min="1547" max="1601" width="0" style="243" hidden="1" customWidth="1"/>
    <col min="1602" max="1603" width="1" style="243" customWidth="1"/>
    <col min="1604" max="1604" width="17.85546875" style="243" customWidth="1"/>
    <col min="1605" max="1608" width="1" style="243" customWidth="1"/>
    <col min="1609" max="1609" width="15.7109375" style="243" customWidth="1"/>
    <col min="1610" max="1611" width="1" style="243" customWidth="1"/>
    <col min="1612" max="1612" width="0.7109375" style="243" customWidth="1"/>
    <col min="1613" max="1613" width="3.28515625" style="243" customWidth="1"/>
    <col min="1614" max="1614" width="10" style="243"/>
    <col min="1615" max="1615" width="10.42578125" style="243" bestFit="1" customWidth="1"/>
    <col min="1616" max="1723" width="10" style="243"/>
    <col min="1724" max="1724" width="1.85546875" style="243" customWidth="1"/>
    <col min="1725" max="1725" width="1" style="243" customWidth="1"/>
    <col min="1726" max="1726" width="0.85546875" style="243" customWidth="1"/>
    <col min="1727" max="1727" width="52.28515625" style="243" customWidth="1"/>
    <col min="1728" max="1729" width="1" style="243" customWidth="1"/>
    <col min="1730" max="1730" width="16.85546875" style="243" customWidth="1"/>
    <col min="1731" max="1732" width="1" style="243" customWidth="1"/>
    <col min="1733" max="1787" width="0" style="243" hidden="1" customWidth="1"/>
    <col min="1788" max="1789" width="1" style="243" customWidth="1"/>
    <col min="1790" max="1790" width="17.85546875" style="243" customWidth="1"/>
    <col min="1791" max="1794" width="1" style="243" customWidth="1"/>
    <col min="1795" max="1795" width="16.140625" style="243" customWidth="1"/>
    <col min="1796" max="1799" width="1" style="243" customWidth="1"/>
    <col min="1800" max="1800" width="15.140625" style="243" customWidth="1"/>
    <col min="1801" max="1802" width="1" style="243" customWidth="1"/>
    <col min="1803" max="1857" width="0" style="243" hidden="1" customWidth="1"/>
    <col min="1858" max="1859" width="1" style="243" customWidth="1"/>
    <col min="1860" max="1860" width="17.85546875" style="243" customWidth="1"/>
    <col min="1861" max="1864" width="1" style="243" customWidth="1"/>
    <col min="1865" max="1865" width="15.7109375" style="243" customWidth="1"/>
    <col min="1866" max="1867" width="1" style="243" customWidth="1"/>
    <col min="1868" max="1868" width="0.7109375" style="243" customWidth="1"/>
    <col min="1869" max="1869" width="3.28515625" style="243" customWidth="1"/>
    <col min="1870" max="1870" width="10" style="243"/>
    <col min="1871" max="1871" width="10.42578125" style="243" bestFit="1" customWidth="1"/>
    <col min="1872" max="1979" width="10" style="243"/>
    <col min="1980" max="1980" width="1.85546875" style="243" customWidth="1"/>
    <col min="1981" max="1981" width="1" style="243" customWidth="1"/>
    <col min="1982" max="1982" width="0.85546875" style="243" customWidth="1"/>
    <col min="1983" max="1983" width="52.28515625" style="243" customWidth="1"/>
    <col min="1984" max="1985" width="1" style="243" customWidth="1"/>
    <col min="1986" max="1986" width="16.85546875" style="243" customWidth="1"/>
    <col min="1987" max="1988" width="1" style="243" customWidth="1"/>
    <col min="1989" max="2043" width="0" style="243" hidden="1" customWidth="1"/>
    <col min="2044" max="2045" width="1" style="243" customWidth="1"/>
    <col min="2046" max="2046" width="17.85546875" style="243" customWidth="1"/>
    <col min="2047" max="2050" width="1" style="243" customWidth="1"/>
    <col min="2051" max="2051" width="16.140625" style="243" customWidth="1"/>
    <col min="2052" max="2055" width="1" style="243" customWidth="1"/>
    <col min="2056" max="2056" width="15.140625" style="243" customWidth="1"/>
    <col min="2057" max="2058" width="1" style="243" customWidth="1"/>
    <col min="2059" max="2113" width="0" style="243" hidden="1" customWidth="1"/>
    <col min="2114" max="2115" width="1" style="243" customWidth="1"/>
    <col min="2116" max="2116" width="17.85546875" style="243" customWidth="1"/>
    <col min="2117" max="2120" width="1" style="243" customWidth="1"/>
    <col min="2121" max="2121" width="15.7109375" style="243" customWidth="1"/>
    <col min="2122" max="2123" width="1" style="243" customWidth="1"/>
    <col min="2124" max="2124" width="0.7109375" style="243" customWidth="1"/>
    <col min="2125" max="2125" width="3.28515625" style="243" customWidth="1"/>
    <col min="2126" max="2126" width="10" style="243"/>
    <col min="2127" max="2127" width="10.42578125" style="243" bestFit="1" customWidth="1"/>
    <col min="2128" max="2235" width="10" style="243"/>
    <col min="2236" max="2236" width="1.85546875" style="243" customWidth="1"/>
    <col min="2237" max="2237" width="1" style="243" customWidth="1"/>
    <col min="2238" max="2238" width="0.85546875" style="243" customWidth="1"/>
    <col min="2239" max="2239" width="52.28515625" style="243" customWidth="1"/>
    <col min="2240" max="2241" width="1" style="243" customWidth="1"/>
    <col min="2242" max="2242" width="16.85546875" style="243" customWidth="1"/>
    <col min="2243" max="2244" width="1" style="243" customWidth="1"/>
    <col min="2245" max="2299" width="0" style="243" hidden="1" customWidth="1"/>
    <col min="2300" max="2301" width="1" style="243" customWidth="1"/>
    <col min="2302" max="2302" width="17.85546875" style="243" customWidth="1"/>
    <col min="2303" max="2306" width="1" style="243" customWidth="1"/>
    <col min="2307" max="2307" width="16.140625" style="243" customWidth="1"/>
    <col min="2308" max="2311" width="1" style="243" customWidth="1"/>
    <col min="2312" max="2312" width="15.140625" style="243" customWidth="1"/>
    <col min="2313" max="2314" width="1" style="243" customWidth="1"/>
    <col min="2315" max="2369" width="0" style="243" hidden="1" customWidth="1"/>
    <col min="2370" max="2371" width="1" style="243" customWidth="1"/>
    <col min="2372" max="2372" width="17.85546875" style="243" customWidth="1"/>
    <col min="2373" max="2376" width="1" style="243" customWidth="1"/>
    <col min="2377" max="2377" width="15.7109375" style="243" customWidth="1"/>
    <col min="2378" max="2379" width="1" style="243" customWidth="1"/>
    <col min="2380" max="2380" width="0.7109375" style="243" customWidth="1"/>
    <col min="2381" max="2381" width="3.28515625" style="243" customWidth="1"/>
    <col min="2382" max="2382" width="10" style="243"/>
    <col min="2383" max="2383" width="10.42578125" style="243" bestFit="1" customWidth="1"/>
    <col min="2384" max="2491" width="10" style="243"/>
    <col min="2492" max="2492" width="1.85546875" style="243" customWidth="1"/>
    <col min="2493" max="2493" width="1" style="243" customWidth="1"/>
    <col min="2494" max="2494" width="0.85546875" style="243" customWidth="1"/>
    <col min="2495" max="2495" width="52.28515625" style="243" customWidth="1"/>
    <col min="2496" max="2497" width="1" style="243" customWidth="1"/>
    <col min="2498" max="2498" width="16.85546875" style="243" customWidth="1"/>
    <col min="2499" max="2500" width="1" style="243" customWidth="1"/>
    <col min="2501" max="2555" width="0" style="243" hidden="1" customWidth="1"/>
    <col min="2556" max="2557" width="1" style="243" customWidth="1"/>
    <col min="2558" max="2558" width="17.85546875" style="243" customWidth="1"/>
    <col min="2559" max="2562" width="1" style="243" customWidth="1"/>
    <col min="2563" max="2563" width="16.140625" style="243" customWidth="1"/>
    <col min="2564" max="2567" width="1" style="243" customWidth="1"/>
    <col min="2568" max="2568" width="15.140625" style="243" customWidth="1"/>
    <col min="2569" max="2570" width="1" style="243" customWidth="1"/>
    <col min="2571" max="2625" width="0" style="243" hidden="1" customWidth="1"/>
    <col min="2626" max="2627" width="1" style="243" customWidth="1"/>
    <col min="2628" max="2628" width="17.85546875" style="243" customWidth="1"/>
    <col min="2629" max="2632" width="1" style="243" customWidth="1"/>
    <col min="2633" max="2633" width="15.7109375" style="243" customWidth="1"/>
    <col min="2634" max="2635" width="1" style="243" customWidth="1"/>
    <col min="2636" max="2636" width="0.7109375" style="243" customWidth="1"/>
    <col min="2637" max="2637" width="3.28515625" style="243" customWidth="1"/>
    <col min="2638" max="2638" width="10" style="243"/>
    <col min="2639" max="2639" width="10.42578125" style="243" bestFit="1" customWidth="1"/>
    <col min="2640" max="2747" width="10" style="243"/>
    <col min="2748" max="2748" width="1.85546875" style="243" customWidth="1"/>
    <col min="2749" max="2749" width="1" style="243" customWidth="1"/>
    <col min="2750" max="2750" width="0.85546875" style="243" customWidth="1"/>
    <col min="2751" max="2751" width="52.28515625" style="243" customWidth="1"/>
    <col min="2752" max="2753" width="1" style="243" customWidth="1"/>
    <col min="2754" max="2754" width="16.85546875" style="243" customWidth="1"/>
    <col min="2755" max="2756" width="1" style="243" customWidth="1"/>
    <col min="2757" max="2811" width="0" style="243" hidden="1" customWidth="1"/>
    <col min="2812" max="2813" width="1" style="243" customWidth="1"/>
    <col min="2814" max="2814" width="17.85546875" style="243" customWidth="1"/>
    <col min="2815" max="2818" width="1" style="243" customWidth="1"/>
    <col min="2819" max="2819" width="16.140625" style="243" customWidth="1"/>
    <col min="2820" max="2823" width="1" style="243" customWidth="1"/>
    <col min="2824" max="2824" width="15.140625" style="243" customWidth="1"/>
    <col min="2825" max="2826" width="1" style="243" customWidth="1"/>
    <col min="2827" max="2881" width="0" style="243" hidden="1" customWidth="1"/>
    <col min="2882" max="2883" width="1" style="243" customWidth="1"/>
    <col min="2884" max="2884" width="17.85546875" style="243" customWidth="1"/>
    <col min="2885" max="2888" width="1" style="243" customWidth="1"/>
    <col min="2889" max="2889" width="15.7109375" style="243" customWidth="1"/>
    <col min="2890" max="2891" width="1" style="243" customWidth="1"/>
    <col min="2892" max="2892" width="0.7109375" style="243" customWidth="1"/>
    <col min="2893" max="2893" width="3.28515625" style="243" customWidth="1"/>
    <col min="2894" max="2894" width="10" style="243"/>
    <col min="2895" max="2895" width="10.42578125" style="243" bestFit="1" customWidth="1"/>
    <col min="2896" max="3003" width="10" style="243"/>
    <col min="3004" max="3004" width="1.85546875" style="243" customWidth="1"/>
    <col min="3005" max="3005" width="1" style="243" customWidth="1"/>
    <col min="3006" max="3006" width="0.85546875" style="243" customWidth="1"/>
    <col min="3007" max="3007" width="52.28515625" style="243" customWidth="1"/>
    <col min="3008" max="3009" width="1" style="243" customWidth="1"/>
    <col min="3010" max="3010" width="16.85546875" style="243" customWidth="1"/>
    <col min="3011" max="3012" width="1" style="243" customWidth="1"/>
    <col min="3013" max="3067" width="0" style="243" hidden="1" customWidth="1"/>
    <col min="3068" max="3069" width="1" style="243" customWidth="1"/>
    <col min="3070" max="3070" width="17.85546875" style="243" customWidth="1"/>
    <col min="3071" max="3074" width="1" style="243" customWidth="1"/>
    <col min="3075" max="3075" width="16.140625" style="243" customWidth="1"/>
    <col min="3076" max="3079" width="1" style="243" customWidth="1"/>
    <col min="3080" max="3080" width="15.140625" style="243" customWidth="1"/>
    <col min="3081" max="3082" width="1" style="243" customWidth="1"/>
    <col min="3083" max="3137" width="0" style="243" hidden="1" customWidth="1"/>
    <col min="3138" max="3139" width="1" style="243" customWidth="1"/>
    <col min="3140" max="3140" width="17.85546875" style="243" customWidth="1"/>
    <col min="3141" max="3144" width="1" style="243" customWidth="1"/>
    <col min="3145" max="3145" width="15.7109375" style="243" customWidth="1"/>
    <col min="3146" max="3147" width="1" style="243" customWidth="1"/>
    <col min="3148" max="3148" width="0.7109375" style="243" customWidth="1"/>
    <col min="3149" max="3149" width="3.28515625" style="243" customWidth="1"/>
    <col min="3150" max="3150" width="10" style="243"/>
    <col min="3151" max="3151" width="10.42578125" style="243" bestFit="1" customWidth="1"/>
    <col min="3152" max="3259" width="10" style="243"/>
    <col min="3260" max="3260" width="1.85546875" style="243" customWidth="1"/>
    <col min="3261" max="3261" width="1" style="243" customWidth="1"/>
    <col min="3262" max="3262" width="0.85546875" style="243" customWidth="1"/>
    <col min="3263" max="3263" width="52.28515625" style="243" customWidth="1"/>
    <col min="3264" max="3265" width="1" style="243" customWidth="1"/>
    <col min="3266" max="3266" width="16.85546875" style="243" customWidth="1"/>
    <col min="3267" max="3268" width="1" style="243" customWidth="1"/>
    <col min="3269" max="3323" width="0" style="243" hidden="1" customWidth="1"/>
    <col min="3324" max="3325" width="1" style="243" customWidth="1"/>
    <col min="3326" max="3326" width="17.85546875" style="243" customWidth="1"/>
    <col min="3327" max="3330" width="1" style="243" customWidth="1"/>
    <col min="3331" max="3331" width="16.140625" style="243" customWidth="1"/>
    <col min="3332" max="3335" width="1" style="243" customWidth="1"/>
    <col min="3336" max="3336" width="15.140625" style="243" customWidth="1"/>
    <col min="3337" max="3338" width="1" style="243" customWidth="1"/>
    <col min="3339" max="3393" width="0" style="243" hidden="1" customWidth="1"/>
    <col min="3394" max="3395" width="1" style="243" customWidth="1"/>
    <col min="3396" max="3396" width="17.85546875" style="243" customWidth="1"/>
    <col min="3397" max="3400" width="1" style="243" customWidth="1"/>
    <col min="3401" max="3401" width="15.7109375" style="243" customWidth="1"/>
    <col min="3402" max="3403" width="1" style="243" customWidth="1"/>
    <col min="3404" max="3404" width="0.7109375" style="243" customWidth="1"/>
    <col min="3405" max="3405" width="3.28515625" style="243" customWidth="1"/>
    <col min="3406" max="3406" width="10" style="243"/>
    <col min="3407" max="3407" width="10.42578125" style="243" bestFit="1" customWidth="1"/>
    <col min="3408" max="3515" width="10" style="243"/>
    <col min="3516" max="3516" width="1.85546875" style="243" customWidth="1"/>
    <col min="3517" max="3517" width="1" style="243" customWidth="1"/>
    <col min="3518" max="3518" width="0.85546875" style="243" customWidth="1"/>
    <col min="3519" max="3519" width="52.28515625" style="243" customWidth="1"/>
    <col min="3520" max="3521" width="1" style="243" customWidth="1"/>
    <col min="3522" max="3522" width="16.85546875" style="243" customWidth="1"/>
    <col min="3523" max="3524" width="1" style="243" customWidth="1"/>
    <col min="3525" max="3579" width="0" style="243" hidden="1" customWidth="1"/>
    <col min="3580" max="3581" width="1" style="243" customWidth="1"/>
    <col min="3582" max="3582" width="17.85546875" style="243" customWidth="1"/>
    <col min="3583" max="3586" width="1" style="243" customWidth="1"/>
    <col min="3587" max="3587" width="16.140625" style="243" customWidth="1"/>
    <col min="3588" max="3591" width="1" style="243" customWidth="1"/>
    <col min="3592" max="3592" width="15.140625" style="243" customWidth="1"/>
    <col min="3593" max="3594" width="1" style="243" customWidth="1"/>
    <col min="3595" max="3649" width="0" style="243" hidden="1" customWidth="1"/>
    <col min="3650" max="3651" width="1" style="243" customWidth="1"/>
    <col min="3652" max="3652" width="17.85546875" style="243" customWidth="1"/>
    <col min="3653" max="3656" width="1" style="243" customWidth="1"/>
    <col min="3657" max="3657" width="15.7109375" style="243" customWidth="1"/>
    <col min="3658" max="3659" width="1" style="243" customWidth="1"/>
    <col min="3660" max="3660" width="0.7109375" style="243" customWidth="1"/>
    <col min="3661" max="3661" width="3.28515625" style="243" customWidth="1"/>
    <col min="3662" max="3662" width="10" style="243"/>
    <col min="3663" max="3663" width="10.42578125" style="243" bestFit="1" customWidth="1"/>
    <col min="3664" max="3771" width="10" style="243"/>
    <col min="3772" max="3772" width="1.85546875" style="243" customWidth="1"/>
    <col min="3773" max="3773" width="1" style="243" customWidth="1"/>
    <col min="3774" max="3774" width="0.85546875" style="243" customWidth="1"/>
    <col min="3775" max="3775" width="52.28515625" style="243" customWidth="1"/>
    <col min="3776" max="3777" width="1" style="243" customWidth="1"/>
    <col min="3778" max="3778" width="16.85546875" style="243" customWidth="1"/>
    <col min="3779" max="3780" width="1" style="243" customWidth="1"/>
    <col min="3781" max="3835" width="0" style="243" hidden="1" customWidth="1"/>
    <col min="3836" max="3837" width="1" style="243" customWidth="1"/>
    <col min="3838" max="3838" width="17.85546875" style="243" customWidth="1"/>
    <col min="3839" max="3842" width="1" style="243" customWidth="1"/>
    <col min="3843" max="3843" width="16.140625" style="243" customWidth="1"/>
    <col min="3844" max="3847" width="1" style="243" customWidth="1"/>
    <col min="3848" max="3848" width="15.140625" style="243" customWidth="1"/>
    <col min="3849" max="3850" width="1" style="243" customWidth="1"/>
    <col min="3851" max="3905" width="0" style="243" hidden="1" customWidth="1"/>
    <col min="3906" max="3907" width="1" style="243" customWidth="1"/>
    <col min="3908" max="3908" width="17.85546875" style="243" customWidth="1"/>
    <col min="3909" max="3912" width="1" style="243" customWidth="1"/>
    <col min="3913" max="3913" width="15.7109375" style="243" customWidth="1"/>
    <col min="3914" max="3915" width="1" style="243" customWidth="1"/>
    <col min="3916" max="3916" width="0.7109375" style="243" customWidth="1"/>
    <col min="3917" max="3917" width="3.28515625" style="243" customWidth="1"/>
    <col min="3918" max="3918" width="10" style="243"/>
    <col min="3919" max="3919" width="10.42578125" style="243" bestFit="1" customWidth="1"/>
    <col min="3920" max="4027" width="10" style="243"/>
    <col min="4028" max="4028" width="1.85546875" style="243" customWidth="1"/>
    <col min="4029" max="4029" width="1" style="243" customWidth="1"/>
    <col min="4030" max="4030" width="0.85546875" style="243" customWidth="1"/>
    <col min="4031" max="4031" width="52.28515625" style="243" customWidth="1"/>
    <col min="4032" max="4033" width="1" style="243" customWidth="1"/>
    <col min="4034" max="4034" width="16.85546875" style="243" customWidth="1"/>
    <col min="4035" max="4036" width="1" style="243" customWidth="1"/>
    <col min="4037" max="4091" width="0" style="243" hidden="1" customWidth="1"/>
    <col min="4092" max="4093" width="1" style="243" customWidth="1"/>
    <col min="4094" max="4094" width="17.85546875" style="243" customWidth="1"/>
    <col min="4095" max="4098" width="1" style="243" customWidth="1"/>
    <col min="4099" max="4099" width="16.140625" style="243" customWidth="1"/>
    <col min="4100" max="4103" width="1" style="243" customWidth="1"/>
    <col min="4104" max="4104" width="15.140625" style="243" customWidth="1"/>
    <col min="4105" max="4106" width="1" style="243" customWidth="1"/>
    <col min="4107" max="4161" width="0" style="243" hidden="1" customWidth="1"/>
    <col min="4162" max="4163" width="1" style="243" customWidth="1"/>
    <col min="4164" max="4164" width="17.85546875" style="243" customWidth="1"/>
    <col min="4165" max="4168" width="1" style="243" customWidth="1"/>
    <col min="4169" max="4169" width="15.7109375" style="243" customWidth="1"/>
    <col min="4170" max="4171" width="1" style="243" customWidth="1"/>
    <col min="4172" max="4172" width="0.7109375" style="243" customWidth="1"/>
    <col min="4173" max="4173" width="3.28515625" style="243" customWidth="1"/>
    <col min="4174" max="4174" width="10" style="243"/>
    <col min="4175" max="4175" width="10.42578125" style="243" bestFit="1" customWidth="1"/>
    <col min="4176" max="4283" width="10" style="243"/>
    <col min="4284" max="4284" width="1.85546875" style="243" customWidth="1"/>
    <col min="4285" max="4285" width="1" style="243" customWidth="1"/>
    <col min="4286" max="4286" width="0.85546875" style="243" customWidth="1"/>
    <col min="4287" max="4287" width="52.28515625" style="243" customWidth="1"/>
    <col min="4288" max="4289" width="1" style="243" customWidth="1"/>
    <col min="4290" max="4290" width="16.85546875" style="243" customWidth="1"/>
    <col min="4291" max="4292" width="1" style="243" customWidth="1"/>
    <col min="4293" max="4347" width="0" style="243" hidden="1" customWidth="1"/>
    <col min="4348" max="4349" width="1" style="243" customWidth="1"/>
    <col min="4350" max="4350" width="17.85546875" style="243" customWidth="1"/>
    <col min="4351" max="4354" width="1" style="243" customWidth="1"/>
    <col min="4355" max="4355" width="16.140625" style="243" customWidth="1"/>
    <col min="4356" max="4359" width="1" style="243" customWidth="1"/>
    <col min="4360" max="4360" width="15.140625" style="243" customWidth="1"/>
    <col min="4361" max="4362" width="1" style="243" customWidth="1"/>
    <col min="4363" max="4417" width="0" style="243" hidden="1" customWidth="1"/>
    <col min="4418" max="4419" width="1" style="243" customWidth="1"/>
    <col min="4420" max="4420" width="17.85546875" style="243" customWidth="1"/>
    <col min="4421" max="4424" width="1" style="243" customWidth="1"/>
    <col min="4425" max="4425" width="15.7109375" style="243" customWidth="1"/>
    <col min="4426" max="4427" width="1" style="243" customWidth="1"/>
    <col min="4428" max="4428" width="0.7109375" style="243" customWidth="1"/>
    <col min="4429" max="4429" width="3.28515625" style="243" customWidth="1"/>
    <col min="4430" max="4430" width="10" style="243"/>
    <col min="4431" max="4431" width="10.42578125" style="243" bestFit="1" customWidth="1"/>
    <col min="4432" max="4539" width="10" style="243"/>
    <col min="4540" max="4540" width="1.85546875" style="243" customWidth="1"/>
    <col min="4541" max="4541" width="1" style="243" customWidth="1"/>
    <col min="4542" max="4542" width="0.85546875" style="243" customWidth="1"/>
    <col min="4543" max="4543" width="52.28515625" style="243" customWidth="1"/>
    <col min="4544" max="4545" width="1" style="243" customWidth="1"/>
    <col min="4546" max="4546" width="16.85546875" style="243" customWidth="1"/>
    <col min="4547" max="4548" width="1" style="243" customWidth="1"/>
    <col min="4549" max="4603" width="0" style="243" hidden="1" customWidth="1"/>
    <col min="4604" max="4605" width="1" style="243" customWidth="1"/>
    <col min="4606" max="4606" width="17.85546875" style="243" customWidth="1"/>
    <col min="4607" max="4610" width="1" style="243" customWidth="1"/>
    <col min="4611" max="4611" width="16.140625" style="243" customWidth="1"/>
    <col min="4612" max="4615" width="1" style="243" customWidth="1"/>
    <col min="4616" max="4616" width="15.140625" style="243" customWidth="1"/>
    <col min="4617" max="4618" width="1" style="243" customWidth="1"/>
    <col min="4619" max="4673" width="0" style="243" hidden="1" customWidth="1"/>
    <col min="4674" max="4675" width="1" style="243" customWidth="1"/>
    <col min="4676" max="4676" width="17.85546875" style="243" customWidth="1"/>
    <col min="4677" max="4680" width="1" style="243" customWidth="1"/>
    <col min="4681" max="4681" width="15.7109375" style="243" customWidth="1"/>
    <col min="4682" max="4683" width="1" style="243" customWidth="1"/>
    <col min="4684" max="4684" width="0.7109375" style="243" customWidth="1"/>
    <col min="4685" max="4685" width="3.28515625" style="243" customWidth="1"/>
    <col min="4686" max="4686" width="10" style="243"/>
    <col min="4687" max="4687" width="10.42578125" style="243" bestFit="1" customWidth="1"/>
    <col min="4688" max="4795" width="10" style="243"/>
    <col min="4796" max="4796" width="1.85546875" style="243" customWidth="1"/>
    <col min="4797" max="4797" width="1" style="243" customWidth="1"/>
    <col min="4798" max="4798" width="0.85546875" style="243" customWidth="1"/>
    <col min="4799" max="4799" width="52.28515625" style="243" customWidth="1"/>
    <col min="4800" max="4801" width="1" style="243" customWidth="1"/>
    <col min="4802" max="4802" width="16.85546875" style="243" customWidth="1"/>
    <col min="4803" max="4804" width="1" style="243" customWidth="1"/>
    <col min="4805" max="4859" width="0" style="243" hidden="1" customWidth="1"/>
    <col min="4860" max="4861" width="1" style="243" customWidth="1"/>
    <col min="4862" max="4862" width="17.85546875" style="243" customWidth="1"/>
    <col min="4863" max="4866" width="1" style="243" customWidth="1"/>
    <col min="4867" max="4867" width="16.140625" style="243" customWidth="1"/>
    <col min="4868" max="4871" width="1" style="243" customWidth="1"/>
    <col min="4872" max="4872" width="15.140625" style="243" customWidth="1"/>
    <col min="4873" max="4874" width="1" style="243" customWidth="1"/>
    <col min="4875" max="4929" width="0" style="243" hidden="1" customWidth="1"/>
    <col min="4930" max="4931" width="1" style="243" customWidth="1"/>
    <col min="4932" max="4932" width="17.85546875" style="243" customWidth="1"/>
    <col min="4933" max="4936" width="1" style="243" customWidth="1"/>
    <col min="4937" max="4937" width="15.7109375" style="243" customWidth="1"/>
    <col min="4938" max="4939" width="1" style="243" customWidth="1"/>
    <col min="4940" max="4940" width="0.7109375" style="243" customWidth="1"/>
    <col min="4941" max="4941" width="3.28515625" style="243" customWidth="1"/>
    <col min="4942" max="4942" width="10" style="243"/>
    <col min="4943" max="4943" width="10.42578125" style="243" bestFit="1" customWidth="1"/>
    <col min="4944" max="5051" width="10" style="243"/>
    <col min="5052" max="5052" width="1.85546875" style="243" customWidth="1"/>
    <col min="5053" max="5053" width="1" style="243" customWidth="1"/>
    <col min="5054" max="5054" width="0.85546875" style="243" customWidth="1"/>
    <col min="5055" max="5055" width="52.28515625" style="243" customWidth="1"/>
    <col min="5056" max="5057" width="1" style="243" customWidth="1"/>
    <col min="5058" max="5058" width="16.85546875" style="243" customWidth="1"/>
    <col min="5059" max="5060" width="1" style="243" customWidth="1"/>
    <col min="5061" max="5115" width="0" style="243" hidden="1" customWidth="1"/>
    <col min="5116" max="5117" width="1" style="243" customWidth="1"/>
    <col min="5118" max="5118" width="17.85546875" style="243" customWidth="1"/>
    <col min="5119" max="5122" width="1" style="243" customWidth="1"/>
    <col min="5123" max="5123" width="16.140625" style="243" customWidth="1"/>
    <col min="5124" max="5127" width="1" style="243" customWidth="1"/>
    <col min="5128" max="5128" width="15.140625" style="243" customWidth="1"/>
    <col min="5129" max="5130" width="1" style="243" customWidth="1"/>
    <col min="5131" max="5185" width="0" style="243" hidden="1" customWidth="1"/>
    <col min="5186" max="5187" width="1" style="243" customWidth="1"/>
    <col min="5188" max="5188" width="17.85546875" style="243" customWidth="1"/>
    <col min="5189" max="5192" width="1" style="243" customWidth="1"/>
    <col min="5193" max="5193" width="15.7109375" style="243" customWidth="1"/>
    <col min="5194" max="5195" width="1" style="243" customWidth="1"/>
    <col min="5196" max="5196" width="0.7109375" style="243" customWidth="1"/>
    <col min="5197" max="5197" width="3.28515625" style="243" customWidth="1"/>
    <col min="5198" max="5198" width="10" style="243"/>
    <col min="5199" max="5199" width="10.42578125" style="243" bestFit="1" customWidth="1"/>
    <col min="5200" max="5307" width="10" style="243"/>
    <col min="5308" max="5308" width="1.85546875" style="243" customWidth="1"/>
    <col min="5309" max="5309" width="1" style="243" customWidth="1"/>
    <col min="5310" max="5310" width="0.85546875" style="243" customWidth="1"/>
    <col min="5311" max="5311" width="52.28515625" style="243" customWidth="1"/>
    <col min="5312" max="5313" width="1" style="243" customWidth="1"/>
    <col min="5314" max="5314" width="16.85546875" style="243" customWidth="1"/>
    <col min="5315" max="5316" width="1" style="243" customWidth="1"/>
    <col min="5317" max="5371" width="0" style="243" hidden="1" customWidth="1"/>
    <col min="5372" max="5373" width="1" style="243" customWidth="1"/>
    <col min="5374" max="5374" width="17.85546875" style="243" customWidth="1"/>
    <col min="5375" max="5378" width="1" style="243" customWidth="1"/>
    <col min="5379" max="5379" width="16.140625" style="243" customWidth="1"/>
    <col min="5380" max="5383" width="1" style="243" customWidth="1"/>
    <col min="5384" max="5384" width="15.140625" style="243" customWidth="1"/>
    <col min="5385" max="5386" width="1" style="243" customWidth="1"/>
    <col min="5387" max="5441" width="0" style="243" hidden="1" customWidth="1"/>
    <col min="5442" max="5443" width="1" style="243" customWidth="1"/>
    <col min="5444" max="5444" width="17.85546875" style="243" customWidth="1"/>
    <col min="5445" max="5448" width="1" style="243" customWidth="1"/>
    <col min="5449" max="5449" width="15.7109375" style="243" customWidth="1"/>
    <col min="5450" max="5451" width="1" style="243" customWidth="1"/>
    <col min="5452" max="5452" width="0.7109375" style="243" customWidth="1"/>
    <col min="5453" max="5453" width="3.28515625" style="243" customWidth="1"/>
    <col min="5454" max="5454" width="10" style="243"/>
    <col min="5455" max="5455" width="10.42578125" style="243" bestFit="1" customWidth="1"/>
    <col min="5456" max="5563" width="10" style="243"/>
    <col min="5564" max="5564" width="1.85546875" style="243" customWidth="1"/>
    <col min="5565" max="5565" width="1" style="243" customWidth="1"/>
    <col min="5566" max="5566" width="0.85546875" style="243" customWidth="1"/>
    <col min="5567" max="5567" width="52.28515625" style="243" customWidth="1"/>
    <col min="5568" max="5569" width="1" style="243" customWidth="1"/>
    <col min="5570" max="5570" width="16.85546875" style="243" customWidth="1"/>
    <col min="5571" max="5572" width="1" style="243" customWidth="1"/>
    <col min="5573" max="5627" width="0" style="243" hidden="1" customWidth="1"/>
    <col min="5628" max="5629" width="1" style="243" customWidth="1"/>
    <col min="5630" max="5630" width="17.85546875" style="243" customWidth="1"/>
    <col min="5631" max="5634" width="1" style="243" customWidth="1"/>
    <col min="5635" max="5635" width="16.140625" style="243" customWidth="1"/>
    <col min="5636" max="5639" width="1" style="243" customWidth="1"/>
    <col min="5640" max="5640" width="15.140625" style="243" customWidth="1"/>
    <col min="5641" max="5642" width="1" style="243" customWidth="1"/>
    <col min="5643" max="5697" width="0" style="243" hidden="1" customWidth="1"/>
    <col min="5698" max="5699" width="1" style="243" customWidth="1"/>
    <col min="5700" max="5700" width="17.85546875" style="243" customWidth="1"/>
    <col min="5701" max="5704" width="1" style="243" customWidth="1"/>
    <col min="5705" max="5705" width="15.7109375" style="243" customWidth="1"/>
    <col min="5706" max="5707" width="1" style="243" customWidth="1"/>
    <col min="5708" max="5708" width="0.7109375" style="243" customWidth="1"/>
    <col min="5709" max="5709" width="3.28515625" style="243" customWidth="1"/>
    <col min="5710" max="5710" width="10" style="243"/>
    <col min="5711" max="5711" width="10.42578125" style="243" bestFit="1" customWidth="1"/>
    <col min="5712" max="5819" width="10" style="243"/>
    <col min="5820" max="5820" width="1.85546875" style="243" customWidth="1"/>
    <col min="5821" max="5821" width="1" style="243" customWidth="1"/>
    <col min="5822" max="5822" width="0.85546875" style="243" customWidth="1"/>
    <col min="5823" max="5823" width="52.28515625" style="243" customWidth="1"/>
    <col min="5824" max="5825" width="1" style="243" customWidth="1"/>
    <col min="5826" max="5826" width="16.85546875" style="243" customWidth="1"/>
    <col min="5827" max="5828" width="1" style="243" customWidth="1"/>
    <col min="5829" max="5883" width="0" style="243" hidden="1" customWidth="1"/>
    <col min="5884" max="5885" width="1" style="243" customWidth="1"/>
    <col min="5886" max="5886" width="17.85546875" style="243" customWidth="1"/>
    <col min="5887" max="5890" width="1" style="243" customWidth="1"/>
    <col min="5891" max="5891" width="16.140625" style="243" customWidth="1"/>
    <col min="5892" max="5895" width="1" style="243" customWidth="1"/>
    <col min="5896" max="5896" width="15.140625" style="243" customWidth="1"/>
    <col min="5897" max="5898" width="1" style="243" customWidth="1"/>
    <col min="5899" max="5953" width="0" style="243" hidden="1" customWidth="1"/>
    <col min="5954" max="5955" width="1" style="243" customWidth="1"/>
    <col min="5956" max="5956" width="17.85546875" style="243" customWidth="1"/>
    <col min="5957" max="5960" width="1" style="243" customWidth="1"/>
    <col min="5961" max="5961" width="15.7109375" style="243" customWidth="1"/>
    <col min="5962" max="5963" width="1" style="243" customWidth="1"/>
    <col min="5964" max="5964" width="0.7109375" style="243" customWidth="1"/>
    <col min="5965" max="5965" width="3.28515625" style="243" customWidth="1"/>
    <col min="5966" max="5966" width="10" style="243"/>
    <col min="5967" max="5967" width="10.42578125" style="243" bestFit="1" customWidth="1"/>
    <col min="5968" max="6075" width="10" style="243"/>
    <col min="6076" max="6076" width="1.85546875" style="243" customWidth="1"/>
    <col min="6077" max="6077" width="1" style="243" customWidth="1"/>
    <col min="6078" max="6078" width="0.85546875" style="243" customWidth="1"/>
    <col min="6079" max="6079" width="52.28515625" style="243" customWidth="1"/>
    <col min="6080" max="6081" width="1" style="243" customWidth="1"/>
    <col min="6082" max="6082" width="16.85546875" style="243" customWidth="1"/>
    <col min="6083" max="6084" width="1" style="243" customWidth="1"/>
    <col min="6085" max="6139" width="0" style="243" hidden="1" customWidth="1"/>
    <col min="6140" max="6141" width="1" style="243" customWidth="1"/>
    <col min="6142" max="6142" width="17.85546875" style="243" customWidth="1"/>
    <col min="6143" max="6146" width="1" style="243" customWidth="1"/>
    <col min="6147" max="6147" width="16.140625" style="243" customWidth="1"/>
    <col min="6148" max="6151" width="1" style="243" customWidth="1"/>
    <col min="6152" max="6152" width="15.140625" style="243" customWidth="1"/>
    <col min="6153" max="6154" width="1" style="243" customWidth="1"/>
    <col min="6155" max="6209" width="0" style="243" hidden="1" customWidth="1"/>
    <col min="6210" max="6211" width="1" style="243" customWidth="1"/>
    <col min="6212" max="6212" width="17.85546875" style="243" customWidth="1"/>
    <col min="6213" max="6216" width="1" style="243" customWidth="1"/>
    <col min="6217" max="6217" width="15.7109375" style="243" customWidth="1"/>
    <col min="6218" max="6219" width="1" style="243" customWidth="1"/>
    <col min="6220" max="6220" width="0.7109375" style="243" customWidth="1"/>
    <col min="6221" max="6221" width="3.28515625" style="243" customWidth="1"/>
    <col min="6222" max="6222" width="10" style="243"/>
    <col min="6223" max="6223" width="10.42578125" style="243" bestFit="1" customWidth="1"/>
    <col min="6224" max="6331" width="10" style="243"/>
    <col min="6332" max="6332" width="1.85546875" style="243" customWidth="1"/>
    <col min="6333" max="6333" width="1" style="243" customWidth="1"/>
    <col min="6334" max="6334" width="0.85546875" style="243" customWidth="1"/>
    <col min="6335" max="6335" width="52.28515625" style="243" customWidth="1"/>
    <col min="6336" max="6337" width="1" style="243" customWidth="1"/>
    <col min="6338" max="6338" width="16.85546875" style="243" customWidth="1"/>
    <col min="6339" max="6340" width="1" style="243" customWidth="1"/>
    <col min="6341" max="6395" width="0" style="243" hidden="1" customWidth="1"/>
    <col min="6396" max="6397" width="1" style="243" customWidth="1"/>
    <col min="6398" max="6398" width="17.85546875" style="243" customWidth="1"/>
    <col min="6399" max="6402" width="1" style="243" customWidth="1"/>
    <col min="6403" max="6403" width="16.140625" style="243" customWidth="1"/>
    <col min="6404" max="6407" width="1" style="243" customWidth="1"/>
    <col min="6408" max="6408" width="15.140625" style="243" customWidth="1"/>
    <col min="6409" max="6410" width="1" style="243" customWidth="1"/>
    <col min="6411" max="6465" width="0" style="243" hidden="1" customWidth="1"/>
    <col min="6466" max="6467" width="1" style="243" customWidth="1"/>
    <col min="6468" max="6468" width="17.85546875" style="243" customWidth="1"/>
    <col min="6469" max="6472" width="1" style="243" customWidth="1"/>
    <col min="6473" max="6473" width="15.7109375" style="243" customWidth="1"/>
    <col min="6474" max="6475" width="1" style="243" customWidth="1"/>
    <col min="6476" max="6476" width="0.7109375" style="243" customWidth="1"/>
    <col min="6477" max="6477" width="3.28515625" style="243" customWidth="1"/>
    <col min="6478" max="6478" width="10" style="243"/>
    <col min="6479" max="6479" width="10.42578125" style="243" bestFit="1" customWidth="1"/>
    <col min="6480" max="6587" width="10" style="243"/>
    <col min="6588" max="6588" width="1.85546875" style="243" customWidth="1"/>
    <col min="6589" max="6589" width="1" style="243" customWidth="1"/>
    <col min="6590" max="6590" width="0.85546875" style="243" customWidth="1"/>
    <col min="6591" max="6591" width="52.28515625" style="243" customWidth="1"/>
    <col min="6592" max="6593" width="1" style="243" customWidth="1"/>
    <col min="6594" max="6594" width="16.85546875" style="243" customWidth="1"/>
    <col min="6595" max="6596" width="1" style="243" customWidth="1"/>
    <col min="6597" max="6651" width="0" style="243" hidden="1" customWidth="1"/>
    <col min="6652" max="6653" width="1" style="243" customWidth="1"/>
    <col min="6654" max="6654" width="17.85546875" style="243" customWidth="1"/>
    <col min="6655" max="6658" width="1" style="243" customWidth="1"/>
    <col min="6659" max="6659" width="16.140625" style="243" customWidth="1"/>
    <col min="6660" max="6663" width="1" style="243" customWidth="1"/>
    <col min="6664" max="6664" width="15.140625" style="243" customWidth="1"/>
    <col min="6665" max="6666" width="1" style="243" customWidth="1"/>
    <col min="6667" max="6721" width="0" style="243" hidden="1" customWidth="1"/>
    <col min="6722" max="6723" width="1" style="243" customWidth="1"/>
    <col min="6724" max="6724" width="17.85546875" style="243" customWidth="1"/>
    <col min="6725" max="6728" width="1" style="243" customWidth="1"/>
    <col min="6729" max="6729" width="15.7109375" style="243" customWidth="1"/>
    <col min="6730" max="6731" width="1" style="243" customWidth="1"/>
    <col min="6732" max="6732" width="0.7109375" style="243" customWidth="1"/>
    <col min="6733" max="6733" width="3.28515625" style="243" customWidth="1"/>
    <col min="6734" max="6734" width="10" style="243"/>
    <col min="6735" max="6735" width="10.42578125" style="243" bestFit="1" customWidth="1"/>
    <col min="6736" max="6843" width="10" style="243"/>
    <col min="6844" max="6844" width="1.85546875" style="243" customWidth="1"/>
    <col min="6845" max="6845" width="1" style="243" customWidth="1"/>
    <col min="6846" max="6846" width="0.85546875" style="243" customWidth="1"/>
    <col min="6847" max="6847" width="52.28515625" style="243" customWidth="1"/>
    <col min="6848" max="6849" width="1" style="243" customWidth="1"/>
    <col min="6850" max="6850" width="16.85546875" style="243" customWidth="1"/>
    <col min="6851" max="6852" width="1" style="243" customWidth="1"/>
    <col min="6853" max="6907" width="0" style="243" hidden="1" customWidth="1"/>
    <col min="6908" max="6909" width="1" style="243" customWidth="1"/>
    <col min="6910" max="6910" width="17.85546875" style="243" customWidth="1"/>
    <col min="6911" max="6914" width="1" style="243" customWidth="1"/>
    <col min="6915" max="6915" width="16.140625" style="243" customWidth="1"/>
    <col min="6916" max="6919" width="1" style="243" customWidth="1"/>
    <col min="6920" max="6920" width="15.140625" style="243" customWidth="1"/>
    <col min="6921" max="6922" width="1" style="243" customWidth="1"/>
    <col min="6923" max="6977" width="0" style="243" hidden="1" customWidth="1"/>
    <col min="6978" max="6979" width="1" style="243" customWidth="1"/>
    <col min="6980" max="6980" width="17.85546875" style="243" customWidth="1"/>
    <col min="6981" max="6984" width="1" style="243" customWidth="1"/>
    <col min="6985" max="6985" width="15.7109375" style="243" customWidth="1"/>
    <col min="6986" max="6987" width="1" style="243" customWidth="1"/>
    <col min="6988" max="6988" width="0.7109375" style="243" customWidth="1"/>
    <col min="6989" max="6989" width="3.28515625" style="243" customWidth="1"/>
    <col min="6990" max="6990" width="10" style="243"/>
    <col min="6991" max="6991" width="10.42578125" style="243" bestFit="1" customWidth="1"/>
    <col min="6992" max="7099" width="10" style="243"/>
    <col min="7100" max="7100" width="1.85546875" style="243" customWidth="1"/>
    <col min="7101" max="7101" width="1" style="243" customWidth="1"/>
    <col min="7102" max="7102" width="0.85546875" style="243" customWidth="1"/>
    <col min="7103" max="7103" width="52.28515625" style="243" customWidth="1"/>
    <col min="7104" max="7105" width="1" style="243" customWidth="1"/>
    <col min="7106" max="7106" width="16.85546875" style="243" customWidth="1"/>
    <col min="7107" max="7108" width="1" style="243" customWidth="1"/>
    <col min="7109" max="7163" width="0" style="243" hidden="1" customWidth="1"/>
    <col min="7164" max="7165" width="1" style="243" customWidth="1"/>
    <col min="7166" max="7166" width="17.85546875" style="243" customWidth="1"/>
    <col min="7167" max="7170" width="1" style="243" customWidth="1"/>
    <col min="7171" max="7171" width="16.140625" style="243" customWidth="1"/>
    <col min="7172" max="7175" width="1" style="243" customWidth="1"/>
    <col min="7176" max="7176" width="15.140625" style="243" customWidth="1"/>
    <col min="7177" max="7178" width="1" style="243" customWidth="1"/>
    <col min="7179" max="7233" width="0" style="243" hidden="1" customWidth="1"/>
    <col min="7234" max="7235" width="1" style="243" customWidth="1"/>
    <col min="7236" max="7236" width="17.85546875" style="243" customWidth="1"/>
    <col min="7237" max="7240" width="1" style="243" customWidth="1"/>
    <col min="7241" max="7241" width="15.7109375" style="243" customWidth="1"/>
    <col min="7242" max="7243" width="1" style="243" customWidth="1"/>
    <col min="7244" max="7244" width="0.7109375" style="243" customWidth="1"/>
    <col min="7245" max="7245" width="3.28515625" style="243" customWidth="1"/>
    <col min="7246" max="7246" width="10" style="243"/>
    <col min="7247" max="7247" width="10.42578125" style="243" bestFit="1" customWidth="1"/>
    <col min="7248" max="7355" width="10" style="243"/>
    <col min="7356" max="7356" width="1.85546875" style="243" customWidth="1"/>
    <col min="7357" max="7357" width="1" style="243" customWidth="1"/>
    <col min="7358" max="7358" width="0.85546875" style="243" customWidth="1"/>
    <col min="7359" max="7359" width="52.28515625" style="243" customWidth="1"/>
    <col min="7360" max="7361" width="1" style="243" customWidth="1"/>
    <col min="7362" max="7362" width="16.85546875" style="243" customWidth="1"/>
    <col min="7363" max="7364" width="1" style="243" customWidth="1"/>
    <col min="7365" max="7419" width="0" style="243" hidden="1" customWidth="1"/>
    <col min="7420" max="7421" width="1" style="243" customWidth="1"/>
    <col min="7422" max="7422" width="17.85546875" style="243" customWidth="1"/>
    <col min="7423" max="7426" width="1" style="243" customWidth="1"/>
    <col min="7427" max="7427" width="16.140625" style="243" customWidth="1"/>
    <col min="7428" max="7431" width="1" style="243" customWidth="1"/>
    <col min="7432" max="7432" width="15.140625" style="243" customWidth="1"/>
    <col min="7433" max="7434" width="1" style="243" customWidth="1"/>
    <col min="7435" max="7489" width="0" style="243" hidden="1" customWidth="1"/>
    <col min="7490" max="7491" width="1" style="243" customWidth="1"/>
    <col min="7492" max="7492" width="17.85546875" style="243" customWidth="1"/>
    <col min="7493" max="7496" width="1" style="243" customWidth="1"/>
    <col min="7497" max="7497" width="15.7109375" style="243" customWidth="1"/>
    <col min="7498" max="7499" width="1" style="243" customWidth="1"/>
    <col min="7500" max="7500" width="0.7109375" style="243" customWidth="1"/>
    <col min="7501" max="7501" width="3.28515625" style="243" customWidth="1"/>
    <col min="7502" max="7502" width="10" style="243"/>
    <col min="7503" max="7503" width="10.42578125" style="243" bestFit="1" customWidth="1"/>
    <col min="7504" max="7611" width="10" style="243"/>
    <col min="7612" max="7612" width="1.85546875" style="243" customWidth="1"/>
    <col min="7613" max="7613" width="1" style="243" customWidth="1"/>
    <col min="7614" max="7614" width="0.85546875" style="243" customWidth="1"/>
    <col min="7615" max="7615" width="52.28515625" style="243" customWidth="1"/>
    <col min="7616" max="7617" width="1" style="243" customWidth="1"/>
    <col min="7618" max="7618" width="16.85546875" style="243" customWidth="1"/>
    <col min="7619" max="7620" width="1" style="243" customWidth="1"/>
    <col min="7621" max="7675" width="0" style="243" hidden="1" customWidth="1"/>
    <col min="7676" max="7677" width="1" style="243" customWidth="1"/>
    <col min="7678" max="7678" width="17.85546875" style="243" customWidth="1"/>
    <col min="7679" max="7682" width="1" style="243" customWidth="1"/>
    <col min="7683" max="7683" width="16.140625" style="243" customWidth="1"/>
    <col min="7684" max="7687" width="1" style="243" customWidth="1"/>
    <col min="7688" max="7688" width="15.140625" style="243" customWidth="1"/>
    <col min="7689" max="7690" width="1" style="243" customWidth="1"/>
    <col min="7691" max="7745" width="0" style="243" hidden="1" customWidth="1"/>
    <col min="7746" max="7747" width="1" style="243" customWidth="1"/>
    <col min="7748" max="7748" width="17.85546875" style="243" customWidth="1"/>
    <col min="7749" max="7752" width="1" style="243" customWidth="1"/>
    <col min="7753" max="7753" width="15.7109375" style="243" customWidth="1"/>
    <col min="7754" max="7755" width="1" style="243" customWidth="1"/>
    <col min="7756" max="7756" width="0.7109375" style="243" customWidth="1"/>
    <col min="7757" max="7757" width="3.28515625" style="243" customWidth="1"/>
    <col min="7758" max="7758" width="10" style="243"/>
    <col min="7759" max="7759" width="10.42578125" style="243" bestFit="1" customWidth="1"/>
    <col min="7760" max="7867" width="10" style="243"/>
    <col min="7868" max="7868" width="1.85546875" style="243" customWidth="1"/>
    <col min="7869" max="7869" width="1" style="243" customWidth="1"/>
    <col min="7870" max="7870" width="0.85546875" style="243" customWidth="1"/>
    <col min="7871" max="7871" width="52.28515625" style="243" customWidth="1"/>
    <col min="7872" max="7873" width="1" style="243" customWidth="1"/>
    <col min="7874" max="7874" width="16.85546875" style="243" customWidth="1"/>
    <col min="7875" max="7876" width="1" style="243" customWidth="1"/>
    <col min="7877" max="7931" width="0" style="243" hidden="1" customWidth="1"/>
    <col min="7932" max="7933" width="1" style="243" customWidth="1"/>
    <col min="7934" max="7934" width="17.85546875" style="243" customWidth="1"/>
    <col min="7935" max="7938" width="1" style="243" customWidth="1"/>
    <col min="7939" max="7939" width="16.140625" style="243" customWidth="1"/>
    <col min="7940" max="7943" width="1" style="243" customWidth="1"/>
    <col min="7944" max="7944" width="15.140625" style="243" customWidth="1"/>
    <col min="7945" max="7946" width="1" style="243" customWidth="1"/>
    <col min="7947" max="8001" width="0" style="243" hidden="1" customWidth="1"/>
    <col min="8002" max="8003" width="1" style="243" customWidth="1"/>
    <col min="8004" max="8004" width="17.85546875" style="243" customWidth="1"/>
    <col min="8005" max="8008" width="1" style="243" customWidth="1"/>
    <col min="8009" max="8009" width="15.7109375" style="243" customWidth="1"/>
    <col min="8010" max="8011" width="1" style="243" customWidth="1"/>
    <col min="8012" max="8012" width="0.7109375" style="243" customWidth="1"/>
    <col min="8013" max="8013" width="3.28515625" style="243" customWidth="1"/>
    <col min="8014" max="8014" width="10" style="243"/>
    <col min="8015" max="8015" width="10.42578125" style="243" bestFit="1" customWidth="1"/>
    <col min="8016" max="8123" width="10" style="243"/>
    <col min="8124" max="8124" width="1.85546875" style="243" customWidth="1"/>
    <col min="8125" max="8125" width="1" style="243" customWidth="1"/>
    <col min="8126" max="8126" width="0.85546875" style="243" customWidth="1"/>
    <col min="8127" max="8127" width="52.28515625" style="243" customWidth="1"/>
    <col min="8128" max="8129" width="1" style="243" customWidth="1"/>
    <col min="8130" max="8130" width="16.85546875" style="243" customWidth="1"/>
    <col min="8131" max="8132" width="1" style="243" customWidth="1"/>
    <col min="8133" max="8187" width="0" style="243" hidden="1" customWidth="1"/>
    <col min="8188" max="8189" width="1" style="243" customWidth="1"/>
    <col min="8190" max="8190" width="17.85546875" style="243" customWidth="1"/>
    <col min="8191" max="8194" width="1" style="243" customWidth="1"/>
    <col min="8195" max="8195" width="16.140625" style="243" customWidth="1"/>
    <col min="8196" max="8199" width="1" style="243" customWidth="1"/>
    <col min="8200" max="8200" width="15.140625" style="243" customWidth="1"/>
    <col min="8201" max="8202" width="1" style="243" customWidth="1"/>
    <col min="8203" max="8257" width="0" style="243" hidden="1" customWidth="1"/>
    <col min="8258" max="8259" width="1" style="243" customWidth="1"/>
    <col min="8260" max="8260" width="17.85546875" style="243" customWidth="1"/>
    <col min="8261" max="8264" width="1" style="243" customWidth="1"/>
    <col min="8265" max="8265" width="15.7109375" style="243" customWidth="1"/>
    <col min="8266" max="8267" width="1" style="243" customWidth="1"/>
    <col min="8268" max="8268" width="0.7109375" style="243" customWidth="1"/>
    <col min="8269" max="8269" width="3.28515625" style="243" customWidth="1"/>
    <col min="8270" max="8270" width="10" style="243"/>
    <col min="8271" max="8271" width="10.42578125" style="243" bestFit="1" customWidth="1"/>
    <col min="8272" max="8379" width="10" style="243"/>
    <col min="8380" max="8380" width="1.85546875" style="243" customWidth="1"/>
    <col min="8381" max="8381" width="1" style="243" customWidth="1"/>
    <col min="8382" max="8382" width="0.85546875" style="243" customWidth="1"/>
    <col min="8383" max="8383" width="52.28515625" style="243" customWidth="1"/>
    <col min="8384" max="8385" width="1" style="243" customWidth="1"/>
    <col min="8386" max="8386" width="16.85546875" style="243" customWidth="1"/>
    <col min="8387" max="8388" width="1" style="243" customWidth="1"/>
    <col min="8389" max="8443" width="0" style="243" hidden="1" customWidth="1"/>
    <col min="8444" max="8445" width="1" style="243" customWidth="1"/>
    <col min="8446" max="8446" width="17.85546875" style="243" customWidth="1"/>
    <col min="8447" max="8450" width="1" style="243" customWidth="1"/>
    <col min="8451" max="8451" width="16.140625" style="243" customWidth="1"/>
    <col min="8452" max="8455" width="1" style="243" customWidth="1"/>
    <col min="8456" max="8456" width="15.140625" style="243" customWidth="1"/>
    <col min="8457" max="8458" width="1" style="243" customWidth="1"/>
    <col min="8459" max="8513" width="0" style="243" hidden="1" customWidth="1"/>
    <col min="8514" max="8515" width="1" style="243" customWidth="1"/>
    <col min="8516" max="8516" width="17.85546875" style="243" customWidth="1"/>
    <col min="8517" max="8520" width="1" style="243" customWidth="1"/>
    <col min="8521" max="8521" width="15.7109375" style="243" customWidth="1"/>
    <col min="8522" max="8523" width="1" style="243" customWidth="1"/>
    <col min="8524" max="8524" width="0.7109375" style="243" customWidth="1"/>
    <col min="8525" max="8525" width="3.28515625" style="243" customWidth="1"/>
    <col min="8526" max="8526" width="10" style="243"/>
    <col min="8527" max="8527" width="10.42578125" style="243" bestFit="1" customWidth="1"/>
    <col min="8528" max="8635" width="10" style="243"/>
    <col min="8636" max="8636" width="1.85546875" style="243" customWidth="1"/>
    <col min="8637" max="8637" width="1" style="243" customWidth="1"/>
    <col min="8638" max="8638" width="0.85546875" style="243" customWidth="1"/>
    <col min="8639" max="8639" width="52.28515625" style="243" customWidth="1"/>
    <col min="8640" max="8641" width="1" style="243" customWidth="1"/>
    <col min="8642" max="8642" width="16.85546875" style="243" customWidth="1"/>
    <col min="8643" max="8644" width="1" style="243" customWidth="1"/>
    <col min="8645" max="8699" width="0" style="243" hidden="1" customWidth="1"/>
    <col min="8700" max="8701" width="1" style="243" customWidth="1"/>
    <col min="8702" max="8702" width="17.85546875" style="243" customWidth="1"/>
    <col min="8703" max="8706" width="1" style="243" customWidth="1"/>
    <col min="8707" max="8707" width="16.140625" style="243" customWidth="1"/>
    <col min="8708" max="8711" width="1" style="243" customWidth="1"/>
    <col min="8712" max="8712" width="15.140625" style="243" customWidth="1"/>
    <col min="8713" max="8714" width="1" style="243" customWidth="1"/>
    <col min="8715" max="8769" width="0" style="243" hidden="1" customWidth="1"/>
    <col min="8770" max="8771" width="1" style="243" customWidth="1"/>
    <col min="8772" max="8772" width="17.85546875" style="243" customWidth="1"/>
    <col min="8773" max="8776" width="1" style="243" customWidth="1"/>
    <col min="8777" max="8777" width="15.7109375" style="243" customWidth="1"/>
    <col min="8778" max="8779" width="1" style="243" customWidth="1"/>
    <col min="8780" max="8780" width="0.7109375" style="243" customWidth="1"/>
    <col min="8781" max="8781" width="3.28515625" style="243" customWidth="1"/>
    <col min="8782" max="8782" width="10" style="243"/>
    <col min="8783" max="8783" width="10.42578125" style="243" bestFit="1" customWidth="1"/>
    <col min="8784" max="8891" width="10" style="243"/>
    <col min="8892" max="8892" width="1.85546875" style="243" customWidth="1"/>
    <col min="8893" max="8893" width="1" style="243" customWidth="1"/>
    <col min="8894" max="8894" width="0.85546875" style="243" customWidth="1"/>
    <col min="8895" max="8895" width="52.28515625" style="243" customWidth="1"/>
    <col min="8896" max="8897" width="1" style="243" customWidth="1"/>
    <col min="8898" max="8898" width="16.85546875" style="243" customWidth="1"/>
    <col min="8899" max="8900" width="1" style="243" customWidth="1"/>
    <col min="8901" max="8955" width="0" style="243" hidden="1" customWidth="1"/>
    <col min="8956" max="8957" width="1" style="243" customWidth="1"/>
    <col min="8958" max="8958" width="17.85546875" style="243" customWidth="1"/>
    <col min="8959" max="8962" width="1" style="243" customWidth="1"/>
    <col min="8963" max="8963" width="16.140625" style="243" customWidth="1"/>
    <col min="8964" max="8967" width="1" style="243" customWidth="1"/>
    <col min="8968" max="8968" width="15.140625" style="243" customWidth="1"/>
    <col min="8969" max="8970" width="1" style="243" customWidth="1"/>
    <col min="8971" max="9025" width="0" style="243" hidden="1" customWidth="1"/>
    <col min="9026" max="9027" width="1" style="243" customWidth="1"/>
    <col min="9028" max="9028" width="17.85546875" style="243" customWidth="1"/>
    <col min="9029" max="9032" width="1" style="243" customWidth="1"/>
    <col min="9033" max="9033" width="15.7109375" style="243" customWidth="1"/>
    <col min="9034" max="9035" width="1" style="243" customWidth="1"/>
    <col min="9036" max="9036" width="0.7109375" style="243" customWidth="1"/>
    <col min="9037" max="9037" width="3.28515625" style="243" customWidth="1"/>
    <col min="9038" max="9038" width="10" style="243"/>
    <col min="9039" max="9039" width="10.42578125" style="243" bestFit="1" customWidth="1"/>
    <col min="9040" max="9147" width="10" style="243"/>
    <col min="9148" max="9148" width="1.85546875" style="243" customWidth="1"/>
    <col min="9149" max="9149" width="1" style="243" customWidth="1"/>
    <col min="9150" max="9150" width="0.85546875" style="243" customWidth="1"/>
    <col min="9151" max="9151" width="52.28515625" style="243" customWidth="1"/>
    <col min="9152" max="9153" width="1" style="243" customWidth="1"/>
    <col min="9154" max="9154" width="16.85546875" style="243" customWidth="1"/>
    <col min="9155" max="9156" width="1" style="243" customWidth="1"/>
    <col min="9157" max="9211" width="0" style="243" hidden="1" customWidth="1"/>
    <col min="9212" max="9213" width="1" style="243" customWidth="1"/>
    <col min="9214" max="9214" width="17.85546875" style="243" customWidth="1"/>
    <col min="9215" max="9218" width="1" style="243" customWidth="1"/>
    <col min="9219" max="9219" width="16.140625" style="243" customWidth="1"/>
    <col min="9220" max="9223" width="1" style="243" customWidth="1"/>
    <col min="9224" max="9224" width="15.140625" style="243" customWidth="1"/>
    <col min="9225" max="9226" width="1" style="243" customWidth="1"/>
    <col min="9227" max="9281" width="0" style="243" hidden="1" customWidth="1"/>
    <col min="9282" max="9283" width="1" style="243" customWidth="1"/>
    <col min="9284" max="9284" width="17.85546875" style="243" customWidth="1"/>
    <col min="9285" max="9288" width="1" style="243" customWidth="1"/>
    <col min="9289" max="9289" width="15.7109375" style="243" customWidth="1"/>
    <col min="9290" max="9291" width="1" style="243" customWidth="1"/>
    <col min="9292" max="9292" width="0.7109375" style="243" customWidth="1"/>
    <col min="9293" max="9293" width="3.28515625" style="243" customWidth="1"/>
    <col min="9294" max="9294" width="10" style="243"/>
    <col min="9295" max="9295" width="10.42578125" style="243" bestFit="1" customWidth="1"/>
    <col min="9296" max="9403" width="10" style="243"/>
    <col min="9404" max="9404" width="1.85546875" style="243" customWidth="1"/>
    <col min="9405" max="9405" width="1" style="243" customWidth="1"/>
    <col min="9406" max="9406" width="0.85546875" style="243" customWidth="1"/>
    <col min="9407" max="9407" width="52.28515625" style="243" customWidth="1"/>
    <col min="9408" max="9409" width="1" style="243" customWidth="1"/>
    <col min="9410" max="9410" width="16.85546875" style="243" customWidth="1"/>
    <col min="9411" max="9412" width="1" style="243" customWidth="1"/>
    <col min="9413" max="9467" width="0" style="243" hidden="1" customWidth="1"/>
    <col min="9468" max="9469" width="1" style="243" customWidth="1"/>
    <col min="9470" max="9470" width="17.85546875" style="243" customWidth="1"/>
    <col min="9471" max="9474" width="1" style="243" customWidth="1"/>
    <col min="9475" max="9475" width="16.140625" style="243" customWidth="1"/>
    <col min="9476" max="9479" width="1" style="243" customWidth="1"/>
    <col min="9480" max="9480" width="15.140625" style="243" customWidth="1"/>
    <col min="9481" max="9482" width="1" style="243" customWidth="1"/>
    <col min="9483" max="9537" width="0" style="243" hidden="1" customWidth="1"/>
    <col min="9538" max="9539" width="1" style="243" customWidth="1"/>
    <col min="9540" max="9540" width="17.85546875" style="243" customWidth="1"/>
    <col min="9541" max="9544" width="1" style="243" customWidth="1"/>
    <col min="9545" max="9545" width="15.7109375" style="243" customWidth="1"/>
    <col min="9546" max="9547" width="1" style="243" customWidth="1"/>
    <col min="9548" max="9548" width="0.7109375" style="243" customWidth="1"/>
    <col min="9549" max="9549" width="3.28515625" style="243" customWidth="1"/>
    <col min="9550" max="9550" width="10" style="243"/>
    <col min="9551" max="9551" width="10.42578125" style="243" bestFit="1" customWidth="1"/>
    <col min="9552" max="9659" width="10" style="243"/>
    <col min="9660" max="9660" width="1.85546875" style="243" customWidth="1"/>
    <col min="9661" max="9661" width="1" style="243" customWidth="1"/>
    <col min="9662" max="9662" width="0.85546875" style="243" customWidth="1"/>
    <col min="9663" max="9663" width="52.28515625" style="243" customWidth="1"/>
    <col min="9664" max="9665" width="1" style="243" customWidth="1"/>
    <col min="9666" max="9666" width="16.85546875" style="243" customWidth="1"/>
    <col min="9667" max="9668" width="1" style="243" customWidth="1"/>
    <col min="9669" max="9723" width="0" style="243" hidden="1" customWidth="1"/>
    <col min="9724" max="9725" width="1" style="243" customWidth="1"/>
    <col min="9726" max="9726" width="17.85546875" style="243" customWidth="1"/>
    <col min="9727" max="9730" width="1" style="243" customWidth="1"/>
    <col min="9731" max="9731" width="16.140625" style="243" customWidth="1"/>
    <col min="9732" max="9735" width="1" style="243" customWidth="1"/>
    <col min="9736" max="9736" width="15.140625" style="243" customWidth="1"/>
    <col min="9737" max="9738" width="1" style="243" customWidth="1"/>
    <col min="9739" max="9793" width="0" style="243" hidden="1" customWidth="1"/>
    <col min="9794" max="9795" width="1" style="243" customWidth="1"/>
    <col min="9796" max="9796" width="17.85546875" style="243" customWidth="1"/>
    <col min="9797" max="9800" width="1" style="243" customWidth="1"/>
    <col min="9801" max="9801" width="15.7109375" style="243" customWidth="1"/>
    <col min="9802" max="9803" width="1" style="243" customWidth="1"/>
    <col min="9804" max="9804" width="0.7109375" style="243" customWidth="1"/>
    <col min="9805" max="9805" width="3.28515625" style="243" customWidth="1"/>
    <col min="9806" max="9806" width="10" style="243"/>
    <col min="9807" max="9807" width="10.42578125" style="243" bestFit="1" customWidth="1"/>
    <col min="9808" max="9915" width="10" style="243"/>
    <col min="9916" max="9916" width="1.85546875" style="243" customWidth="1"/>
    <col min="9917" max="9917" width="1" style="243" customWidth="1"/>
    <col min="9918" max="9918" width="0.85546875" style="243" customWidth="1"/>
    <col min="9919" max="9919" width="52.28515625" style="243" customWidth="1"/>
    <col min="9920" max="9921" width="1" style="243" customWidth="1"/>
    <col min="9922" max="9922" width="16.85546875" style="243" customWidth="1"/>
    <col min="9923" max="9924" width="1" style="243" customWidth="1"/>
    <col min="9925" max="9979" width="0" style="243" hidden="1" customWidth="1"/>
    <col min="9980" max="9981" width="1" style="243" customWidth="1"/>
    <col min="9982" max="9982" width="17.85546875" style="243" customWidth="1"/>
    <col min="9983" max="9986" width="1" style="243" customWidth="1"/>
    <col min="9987" max="9987" width="16.140625" style="243" customWidth="1"/>
    <col min="9988" max="9991" width="1" style="243" customWidth="1"/>
    <col min="9992" max="9992" width="15.140625" style="243" customWidth="1"/>
    <col min="9993" max="9994" width="1" style="243" customWidth="1"/>
    <col min="9995" max="10049" width="0" style="243" hidden="1" customWidth="1"/>
    <col min="10050" max="10051" width="1" style="243" customWidth="1"/>
    <col min="10052" max="10052" width="17.85546875" style="243" customWidth="1"/>
    <col min="10053" max="10056" width="1" style="243" customWidth="1"/>
    <col min="10057" max="10057" width="15.7109375" style="243" customWidth="1"/>
    <col min="10058" max="10059" width="1" style="243" customWidth="1"/>
    <col min="10060" max="10060" width="0.7109375" style="243" customWidth="1"/>
    <col min="10061" max="10061" width="3.28515625" style="243" customWidth="1"/>
    <col min="10062" max="10062" width="10" style="243"/>
    <col min="10063" max="10063" width="10.42578125" style="243" bestFit="1" customWidth="1"/>
    <col min="10064" max="10171" width="10" style="243"/>
    <col min="10172" max="10172" width="1.85546875" style="243" customWidth="1"/>
    <col min="10173" max="10173" width="1" style="243" customWidth="1"/>
    <col min="10174" max="10174" width="0.85546875" style="243" customWidth="1"/>
    <col min="10175" max="10175" width="52.28515625" style="243" customWidth="1"/>
    <col min="10176" max="10177" width="1" style="243" customWidth="1"/>
    <col min="10178" max="10178" width="16.85546875" style="243" customWidth="1"/>
    <col min="10179" max="10180" width="1" style="243" customWidth="1"/>
    <col min="10181" max="10235" width="0" style="243" hidden="1" customWidth="1"/>
    <col min="10236" max="10237" width="1" style="243" customWidth="1"/>
    <col min="10238" max="10238" width="17.85546875" style="243" customWidth="1"/>
    <col min="10239" max="10242" width="1" style="243" customWidth="1"/>
    <col min="10243" max="10243" width="16.140625" style="243" customWidth="1"/>
    <col min="10244" max="10247" width="1" style="243" customWidth="1"/>
    <col min="10248" max="10248" width="15.140625" style="243" customWidth="1"/>
    <col min="10249" max="10250" width="1" style="243" customWidth="1"/>
    <col min="10251" max="10305" width="0" style="243" hidden="1" customWidth="1"/>
    <col min="10306" max="10307" width="1" style="243" customWidth="1"/>
    <col min="10308" max="10308" width="17.85546875" style="243" customWidth="1"/>
    <col min="10309" max="10312" width="1" style="243" customWidth="1"/>
    <col min="10313" max="10313" width="15.7109375" style="243" customWidth="1"/>
    <col min="10314" max="10315" width="1" style="243" customWidth="1"/>
    <col min="10316" max="10316" width="0.7109375" style="243" customWidth="1"/>
    <col min="10317" max="10317" width="3.28515625" style="243" customWidth="1"/>
    <col min="10318" max="10318" width="10" style="243"/>
    <col min="10319" max="10319" width="10.42578125" style="243" bestFit="1" customWidth="1"/>
    <col min="10320" max="10427" width="10" style="243"/>
    <col min="10428" max="10428" width="1.85546875" style="243" customWidth="1"/>
    <col min="10429" max="10429" width="1" style="243" customWidth="1"/>
    <col min="10430" max="10430" width="0.85546875" style="243" customWidth="1"/>
    <col min="10431" max="10431" width="52.28515625" style="243" customWidth="1"/>
    <col min="10432" max="10433" width="1" style="243" customWidth="1"/>
    <col min="10434" max="10434" width="16.85546875" style="243" customWidth="1"/>
    <col min="10435" max="10436" width="1" style="243" customWidth="1"/>
    <col min="10437" max="10491" width="0" style="243" hidden="1" customWidth="1"/>
    <col min="10492" max="10493" width="1" style="243" customWidth="1"/>
    <col min="10494" max="10494" width="17.85546875" style="243" customWidth="1"/>
    <col min="10495" max="10498" width="1" style="243" customWidth="1"/>
    <col min="10499" max="10499" width="16.140625" style="243" customWidth="1"/>
    <col min="10500" max="10503" width="1" style="243" customWidth="1"/>
    <col min="10504" max="10504" width="15.140625" style="243" customWidth="1"/>
    <col min="10505" max="10506" width="1" style="243" customWidth="1"/>
    <col min="10507" max="10561" width="0" style="243" hidden="1" customWidth="1"/>
    <col min="10562" max="10563" width="1" style="243" customWidth="1"/>
    <col min="10564" max="10564" width="17.85546875" style="243" customWidth="1"/>
    <col min="10565" max="10568" width="1" style="243" customWidth="1"/>
    <col min="10569" max="10569" width="15.7109375" style="243" customWidth="1"/>
    <col min="10570" max="10571" width="1" style="243" customWidth="1"/>
    <col min="10572" max="10572" width="0.7109375" style="243" customWidth="1"/>
    <col min="10573" max="10573" width="3.28515625" style="243" customWidth="1"/>
    <col min="10574" max="10574" width="10" style="243"/>
    <col min="10575" max="10575" width="10.42578125" style="243" bestFit="1" customWidth="1"/>
    <col min="10576" max="10683" width="10" style="243"/>
    <col min="10684" max="10684" width="1.85546875" style="243" customWidth="1"/>
    <col min="10685" max="10685" width="1" style="243" customWidth="1"/>
    <col min="10686" max="10686" width="0.85546875" style="243" customWidth="1"/>
    <col min="10687" max="10687" width="52.28515625" style="243" customWidth="1"/>
    <col min="10688" max="10689" width="1" style="243" customWidth="1"/>
    <col min="10690" max="10690" width="16.85546875" style="243" customWidth="1"/>
    <col min="10691" max="10692" width="1" style="243" customWidth="1"/>
    <col min="10693" max="10747" width="0" style="243" hidden="1" customWidth="1"/>
    <col min="10748" max="10749" width="1" style="243" customWidth="1"/>
    <col min="10750" max="10750" width="17.85546875" style="243" customWidth="1"/>
    <col min="10751" max="10754" width="1" style="243" customWidth="1"/>
    <col min="10755" max="10755" width="16.140625" style="243" customWidth="1"/>
    <col min="10756" max="10759" width="1" style="243" customWidth="1"/>
    <col min="10760" max="10760" width="15.140625" style="243" customWidth="1"/>
    <col min="10761" max="10762" width="1" style="243" customWidth="1"/>
    <col min="10763" max="10817" width="0" style="243" hidden="1" customWidth="1"/>
    <col min="10818" max="10819" width="1" style="243" customWidth="1"/>
    <col min="10820" max="10820" width="17.85546875" style="243" customWidth="1"/>
    <col min="10821" max="10824" width="1" style="243" customWidth="1"/>
    <col min="10825" max="10825" width="15.7109375" style="243" customWidth="1"/>
    <col min="10826" max="10827" width="1" style="243" customWidth="1"/>
    <col min="10828" max="10828" width="0.7109375" style="243" customWidth="1"/>
    <col min="10829" max="10829" width="3.28515625" style="243" customWidth="1"/>
    <col min="10830" max="10830" width="10" style="243"/>
    <col min="10831" max="10831" width="10.42578125" style="243" bestFit="1" customWidth="1"/>
    <col min="10832" max="10939" width="10" style="243"/>
    <col min="10940" max="10940" width="1.85546875" style="243" customWidth="1"/>
    <col min="10941" max="10941" width="1" style="243" customWidth="1"/>
    <col min="10942" max="10942" width="0.85546875" style="243" customWidth="1"/>
    <col min="10943" max="10943" width="52.28515625" style="243" customWidth="1"/>
    <col min="10944" max="10945" width="1" style="243" customWidth="1"/>
    <col min="10946" max="10946" width="16.85546875" style="243" customWidth="1"/>
    <col min="10947" max="10948" width="1" style="243" customWidth="1"/>
    <col min="10949" max="11003" width="0" style="243" hidden="1" customWidth="1"/>
    <col min="11004" max="11005" width="1" style="243" customWidth="1"/>
    <col min="11006" max="11006" width="17.85546875" style="243" customWidth="1"/>
    <col min="11007" max="11010" width="1" style="243" customWidth="1"/>
    <col min="11011" max="11011" width="16.140625" style="243" customWidth="1"/>
    <col min="11012" max="11015" width="1" style="243" customWidth="1"/>
    <col min="11016" max="11016" width="15.140625" style="243" customWidth="1"/>
    <col min="11017" max="11018" width="1" style="243" customWidth="1"/>
    <col min="11019" max="11073" width="0" style="243" hidden="1" customWidth="1"/>
    <col min="11074" max="11075" width="1" style="243" customWidth="1"/>
    <col min="11076" max="11076" width="17.85546875" style="243" customWidth="1"/>
    <col min="11077" max="11080" width="1" style="243" customWidth="1"/>
    <col min="11081" max="11081" width="15.7109375" style="243" customWidth="1"/>
    <col min="11082" max="11083" width="1" style="243" customWidth="1"/>
    <col min="11084" max="11084" width="0.7109375" style="243" customWidth="1"/>
    <col min="11085" max="11085" width="3.28515625" style="243" customWidth="1"/>
    <col min="11086" max="11086" width="10" style="243"/>
    <col min="11087" max="11087" width="10.42578125" style="243" bestFit="1" customWidth="1"/>
    <col min="11088" max="11195" width="10" style="243"/>
    <col min="11196" max="11196" width="1.85546875" style="243" customWidth="1"/>
    <col min="11197" max="11197" width="1" style="243" customWidth="1"/>
    <col min="11198" max="11198" width="0.85546875" style="243" customWidth="1"/>
    <col min="11199" max="11199" width="52.28515625" style="243" customWidth="1"/>
    <col min="11200" max="11201" width="1" style="243" customWidth="1"/>
    <col min="11202" max="11202" width="16.85546875" style="243" customWidth="1"/>
    <col min="11203" max="11204" width="1" style="243" customWidth="1"/>
    <col min="11205" max="11259" width="0" style="243" hidden="1" customWidth="1"/>
    <col min="11260" max="11261" width="1" style="243" customWidth="1"/>
    <col min="11262" max="11262" width="17.85546875" style="243" customWidth="1"/>
    <col min="11263" max="11266" width="1" style="243" customWidth="1"/>
    <col min="11267" max="11267" width="16.140625" style="243" customWidth="1"/>
    <col min="11268" max="11271" width="1" style="243" customWidth="1"/>
    <col min="11272" max="11272" width="15.140625" style="243" customWidth="1"/>
    <col min="11273" max="11274" width="1" style="243" customWidth="1"/>
    <col min="11275" max="11329" width="0" style="243" hidden="1" customWidth="1"/>
    <col min="11330" max="11331" width="1" style="243" customWidth="1"/>
    <col min="11332" max="11332" width="17.85546875" style="243" customWidth="1"/>
    <col min="11333" max="11336" width="1" style="243" customWidth="1"/>
    <col min="11337" max="11337" width="15.7109375" style="243" customWidth="1"/>
    <col min="11338" max="11339" width="1" style="243" customWidth="1"/>
    <col min="11340" max="11340" width="0.7109375" style="243" customWidth="1"/>
    <col min="11341" max="11341" width="3.28515625" style="243" customWidth="1"/>
    <col min="11342" max="11342" width="10" style="243"/>
    <col min="11343" max="11343" width="10.42578125" style="243" bestFit="1" customWidth="1"/>
    <col min="11344" max="11451" width="10" style="243"/>
    <col min="11452" max="11452" width="1.85546875" style="243" customWidth="1"/>
    <col min="11453" max="11453" width="1" style="243" customWidth="1"/>
    <col min="11454" max="11454" width="0.85546875" style="243" customWidth="1"/>
    <col min="11455" max="11455" width="52.28515625" style="243" customWidth="1"/>
    <col min="11456" max="11457" width="1" style="243" customWidth="1"/>
    <col min="11458" max="11458" width="16.85546875" style="243" customWidth="1"/>
    <col min="11459" max="11460" width="1" style="243" customWidth="1"/>
    <col min="11461" max="11515" width="0" style="243" hidden="1" customWidth="1"/>
    <col min="11516" max="11517" width="1" style="243" customWidth="1"/>
    <col min="11518" max="11518" width="17.85546875" style="243" customWidth="1"/>
    <col min="11519" max="11522" width="1" style="243" customWidth="1"/>
    <col min="11523" max="11523" width="16.140625" style="243" customWidth="1"/>
    <col min="11524" max="11527" width="1" style="243" customWidth="1"/>
    <col min="11528" max="11528" width="15.140625" style="243" customWidth="1"/>
    <col min="11529" max="11530" width="1" style="243" customWidth="1"/>
    <col min="11531" max="11585" width="0" style="243" hidden="1" customWidth="1"/>
    <col min="11586" max="11587" width="1" style="243" customWidth="1"/>
    <col min="11588" max="11588" width="17.85546875" style="243" customWidth="1"/>
    <col min="11589" max="11592" width="1" style="243" customWidth="1"/>
    <col min="11593" max="11593" width="15.7109375" style="243" customWidth="1"/>
    <col min="11594" max="11595" width="1" style="243" customWidth="1"/>
    <col min="11596" max="11596" width="0.7109375" style="243" customWidth="1"/>
    <col min="11597" max="11597" width="3.28515625" style="243" customWidth="1"/>
    <col min="11598" max="11598" width="10" style="243"/>
    <col min="11599" max="11599" width="10.42578125" style="243" bestFit="1" customWidth="1"/>
    <col min="11600" max="11707" width="10" style="243"/>
    <col min="11708" max="11708" width="1.85546875" style="243" customWidth="1"/>
    <col min="11709" max="11709" width="1" style="243" customWidth="1"/>
    <col min="11710" max="11710" width="0.85546875" style="243" customWidth="1"/>
    <col min="11711" max="11711" width="52.28515625" style="243" customWidth="1"/>
    <col min="11712" max="11713" width="1" style="243" customWidth="1"/>
    <col min="11714" max="11714" width="16.85546875" style="243" customWidth="1"/>
    <col min="11715" max="11716" width="1" style="243" customWidth="1"/>
    <col min="11717" max="11771" width="0" style="243" hidden="1" customWidth="1"/>
    <col min="11772" max="11773" width="1" style="243" customWidth="1"/>
    <col min="11774" max="11774" width="17.85546875" style="243" customWidth="1"/>
    <col min="11775" max="11778" width="1" style="243" customWidth="1"/>
    <col min="11779" max="11779" width="16.140625" style="243" customWidth="1"/>
    <col min="11780" max="11783" width="1" style="243" customWidth="1"/>
    <col min="11784" max="11784" width="15.140625" style="243" customWidth="1"/>
    <col min="11785" max="11786" width="1" style="243" customWidth="1"/>
    <col min="11787" max="11841" width="0" style="243" hidden="1" customWidth="1"/>
    <col min="11842" max="11843" width="1" style="243" customWidth="1"/>
    <col min="11844" max="11844" width="17.85546875" style="243" customWidth="1"/>
    <col min="11845" max="11848" width="1" style="243" customWidth="1"/>
    <col min="11849" max="11849" width="15.7109375" style="243" customWidth="1"/>
    <col min="11850" max="11851" width="1" style="243" customWidth="1"/>
    <col min="11852" max="11852" width="0.7109375" style="243" customWidth="1"/>
    <col min="11853" max="11853" width="3.28515625" style="243" customWidth="1"/>
    <col min="11854" max="11854" width="10" style="243"/>
    <col min="11855" max="11855" width="10.42578125" style="243" bestFit="1" customWidth="1"/>
    <col min="11856" max="11963" width="10" style="243"/>
    <col min="11964" max="11964" width="1.85546875" style="243" customWidth="1"/>
    <col min="11965" max="11965" width="1" style="243" customWidth="1"/>
    <col min="11966" max="11966" width="0.85546875" style="243" customWidth="1"/>
    <col min="11967" max="11967" width="52.28515625" style="243" customWidth="1"/>
    <col min="11968" max="11969" width="1" style="243" customWidth="1"/>
    <col min="11970" max="11970" width="16.85546875" style="243" customWidth="1"/>
    <col min="11971" max="11972" width="1" style="243" customWidth="1"/>
    <col min="11973" max="12027" width="0" style="243" hidden="1" customWidth="1"/>
    <col min="12028" max="12029" width="1" style="243" customWidth="1"/>
    <col min="12030" max="12030" width="17.85546875" style="243" customWidth="1"/>
    <col min="12031" max="12034" width="1" style="243" customWidth="1"/>
    <col min="12035" max="12035" width="16.140625" style="243" customWidth="1"/>
    <col min="12036" max="12039" width="1" style="243" customWidth="1"/>
    <col min="12040" max="12040" width="15.140625" style="243" customWidth="1"/>
    <col min="12041" max="12042" width="1" style="243" customWidth="1"/>
    <col min="12043" max="12097" width="0" style="243" hidden="1" customWidth="1"/>
    <col min="12098" max="12099" width="1" style="243" customWidth="1"/>
    <col min="12100" max="12100" width="17.85546875" style="243" customWidth="1"/>
    <col min="12101" max="12104" width="1" style="243" customWidth="1"/>
    <col min="12105" max="12105" width="15.7109375" style="243" customWidth="1"/>
    <col min="12106" max="12107" width="1" style="243" customWidth="1"/>
    <col min="12108" max="12108" width="0.7109375" style="243" customWidth="1"/>
    <col min="12109" max="12109" width="3.28515625" style="243" customWidth="1"/>
    <col min="12110" max="12110" width="10" style="243"/>
    <col min="12111" max="12111" width="10.42578125" style="243" bestFit="1" customWidth="1"/>
    <col min="12112" max="12219" width="10" style="243"/>
    <col min="12220" max="12220" width="1.85546875" style="243" customWidth="1"/>
    <col min="12221" max="12221" width="1" style="243" customWidth="1"/>
    <col min="12222" max="12222" width="0.85546875" style="243" customWidth="1"/>
    <col min="12223" max="12223" width="52.28515625" style="243" customWidth="1"/>
    <col min="12224" max="12225" width="1" style="243" customWidth="1"/>
    <col min="12226" max="12226" width="16.85546875" style="243" customWidth="1"/>
    <col min="12227" max="12228" width="1" style="243" customWidth="1"/>
    <col min="12229" max="12283" width="0" style="243" hidden="1" customWidth="1"/>
    <col min="12284" max="12285" width="1" style="243" customWidth="1"/>
    <col min="12286" max="12286" width="17.85546875" style="243" customWidth="1"/>
    <col min="12287" max="12290" width="1" style="243" customWidth="1"/>
    <col min="12291" max="12291" width="16.140625" style="243" customWidth="1"/>
    <col min="12292" max="12295" width="1" style="243" customWidth="1"/>
    <col min="12296" max="12296" width="15.140625" style="243" customWidth="1"/>
    <col min="12297" max="12298" width="1" style="243" customWidth="1"/>
    <col min="12299" max="12353" width="0" style="243" hidden="1" customWidth="1"/>
    <col min="12354" max="12355" width="1" style="243" customWidth="1"/>
    <col min="12356" max="12356" width="17.85546875" style="243" customWidth="1"/>
    <col min="12357" max="12360" width="1" style="243" customWidth="1"/>
    <col min="12361" max="12361" width="15.7109375" style="243" customWidth="1"/>
    <col min="12362" max="12363" width="1" style="243" customWidth="1"/>
    <col min="12364" max="12364" width="0.7109375" style="243" customWidth="1"/>
    <col min="12365" max="12365" width="3.28515625" style="243" customWidth="1"/>
    <col min="12366" max="12366" width="10" style="243"/>
    <col min="12367" max="12367" width="10.42578125" style="243" bestFit="1" customWidth="1"/>
    <col min="12368" max="12475" width="10" style="243"/>
    <col min="12476" max="12476" width="1.85546875" style="243" customWidth="1"/>
    <col min="12477" max="12477" width="1" style="243" customWidth="1"/>
    <col min="12478" max="12478" width="0.85546875" style="243" customWidth="1"/>
    <col min="12479" max="12479" width="52.28515625" style="243" customWidth="1"/>
    <col min="12480" max="12481" width="1" style="243" customWidth="1"/>
    <col min="12482" max="12482" width="16.85546875" style="243" customWidth="1"/>
    <col min="12483" max="12484" width="1" style="243" customWidth="1"/>
    <col min="12485" max="12539" width="0" style="243" hidden="1" customWidth="1"/>
    <col min="12540" max="12541" width="1" style="243" customWidth="1"/>
    <col min="12542" max="12542" width="17.85546875" style="243" customWidth="1"/>
    <col min="12543" max="12546" width="1" style="243" customWidth="1"/>
    <col min="12547" max="12547" width="16.140625" style="243" customWidth="1"/>
    <col min="12548" max="12551" width="1" style="243" customWidth="1"/>
    <col min="12552" max="12552" width="15.140625" style="243" customWidth="1"/>
    <col min="12553" max="12554" width="1" style="243" customWidth="1"/>
    <col min="12555" max="12609" width="0" style="243" hidden="1" customWidth="1"/>
    <col min="12610" max="12611" width="1" style="243" customWidth="1"/>
    <col min="12612" max="12612" width="17.85546875" style="243" customWidth="1"/>
    <col min="12613" max="12616" width="1" style="243" customWidth="1"/>
    <col min="12617" max="12617" width="15.7109375" style="243" customWidth="1"/>
    <col min="12618" max="12619" width="1" style="243" customWidth="1"/>
    <col min="12620" max="12620" width="0.7109375" style="243" customWidth="1"/>
    <col min="12621" max="12621" width="3.28515625" style="243" customWidth="1"/>
    <col min="12622" max="12622" width="10" style="243"/>
    <col min="12623" max="12623" width="10.42578125" style="243" bestFit="1" customWidth="1"/>
    <col min="12624" max="12731" width="10" style="243"/>
    <col min="12732" max="12732" width="1.85546875" style="243" customWidth="1"/>
    <col min="12733" max="12733" width="1" style="243" customWidth="1"/>
    <col min="12734" max="12734" width="0.85546875" style="243" customWidth="1"/>
    <col min="12735" max="12735" width="52.28515625" style="243" customWidth="1"/>
    <col min="12736" max="12737" width="1" style="243" customWidth="1"/>
    <col min="12738" max="12738" width="16.85546875" style="243" customWidth="1"/>
    <col min="12739" max="12740" width="1" style="243" customWidth="1"/>
    <col min="12741" max="12795" width="0" style="243" hidden="1" customWidth="1"/>
    <col min="12796" max="12797" width="1" style="243" customWidth="1"/>
    <col min="12798" max="12798" width="17.85546875" style="243" customWidth="1"/>
    <col min="12799" max="12802" width="1" style="243" customWidth="1"/>
    <col min="12803" max="12803" width="16.140625" style="243" customWidth="1"/>
    <col min="12804" max="12807" width="1" style="243" customWidth="1"/>
    <col min="12808" max="12808" width="15.140625" style="243" customWidth="1"/>
    <col min="12809" max="12810" width="1" style="243" customWidth="1"/>
    <col min="12811" max="12865" width="0" style="243" hidden="1" customWidth="1"/>
    <col min="12866" max="12867" width="1" style="243" customWidth="1"/>
    <col min="12868" max="12868" width="17.85546875" style="243" customWidth="1"/>
    <col min="12869" max="12872" width="1" style="243" customWidth="1"/>
    <col min="12873" max="12873" width="15.7109375" style="243" customWidth="1"/>
    <col min="12874" max="12875" width="1" style="243" customWidth="1"/>
    <col min="12876" max="12876" width="0.7109375" style="243" customWidth="1"/>
    <col min="12877" max="12877" width="3.28515625" style="243" customWidth="1"/>
    <col min="12878" max="12878" width="10" style="243"/>
    <col min="12879" max="12879" width="10.42578125" style="243" bestFit="1" customWidth="1"/>
    <col min="12880" max="12987" width="10" style="243"/>
    <col min="12988" max="12988" width="1.85546875" style="243" customWidth="1"/>
    <col min="12989" max="12989" width="1" style="243" customWidth="1"/>
    <col min="12990" max="12990" width="0.85546875" style="243" customWidth="1"/>
    <col min="12991" max="12991" width="52.28515625" style="243" customWidth="1"/>
    <col min="12992" max="12993" width="1" style="243" customWidth="1"/>
    <col min="12994" max="12994" width="16.85546875" style="243" customWidth="1"/>
    <col min="12995" max="12996" width="1" style="243" customWidth="1"/>
    <col min="12997" max="13051" width="0" style="243" hidden="1" customWidth="1"/>
    <col min="13052" max="13053" width="1" style="243" customWidth="1"/>
    <col min="13054" max="13054" width="17.85546875" style="243" customWidth="1"/>
    <col min="13055" max="13058" width="1" style="243" customWidth="1"/>
    <col min="13059" max="13059" width="16.140625" style="243" customWidth="1"/>
    <col min="13060" max="13063" width="1" style="243" customWidth="1"/>
    <col min="13064" max="13064" width="15.140625" style="243" customWidth="1"/>
    <col min="13065" max="13066" width="1" style="243" customWidth="1"/>
    <col min="13067" max="13121" width="0" style="243" hidden="1" customWidth="1"/>
    <col min="13122" max="13123" width="1" style="243" customWidth="1"/>
    <col min="13124" max="13124" width="17.85546875" style="243" customWidth="1"/>
    <col min="13125" max="13128" width="1" style="243" customWidth="1"/>
    <col min="13129" max="13129" width="15.7109375" style="243" customWidth="1"/>
    <col min="13130" max="13131" width="1" style="243" customWidth="1"/>
    <col min="13132" max="13132" width="0.7109375" style="243" customWidth="1"/>
    <col min="13133" max="13133" width="3.28515625" style="243" customWidth="1"/>
    <col min="13134" max="13134" width="10" style="243"/>
    <col min="13135" max="13135" width="10.42578125" style="243" bestFit="1" customWidth="1"/>
    <col min="13136" max="13243" width="10" style="243"/>
    <col min="13244" max="13244" width="1.85546875" style="243" customWidth="1"/>
    <col min="13245" max="13245" width="1" style="243" customWidth="1"/>
    <col min="13246" max="13246" width="0.85546875" style="243" customWidth="1"/>
    <col min="13247" max="13247" width="52.28515625" style="243" customWidth="1"/>
    <col min="13248" max="13249" width="1" style="243" customWidth="1"/>
    <col min="13250" max="13250" width="16.85546875" style="243" customWidth="1"/>
    <col min="13251" max="13252" width="1" style="243" customWidth="1"/>
    <col min="13253" max="13307" width="0" style="243" hidden="1" customWidth="1"/>
    <col min="13308" max="13309" width="1" style="243" customWidth="1"/>
    <col min="13310" max="13310" width="17.85546875" style="243" customWidth="1"/>
    <col min="13311" max="13314" width="1" style="243" customWidth="1"/>
    <col min="13315" max="13315" width="16.140625" style="243" customWidth="1"/>
    <col min="13316" max="13319" width="1" style="243" customWidth="1"/>
    <col min="13320" max="13320" width="15.140625" style="243" customWidth="1"/>
    <col min="13321" max="13322" width="1" style="243" customWidth="1"/>
    <col min="13323" max="13377" width="0" style="243" hidden="1" customWidth="1"/>
    <col min="13378" max="13379" width="1" style="243" customWidth="1"/>
    <col min="13380" max="13380" width="17.85546875" style="243" customWidth="1"/>
    <col min="13381" max="13384" width="1" style="243" customWidth="1"/>
    <col min="13385" max="13385" width="15.7109375" style="243" customWidth="1"/>
    <col min="13386" max="13387" width="1" style="243" customWidth="1"/>
    <col min="13388" max="13388" width="0.7109375" style="243" customWidth="1"/>
    <col min="13389" max="13389" width="3.28515625" style="243" customWidth="1"/>
    <col min="13390" max="13390" width="10" style="243"/>
    <col min="13391" max="13391" width="10.42578125" style="243" bestFit="1" customWidth="1"/>
    <col min="13392" max="13499" width="10" style="243"/>
    <col min="13500" max="13500" width="1.85546875" style="243" customWidth="1"/>
    <col min="13501" max="13501" width="1" style="243" customWidth="1"/>
    <col min="13502" max="13502" width="0.85546875" style="243" customWidth="1"/>
    <col min="13503" max="13503" width="52.28515625" style="243" customWidth="1"/>
    <col min="13504" max="13505" width="1" style="243" customWidth="1"/>
    <col min="13506" max="13506" width="16.85546875" style="243" customWidth="1"/>
    <col min="13507" max="13508" width="1" style="243" customWidth="1"/>
    <col min="13509" max="13563" width="0" style="243" hidden="1" customWidth="1"/>
    <col min="13564" max="13565" width="1" style="243" customWidth="1"/>
    <col min="13566" max="13566" width="17.85546875" style="243" customWidth="1"/>
    <col min="13567" max="13570" width="1" style="243" customWidth="1"/>
    <col min="13571" max="13571" width="16.140625" style="243" customWidth="1"/>
    <col min="13572" max="13575" width="1" style="243" customWidth="1"/>
    <col min="13576" max="13576" width="15.140625" style="243" customWidth="1"/>
    <col min="13577" max="13578" width="1" style="243" customWidth="1"/>
    <col min="13579" max="13633" width="0" style="243" hidden="1" customWidth="1"/>
    <col min="13634" max="13635" width="1" style="243" customWidth="1"/>
    <col min="13636" max="13636" width="17.85546875" style="243" customWidth="1"/>
    <col min="13637" max="13640" width="1" style="243" customWidth="1"/>
    <col min="13641" max="13641" width="15.7109375" style="243" customWidth="1"/>
    <col min="13642" max="13643" width="1" style="243" customWidth="1"/>
    <col min="13644" max="13644" width="0.7109375" style="243" customWidth="1"/>
    <col min="13645" max="13645" width="3.28515625" style="243" customWidth="1"/>
    <col min="13646" max="13646" width="10" style="243"/>
    <col min="13647" max="13647" width="10.42578125" style="243" bestFit="1" customWidth="1"/>
    <col min="13648" max="13755" width="10" style="243"/>
    <col min="13756" max="13756" width="1.85546875" style="243" customWidth="1"/>
    <col min="13757" max="13757" width="1" style="243" customWidth="1"/>
    <col min="13758" max="13758" width="0.85546875" style="243" customWidth="1"/>
    <col min="13759" max="13759" width="52.28515625" style="243" customWidth="1"/>
    <col min="13760" max="13761" width="1" style="243" customWidth="1"/>
    <col min="13762" max="13762" width="16.85546875" style="243" customWidth="1"/>
    <col min="13763" max="13764" width="1" style="243" customWidth="1"/>
    <col min="13765" max="13819" width="0" style="243" hidden="1" customWidth="1"/>
    <col min="13820" max="13821" width="1" style="243" customWidth="1"/>
    <col min="13822" max="13822" width="17.85546875" style="243" customWidth="1"/>
    <col min="13823" max="13826" width="1" style="243" customWidth="1"/>
    <col min="13827" max="13827" width="16.140625" style="243" customWidth="1"/>
    <col min="13828" max="13831" width="1" style="243" customWidth="1"/>
    <col min="13832" max="13832" width="15.140625" style="243" customWidth="1"/>
    <col min="13833" max="13834" width="1" style="243" customWidth="1"/>
    <col min="13835" max="13889" width="0" style="243" hidden="1" customWidth="1"/>
    <col min="13890" max="13891" width="1" style="243" customWidth="1"/>
    <col min="13892" max="13892" width="17.85546875" style="243" customWidth="1"/>
    <col min="13893" max="13896" width="1" style="243" customWidth="1"/>
    <col min="13897" max="13897" width="15.7109375" style="243" customWidth="1"/>
    <col min="13898" max="13899" width="1" style="243" customWidth="1"/>
    <col min="13900" max="13900" width="0.7109375" style="243" customWidth="1"/>
    <col min="13901" max="13901" width="3.28515625" style="243" customWidth="1"/>
    <col min="13902" max="13902" width="10" style="243"/>
    <col min="13903" max="13903" width="10.42578125" style="243" bestFit="1" customWidth="1"/>
    <col min="13904" max="14011" width="10" style="243"/>
    <col min="14012" max="14012" width="1.85546875" style="243" customWidth="1"/>
    <col min="14013" max="14013" width="1" style="243" customWidth="1"/>
    <col min="14014" max="14014" width="0.85546875" style="243" customWidth="1"/>
    <col min="14015" max="14015" width="52.28515625" style="243" customWidth="1"/>
    <col min="14016" max="14017" width="1" style="243" customWidth="1"/>
    <col min="14018" max="14018" width="16.85546875" style="243" customWidth="1"/>
    <col min="14019" max="14020" width="1" style="243" customWidth="1"/>
    <col min="14021" max="14075" width="0" style="243" hidden="1" customWidth="1"/>
    <col min="14076" max="14077" width="1" style="243" customWidth="1"/>
    <col min="14078" max="14078" width="17.85546875" style="243" customWidth="1"/>
    <col min="14079" max="14082" width="1" style="243" customWidth="1"/>
    <col min="14083" max="14083" width="16.140625" style="243" customWidth="1"/>
    <col min="14084" max="14087" width="1" style="243" customWidth="1"/>
    <col min="14088" max="14088" width="15.140625" style="243" customWidth="1"/>
    <col min="14089" max="14090" width="1" style="243" customWidth="1"/>
    <col min="14091" max="14145" width="0" style="243" hidden="1" customWidth="1"/>
    <col min="14146" max="14147" width="1" style="243" customWidth="1"/>
    <col min="14148" max="14148" width="17.85546875" style="243" customWidth="1"/>
    <col min="14149" max="14152" width="1" style="243" customWidth="1"/>
    <col min="14153" max="14153" width="15.7109375" style="243" customWidth="1"/>
    <col min="14154" max="14155" width="1" style="243" customWidth="1"/>
    <col min="14156" max="14156" width="0.7109375" style="243" customWidth="1"/>
    <col min="14157" max="14157" width="3.28515625" style="243" customWidth="1"/>
    <col min="14158" max="14158" width="10" style="243"/>
    <col min="14159" max="14159" width="10.42578125" style="243" bestFit="1" customWidth="1"/>
    <col min="14160" max="14267" width="10" style="243"/>
    <col min="14268" max="14268" width="1.85546875" style="243" customWidth="1"/>
    <col min="14269" max="14269" width="1" style="243" customWidth="1"/>
    <col min="14270" max="14270" width="0.85546875" style="243" customWidth="1"/>
    <col min="14271" max="14271" width="52.28515625" style="243" customWidth="1"/>
    <col min="14272" max="14273" width="1" style="243" customWidth="1"/>
    <col min="14274" max="14274" width="16.85546875" style="243" customWidth="1"/>
    <col min="14275" max="14276" width="1" style="243" customWidth="1"/>
    <col min="14277" max="14331" width="0" style="243" hidden="1" customWidth="1"/>
    <col min="14332" max="14333" width="1" style="243" customWidth="1"/>
    <col min="14334" max="14334" width="17.85546875" style="243" customWidth="1"/>
    <col min="14335" max="14338" width="1" style="243" customWidth="1"/>
    <col min="14339" max="14339" width="16.140625" style="243" customWidth="1"/>
    <col min="14340" max="14343" width="1" style="243" customWidth="1"/>
    <col min="14344" max="14344" width="15.140625" style="243" customWidth="1"/>
    <col min="14345" max="14346" width="1" style="243" customWidth="1"/>
    <col min="14347" max="14401" width="0" style="243" hidden="1" customWidth="1"/>
    <col min="14402" max="14403" width="1" style="243" customWidth="1"/>
    <col min="14404" max="14404" width="17.85546875" style="243" customWidth="1"/>
    <col min="14405" max="14408" width="1" style="243" customWidth="1"/>
    <col min="14409" max="14409" width="15.7109375" style="243" customWidth="1"/>
    <col min="14410" max="14411" width="1" style="243" customWidth="1"/>
    <col min="14412" max="14412" width="0.7109375" style="243" customWidth="1"/>
    <col min="14413" max="14413" width="3.28515625" style="243" customWidth="1"/>
    <col min="14414" max="14414" width="10" style="243"/>
    <col min="14415" max="14415" width="10.42578125" style="243" bestFit="1" customWidth="1"/>
    <col min="14416" max="14523" width="10" style="243"/>
    <col min="14524" max="14524" width="1.85546875" style="243" customWidth="1"/>
    <col min="14525" max="14525" width="1" style="243" customWidth="1"/>
    <col min="14526" max="14526" width="0.85546875" style="243" customWidth="1"/>
    <col min="14527" max="14527" width="52.28515625" style="243" customWidth="1"/>
    <col min="14528" max="14529" width="1" style="243" customWidth="1"/>
    <col min="14530" max="14530" width="16.85546875" style="243" customWidth="1"/>
    <col min="14531" max="14532" width="1" style="243" customWidth="1"/>
    <col min="14533" max="14587" width="0" style="243" hidden="1" customWidth="1"/>
    <col min="14588" max="14589" width="1" style="243" customWidth="1"/>
    <col min="14590" max="14590" width="17.85546875" style="243" customWidth="1"/>
    <col min="14591" max="14594" width="1" style="243" customWidth="1"/>
    <col min="14595" max="14595" width="16.140625" style="243" customWidth="1"/>
    <col min="14596" max="14599" width="1" style="243" customWidth="1"/>
    <col min="14600" max="14600" width="15.140625" style="243" customWidth="1"/>
    <col min="14601" max="14602" width="1" style="243" customWidth="1"/>
    <col min="14603" max="14657" width="0" style="243" hidden="1" customWidth="1"/>
    <col min="14658" max="14659" width="1" style="243" customWidth="1"/>
    <col min="14660" max="14660" width="17.85546875" style="243" customWidth="1"/>
    <col min="14661" max="14664" width="1" style="243" customWidth="1"/>
    <col min="14665" max="14665" width="15.7109375" style="243" customWidth="1"/>
    <col min="14666" max="14667" width="1" style="243" customWidth="1"/>
    <col min="14668" max="14668" width="0.7109375" style="243" customWidth="1"/>
    <col min="14669" max="14669" width="3.28515625" style="243" customWidth="1"/>
    <col min="14670" max="14670" width="10" style="243"/>
    <col min="14671" max="14671" width="10.42578125" style="243" bestFit="1" customWidth="1"/>
    <col min="14672" max="14779" width="10" style="243"/>
    <col min="14780" max="14780" width="1.85546875" style="243" customWidth="1"/>
    <col min="14781" max="14781" width="1" style="243" customWidth="1"/>
    <col min="14782" max="14782" width="0.85546875" style="243" customWidth="1"/>
    <col min="14783" max="14783" width="52.28515625" style="243" customWidth="1"/>
    <col min="14784" max="14785" width="1" style="243" customWidth="1"/>
    <col min="14786" max="14786" width="16.85546875" style="243" customWidth="1"/>
    <col min="14787" max="14788" width="1" style="243" customWidth="1"/>
    <col min="14789" max="14843" width="0" style="243" hidden="1" customWidth="1"/>
    <col min="14844" max="14845" width="1" style="243" customWidth="1"/>
    <col min="14846" max="14846" width="17.85546875" style="243" customWidth="1"/>
    <col min="14847" max="14850" width="1" style="243" customWidth="1"/>
    <col min="14851" max="14851" width="16.140625" style="243" customWidth="1"/>
    <col min="14852" max="14855" width="1" style="243" customWidth="1"/>
    <col min="14856" max="14856" width="15.140625" style="243" customWidth="1"/>
    <col min="14857" max="14858" width="1" style="243" customWidth="1"/>
    <col min="14859" max="14913" width="0" style="243" hidden="1" customWidth="1"/>
    <col min="14914" max="14915" width="1" style="243" customWidth="1"/>
    <col min="14916" max="14916" width="17.85546875" style="243" customWidth="1"/>
    <col min="14917" max="14920" width="1" style="243" customWidth="1"/>
    <col min="14921" max="14921" width="15.7109375" style="243" customWidth="1"/>
    <col min="14922" max="14923" width="1" style="243" customWidth="1"/>
    <col min="14924" max="14924" width="0.7109375" style="243" customWidth="1"/>
    <col min="14925" max="14925" width="3.28515625" style="243" customWidth="1"/>
    <col min="14926" max="14926" width="10" style="243"/>
    <col min="14927" max="14927" width="10.42578125" style="243" bestFit="1" customWidth="1"/>
    <col min="14928" max="15035" width="10" style="243"/>
    <col min="15036" max="15036" width="1.85546875" style="243" customWidth="1"/>
    <col min="15037" max="15037" width="1" style="243" customWidth="1"/>
    <col min="15038" max="15038" width="0.85546875" style="243" customWidth="1"/>
    <col min="15039" max="15039" width="52.28515625" style="243" customWidth="1"/>
    <col min="15040" max="15041" width="1" style="243" customWidth="1"/>
    <col min="15042" max="15042" width="16.85546875" style="243" customWidth="1"/>
    <col min="15043" max="15044" width="1" style="243" customWidth="1"/>
    <col min="15045" max="15099" width="0" style="243" hidden="1" customWidth="1"/>
    <col min="15100" max="15101" width="1" style="243" customWidth="1"/>
    <col min="15102" max="15102" width="17.85546875" style="243" customWidth="1"/>
    <col min="15103" max="15106" width="1" style="243" customWidth="1"/>
    <col min="15107" max="15107" width="16.140625" style="243" customWidth="1"/>
    <col min="15108" max="15111" width="1" style="243" customWidth="1"/>
    <col min="15112" max="15112" width="15.140625" style="243" customWidth="1"/>
    <col min="15113" max="15114" width="1" style="243" customWidth="1"/>
    <col min="15115" max="15169" width="0" style="243" hidden="1" customWidth="1"/>
    <col min="15170" max="15171" width="1" style="243" customWidth="1"/>
    <col min="15172" max="15172" width="17.85546875" style="243" customWidth="1"/>
    <col min="15173" max="15176" width="1" style="243" customWidth="1"/>
    <col min="15177" max="15177" width="15.7109375" style="243" customWidth="1"/>
    <col min="15178" max="15179" width="1" style="243" customWidth="1"/>
    <col min="15180" max="15180" width="0.7109375" style="243" customWidth="1"/>
    <col min="15181" max="15181" width="3.28515625" style="243" customWidth="1"/>
    <col min="15182" max="15182" width="10" style="243"/>
    <col min="15183" max="15183" width="10.42578125" style="243" bestFit="1" customWidth="1"/>
    <col min="15184" max="15291" width="10" style="243"/>
    <col min="15292" max="15292" width="1.85546875" style="243" customWidth="1"/>
    <col min="15293" max="15293" width="1" style="243" customWidth="1"/>
    <col min="15294" max="15294" width="0.85546875" style="243" customWidth="1"/>
    <col min="15295" max="15295" width="52.28515625" style="243" customWidth="1"/>
    <col min="15296" max="15297" width="1" style="243" customWidth="1"/>
    <col min="15298" max="15298" width="16.85546875" style="243" customWidth="1"/>
    <col min="15299" max="15300" width="1" style="243" customWidth="1"/>
    <col min="15301" max="15355" width="0" style="243" hidden="1" customWidth="1"/>
    <col min="15356" max="15357" width="1" style="243" customWidth="1"/>
    <col min="15358" max="15358" width="17.85546875" style="243" customWidth="1"/>
    <col min="15359" max="15362" width="1" style="243" customWidth="1"/>
    <col min="15363" max="15363" width="16.140625" style="243" customWidth="1"/>
    <col min="15364" max="15367" width="1" style="243" customWidth="1"/>
    <col min="15368" max="15368" width="15.140625" style="243" customWidth="1"/>
    <col min="15369" max="15370" width="1" style="243" customWidth="1"/>
    <col min="15371" max="15425" width="0" style="243" hidden="1" customWidth="1"/>
    <col min="15426" max="15427" width="1" style="243" customWidth="1"/>
    <col min="15428" max="15428" width="17.85546875" style="243" customWidth="1"/>
    <col min="15429" max="15432" width="1" style="243" customWidth="1"/>
    <col min="15433" max="15433" width="15.7109375" style="243" customWidth="1"/>
    <col min="15434" max="15435" width="1" style="243" customWidth="1"/>
    <col min="15436" max="15436" width="0.7109375" style="243" customWidth="1"/>
    <col min="15437" max="15437" width="3.28515625" style="243" customWidth="1"/>
    <col min="15438" max="15438" width="10" style="243"/>
    <col min="15439" max="15439" width="10.42578125" style="243" bestFit="1" customWidth="1"/>
    <col min="15440" max="15547" width="10" style="243"/>
    <col min="15548" max="15548" width="1.85546875" style="243" customWidth="1"/>
    <col min="15549" max="15549" width="1" style="243" customWidth="1"/>
    <col min="15550" max="15550" width="0.85546875" style="243" customWidth="1"/>
    <col min="15551" max="15551" width="52.28515625" style="243" customWidth="1"/>
    <col min="15552" max="15553" width="1" style="243" customWidth="1"/>
    <col min="15554" max="15554" width="16.85546875" style="243" customWidth="1"/>
    <col min="15555" max="15556" width="1" style="243" customWidth="1"/>
    <col min="15557" max="15611" width="0" style="243" hidden="1" customWidth="1"/>
    <col min="15612" max="15613" width="1" style="243" customWidth="1"/>
    <col min="15614" max="15614" width="17.85546875" style="243" customWidth="1"/>
    <col min="15615" max="15618" width="1" style="243" customWidth="1"/>
    <col min="15619" max="15619" width="16.140625" style="243" customWidth="1"/>
    <col min="15620" max="15623" width="1" style="243" customWidth="1"/>
    <col min="15624" max="15624" width="15.140625" style="243" customWidth="1"/>
    <col min="15625" max="15626" width="1" style="243" customWidth="1"/>
    <col min="15627" max="15681" width="0" style="243" hidden="1" customWidth="1"/>
    <col min="15682" max="15683" width="1" style="243" customWidth="1"/>
    <col min="15684" max="15684" width="17.85546875" style="243" customWidth="1"/>
    <col min="15685" max="15688" width="1" style="243" customWidth="1"/>
    <col min="15689" max="15689" width="15.7109375" style="243" customWidth="1"/>
    <col min="15690" max="15691" width="1" style="243" customWidth="1"/>
    <col min="15692" max="15692" width="0.7109375" style="243" customWidth="1"/>
    <col min="15693" max="15693" width="3.28515625" style="243" customWidth="1"/>
    <col min="15694" max="15694" width="10" style="243"/>
    <col min="15695" max="15695" width="10.42578125" style="243" bestFit="1" customWidth="1"/>
    <col min="15696" max="15803" width="10" style="243"/>
    <col min="15804" max="15804" width="1.85546875" style="243" customWidth="1"/>
    <col min="15805" max="15805" width="1" style="243" customWidth="1"/>
    <col min="15806" max="15806" width="0.85546875" style="243" customWidth="1"/>
    <col min="15807" max="15807" width="52.28515625" style="243" customWidth="1"/>
    <col min="15808" max="15809" width="1" style="243" customWidth="1"/>
    <col min="15810" max="15810" width="16.85546875" style="243" customWidth="1"/>
    <col min="15811" max="15812" width="1" style="243" customWidth="1"/>
    <col min="15813" max="15867" width="0" style="243" hidden="1" customWidth="1"/>
    <col min="15868" max="15869" width="1" style="243" customWidth="1"/>
    <col min="15870" max="15870" width="17.85546875" style="243" customWidth="1"/>
    <col min="15871" max="15874" width="1" style="243" customWidth="1"/>
    <col min="15875" max="15875" width="16.140625" style="243" customWidth="1"/>
    <col min="15876" max="15879" width="1" style="243" customWidth="1"/>
    <col min="15880" max="15880" width="15.140625" style="243" customWidth="1"/>
    <col min="15881" max="15882" width="1" style="243" customWidth="1"/>
    <col min="15883" max="15937" width="0" style="243" hidden="1" customWidth="1"/>
    <col min="15938" max="15939" width="1" style="243" customWidth="1"/>
    <col min="15940" max="15940" width="17.85546875" style="243" customWidth="1"/>
    <col min="15941" max="15944" width="1" style="243" customWidth="1"/>
    <col min="15945" max="15945" width="15.7109375" style="243" customWidth="1"/>
    <col min="15946" max="15947" width="1" style="243" customWidth="1"/>
    <col min="15948" max="15948" width="0.7109375" style="243" customWidth="1"/>
    <col min="15949" max="15949" width="3.28515625" style="243" customWidth="1"/>
    <col min="15950" max="15950" width="10" style="243"/>
    <col min="15951" max="15951" width="10.42578125" style="243" bestFit="1" customWidth="1"/>
    <col min="15952" max="16059" width="10" style="243"/>
    <col min="16060" max="16060" width="1.85546875" style="243" customWidth="1"/>
    <col min="16061" max="16061" width="1" style="243" customWidth="1"/>
    <col min="16062" max="16062" width="0.85546875" style="243" customWidth="1"/>
    <col min="16063" max="16063" width="52.28515625" style="243" customWidth="1"/>
    <col min="16064" max="16065" width="1" style="243" customWidth="1"/>
    <col min="16066" max="16066" width="16.85546875" style="243" customWidth="1"/>
    <col min="16067" max="16068" width="1" style="243" customWidth="1"/>
    <col min="16069" max="16123" width="0" style="243" hidden="1" customWidth="1"/>
    <col min="16124" max="16125" width="1" style="243" customWidth="1"/>
    <col min="16126" max="16126" width="17.85546875" style="243" customWidth="1"/>
    <col min="16127" max="16130" width="1" style="243" customWidth="1"/>
    <col min="16131" max="16131" width="16.140625" style="243" customWidth="1"/>
    <col min="16132" max="16135" width="1" style="243" customWidth="1"/>
    <col min="16136" max="16136" width="15.140625" style="243" customWidth="1"/>
    <col min="16137" max="16138" width="1" style="243" customWidth="1"/>
    <col min="16139" max="16193" width="0" style="243" hidden="1" customWidth="1"/>
    <col min="16194" max="16195" width="1" style="243" customWidth="1"/>
    <col min="16196" max="16196" width="17.85546875" style="243" customWidth="1"/>
    <col min="16197" max="16200" width="1" style="243" customWidth="1"/>
    <col min="16201" max="16201" width="15.7109375" style="243" customWidth="1"/>
    <col min="16202" max="16203" width="1" style="243" customWidth="1"/>
    <col min="16204" max="16204" width="0.7109375" style="243" customWidth="1"/>
    <col min="16205" max="16205" width="3.28515625" style="243" customWidth="1"/>
    <col min="16206" max="16206" width="10" style="243"/>
    <col min="16207" max="16207" width="10.42578125" style="243" bestFit="1" customWidth="1"/>
    <col min="16208" max="16384" width="10" style="243"/>
  </cols>
  <sheetData>
    <row r="1" spans="1:76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>
        <f>1770000000+11234076861+1105000000</f>
        <v>14109076861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</row>
    <row r="2" spans="1:76" ht="6" customHeigh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</row>
    <row r="3" spans="1:76" x14ac:dyDescent="0.2">
      <c r="A3" s="244"/>
      <c r="B3" s="244"/>
      <c r="BX3" s="244"/>
    </row>
    <row r="4" spans="1:76" x14ac:dyDescent="0.2">
      <c r="A4" s="244"/>
      <c r="B4" s="244"/>
      <c r="D4" s="268"/>
      <c r="E4" s="268"/>
      <c r="F4" s="268"/>
      <c r="BX4" s="244"/>
    </row>
    <row r="5" spans="1:76" x14ac:dyDescent="0.2">
      <c r="A5" s="244"/>
      <c r="B5" s="244"/>
      <c r="BX5" s="244"/>
    </row>
    <row r="6" spans="1:76" x14ac:dyDescent="0.2">
      <c r="A6" s="244"/>
      <c r="B6" s="244"/>
      <c r="BX6" s="244"/>
    </row>
    <row r="7" spans="1:76" ht="15.75" x14ac:dyDescent="0.25">
      <c r="A7" s="244"/>
      <c r="B7" s="244"/>
      <c r="C7" s="244"/>
      <c r="D7" s="319" t="s">
        <v>407</v>
      </c>
      <c r="E7" s="319"/>
      <c r="F7" s="319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4"/>
    </row>
    <row r="8" spans="1:76" x14ac:dyDescent="0.2">
      <c r="A8" s="244"/>
      <c r="B8" s="244"/>
      <c r="C8" s="359"/>
      <c r="D8" s="262"/>
      <c r="E8" s="320"/>
      <c r="F8" s="321"/>
      <c r="G8" s="664" t="str">
        <f>[65]summary!H8</f>
        <v>2019/20</v>
      </c>
      <c r="H8" s="664"/>
      <c r="I8" s="664"/>
      <c r="J8" s="664"/>
      <c r="K8" s="664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695"/>
      <c r="BF8" s="695"/>
      <c r="BG8" s="695"/>
      <c r="BH8" s="695"/>
      <c r="BI8" s="695"/>
      <c r="BJ8" s="695"/>
      <c r="BK8" s="695"/>
      <c r="BL8" s="695"/>
      <c r="BM8" s="695"/>
      <c r="BN8" s="695"/>
      <c r="BO8" s="695"/>
      <c r="BP8" s="695"/>
      <c r="BQ8" s="695"/>
      <c r="BR8" s="695"/>
      <c r="BS8" s="695"/>
      <c r="BT8" s="695"/>
      <c r="BU8" s="257"/>
      <c r="BV8" s="257"/>
      <c r="BW8" s="253"/>
      <c r="BX8" s="254"/>
    </row>
    <row r="9" spans="1:76" ht="18" customHeight="1" x14ac:dyDescent="0.2">
      <c r="A9" s="244"/>
      <c r="B9" s="244"/>
      <c r="D9" s="254"/>
      <c r="E9" s="261"/>
      <c r="F9" s="244"/>
      <c r="G9" s="17" t="str">
        <f>[65]domredemp!G9</f>
        <v>Revised</v>
      </c>
      <c r="H9" s="17"/>
      <c r="I9" s="17"/>
      <c r="J9" s="14"/>
      <c r="K9" s="17"/>
      <c r="L9" s="17" t="s">
        <v>2</v>
      </c>
      <c r="M9" s="17"/>
      <c r="N9" s="17"/>
      <c r="O9" s="14"/>
      <c r="P9" s="17"/>
      <c r="Q9" s="17" t="s">
        <v>3</v>
      </c>
      <c r="R9" s="17"/>
      <c r="S9" s="17"/>
      <c r="T9" s="14"/>
      <c r="U9" s="17"/>
      <c r="V9" s="17" t="s">
        <v>167</v>
      </c>
      <c r="W9" s="17"/>
      <c r="X9" s="17"/>
      <c r="Y9" s="14"/>
      <c r="Z9" s="17"/>
      <c r="AA9" s="17" t="s">
        <v>5</v>
      </c>
      <c r="AB9" s="17"/>
      <c r="AC9" s="17"/>
      <c r="AD9" s="14"/>
      <c r="AE9" s="17"/>
      <c r="AF9" s="17" t="s">
        <v>6</v>
      </c>
      <c r="AG9" s="17"/>
      <c r="AH9" s="17"/>
      <c r="AI9" s="14"/>
      <c r="AJ9" s="17"/>
      <c r="AK9" s="17" t="s">
        <v>7</v>
      </c>
      <c r="AL9" s="17"/>
      <c r="AM9" s="17"/>
      <c r="AN9" s="14"/>
      <c r="AO9" s="17"/>
      <c r="AP9" s="17" t="s">
        <v>8</v>
      </c>
      <c r="AQ9" s="17"/>
      <c r="AR9" s="17"/>
      <c r="AS9" s="14"/>
      <c r="AT9" s="17"/>
      <c r="AU9" s="17" t="s">
        <v>9</v>
      </c>
      <c r="AV9" s="17"/>
      <c r="AW9" s="17"/>
      <c r="AX9" s="14"/>
      <c r="AY9" s="17"/>
      <c r="AZ9" s="17" t="s">
        <v>10</v>
      </c>
      <c r="BA9" s="17"/>
      <c r="BB9" s="17"/>
      <c r="BC9" s="14"/>
      <c r="BD9" s="17"/>
      <c r="BE9" s="17" t="s">
        <v>11</v>
      </c>
      <c r="BF9" s="17"/>
      <c r="BG9" s="17"/>
      <c r="BH9" s="14"/>
      <c r="BI9" s="17"/>
      <c r="BJ9" s="17" t="s">
        <v>12</v>
      </c>
      <c r="BK9" s="17"/>
      <c r="BL9" s="17"/>
      <c r="BM9" s="14"/>
      <c r="BN9" s="17"/>
      <c r="BO9" s="17" t="s">
        <v>13</v>
      </c>
      <c r="BP9" s="17"/>
      <c r="BQ9" s="17"/>
      <c r="BR9" s="14"/>
      <c r="BS9" s="17"/>
      <c r="BT9" s="17" t="s">
        <v>14</v>
      </c>
      <c r="BU9" s="17"/>
      <c r="BV9" s="17"/>
      <c r="BW9" s="17"/>
      <c r="BX9" s="254"/>
    </row>
    <row r="10" spans="1:76" x14ac:dyDescent="0.2">
      <c r="A10" s="244"/>
      <c r="B10" s="244"/>
      <c r="D10" s="256" t="s">
        <v>15</v>
      </c>
      <c r="E10" s="324"/>
      <c r="F10" s="325"/>
      <c r="G10" s="79" t="s">
        <v>16</v>
      </c>
      <c r="H10" s="79"/>
      <c r="I10" s="79"/>
      <c r="J10" s="78"/>
      <c r="K10" s="79"/>
      <c r="L10" s="257"/>
      <c r="M10" s="257"/>
      <c r="N10" s="257"/>
      <c r="O10" s="326"/>
      <c r="P10" s="257"/>
      <c r="Q10" s="257"/>
      <c r="R10" s="257"/>
      <c r="S10" s="257"/>
      <c r="T10" s="326"/>
      <c r="U10" s="257"/>
      <c r="V10" s="257"/>
      <c r="W10" s="257"/>
      <c r="X10" s="257"/>
      <c r="Y10" s="326"/>
      <c r="Z10" s="257"/>
      <c r="AA10" s="257"/>
      <c r="AB10" s="257"/>
      <c r="AC10" s="257"/>
      <c r="AD10" s="326"/>
      <c r="AE10" s="257"/>
      <c r="AF10" s="257"/>
      <c r="AG10" s="257"/>
      <c r="AH10" s="257"/>
      <c r="AI10" s="326"/>
      <c r="AJ10" s="257"/>
      <c r="AK10" s="257"/>
      <c r="AL10" s="257"/>
      <c r="AM10" s="257"/>
      <c r="AN10" s="326"/>
      <c r="AO10" s="257"/>
      <c r="AP10" s="257"/>
      <c r="AQ10" s="257"/>
      <c r="AR10" s="257"/>
      <c r="AS10" s="326"/>
      <c r="AT10" s="257"/>
      <c r="AU10" s="257"/>
      <c r="AV10" s="257"/>
      <c r="AW10" s="257"/>
      <c r="AX10" s="326"/>
      <c r="AY10" s="257"/>
      <c r="AZ10" s="257"/>
      <c r="BA10" s="257"/>
      <c r="BB10" s="257"/>
      <c r="BC10" s="326"/>
      <c r="BD10" s="257"/>
      <c r="BE10" s="257"/>
      <c r="BF10" s="257"/>
      <c r="BG10" s="257"/>
      <c r="BH10" s="326"/>
      <c r="BI10" s="257"/>
      <c r="BJ10" s="257"/>
      <c r="BK10" s="257"/>
      <c r="BL10" s="257"/>
      <c r="BM10" s="326"/>
      <c r="BN10" s="257"/>
      <c r="BO10" s="257"/>
      <c r="BP10" s="257"/>
      <c r="BQ10" s="257"/>
      <c r="BR10" s="326"/>
      <c r="BS10" s="257"/>
      <c r="BT10" s="257"/>
      <c r="BU10" s="257"/>
      <c r="BV10" s="257"/>
      <c r="BW10" s="391"/>
      <c r="BX10" s="254"/>
    </row>
    <row r="11" spans="1:76" x14ac:dyDescent="0.2">
      <c r="A11" s="244"/>
      <c r="B11" s="244"/>
      <c r="D11" s="254"/>
      <c r="E11" s="261"/>
      <c r="F11" s="244"/>
      <c r="G11" s="244"/>
      <c r="H11" s="244"/>
      <c r="I11" s="244"/>
      <c r="J11" s="261"/>
      <c r="K11" s="244"/>
      <c r="L11" s="244"/>
      <c r="M11" s="244"/>
      <c r="N11" s="244"/>
      <c r="O11" s="261"/>
      <c r="P11" s="244"/>
      <c r="Q11" s="244"/>
      <c r="R11" s="244"/>
      <c r="S11" s="244"/>
      <c r="T11" s="261"/>
      <c r="U11" s="244"/>
      <c r="V11" s="244"/>
      <c r="W11" s="244"/>
      <c r="X11" s="244"/>
      <c r="Y11" s="261"/>
      <c r="Z11" s="244"/>
      <c r="AA11" s="244"/>
      <c r="AB11" s="244"/>
      <c r="AC11" s="244"/>
      <c r="AD11" s="261"/>
      <c r="AE11" s="244"/>
      <c r="AF11" s="244"/>
      <c r="AG11" s="244"/>
      <c r="AH11" s="244"/>
      <c r="AI11" s="261"/>
      <c r="AJ11" s="244"/>
      <c r="AK11" s="244"/>
      <c r="AL11" s="244"/>
      <c r="AM11" s="244"/>
      <c r="AN11" s="261"/>
      <c r="AO11" s="244"/>
      <c r="AP11" s="244"/>
      <c r="AQ11" s="244"/>
      <c r="AR11" s="244"/>
      <c r="AS11" s="261"/>
      <c r="AT11" s="244"/>
      <c r="AU11" s="244"/>
      <c r="AV11" s="244"/>
      <c r="AW11" s="244"/>
      <c r="AX11" s="261"/>
      <c r="AY11" s="244"/>
      <c r="AZ11" s="244"/>
      <c r="BA11" s="244"/>
      <c r="BB11" s="244"/>
      <c r="BC11" s="261"/>
      <c r="BD11" s="244"/>
      <c r="BE11" s="244"/>
      <c r="BF11" s="244"/>
      <c r="BG11" s="244"/>
      <c r="BH11" s="261"/>
      <c r="BI11" s="244"/>
      <c r="BJ11" s="244"/>
      <c r="BK11" s="244"/>
      <c r="BL11" s="244"/>
      <c r="BM11" s="261"/>
      <c r="BN11" s="244"/>
      <c r="BO11" s="244"/>
      <c r="BP11" s="244"/>
      <c r="BQ11" s="244"/>
      <c r="BR11" s="261"/>
      <c r="BS11" s="244"/>
      <c r="BT11" s="244"/>
      <c r="BU11" s="244"/>
      <c r="BV11" s="244"/>
      <c r="BW11" s="244"/>
      <c r="BX11" s="254"/>
    </row>
    <row r="12" spans="1:76" x14ac:dyDescent="0.2">
      <c r="A12" s="244"/>
      <c r="B12" s="244"/>
      <c r="C12" s="244"/>
      <c r="D12" s="262" t="s">
        <v>408</v>
      </c>
      <c r="E12" s="261"/>
      <c r="F12" s="244"/>
      <c r="G12" s="340">
        <f>SUM(G13:G15)</f>
        <v>76052000</v>
      </c>
      <c r="H12" s="233"/>
      <c r="I12" s="233"/>
      <c r="J12" s="227"/>
      <c r="K12" s="244"/>
      <c r="L12" s="340">
        <f>SUM(L13:L15)</f>
        <v>0</v>
      </c>
      <c r="M12" s="233"/>
      <c r="N12" s="233"/>
      <c r="O12" s="227"/>
      <c r="P12" s="244"/>
      <c r="Q12" s="340">
        <f>SUM(Q13:Q15)</f>
        <v>0</v>
      </c>
      <c r="R12" s="233"/>
      <c r="S12" s="233"/>
      <c r="T12" s="227"/>
      <c r="U12" s="244"/>
      <c r="V12" s="340">
        <f>SUM(V13:V15)</f>
        <v>0</v>
      </c>
      <c r="W12" s="233"/>
      <c r="X12" s="233"/>
      <c r="Y12" s="227"/>
      <c r="Z12" s="244"/>
      <c r="AA12" s="340">
        <f>SUM(AA13:AA15)</f>
        <v>0</v>
      </c>
      <c r="AB12" s="233"/>
      <c r="AC12" s="233"/>
      <c r="AD12" s="227"/>
      <c r="AE12" s="244"/>
      <c r="AF12" s="340">
        <f>SUM(AF13:AF15)</f>
        <v>0</v>
      </c>
      <c r="AG12" s="233"/>
      <c r="AH12" s="233"/>
      <c r="AI12" s="227"/>
      <c r="AJ12" s="244"/>
      <c r="AK12" s="340">
        <f>SUM(AK13:AK15)</f>
        <v>76052000</v>
      </c>
      <c r="AL12" s="233"/>
      <c r="AM12" s="233"/>
      <c r="AN12" s="227"/>
      <c r="AO12" s="244"/>
      <c r="AP12" s="340">
        <f>SUM(AP13:AP15)</f>
        <v>0</v>
      </c>
      <c r="AQ12" s="233"/>
      <c r="AR12" s="233"/>
      <c r="AS12" s="227"/>
      <c r="AT12" s="244"/>
      <c r="AU12" s="340">
        <f>SUM(AU13:AU15)</f>
        <v>0</v>
      </c>
      <c r="AV12" s="233"/>
      <c r="AW12" s="233"/>
      <c r="AX12" s="227"/>
      <c r="AY12" s="244"/>
      <c r="AZ12" s="340">
        <f>SUM(AZ13:AZ15)</f>
        <v>0</v>
      </c>
      <c r="BA12" s="233"/>
      <c r="BB12" s="233"/>
      <c r="BC12" s="227"/>
      <c r="BD12" s="244"/>
      <c r="BE12" s="340">
        <f>SUM(BE13:BE15)</f>
        <v>0</v>
      </c>
      <c r="BF12" s="233"/>
      <c r="BG12" s="233"/>
      <c r="BH12" s="227"/>
      <c r="BI12" s="244"/>
      <c r="BJ12" s="340">
        <f>SUM(BJ13:BJ15)</f>
        <v>0</v>
      </c>
      <c r="BK12" s="233"/>
      <c r="BL12" s="233"/>
      <c r="BM12" s="227"/>
      <c r="BN12" s="244"/>
      <c r="BO12" s="340">
        <f>SUM(BO13:BO15)</f>
        <v>0</v>
      </c>
      <c r="BP12" s="233"/>
      <c r="BQ12" s="233"/>
      <c r="BR12" s="227"/>
      <c r="BS12" s="244"/>
      <c r="BT12" s="340">
        <f>SUM(BT13:BT15)</f>
        <v>76052000</v>
      </c>
      <c r="BU12" s="233"/>
      <c r="BV12" s="233"/>
      <c r="BW12" s="233"/>
      <c r="BX12" s="254"/>
    </row>
    <row r="13" spans="1:76" x14ac:dyDescent="0.2">
      <c r="A13" s="244"/>
      <c r="B13" s="244"/>
      <c r="C13" s="244"/>
      <c r="D13" s="254" t="s">
        <v>409</v>
      </c>
      <c r="E13" s="261"/>
      <c r="F13" s="345"/>
      <c r="G13" s="343">
        <f>G17</f>
        <v>76052000</v>
      </c>
      <c r="H13" s="344"/>
      <c r="I13" s="233"/>
      <c r="J13" s="227"/>
      <c r="K13" s="345"/>
      <c r="L13" s="343">
        <f>L17</f>
        <v>0</v>
      </c>
      <c r="M13" s="344"/>
      <c r="N13" s="233"/>
      <c r="O13" s="227"/>
      <c r="P13" s="345"/>
      <c r="Q13" s="343">
        <f>Q17</f>
        <v>0</v>
      </c>
      <c r="R13" s="344"/>
      <c r="S13" s="233"/>
      <c r="T13" s="227"/>
      <c r="U13" s="345"/>
      <c r="V13" s="343">
        <f>V17</f>
        <v>0</v>
      </c>
      <c r="W13" s="344"/>
      <c r="X13" s="233"/>
      <c r="Y13" s="227"/>
      <c r="Z13" s="345"/>
      <c r="AA13" s="343">
        <f>AA17</f>
        <v>0</v>
      </c>
      <c r="AB13" s="344"/>
      <c r="AC13" s="233"/>
      <c r="AD13" s="227"/>
      <c r="AE13" s="345"/>
      <c r="AF13" s="343">
        <f>AF17</f>
        <v>0</v>
      </c>
      <c r="AG13" s="344"/>
      <c r="AH13" s="233"/>
      <c r="AI13" s="227"/>
      <c r="AJ13" s="345"/>
      <c r="AK13" s="343">
        <f>AK17</f>
        <v>76052000</v>
      </c>
      <c r="AL13" s="344"/>
      <c r="AM13" s="233"/>
      <c r="AN13" s="227"/>
      <c r="AO13" s="345"/>
      <c r="AP13" s="343">
        <f>AP17</f>
        <v>0</v>
      </c>
      <c r="AQ13" s="344"/>
      <c r="AR13" s="233"/>
      <c r="AS13" s="227"/>
      <c r="AT13" s="345"/>
      <c r="AU13" s="343">
        <f>AU17</f>
        <v>0</v>
      </c>
      <c r="AV13" s="344"/>
      <c r="AW13" s="233"/>
      <c r="AX13" s="227"/>
      <c r="AY13" s="345"/>
      <c r="AZ13" s="343">
        <f>AZ17</f>
        <v>0</v>
      </c>
      <c r="BA13" s="344"/>
      <c r="BB13" s="233"/>
      <c r="BC13" s="227"/>
      <c r="BD13" s="345"/>
      <c r="BE13" s="343">
        <f>BE17</f>
        <v>0</v>
      </c>
      <c r="BF13" s="344"/>
      <c r="BG13" s="233"/>
      <c r="BH13" s="227"/>
      <c r="BI13" s="345"/>
      <c r="BJ13" s="343">
        <f>BJ17</f>
        <v>0</v>
      </c>
      <c r="BK13" s="344"/>
      <c r="BL13" s="233"/>
      <c r="BM13" s="227"/>
      <c r="BN13" s="345"/>
      <c r="BO13" s="343">
        <f>BO17</f>
        <v>0</v>
      </c>
      <c r="BP13" s="344"/>
      <c r="BQ13" s="233"/>
      <c r="BR13" s="227"/>
      <c r="BS13" s="345"/>
      <c r="BT13" s="343">
        <f>BT17</f>
        <v>76052000</v>
      </c>
      <c r="BU13" s="344"/>
      <c r="BV13" s="233"/>
      <c r="BW13" s="233"/>
      <c r="BX13" s="254"/>
    </row>
    <row r="14" spans="1:76" x14ac:dyDescent="0.2">
      <c r="A14" s="244"/>
      <c r="B14" s="244"/>
      <c r="C14" s="244"/>
      <c r="D14" s="254" t="s">
        <v>410</v>
      </c>
      <c r="E14" s="261"/>
      <c r="F14" s="227"/>
      <c r="G14" s="233">
        <f>+G63</f>
        <v>0</v>
      </c>
      <c r="H14" s="347"/>
      <c r="I14" s="233"/>
      <c r="J14" s="227"/>
      <c r="K14" s="227"/>
      <c r="L14" s="233">
        <f>L63</f>
        <v>0</v>
      </c>
      <c r="M14" s="347"/>
      <c r="N14" s="233"/>
      <c r="O14" s="227"/>
      <c r="P14" s="227"/>
      <c r="Q14" s="233">
        <f>Q63</f>
        <v>0</v>
      </c>
      <c r="R14" s="347"/>
      <c r="S14" s="233"/>
      <c r="T14" s="227"/>
      <c r="U14" s="227"/>
      <c r="V14" s="233">
        <f>V63</f>
        <v>0</v>
      </c>
      <c r="W14" s="347"/>
      <c r="X14" s="233"/>
      <c r="Y14" s="227"/>
      <c r="Z14" s="227"/>
      <c r="AA14" s="233">
        <f>AA63</f>
        <v>0</v>
      </c>
      <c r="AB14" s="347"/>
      <c r="AC14" s="233"/>
      <c r="AD14" s="227"/>
      <c r="AE14" s="227"/>
      <c r="AF14" s="233">
        <f>AF63</f>
        <v>0</v>
      </c>
      <c r="AG14" s="347"/>
      <c r="AH14" s="233"/>
      <c r="AI14" s="227"/>
      <c r="AJ14" s="227"/>
      <c r="AK14" s="233">
        <f>AK63</f>
        <v>0</v>
      </c>
      <c r="AL14" s="347"/>
      <c r="AM14" s="233"/>
      <c r="AN14" s="227"/>
      <c r="AO14" s="227"/>
      <c r="AP14" s="233">
        <f>AP63</f>
        <v>0</v>
      </c>
      <c r="AQ14" s="347"/>
      <c r="AR14" s="233"/>
      <c r="AS14" s="227"/>
      <c r="AT14" s="227"/>
      <c r="AU14" s="233">
        <f>AU63</f>
        <v>0</v>
      </c>
      <c r="AV14" s="347"/>
      <c r="AW14" s="233"/>
      <c r="AX14" s="227"/>
      <c r="AY14" s="227"/>
      <c r="AZ14" s="233">
        <f>AZ63</f>
        <v>0</v>
      </c>
      <c r="BA14" s="347"/>
      <c r="BB14" s="233"/>
      <c r="BC14" s="227"/>
      <c r="BD14" s="227"/>
      <c r="BE14" s="233">
        <f>BE63</f>
        <v>0</v>
      </c>
      <c r="BF14" s="347"/>
      <c r="BG14" s="233"/>
      <c r="BH14" s="227"/>
      <c r="BI14" s="227"/>
      <c r="BJ14" s="233">
        <f>BJ63</f>
        <v>0</v>
      </c>
      <c r="BK14" s="347"/>
      <c r="BL14" s="233"/>
      <c r="BM14" s="227"/>
      <c r="BN14" s="227"/>
      <c r="BO14" s="233">
        <f>BO63</f>
        <v>0</v>
      </c>
      <c r="BP14" s="347"/>
      <c r="BQ14" s="233"/>
      <c r="BR14" s="227"/>
      <c r="BS14" s="227"/>
      <c r="BT14" s="233">
        <f>BT63</f>
        <v>0</v>
      </c>
      <c r="BU14" s="347"/>
      <c r="BV14" s="233"/>
      <c r="BW14" s="233"/>
      <c r="BX14" s="254"/>
    </row>
    <row r="15" spans="1:76" x14ac:dyDescent="0.2">
      <c r="A15" s="244"/>
      <c r="B15" s="244"/>
      <c r="C15" s="244"/>
      <c r="D15" s="254" t="s">
        <v>411</v>
      </c>
      <c r="E15" s="261"/>
      <c r="F15" s="357"/>
      <c r="G15" s="355">
        <v>0</v>
      </c>
      <c r="H15" s="356"/>
      <c r="I15" s="233"/>
      <c r="J15" s="227"/>
      <c r="K15" s="357"/>
      <c r="L15" s="355">
        <f>L73</f>
        <v>0</v>
      </c>
      <c r="M15" s="356"/>
      <c r="N15" s="233"/>
      <c r="O15" s="227"/>
      <c r="P15" s="357"/>
      <c r="Q15" s="355">
        <f>Q73</f>
        <v>0</v>
      </c>
      <c r="R15" s="356"/>
      <c r="S15" s="233"/>
      <c r="T15" s="227"/>
      <c r="U15" s="357"/>
      <c r="V15" s="355">
        <f>V73</f>
        <v>0</v>
      </c>
      <c r="W15" s="356"/>
      <c r="X15" s="233"/>
      <c r="Y15" s="227"/>
      <c r="Z15" s="357"/>
      <c r="AA15" s="355">
        <f>AA73</f>
        <v>0</v>
      </c>
      <c r="AB15" s="356"/>
      <c r="AC15" s="233"/>
      <c r="AD15" s="227"/>
      <c r="AE15" s="357"/>
      <c r="AF15" s="355">
        <f>AF73</f>
        <v>0</v>
      </c>
      <c r="AG15" s="356"/>
      <c r="AH15" s="233"/>
      <c r="AI15" s="227"/>
      <c r="AJ15" s="357"/>
      <c r="AK15" s="355">
        <f>AK73</f>
        <v>0</v>
      </c>
      <c r="AL15" s="356"/>
      <c r="AM15" s="233"/>
      <c r="AN15" s="227"/>
      <c r="AO15" s="357"/>
      <c r="AP15" s="355">
        <f>AP73</f>
        <v>0</v>
      </c>
      <c r="AQ15" s="356"/>
      <c r="AR15" s="233"/>
      <c r="AS15" s="227"/>
      <c r="AT15" s="357"/>
      <c r="AU15" s="355">
        <f>AU73</f>
        <v>0</v>
      </c>
      <c r="AV15" s="356"/>
      <c r="AW15" s="233"/>
      <c r="AX15" s="227"/>
      <c r="AY15" s="357"/>
      <c r="AZ15" s="355">
        <f>AZ73</f>
        <v>0</v>
      </c>
      <c r="BA15" s="356"/>
      <c r="BB15" s="233"/>
      <c r="BC15" s="227"/>
      <c r="BD15" s="357"/>
      <c r="BE15" s="355">
        <f>BE73</f>
        <v>0</v>
      </c>
      <c r="BF15" s="356"/>
      <c r="BG15" s="233"/>
      <c r="BH15" s="227"/>
      <c r="BI15" s="357"/>
      <c r="BJ15" s="355">
        <f>BJ73</f>
        <v>0</v>
      </c>
      <c r="BK15" s="356"/>
      <c r="BL15" s="233"/>
      <c r="BM15" s="227"/>
      <c r="BN15" s="357"/>
      <c r="BO15" s="355">
        <f>BO73</f>
        <v>0</v>
      </c>
      <c r="BP15" s="356"/>
      <c r="BQ15" s="233"/>
      <c r="BR15" s="227"/>
      <c r="BS15" s="357"/>
      <c r="BT15" s="355">
        <f>BT73</f>
        <v>0</v>
      </c>
      <c r="BU15" s="356"/>
      <c r="BV15" s="233"/>
      <c r="BW15" s="233"/>
      <c r="BX15" s="254"/>
    </row>
    <row r="16" spans="1:76" x14ac:dyDescent="0.2">
      <c r="A16" s="244"/>
      <c r="B16" s="244"/>
      <c r="C16" s="244"/>
      <c r="D16" s="254"/>
      <c r="E16" s="261"/>
      <c r="F16" s="244"/>
      <c r="G16" s="233"/>
      <c r="H16" s="233"/>
      <c r="I16" s="233"/>
      <c r="J16" s="227"/>
      <c r="K16" s="233"/>
      <c r="L16" s="233"/>
      <c r="M16" s="233"/>
      <c r="N16" s="233"/>
      <c r="O16" s="227"/>
      <c r="P16" s="233"/>
      <c r="Q16" s="233"/>
      <c r="R16" s="233"/>
      <c r="S16" s="233"/>
      <c r="T16" s="227"/>
      <c r="U16" s="233"/>
      <c r="V16" s="233"/>
      <c r="W16" s="233"/>
      <c r="X16" s="233"/>
      <c r="Y16" s="227"/>
      <c r="Z16" s="233"/>
      <c r="AA16" s="233"/>
      <c r="AB16" s="233"/>
      <c r="AC16" s="233"/>
      <c r="AD16" s="227"/>
      <c r="AE16" s="233"/>
      <c r="AF16" s="233"/>
      <c r="AG16" s="233"/>
      <c r="AH16" s="233"/>
      <c r="AI16" s="227"/>
      <c r="AJ16" s="233"/>
      <c r="AK16" s="233"/>
      <c r="AL16" s="233"/>
      <c r="AM16" s="233"/>
      <c r="AN16" s="227"/>
      <c r="AO16" s="233"/>
      <c r="AP16" s="233"/>
      <c r="AQ16" s="233"/>
      <c r="AR16" s="233"/>
      <c r="AS16" s="227"/>
      <c r="AT16" s="233"/>
      <c r="AU16" s="233"/>
      <c r="AV16" s="233"/>
      <c r="AW16" s="233"/>
      <c r="AX16" s="227"/>
      <c r="AY16" s="233"/>
      <c r="AZ16" s="233"/>
      <c r="BA16" s="233"/>
      <c r="BB16" s="233"/>
      <c r="BC16" s="227"/>
      <c r="BD16" s="233"/>
      <c r="BE16" s="233"/>
      <c r="BF16" s="233"/>
      <c r="BG16" s="233"/>
      <c r="BH16" s="227"/>
      <c r="BI16" s="233"/>
      <c r="BJ16" s="233"/>
      <c r="BK16" s="233"/>
      <c r="BL16" s="233"/>
      <c r="BM16" s="227"/>
      <c r="BN16" s="233"/>
      <c r="BO16" s="233"/>
      <c r="BP16" s="233"/>
      <c r="BQ16" s="233"/>
      <c r="BR16" s="227"/>
      <c r="BS16" s="233"/>
      <c r="BT16" s="233"/>
      <c r="BU16" s="233"/>
      <c r="BV16" s="233"/>
      <c r="BW16" s="233"/>
      <c r="BX16" s="254"/>
    </row>
    <row r="17" spans="1:79" s="268" customFormat="1" x14ac:dyDescent="0.2">
      <c r="A17" s="245"/>
      <c r="B17" s="245"/>
      <c r="C17" s="245"/>
      <c r="D17" s="262" t="s">
        <v>412</v>
      </c>
      <c r="E17" s="264"/>
      <c r="F17" s="245"/>
      <c r="G17" s="340">
        <f>SUM(G18:G20)</f>
        <v>76052000</v>
      </c>
      <c r="H17" s="340"/>
      <c r="I17" s="340"/>
      <c r="J17" s="341"/>
      <c r="K17" s="340"/>
      <c r="L17" s="340">
        <f>SUM(L18:L20)</f>
        <v>0</v>
      </c>
      <c r="M17" s="340"/>
      <c r="N17" s="340"/>
      <c r="O17" s="341"/>
      <c r="P17" s="340"/>
      <c r="Q17" s="340">
        <f>SUM(Q18:Q20)</f>
        <v>0</v>
      </c>
      <c r="R17" s="340"/>
      <c r="S17" s="340"/>
      <c r="T17" s="341"/>
      <c r="U17" s="340"/>
      <c r="V17" s="340">
        <f>SUM(V18:V20)</f>
        <v>0</v>
      </c>
      <c r="W17" s="340"/>
      <c r="X17" s="340"/>
      <c r="Y17" s="341"/>
      <c r="Z17" s="340"/>
      <c r="AA17" s="340">
        <f>SUM(AA18:AA20)</f>
        <v>0</v>
      </c>
      <c r="AB17" s="340"/>
      <c r="AC17" s="340"/>
      <c r="AD17" s="341"/>
      <c r="AE17" s="340"/>
      <c r="AF17" s="340">
        <f>SUM(AF18:AF20)</f>
        <v>0</v>
      </c>
      <c r="AG17" s="340"/>
      <c r="AH17" s="340"/>
      <c r="AI17" s="341"/>
      <c r="AJ17" s="340"/>
      <c r="AK17" s="340">
        <f>SUM(AK18:AK20)</f>
        <v>76052000</v>
      </c>
      <c r="AL17" s="340"/>
      <c r="AM17" s="340"/>
      <c r="AN17" s="341"/>
      <c r="AO17" s="340"/>
      <c r="AP17" s="340">
        <f>SUM(AP18:AP20)</f>
        <v>0</v>
      </c>
      <c r="AQ17" s="340"/>
      <c r="AR17" s="340"/>
      <c r="AS17" s="341"/>
      <c r="AT17" s="340"/>
      <c r="AU17" s="340">
        <f>SUM(AU18:AU20)</f>
        <v>0</v>
      </c>
      <c r="AV17" s="340"/>
      <c r="AW17" s="340"/>
      <c r="AX17" s="341"/>
      <c r="AY17" s="340"/>
      <c r="AZ17" s="340">
        <f>SUM(AZ18:AZ20)</f>
        <v>0</v>
      </c>
      <c r="BA17" s="340"/>
      <c r="BB17" s="340"/>
      <c r="BC17" s="341"/>
      <c r="BD17" s="340"/>
      <c r="BE17" s="340">
        <f>SUM(BE18:BE20)</f>
        <v>0</v>
      </c>
      <c r="BF17" s="340"/>
      <c r="BG17" s="340"/>
      <c r="BH17" s="341"/>
      <c r="BI17" s="340"/>
      <c r="BJ17" s="340">
        <f>SUM(BJ18:BJ20)</f>
        <v>0</v>
      </c>
      <c r="BK17" s="340"/>
      <c r="BL17" s="340"/>
      <c r="BM17" s="341"/>
      <c r="BN17" s="340"/>
      <c r="BO17" s="340">
        <f>SUM(BO18:BO20)</f>
        <v>0</v>
      </c>
      <c r="BP17" s="340"/>
      <c r="BQ17" s="340"/>
      <c r="BR17" s="341"/>
      <c r="BS17" s="340"/>
      <c r="BT17" s="340">
        <f>SUM(BT18:BT20)</f>
        <v>76052000</v>
      </c>
      <c r="BU17" s="340"/>
      <c r="BV17" s="340"/>
      <c r="BW17" s="340"/>
      <c r="BX17" s="262"/>
      <c r="BZ17" s="243"/>
      <c r="CA17" s="243"/>
    </row>
    <row r="18" spans="1:79" x14ac:dyDescent="0.2">
      <c r="A18" s="244"/>
      <c r="B18" s="244"/>
      <c r="C18" s="244"/>
      <c r="D18" s="254" t="s">
        <v>310</v>
      </c>
      <c r="E18" s="261"/>
      <c r="F18" s="269"/>
      <c r="G18" s="343">
        <f>+G38+G43+G57+G84+G89+G94+G33+G28+G23</f>
        <v>76052000</v>
      </c>
      <c r="H18" s="344"/>
      <c r="I18" s="233"/>
      <c r="J18" s="227"/>
      <c r="K18" s="345"/>
      <c r="L18" s="343">
        <f>+L38+L43+L57+L84+L89+L94+L33+L28+L23</f>
        <v>0</v>
      </c>
      <c r="M18" s="344"/>
      <c r="N18" s="233"/>
      <c r="O18" s="227"/>
      <c r="P18" s="345"/>
      <c r="Q18" s="343">
        <f>+Q38+Q43+Q57+Q84+Q89+Q94+Q33+Q28+Q23</f>
        <v>0</v>
      </c>
      <c r="R18" s="344"/>
      <c r="S18" s="233"/>
      <c r="T18" s="227"/>
      <c r="U18" s="345"/>
      <c r="V18" s="343">
        <f>+V38+V43+V57+V84+V89+V94+V33+V28+V23</f>
        <v>0</v>
      </c>
      <c r="W18" s="344"/>
      <c r="X18" s="233"/>
      <c r="Y18" s="227"/>
      <c r="Z18" s="345"/>
      <c r="AA18" s="343">
        <f>+AA38+AA43+AA57+AA84+AA89+AA94+AA33+AA28+AA23</f>
        <v>0</v>
      </c>
      <c r="AB18" s="344"/>
      <c r="AC18" s="233"/>
      <c r="AD18" s="227"/>
      <c r="AE18" s="345"/>
      <c r="AF18" s="343">
        <f>+AF38+AF43+AF57+AF84+AF89+AF94+AF33+AF28+AF23</f>
        <v>0</v>
      </c>
      <c r="AG18" s="344"/>
      <c r="AH18" s="233"/>
      <c r="AI18" s="227"/>
      <c r="AJ18" s="345"/>
      <c r="AK18" s="343">
        <f>+AK38+AK43+AK57+AK84+AK89+AK94+AK33+AK28+AK23</f>
        <v>76052000</v>
      </c>
      <c r="AL18" s="344"/>
      <c r="AM18" s="233"/>
      <c r="AN18" s="227"/>
      <c r="AO18" s="345"/>
      <c r="AP18" s="343">
        <f>+AP38+AP43+AP57+AP84+AP89+AP94+AP33+AP28+AP23</f>
        <v>0</v>
      </c>
      <c r="AQ18" s="344"/>
      <c r="AR18" s="233"/>
      <c r="AS18" s="227"/>
      <c r="AT18" s="345"/>
      <c r="AU18" s="343">
        <f>+AU38+AU43+AU57+AU84+AU89+AU94+AU33+AU28+AU23</f>
        <v>0</v>
      </c>
      <c r="AV18" s="344"/>
      <c r="AW18" s="233"/>
      <c r="AX18" s="227"/>
      <c r="AY18" s="345"/>
      <c r="AZ18" s="343">
        <f>+AZ38+AZ43+AZ57+AZ84+AZ89+AZ94+AZ33+AZ28+AZ23</f>
        <v>0</v>
      </c>
      <c r="BA18" s="344"/>
      <c r="BB18" s="233"/>
      <c r="BC18" s="227"/>
      <c r="BD18" s="345"/>
      <c r="BE18" s="343">
        <f>+BE38+BE43+BE57+BE84+BE89+BE94+BE33+BE28+BE23</f>
        <v>0</v>
      </c>
      <c r="BF18" s="344"/>
      <c r="BG18" s="233"/>
      <c r="BH18" s="227"/>
      <c r="BI18" s="345"/>
      <c r="BJ18" s="343">
        <f>+BJ38+BJ43+BJ57+BJ84+BJ89+BJ94+BJ33+BJ28+BJ23</f>
        <v>0</v>
      </c>
      <c r="BK18" s="344"/>
      <c r="BL18" s="233"/>
      <c r="BM18" s="227"/>
      <c r="BN18" s="345"/>
      <c r="BO18" s="343">
        <f>+BO38+BO43+BO57+BO84+BO89+BO94+BO33+BO28+BO23</f>
        <v>0</v>
      </c>
      <c r="BP18" s="344"/>
      <c r="BQ18" s="233"/>
      <c r="BR18" s="227"/>
      <c r="BS18" s="345"/>
      <c r="BT18" s="343">
        <f>+BT38+BT43+BT57+BT84+BT89+BT94+BT33+BT28+BT23</f>
        <v>76052000</v>
      </c>
      <c r="BU18" s="344"/>
      <c r="BV18" s="233"/>
      <c r="BW18" s="233"/>
      <c r="BX18" s="254"/>
    </row>
    <row r="19" spans="1:79" x14ac:dyDescent="0.2">
      <c r="A19" s="244"/>
      <c r="B19" s="244"/>
      <c r="C19" s="244"/>
      <c r="D19" s="254" t="s">
        <v>312</v>
      </c>
      <c r="E19" s="261"/>
      <c r="F19" s="261"/>
      <c r="G19" s="233">
        <v>0</v>
      </c>
      <c r="H19" s="347"/>
      <c r="I19" s="233"/>
      <c r="J19" s="227"/>
      <c r="K19" s="227"/>
      <c r="L19" s="233">
        <f>+L39+L44+L85+L90+L95+L34+L29+L24</f>
        <v>0</v>
      </c>
      <c r="M19" s="347"/>
      <c r="N19" s="233"/>
      <c r="O19" s="227"/>
      <c r="P19" s="227"/>
      <c r="Q19" s="233">
        <f>+Q39+Q44+Q85+Q90+Q95+Q34+Q29+Q24</f>
        <v>0</v>
      </c>
      <c r="R19" s="347"/>
      <c r="S19" s="233"/>
      <c r="T19" s="227"/>
      <c r="U19" s="227"/>
      <c r="V19" s="233">
        <f>+V39+V44+V85+V90+V95+V34+V29+V24</f>
        <v>0</v>
      </c>
      <c r="W19" s="347"/>
      <c r="X19" s="233"/>
      <c r="Y19" s="227"/>
      <c r="Z19" s="227"/>
      <c r="AA19" s="233">
        <f>+AA39+AA44+AA85+AA90+AA95+AA34+AA29+AA24</f>
        <v>0</v>
      </c>
      <c r="AB19" s="347"/>
      <c r="AC19" s="233"/>
      <c r="AD19" s="227"/>
      <c r="AE19" s="227"/>
      <c r="AF19" s="233">
        <f>+AF39+AF44+AF85+AF90+AF95+AF34+AF29+AF24</f>
        <v>0</v>
      </c>
      <c r="AG19" s="347"/>
      <c r="AH19" s="233"/>
      <c r="AI19" s="227"/>
      <c r="AJ19" s="227"/>
      <c r="AK19" s="233">
        <f>+AK39+AK44+AK85+AK90+AK95+AK34+AK29+AK24</f>
        <v>0</v>
      </c>
      <c r="AL19" s="347"/>
      <c r="AM19" s="233"/>
      <c r="AN19" s="227"/>
      <c r="AO19" s="227"/>
      <c r="AP19" s="233">
        <f>+AP39+AP44+AP85+AP90+AP95+AP34+AP29+AP24</f>
        <v>0</v>
      </c>
      <c r="AQ19" s="347"/>
      <c r="AR19" s="233"/>
      <c r="AS19" s="227"/>
      <c r="AT19" s="227"/>
      <c r="AU19" s="233">
        <f>+AU39+AU44+AU85+AU90+AU95+AU34+AU29+AU24</f>
        <v>0</v>
      </c>
      <c r="AV19" s="347"/>
      <c r="AW19" s="233"/>
      <c r="AX19" s="227"/>
      <c r="AY19" s="227"/>
      <c r="AZ19" s="233">
        <f>+AZ39+AZ44+AZ85+AZ90+AZ95+AZ34+AZ29+AZ24</f>
        <v>0</v>
      </c>
      <c r="BA19" s="347"/>
      <c r="BB19" s="233"/>
      <c r="BC19" s="227"/>
      <c r="BD19" s="227"/>
      <c r="BE19" s="233">
        <f>+BE39+BE44+BE85+BE90+BE95+BE34+BE29+BE24</f>
        <v>0</v>
      </c>
      <c r="BF19" s="347"/>
      <c r="BG19" s="233"/>
      <c r="BH19" s="227"/>
      <c r="BI19" s="227"/>
      <c r="BJ19" s="233">
        <f>+BJ39+BJ44+BJ85+BJ90+BJ95+BJ34+BJ29+BJ24</f>
        <v>0</v>
      </c>
      <c r="BK19" s="347"/>
      <c r="BL19" s="233"/>
      <c r="BM19" s="227"/>
      <c r="BN19" s="227"/>
      <c r="BO19" s="233">
        <f>+BO39+BO44+BO85+BO90+BO95+BO34+BO29+BO24</f>
        <v>0</v>
      </c>
      <c r="BP19" s="347"/>
      <c r="BQ19" s="233"/>
      <c r="BR19" s="227"/>
      <c r="BS19" s="227"/>
      <c r="BT19" s="233">
        <f>+BT39+BT44+BT85+BT90+BT95+BT34+BT29+BT24</f>
        <v>0</v>
      </c>
      <c r="BU19" s="347"/>
      <c r="BV19" s="233"/>
      <c r="BW19" s="233"/>
      <c r="BX19" s="254"/>
    </row>
    <row r="20" spans="1:79" x14ac:dyDescent="0.2">
      <c r="A20" s="244"/>
      <c r="B20" s="244"/>
      <c r="C20" s="244"/>
      <c r="D20" s="254" t="s">
        <v>320</v>
      </c>
      <c r="E20" s="261"/>
      <c r="F20" s="284"/>
      <c r="G20" s="355">
        <v>0</v>
      </c>
      <c r="H20" s="356"/>
      <c r="I20" s="233"/>
      <c r="J20" s="227"/>
      <c r="K20" s="357"/>
      <c r="L20" s="355">
        <f>+L40+L45+L86+L91+L96+L35+L30+L25</f>
        <v>0</v>
      </c>
      <c r="M20" s="356"/>
      <c r="N20" s="233"/>
      <c r="O20" s="227"/>
      <c r="P20" s="357"/>
      <c r="Q20" s="355">
        <f>+Q40+Q45+Q86+Q91+Q96+Q35+Q30+Q25</f>
        <v>0</v>
      </c>
      <c r="R20" s="356"/>
      <c r="S20" s="233"/>
      <c r="T20" s="227"/>
      <c r="U20" s="357"/>
      <c r="V20" s="355">
        <f>+V40+V45+V86+V91+V96+V35+V30+V25</f>
        <v>0</v>
      </c>
      <c r="W20" s="356"/>
      <c r="X20" s="233"/>
      <c r="Y20" s="227"/>
      <c r="Z20" s="357"/>
      <c r="AA20" s="355">
        <f>+AA40+AA45+AA86+AA91+AA96+AA35+AA30+AA25</f>
        <v>0</v>
      </c>
      <c r="AB20" s="356"/>
      <c r="AC20" s="233"/>
      <c r="AD20" s="227"/>
      <c r="AE20" s="357"/>
      <c r="AF20" s="355">
        <f>+AF40+AF45+AF86+AF91+AF96+AF35+AF30+AF25</f>
        <v>0</v>
      </c>
      <c r="AG20" s="356"/>
      <c r="AH20" s="233"/>
      <c r="AI20" s="227"/>
      <c r="AJ20" s="357"/>
      <c r="AK20" s="355">
        <f>+AK40+AK45+AK86+AK91+AK96+AK35+AK30+AK25</f>
        <v>0</v>
      </c>
      <c r="AL20" s="356"/>
      <c r="AM20" s="233"/>
      <c r="AN20" s="227"/>
      <c r="AO20" s="357"/>
      <c r="AP20" s="355">
        <f>+AP40+AP45+AP86+AP91+AP96+AP35+AP30+AP25</f>
        <v>0</v>
      </c>
      <c r="AQ20" s="356"/>
      <c r="AR20" s="233"/>
      <c r="AS20" s="227"/>
      <c r="AT20" s="357"/>
      <c r="AU20" s="355">
        <f>+AU40+AU45+AU86+AU91+AU96+AU35+AU30+AU25</f>
        <v>0</v>
      </c>
      <c r="AV20" s="356"/>
      <c r="AW20" s="233"/>
      <c r="AX20" s="227"/>
      <c r="AY20" s="357"/>
      <c r="AZ20" s="355">
        <f>+AZ40+AZ45+AZ86+AZ91+AZ96+AZ35+AZ30+AZ25</f>
        <v>0</v>
      </c>
      <c r="BA20" s="356"/>
      <c r="BB20" s="233"/>
      <c r="BC20" s="227"/>
      <c r="BD20" s="357"/>
      <c r="BE20" s="355">
        <f>+BE40+BE45+BE86+BE91+BE96+BE35+BE30+BE25</f>
        <v>0</v>
      </c>
      <c r="BF20" s="356"/>
      <c r="BG20" s="233"/>
      <c r="BH20" s="227"/>
      <c r="BI20" s="357"/>
      <c r="BJ20" s="355">
        <f>+BJ40+BJ45+BJ86+BJ91+BJ96+BJ35+BJ30+BJ25</f>
        <v>0</v>
      </c>
      <c r="BK20" s="356"/>
      <c r="BL20" s="233"/>
      <c r="BM20" s="227"/>
      <c r="BN20" s="357"/>
      <c r="BO20" s="355">
        <f>+BO40+BO45+BO86+BO91+BO96+BO35+BO30+BO25</f>
        <v>0</v>
      </c>
      <c r="BP20" s="356"/>
      <c r="BQ20" s="233"/>
      <c r="BR20" s="227"/>
      <c r="BS20" s="357"/>
      <c r="BT20" s="355">
        <f>+BT40+BT45+BT86+BT91+BT96+BT35+BT30+BT25</f>
        <v>0</v>
      </c>
      <c r="BU20" s="356"/>
      <c r="BV20" s="233"/>
      <c r="BW20" s="233"/>
      <c r="BX20" s="254"/>
    </row>
    <row r="21" spans="1:79" x14ac:dyDescent="0.2">
      <c r="A21" s="244"/>
      <c r="B21" s="244"/>
      <c r="C21" s="244"/>
      <c r="D21" s="254"/>
      <c r="E21" s="261"/>
      <c r="F21" s="244"/>
      <c r="G21" s="233"/>
      <c r="H21" s="233"/>
      <c r="I21" s="233"/>
      <c r="J21" s="227"/>
      <c r="K21" s="233"/>
      <c r="L21" s="233"/>
      <c r="M21" s="233"/>
      <c r="N21" s="233"/>
      <c r="O21" s="227"/>
      <c r="P21" s="233"/>
      <c r="Q21" s="233"/>
      <c r="R21" s="233"/>
      <c r="S21" s="233"/>
      <c r="T21" s="227"/>
      <c r="U21" s="233"/>
      <c r="V21" s="233"/>
      <c r="W21" s="233"/>
      <c r="X21" s="233"/>
      <c r="Y21" s="227"/>
      <c r="Z21" s="233"/>
      <c r="AA21" s="233"/>
      <c r="AB21" s="233"/>
      <c r="AC21" s="233"/>
      <c r="AD21" s="227"/>
      <c r="AE21" s="233"/>
      <c r="AF21" s="233"/>
      <c r="AG21" s="233"/>
      <c r="AH21" s="233"/>
      <c r="AI21" s="227"/>
      <c r="AJ21" s="233"/>
      <c r="AK21" s="233"/>
      <c r="AL21" s="233"/>
      <c r="AM21" s="233"/>
      <c r="AN21" s="227"/>
      <c r="AO21" s="233"/>
      <c r="AP21" s="233"/>
      <c r="AQ21" s="233"/>
      <c r="AR21" s="233"/>
      <c r="AS21" s="227"/>
      <c r="AT21" s="233"/>
      <c r="AU21" s="233"/>
      <c r="AV21" s="233"/>
      <c r="AW21" s="233"/>
      <c r="AX21" s="227"/>
      <c r="AY21" s="233"/>
      <c r="AZ21" s="233"/>
      <c r="BA21" s="233"/>
      <c r="BB21" s="233"/>
      <c r="BC21" s="227"/>
      <c r="BD21" s="233"/>
      <c r="BE21" s="233"/>
      <c r="BF21" s="233"/>
      <c r="BG21" s="233"/>
      <c r="BH21" s="227"/>
      <c r="BI21" s="233"/>
      <c r="BJ21" s="233"/>
      <c r="BK21" s="233"/>
      <c r="BL21" s="233"/>
      <c r="BM21" s="227"/>
      <c r="BN21" s="233"/>
      <c r="BO21" s="233"/>
      <c r="BP21" s="233"/>
      <c r="BQ21" s="233"/>
      <c r="BR21" s="227"/>
      <c r="BS21" s="233"/>
      <c r="BT21" s="233"/>
      <c r="BU21" s="233"/>
      <c r="BV21" s="233"/>
      <c r="BW21" s="233"/>
      <c r="BX21" s="254"/>
    </row>
    <row r="22" spans="1:79" x14ac:dyDescent="0.2">
      <c r="A22" s="244"/>
      <c r="B22" s="244"/>
      <c r="C22" s="244"/>
      <c r="D22" s="254" t="s">
        <v>413</v>
      </c>
      <c r="E22" s="261"/>
      <c r="F22" s="244"/>
      <c r="G22" s="233">
        <f>SUM(G23:G25)</f>
        <v>30420800</v>
      </c>
      <c r="H22" s="233"/>
      <c r="I22" s="233"/>
      <c r="J22" s="227"/>
      <c r="K22" s="233"/>
      <c r="L22" s="233">
        <f>L23+L25</f>
        <v>0</v>
      </c>
      <c r="M22" s="233"/>
      <c r="N22" s="233"/>
      <c r="O22" s="227"/>
      <c r="P22" s="233"/>
      <c r="Q22" s="233">
        <f>Q23+Q25</f>
        <v>0</v>
      </c>
      <c r="R22" s="233"/>
      <c r="S22" s="233"/>
      <c r="T22" s="227"/>
      <c r="U22" s="233"/>
      <c r="V22" s="233">
        <f>V23+V25</f>
        <v>0</v>
      </c>
      <c r="W22" s="233"/>
      <c r="X22" s="233"/>
      <c r="Y22" s="227"/>
      <c r="Z22" s="233"/>
      <c r="AA22" s="233">
        <f>AA23+AA25</f>
        <v>0</v>
      </c>
      <c r="AB22" s="233"/>
      <c r="AC22" s="233"/>
      <c r="AD22" s="227"/>
      <c r="AE22" s="233"/>
      <c r="AF22" s="233">
        <f>AF23+AF25</f>
        <v>0</v>
      </c>
      <c r="AG22" s="233"/>
      <c r="AH22" s="233"/>
      <c r="AI22" s="227"/>
      <c r="AJ22" s="233"/>
      <c r="AK22" s="233">
        <f>AK23+AK25</f>
        <v>30420800</v>
      </c>
      <c r="AL22" s="233"/>
      <c r="AM22" s="233"/>
      <c r="AN22" s="227"/>
      <c r="AO22" s="233"/>
      <c r="AP22" s="233">
        <f>AP23+AP25</f>
        <v>0</v>
      </c>
      <c r="AQ22" s="233"/>
      <c r="AR22" s="233"/>
      <c r="AS22" s="227"/>
      <c r="AT22" s="233"/>
      <c r="AU22" s="233">
        <f>AU23+AU25</f>
        <v>0</v>
      </c>
      <c r="AV22" s="233"/>
      <c r="AW22" s="233"/>
      <c r="AX22" s="227"/>
      <c r="AY22" s="233"/>
      <c r="AZ22" s="233">
        <f>AZ23+AZ25</f>
        <v>0</v>
      </c>
      <c r="BA22" s="233"/>
      <c r="BB22" s="233"/>
      <c r="BC22" s="227"/>
      <c r="BD22" s="233"/>
      <c r="BE22" s="233">
        <f>BE23+BE25</f>
        <v>0</v>
      </c>
      <c r="BF22" s="233"/>
      <c r="BG22" s="233"/>
      <c r="BH22" s="227"/>
      <c r="BI22" s="233"/>
      <c r="BJ22" s="233">
        <f>BJ23+BJ25</f>
        <v>0</v>
      </c>
      <c r="BK22" s="233"/>
      <c r="BL22" s="233"/>
      <c r="BM22" s="227"/>
      <c r="BN22" s="233"/>
      <c r="BO22" s="233">
        <f>BO23+BO25</f>
        <v>0</v>
      </c>
      <c r="BP22" s="233"/>
      <c r="BQ22" s="233"/>
      <c r="BR22" s="227"/>
      <c r="BS22" s="233"/>
      <c r="BT22" s="233">
        <f>SUM(BT23:BT25)</f>
        <v>30420800</v>
      </c>
      <c r="BU22" s="233"/>
      <c r="BV22" s="233"/>
      <c r="BW22" s="233"/>
      <c r="BX22" s="254"/>
    </row>
    <row r="23" spans="1:79" x14ac:dyDescent="0.2">
      <c r="A23" s="244"/>
      <c r="B23" s="244"/>
      <c r="C23" s="244"/>
      <c r="D23" s="254" t="s">
        <v>310</v>
      </c>
      <c r="E23" s="261"/>
      <c r="F23" s="269"/>
      <c r="G23" s="343">
        <v>30420800</v>
      </c>
      <c r="H23" s="344"/>
      <c r="I23" s="233"/>
      <c r="J23" s="227"/>
      <c r="K23" s="345"/>
      <c r="L23" s="343">
        <v>0</v>
      </c>
      <c r="M23" s="344"/>
      <c r="N23" s="233"/>
      <c r="O23" s="227"/>
      <c r="P23" s="345"/>
      <c r="Q23" s="343">
        <v>0</v>
      </c>
      <c r="R23" s="344"/>
      <c r="S23" s="233"/>
      <c r="T23" s="227"/>
      <c r="U23" s="345"/>
      <c r="V23" s="343">
        <v>0</v>
      </c>
      <c r="W23" s="344"/>
      <c r="X23" s="233"/>
      <c r="Y23" s="227"/>
      <c r="Z23" s="345"/>
      <c r="AA23" s="343">
        <v>0</v>
      </c>
      <c r="AB23" s="344"/>
      <c r="AC23" s="233"/>
      <c r="AD23" s="227"/>
      <c r="AE23" s="345"/>
      <c r="AF23" s="343">
        <v>0</v>
      </c>
      <c r="AG23" s="344"/>
      <c r="AH23" s="233"/>
      <c r="AI23" s="227"/>
      <c r="AJ23" s="345"/>
      <c r="AK23" s="343">
        <v>30420800</v>
      </c>
      <c r="AL23" s="344"/>
      <c r="AM23" s="233"/>
      <c r="AN23" s="227"/>
      <c r="AO23" s="345"/>
      <c r="AP23" s="343">
        <v>0</v>
      </c>
      <c r="AQ23" s="344"/>
      <c r="AR23" s="233"/>
      <c r="AS23" s="227"/>
      <c r="AT23" s="345"/>
      <c r="AU23" s="343">
        <v>0</v>
      </c>
      <c r="AV23" s="344"/>
      <c r="AW23" s="233"/>
      <c r="AX23" s="227"/>
      <c r="AY23" s="345"/>
      <c r="AZ23" s="343">
        <v>0</v>
      </c>
      <c r="BA23" s="344"/>
      <c r="BB23" s="233"/>
      <c r="BC23" s="227"/>
      <c r="BD23" s="345"/>
      <c r="BE23" s="343">
        <v>0</v>
      </c>
      <c r="BF23" s="344"/>
      <c r="BG23" s="233"/>
      <c r="BH23" s="227"/>
      <c r="BI23" s="345"/>
      <c r="BJ23" s="343">
        <v>0</v>
      </c>
      <c r="BK23" s="344"/>
      <c r="BL23" s="233"/>
      <c r="BM23" s="227"/>
      <c r="BN23" s="345"/>
      <c r="BO23" s="343">
        <v>0</v>
      </c>
      <c r="BP23" s="344"/>
      <c r="BQ23" s="233"/>
      <c r="BR23" s="227"/>
      <c r="BS23" s="345"/>
      <c r="BT23" s="343">
        <f>SUM(L23:BO23)</f>
        <v>30420800</v>
      </c>
      <c r="BU23" s="344"/>
      <c r="BV23" s="233"/>
      <c r="BW23" s="233"/>
      <c r="BX23" s="254"/>
    </row>
    <row r="24" spans="1:79" x14ac:dyDescent="0.2">
      <c r="A24" s="244"/>
      <c r="B24" s="244"/>
      <c r="C24" s="244"/>
      <c r="D24" s="254" t="s">
        <v>312</v>
      </c>
      <c r="E24" s="261"/>
      <c r="F24" s="261"/>
      <c r="G24" s="233">
        <v>0</v>
      </c>
      <c r="H24" s="347"/>
      <c r="I24" s="233"/>
      <c r="J24" s="227"/>
      <c r="K24" s="227"/>
      <c r="L24" s="233">
        <v>0</v>
      </c>
      <c r="M24" s="347"/>
      <c r="N24" s="233"/>
      <c r="O24" s="227"/>
      <c r="P24" s="227"/>
      <c r="Q24" s="233">
        <v>0</v>
      </c>
      <c r="R24" s="347"/>
      <c r="S24" s="233"/>
      <c r="T24" s="227"/>
      <c r="U24" s="227"/>
      <c r="V24" s="233">
        <v>0</v>
      </c>
      <c r="W24" s="347"/>
      <c r="X24" s="233"/>
      <c r="Y24" s="227"/>
      <c r="Z24" s="227"/>
      <c r="AA24" s="233">
        <v>0</v>
      </c>
      <c r="AB24" s="347"/>
      <c r="AC24" s="233"/>
      <c r="AD24" s="227"/>
      <c r="AE24" s="227"/>
      <c r="AF24" s="233">
        <v>0</v>
      </c>
      <c r="AG24" s="347"/>
      <c r="AH24" s="233"/>
      <c r="AI24" s="227"/>
      <c r="AJ24" s="227"/>
      <c r="AK24" s="233">
        <v>0</v>
      </c>
      <c r="AL24" s="347"/>
      <c r="AM24" s="233"/>
      <c r="AN24" s="227"/>
      <c r="AO24" s="227"/>
      <c r="AP24" s="233">
        <v>0</v>
      </c>
      <c r="AQ24" s="347"/>
      <c r="AR24" s="233"/>
      <c r="AS24" s="227"/>
      <c r="AT24" s="227"/>
      <c r="AU24" s="233">
        <v>0</v>
      </c>
      <c r="AV24" s="347"/>
      <c r="AW24" s="233"/>
      <c r="AX24" s="227"/>
      <c r="AY24" s="227"/>
      <c r="AZ24" s="233">
        <v>0</v>
      </c>
      <c r="BA24" s="347"/>
      <c r="BB24" s="233"/>
      <c r="BC24" s="227"/>
      <c r="BD24" s="227"/>
      <c r="BE24" s="233">
        <v>0</v>
      </c>
      <c r="BF24" s="347"/>
      <c r="BG24" s="233"/>
      <c r="BH24" s="227"/>
      <c r="BI24" s="227"/>
      <c r="BJ24" s="233">
        <v>0</v>
      </c>
      <c r="BK24" s="347"/>
      <c r="BL24" s="233"/>
      <c r="BM24" s="227"/>
      <c r="BN24" s="227"/>
      <c r="BO24" s="233">
        <v>0</v>
      </c>
      <c r="BP24" s="347"/>
      <c r="BQ24" s="233"/>
      <c r="BR24" s="227"/>
      <c r="BS24" s="227"/>
      <c r="BT24" s="233">
        <f>SUM(L24:BO24)</f>
        <v>0</v>
      </c>
      <c r="BU24" s="347"/>
      <c r="BV24" s="233"/>
      <c r="BW24" s="233"/>
      <c r="BX24" s="254"/>
    </row>
    <row r="25" spans="1:79" x14ac:dyDescent="0.2">
      <c r="A25" s="244"/>
      <c r="B25" s="244"/>
      <c r="C25" s="244"/>
      <c r="D25" s="254" t="s">
        <v>320</v>
      </c>
      <c r="E25" s="261"/>
      <c r="F25" s="284"/>
      <c r="G25" s="355">
        <v>0</v>
      </c>
      <c r="H25" s="356"/>
      <c r="I25" s="233"/>
      <c r="J25" s="227"/>
      <c r="K25" s="357"/>
      <c r="L25" s="355">
        <v>0</v>
      </c>
      <c r="M25" s="356"/>
      <c r="N25" s="233"/>
      <c r="O25" s="227"/>
      <c r="P25" s="357"/>
      <c r="Q25" s="355">
        <v>0</v>
      </c>
      <c r="R25" s="356"/>
      <c r="S25" s="233"/>
      <c r="T25" s="227"/>
      <c r="U25" s="357"/>
      <c r="V25" s="355">
        <v>0</v>
      </c>
      <c r="W25" s="356"/>
      <c r="X25" s="233"/>
      <c r="Y25" s="227"/>
      <c r="Z25" s="357"/>
      <c r="AA25" s="355">
        <v>0</v>
      </c>
      <c r="AB25" s="356"/>
      <c r="AC25" s="233"/>
      <c r="AD25" s="227"/>
      <c r="AE25" s="357"/>
      <c r="AF25" s="355">
        <v>0</v>
      </c>
      <c r="AG25" s="356"/>
      <c r="AH25" s="233"/>
      <c r="AI25" s="227"/>
      <c r="AJ25" s="357"/>
      <c r="AK25" s="355">
        <v>0</v>
      </c>
      <c r="AL25" s="356"/>
      <c r="AM25" s="233"/>
      <c r="AN25" s="227"/>
      <c r="AO25" s="357"/>
      <c r="AP25" s="355">
        <v>0</v>
      </c>
      <c r="AQ25" s="356"/>
      <c r="AR25" s="233"/>
      <c r="AS25" s="227"/>
      <c r="AT25" s="357"/>
      <c r="AU25" s="355">
        <v>0</v>
      </c>
      <c r="AV25" s="356"/>
      <c r="AW25" s="233"/>
      <c r="AX25" s="227"/>
      <c r="AY25" s="357"/>
      <c r="AZ25" s="355">
        <v>0</v>
      </c>
      <c r="BA25" s="356"/>
      <c r="BB25" s="233"/>
      <c r="BC25" s="227"/>
      <c r="BD25" s="357"/>
      <c r="BE25" s="355">
        <v>0</v>
      </c>
      <c r="BF25" s="356"/>
      <c r="BG25" s="233"/>
      <c r="BH25" s="227"/>
      <c r="BI25" s="357"/>
      <c r="BJ25" s="355">
        <v>0</v>
      </c>
      <c r="BK25" s="356"/>
      <c r="BL25" s="233"/>
      <c r="BM25" s="227"/>
      <c r="BN25" s="357"/>
      <c r="BO25" s="355">
        <v>0</v>
      </c>
      <c r="BP25" s="356"/>
      <c r="BQ25" s="233"/>
      <c r="BR25" s="227"/>
      <c r="BS25" s="357"/>
      <c r="BT25" s="355">
        <f>SUM(L25:BO25)</f>
        <v>0</v>
      </c>
      <c r="BU25" s="356"/>
      <c r="BV25" s="233"/>
      <c r="BW25" s="233"/>
      <c r="BX25" s="254"/>
    </row>
    <row r="26" spans="1:79" x14ac:dyDescent="0.2">
      <c r="A26" s="244"/>
      <c r="B26" s="244"/>
      <c r="C26" s="244"/>
      <c r="D26" s="254"/>
      <c r="E26" s="261"/>
      <c r="F26" s="244"/>
      <c r="G26" s="233"/>
      <c r="H26" s="233"/>
      <c r="I26" s="233"/>
      <c r="J26" s="227"/>
      <c r="K26" s="233"/>
      <c r="L26" s="233"/>
      <c r="M26" s="233"/>
      <c r="N26" s="233"/>
      <c r="O26" s="227"/>
      <c r="P26" s="233"/>
      <c r="Q26" s="233"/>
      <c r="R26" s="233"/>
      <c r="S26" s="233"/>
      <c r="T26" s="227"/>
      <c r="U26" s="233"/>
      <c r="V26" s="233"/>
      <c r="W26" s="233"/>
      <c r="X26" s="233"/>
      <c r="Y26" s="227"/>
      <c r="Z26" s="233"/>
      <c r="AA26" s="233"/>
      <c r="AB26" s="233"/>
      <c r="AC26" s="233"/>
      <c r="AD26" s="227"/>
      <c r="AE26" s="233"/>
      <c r="AF26" s="233"/>
      <c r="AG26" s="233"/>
      <c r="AH26" s="233"/>
      <c r="AI26" s="227"/>
      <c r="AJ26" s="233"/>
      <c r="AK26" s="233"/>
      <c r="AL26" s="233"/>
      <c r="AM26" s="233"/>
      <c r="AN26" s="227"/>
      <c r="AO26" s="233"/>
      <c r="AP26" s="233"/>
      <c r="AQ26" s="233"/>
      <c r="AR26" s="233"/>
      <c r="AS26" s="227"/>
      <c r="AT26" s="233"/>
      <c r="AU26" s="233"/>
      <c r="AV26" s="233"/>
      <c r="AW26" s="233"/>
      <c r="AX26" s="227"/>
      <c r="AY26" s="233"/>
      <c r="AZ26" s="233"/>
      <c r="BA26" s="233"/>
      <c r="BB26" s="233"/>
      <c r="BC26" s="227"/>
      <c r="BD26" s="233"/>
      <c r="BE26" s="233"/>
      <c r="BF26" s="233"/>
      <c r="BG26" s="233"/>
      <c r="BH26" s="227"/>
      <c r="BI26" s="233"/>
      <c r="BJ26" s="233"/>
      <c r="BK26" s="233"/>
      <c r="BL26" s="233"/>
      <c r="BM26" s="227"/>
      <c r="BN26" s="233"/>
      <c r="BO26" s="233"/>
      <c r="BP26" s="233"/>
      <c r="BQ26" s="233"/>
      <c r="BR26" s="227"/>
      <c r="BS26" s="233"/>
      <c r="BT26" s="233"/>
      <c r="BU26" s="233"/>
      <c r="BV26" s="233"/>
      <c r="BW26" s="233"/>
      <c r="BX26" s="254"/>
    </row>
    <row r="27" spans="1:79" x14ac:dyDescent="0.2">
      <c r="A27" s="244"/>
      <c r="B27" s="244"/>
      <c r="C27" s="244"/>
      <c r="D27" s="254" t="s">
        <v>414</v>
      </c>
      <c r="E27" s="261"/>
      <c r="F27" s="244"/>
      <c r="G27" s="233">
        <f>SUM(G28:G30)</f>
        <v>45631200</v>
      </c>
      <c r="H27" s="233"/>
      <c r="I27" s="233"/>
      <c r="J27" s="227"/>
      <c r="K27" s="233"/>
      <c r="L27" s="233">
        <f>L28+L30</f>
        <v>0</v>
      </c>
      <c r="M27" s="233"/>
      <c r="N27" s="233"/>
      <c r="O27" s="227"/>
      <c r="P27" s="233"/>
      <c r="Q27" s="233">
        <f>Q28+Q30</f>
        <v>0</v>
      </c>
      <c r="R27" s="233"/>
      <c r="S27" s="233"/>
      <c r="T27" s="227"/>
      <c r="U27" s="233"/>
      <c r="V27" s="233">
        <f>V28+V30</f>
        <v>0</v>
      </c>
      <c r="W27" s="233"/>
      <c r="X27" s="233"/>
      <c r="Y27" s="227"/>
      <c r="Z27" s="233"/>
      <c r="AA27" s="233">
        <f>AA28+AA30</f>
        <v>0</v>
      </c>
      <c r="AB27" s="233"/>
      <c r="AC27" s="233"/>
      <c r="AD27" s="227"/>
      <c r="AE27" s="233"/>
      <c r="AF27" s="233">
        <f>AF28+AF30</f>
        <v>0</v>
      </c>
      <c r="AG27" s="233"/>
      <c r="AH27" s="233"/>
      <c r="AI27" s="227"/>
      <c r="AJ27" s="233"/>
      <c r="AK27" s="233">
        <f>AK28+AK30</f>
        <v>45631200</v>
      </c>
      <c r="AL27" s="233"/>
      <c r="AM27" s="233"/>
      <c r="AN27" s="227"/>
      <c r="AO27" s="233"/>
      <c r="AP27" s="233">
        <f>AP28+AP30</f>
        <v>0</v>
      </c>
      <c r="AQ27" s="233"/>
      <c r="AR27" s="233"/>
      <c r="AS27" s="227"/>
      <c r="AT27" s="233"/>
      <c r="AU27" s="233">
        <f>AU28+AU30</f>
        <v>0</v>
      </c>
      <c r="AV27" s="233"/>
      <c r="AW27" s="233"/>
      <c r="AX27" s="227"/>
      <c r="AY27" s="233"/>
      <c r="AZ27" s="233">
        <f>AZ28+AZ30</f>
        <v>0</v>
      </c>
      <c r="BA27" s="233"/>
      <c r="BB27" s="233"/>
      <c r="BC27" s="227"/>
      <c r="BD27" s="233"/>
      <c r="BE27" s="233">
        <f>BE28+BE30</f>
        <v>0</v>
      </c>
      <c r="BF27" s="233"/>
      <c r="BG27" s="233"/>
      <c r="BH27" s="227"/>
      <c r="BI27" s="233"/>
      <c r="BJ27" s="233">
        <f>BJ28+BJ30</f>
        <v>0</v>
      </c>
      <c r="BK27" s="233"/>
      <c r="BL27" s="233"/>
      <c r="BM27" s="227"/>
      <c r="BN27" s="233"/>
      <c r="BO27" s="233">
        <f>BO28+BO30</f>
        <v>0</v>
      </c>
      <c r="BP27" s="233"/>
      <c r="BQ27" s="233"/>
      <c r="BR27" s="227"/>
      <c r="BS27" s="233"/>
      <c r="BT27" s="233">
        <f>SUM(BT28:BT30)</f>
        <v>45631200</v>
      </c>
      <c r="BU27" s="233"/>
      <c r="BV27" s="233"/>
      <c r="BW27" s="233"/>
      <c r="BX27" s="254"/>
    </row>
    <row r="28" spans="1:79" x14ac:dyDescent="0.2">
      <c r="A28" s="244"/>
      <c r="B28" s="244"/>
      <c r="C28" s="244"/>
      <c r="D28" s="254" t="s">
        <v>310</v>
      </c>
      <c r="E28" s="261"/>
      <c r="F28" s="269"/>
      <c r="G28" s="343">
        <v>45631200</v>
      </c>
      <c r="H28" s="344"/>
      <c r="I28" s="233"/>
      <c r="J28" s="227"/>
      <c r="K28" s="345"/>
      <c r="L28" s="343">
        <v>0</v>
      </c>
      <c r="M28" s="344"/>
      <c r="N28" s="233"/>
      <c r="O28" s="227"/>
      <c r="P28" s="345"/>
      <c r="Q28" s="343">
        <v>0</v>
      </c>
      <c r="R28" s="344"/>
      <c r="S28" s="233"/>
      <c r="T28" s="227"/>
      <c r="U28" s="345"/>
      <c r="V28" s="343">
        <v>0</v>
      </c>
      <c r="W28" s="344"/>
      <c r="X28" s="233"/>
      <c r="Y28" s="227"/>
      <c r="Z28" s="345"/>
      <c r="AA28" s="343">
        <v>0</v>
      </c>
      <c r="AB28" s="344"/>
      <c r="AC28" s="233"/>
      <c r="AD28" s="227"/>
      <c r="AE28" s="345"/>
      <c r="AF28" s="343">
        <v>0</v>
      </c>
      <c r="AG28" s="344"/>
      <c r="AH28" s="233"/>
      <c r="AI28" s="227"/>
      <c r="AJ28" s="345"/>
      <c r="AK28" s="343">
        <v>45631200</v>
      </c>
      <c r="AL28" s="344"/>
      <c r="AM28" s="233"/>
      <c r="AN28" s="227"/>
      <c r="AO28" s="345"/>
      <c r="AP28" s="343">
        <v>0</v>
      </c>
      <c r="AQ28" s="344"/>
      <c r="AR28" s="233"/>
      <c r="AS28" s="227"/>
      <c r="AT28" s="345"/>
      <c r="AU28" s="343">
        <v>0</v>
      </c>
      <c r="AV28" s="344"/>
      <c r="AW28" s="233"/>
      <c r="AX28" s="227"/>
      <c r="AY28" s="345"/>
      <c r="AZ28" s="343">
        <v>0</v>
      </c>
      <c r="BA28" s="344"/>
      <c r="BB28" s="233"/>
      <c r="BC28" s="227"/>
      <c r="BD28" s="345"/>
      <c r="BE28" s="343">
        <v>0</v>
      </c>
      <c r="BF28" s="344"/>
      <c r="BG28" s="233"/>
      <c r="BH28" s="227"/>
      <c r="BI28" s="345"/>
      <c r="BJ28" s="343">
        <v>0</v>
      </c>
      <c r="BK28" s="344"/>
      <c r="BL28" s="233"/>
      <c r="BM28" s="227"/>
      <c r="BN28" s="345"/>
      <c r="BO28" s="343">
        <v>0</v>
      </c>
      <c r="BP28" s="344"/>
      <c r="BQ28" s="233"/>
      <c r="BR28" s="227"/>
      <c r="BS28" s="345"/>
      <c r="BT28" s="343">
        <f>SUM(L28:BO28)</f>
        <v>45631200</v>
      </c>
      <c r="BU28" s="344"/>
      <c r="BV28" s="233"/>
      <c r="BW28" s="233"/>
      <c r="BX28" s="254"/>
    </row>
    <row r="29" spans="1:79" x14ac:dyDescent="0.2">
      <c r="A29" s="244"/>
      <c r="B29" s="244"/>
      <c r="C29" s="244"/>
      <c r="D29" s="254" t="s">
        <v>312</v>
      </c>
      <c r="E29" s="261"/>
      <c r="F29" s="261"/>
      <c r="G29" s="233">
        <v>0</v>
      </c>
      <c r="H29" s="347"/>
      <c r="I29" s="233"/>
      <c r="J29" s="227"/>
      <c r="K29" s="227"/>
      <c r="L29" s="233">
        <v>0</v>
      </c>
      <c r="M29" s="347"/>
      <c r="N29" s="233"/>
      <c r="O29" s="227"/>
      <c r="P29" s="227"/>
      <c r="Q29" s="233">
        <v>0</v>
      </c>
      <c r="R29" s="347"/>
      <c r="S29" s="233"/>
      <c r="T29" s="227"/>
      <c r="U29" s="227"/>
      <c r="V29" s="233">
        <v>0</v>
      </c>
      <c r="W29" s="347"/>
      <c r="X29" s="233"/>
      <c r="Y29" s="227"/>
      <c r="Z29" s="227"/>
      <c r="AA29" s="233">
        <v>0</v>
      </c>
      <c r="AB29" s="347"/>
      <c r="AC29" s="233"/>
      <c r="AD29" s="227"/>
      <c r="AE29" s="227"/>
      <c r="AF29" s="233">
        <v>0</v>
      </c>
      <c r="AG29" s="347"/>
      <c r="AH29" s="233"/>
      <c r="AI29" s="227"/>
      <c r="AJ29" s="227"/>
      <c r="AK29" s="233">
        <v>0</v>
      </c>
      <c r="AL29" s="347"/>
      <c r="AM29" s="233"/>
      <c r="AN29" s="227"/>
      <c r="AO29" s="227"/>
      <c r="AP29" s="233">
        <v>0</v>
      </c>
      <c r="AQ29" s="347"/>
      <c r="AR29" s="233"/>
      <c r="AS29" s="227"/>
      <c r="AT29" s="227"/>
      <c r="AU29" s="233">
        <v>0</v>
      </c>
      <c r="AV29" s="347"/>
      <c r="AW29" s="233"/>
      <c r="AX29" s="227"/>
      <c r="AY29" s="227"/>
      <c r="AZ29" s="233">
        <v>0</v>
      </c>
      <c r="BA29" s="347"/>
      <c r="BB29" s="233"/>
      <c r="BC29" s="227"/>
      <c r="BD29" s="227"/>
      <c r="BE29" s="233">
        <v>0</v>
      </c>
      <c r="BF29" s="347"/>
      <c r="BG29" s="233"/>
      <c r="BH29" s="227"/>
      <c r="BI29" s="227"/>
      <c r="BJ29" s="233">
        <v>0</v>
      </c>
      <c r="BK29" s="347"/>
      <c r="BL29" s="233"/>
      <c r="BM29" s="227"/>
      <c r="BN29" s="227"/>
      <c r="BO29" s="233">
        <v>0</v>
      </c>
      <c r="BP29" s="347"/>
      <c r="BQ29" s="233"/>
      <c r="BR29" s="227"/>
      <c r="BS29" s="227"/>
      <c r="BT29" s="233">
        <f>SUM(L29:BO29)</f>
        <v>0</v>
      </c>
      <c r="BU29" s="347"/>
      <c r="BV29" s="233"/>
      <c r="BW29" s="233"/>
      <c r="BX29" s="254"/>
    </row>
    <row r="30" spans="1:79" x14ac:dyDescent="0.2">
      <c r="A30" s="244"/>
      <c r="B30" s="244"/>
      <c r="C30" s="244"/>
      <c r="D30" s="254" t="s">
        <v>320</v>
      </c>
      <c r="E30" s="261"/>
      <c r="F30" s="284"/>
      <c r="G30" s="355">
        <v>0</v>
      </c>
      <c r="H30" s="356"/>
      <c r="I30" s="233"/>
      <c r="J30" s="227"/>
      <c r="K30" s="357"/>
      <c r="L30" s="355">
        <v>0</v>
      </c>
      <c r="M30" s="356"/>
      <c r="N30" s="233"/>
      <c r="O30" s="227"/>
      <c r="P30" s="357"/>
      <c r="Q30" s="355">
        <v>0</v>
      </c>
      <c r="R30" s="356"/>
      <c r="S30" s="233"/>
      <c r="T30" s="227"/>
      <c r="U30" s="357"/>
      <c r="V30" s="355">
        <v>0</v>
      </c>
      <c r="W30" s="356"/>
      <c r="X30" s="233"/>
      <c r="Y30" s="227"/>
      <c r="Z30" s="357"/>
      <c r="AA30" s="355">
        <v>0</v>
      </c>
      <c r="AB30" s="356"/>
      <c r="AC30" s="233"/>
      <c r="AD30" s="227"/>
      <c r="AE30" s="357"/>
      <c r="AF30" s="355">
        <v>0</v>
      </c>
      <c r="AG30" s="356"/>
      <c r="AH30" s="233"/>
      <c r="AI30" s="227"/>
      <c r="AJ30" s="357"/>
      <c r="AK30" s="355">
        <v>0</v>
      </c>
      <c r="AL30" s="356"/>
      <c r="AM30" s="233"/>
      <c r="AN30" s="227"/>
      <c r="AO30" s="357"/>
      <c r="AP30" s="355">
        <v>0</v>
      </c>
      <c r="AQ30" s="356"/>
      <c r="AR30" s="233"/>
      <c r="AS30" s="227"/>
      <c r="AT30" s="357"/>
      <c r="AU30" s="355">
        <v>0</v>
      </c>
      <c r="AV30" s="356"/>
      <c r="AW30" s="233"/>
      <c r="AX30" s="227"/>
      <c r="AY30" s="357"/>
      <c r="AZ30" s="355">
        <v>0</v>
      </c>
      <c r="BA30" s="356"/>
      <c r="BB30" s="233"/>
      <c r="BC30" s="227"/>
      <c r="BD30" s="357"/>
      <c r="BE30" s="355">
        <v>0</v>
      </c>
      <c r="BF30" s="356"/>
      <c r="BG30" s="233"/>
      <c r="BH30" s="227"/>
      <c r="BI30" s="357"/>
      <c r="BJ30" s="355">
        <v>0</v>
      </c>
      <c r="BK30" s="356"/>
      <c r="BL30" s="233"/>
      <c r="BM30" s="227"/>
      <c r="BN30" s="357"/>
      <c r="BO30" s="355">
        <v>0</v>
      </c>
      <c r="BP30" s="356"/>
      <c r="BQ30" s="233"/>
      <c r="BR30" s="227"/>
      <c r="BS30" s="357"/>
      <c r="BT30" s="355">
        <f>SUM(L30:BO30)</f>
        <v>0</v>
      </c>
      <c r="BU30" s="356"/>
      <c r="BV30" s="233"/>
      <c r="BW30" s="233"/>
      <c r="BX30" s="254"/>
    </row>
    <row r="31" spans="1:79" hidden="1" x14ac:dyDescent="0.2">
      <c r="A31" s="244"/>
      <c r="B31" s="244"/>
      <c r="C31" s="244"/>
      <c r="D31" s="254"/>
      <c r="E31" s="261"/>
      <c r="F31" s="244"/>
      <c r="G31" s="233"/>
      <c r="H31" s="233"/>
      <c r="I31" s="233"/>
      <c r="J31" s="227"/>
      <c r="K31" s="233"/>
      <c r="L31" s="233"/>
      <c r="M31" s="233"/>
      <c r="N31" s="233"/>
      <c r="O31" s="227"/>
      <c r="P31" s="233"/>
      <c r="Q31" s="233"/>
      <c r="R31" s="233"/>
      <c r="S31" s="233"/>
      <c r="T31" s="227"/>
      <c r="U31" s="233"/>
      <c r="V31" s="233"/>
      <c r="W31" s="233"/>
      <c r="X31" s="233"/>
      <c r="Y31" s="227"/>
      <c r="Z31" s="233"/>
      <c r="AA31" s="233"/>
      <c r="AB31" s="233"/>
      <c r="AC31" s="233"/>
      <c r="AD31" s="227"/>
      <c r="AE31" s="233"/>
      <c r="AF31" s="233"/>
      <c r="AG31" s="233"/>
      <c r="AH31" s="233"/>
      <c r="AI31" s="227"/>
      <c r="AJ31" s="233"/>
      <c r="AK31" s="233"/>
      <c r="AL31" s="233"/>
      <c r="AM31" s="233"/>
      <c r="AN31" s="227"/>
      <c r="AO31" s="233"/>
      <c r="AP31" s="233"/>
      <c r="AQ31" s="233"/>
      <c r="AR31" s="233"/>
      <c r="AS31" s="227"/>
      <c r="AT31" s="233"/>
      <c r="AU31" s="233"/>
      <c r="AV31" s="233"/>
      <c r="AW31" s="233"/>
      <c r="AX31" s="227"/>
      <c r="AY31" s="233"/>
      <c r="AZ31" s="233"/>
      <c r="BA31" s="233"/>
      <c r="BB31" s="233"/>
      <c r="BC31" s="227"/>
      <c r="BD31" s="233"/>
      <c r="BE31" s="233"/>
      <c r="BF31" s="233"/>
      <c r="BG31" s="233"/>
      <c r="BH31" s="227"/>
      <c r="BI31" s="233"/>
      <c r="BJ31" s="233"/>
      <c r="BK31" s="233"/>
      <c r="BL31" s="233"/>
      <c r="BM31" s="227"/>
      <c r="BN31" s="233"/>
      <c r="BO31" s="233"/>
      <c r="BP31" s="233"/>
      <c r="BQ31" s="233"/>
      <c r="BR31" s="227"/>
      <c r="BS31" s="233"/>
      <c r="BT31" s="233"/>
      <c r="BU31" s="233"/>
      <c r="BV31" s="233"/>
      <c r="BW31" s="233"/>
      <c r="BX31" s="254"/>
    </row>
    <row r="32" spans="1:79" hidden="1" x14ac:dyDescent="0.2">
      <c r="A32" s="244"/>
      <c r="B32" s="244"/>
      <c r="C32" s="244"/>
      <c r="D32" s="254" t="s">
        <v>415</v>
      </c>
      <c r="E32" s="261"/>
      <c r="F32" s="244"/>
      <c r="G32" s="233">
        <v>0</v>
      </c>
      <c r="H32" s="233"/>
      <c r="I32" s="233"/>
      <c r="J32" s="227"/>
      <c r="K32" s="233"/>
      <c r="L32" s="233">
        <f>L33+L35</f>
        <v>0</v>
      </c>
      <c r="M32" s="233"/>
      <c r="N32" s="233"/>
      <c r="O32" s="227"/>
      <c r="P32" s="233"/>
      <c r="Q32" s="233">
        <f>Q33+Q35</f>
        <v>0</v>
      </c>
      <c r="R32" s="233"/>
      <c r="S32" s="233"/>
      <c r="T32" s="227"/>
      <c r="U32" s="233"/>
      <c r="V32" s="233">
        <f>V33+V35</f>
        <v>0</v>
      </c>
      <c r="W32" s="233"/>
      <c r="X32" s="233"/>
      <c r="Y32" s="227"/>
      <c r="Z32" s="233"/>
      <c r="AA32" s="233">
        <f>AA33+AA35</f>
        <v>0</v>
      </c>
      <c r="AB32" s="233"/>
      <c r="AC32" s="233"/>
      <c r="AD32" s="227"/>
      <c r="AE32" s="233"/>
      <c r="AF32" s="233">
        <f>AF33+AF35</f>
        <v>0</v>
      </c>
      <c r="AG32" s="233"/>
      <c r="AH32" s="233"/>
      <c r="AI32" s="227"/>
      <c r="AJ32" s="233"/>
      <c r="AK32" s="233">
        <f>AK33+AK35</f>
        <v>0</v>
      </c>
      <c r="AL32" s="233"/>
      <c r="AM32" s="233"/>
      <c r="AN32" s="227"/>
      <c r="AO32" s="233"/>
      <c r="AP32" s="233">
        <f>AP33+AP35</f>
        <v>0</v>
      </c>
      <c r="AQ32" s="233"/>
      <c r="AR32" s="233"/>
      <c r="AS32" s="227"/>
      <c r="AT32" s="233"/>
      <c r="AU32" s="233">
        <f>AU33+AU35</f>
        <v>0</v>
      </c>
      <c r="AV32" s="233"/>
      <c r="AW32" s="233"/>
      <c r="AX32" s="227"/>
      <c r="AY32" s="233"/>
      <c r="AZ32" s="233">
        <f>AZ33+AZ35</f>
        <v>0</v>
      </c>
      <c r="BA32" s="233"/>
      <c r="BB32" s="233"/>
      <c r="BC32" s="227"/>
      <c r="BD32" s="233"/>
      <c r="BE32" s="233">
        <f>BE33+BE35</f>
        <v>0</v>
      </c>
      <c r="BF32" s="233"/>
      <c r="BG32" s="233"/>
      <c r="BH32" s="227"/>
      <c r="BI32" s="233"/>
      <c r="BJ32" s="233">
        <f>BJ33+BJ35</f>
        <v>0</v>
      </c>
      <c r="BK32" s="233"/>
      <c r="BL32" s="233"/>
      <c r="BM32" s="227"/>
      <c r="BN32" s="233"/>
      <c r="BO32" s="233">
        <f>BO33+BO35</f>
        <v>0</v>
      </c>
      <c r="BP32" s="233"/>
      <c r="BQ32" s="233"/>
      <c r="BR32" s="227"/>
      <c r="BS32" s="233"/>
      <c r="BT32" s="233">
        <f>SUM(BT33:BT35)</f>
        <v>0</v>
      </c>
      <c r="BU32" s="233"/>
      <c r="BV32" s="233"/>
      <c r="BW32" s="233"/>
      <c r="BX32" s="254"/>
    </row>
    <row r="33" spans="1:76" hidden="1" x14ac:dyDescent="0.2">
      <c r="A33" s="244"/>
      <c r="B33" s="244"/>
      <c r="C33" s="244"/>
      <c r="D33" s="254" t="s">
        <v>310</v>
      </c>
      <c r="E33" s="261"/>
      <c r="F33" s="269"/>
      <c r="G33" s="343">
        <v>0</v>
      </c>
      <c r="H33" s="344"/>
      <c r="I33" s="233"/>
      <c r="J33" s="227"/>
      <c r="K33" s="345"/>
      <c r="L33" s="343">
        <v>0</v>
      </c>
      <c r="M33" s="344"/>
      <c r="N33" s="233"/>
      <c r="O33" s="227"/>
      <c r="P33" s="345"/>
      <c r="Q33" s="343">
        <v>0</v>
      </c>
      <c r="R33" s="344"/>
      <c r="S33" s="233"/>
      <c r="T33" s="227"/>
      <c r="U33" s="345"/>
      <c r="V33" s="343">
        <v>0</v>
      </c>
      <c r="W33" s="344"/>
      <c r="X33" s="233"/>
      <c r="Y33" s="227"/>
      <c r="Z33" s="345"/>
      <c r="AA33" s="343">
        <v>0</v>
      </c>
      <c r="AB33" s="344"/>
      <c r="AC33" s="233"/>
      <c r="AD33" s="227"/>
      <c r="AE33" s="345"/>
      <c r="AF33" s="343">
        <v>0</v>
      </c>
      <c r="AG33" s="344"/>
      <c r="AH33" s="233"/>
      <c r="AI33" s="227"/>
      <c r="AJ33" s="345"/>
      <c r="AK33" s="343">
        <v>0</v>
      </c>
      <c r="AL33" s="344"/>
      <c r="AM33" s="233"/>
      <c r="AN33" s="227"/>
      <c r="AO33" s="345"/>
      <c r="AP33" s="343">
        <v>0</v>
      </c>
      <c r="AQ33" s="344"/>
      <c r="AR33" s="233"/>
      <c r="AS33" s="227"/>
      <c r="AT33" s="345"/>
      <c r="AU33" s="343">
        <v>0</v>
      </c>
      <c r="AV33" s="344"/>
      <c r="AW33" s="233"/>
      <c r="AX33" s="227"/>
      <c r="AY33" s="345"/>
      <c r="AZ33" s="343">
        <v>0</v>
      </c>
      <c r="BA33" s="344"/>
      <c r="BB33" s="233"/>
      <c r="BC33" s="227"/>
      <c r="BD33" s="345"/>
      <c r="BE33" s="343">
        <v>0</v>
      </c>
      <c r="BF33" s="344"/>
      <c r="BG33" s="233"/>
      <c r="BH33" s="227"/>
      <c r="BI33" s="345"/>
      <c r="BJ33" s="343">
        <v>0</v>
      </c>
      <c r="BK33" s="344"/>
      <c r="BL33" s="233"/>
      <c r="BM33" s="227"/>
      <c r="BN33" s="345"/>
      <c r="BO33" s="343">
        <v>0</v>
      </c>
      <c r="BP33" s="344"/>
      <c r="BQ33" s="233"/>
      <c r="BR33" s="227"/>
      <c r="BS33" s="345"/>
      <c r="BT33" s="343">
        <f>SUM(L33:BO33)</f>
        <v>0</v>
      </c>
      <c r="BU33" s="344"/>
      <c r="BV33" s="233"/>
      <c r="BW33" s="233"/>
      <c r="BX33" s="254"/>
    </row>
    <row r="34" spans="1:76" hidden="1" x14ac:dyDescent="0.2">
      <c r="A34" s="244"/>
      <c r="B34" s="244"/>
      <c r="C34" s="244"/>
      <c r="D34" s="254" t="s">
        <v>312</v>
      </c>
      <c r="E34" s="261"/>
      <c r="F34" s="261"/>
      <c r="G34" s="233">
        <v>0</v>
      </c>
      <c r="H34" s="347"/>
      <c r="I34" s="233"/>
      <c r="J34" s="227"/>
      <c r="K34" s="227"/>
      <c r="L34" s="233">
        <v>0</v>
      </c>
      <c r="M34" s="347"/>
      <c r="N34" s="233"/>
      <c r="O34" s="227"/>
      <c r="P34" s="227"/>
      <c r="Q34" s="233">
        <v>0</v>
      </c>
      <c r="R34" s="347"/>
      <c r="S34" s="233"/>
      <c r="T34" s="227"/>
      <c r="U34" s="227"/>
      <c r="V34" s="233">
        <v>0</v>
      </c>
      <c r="W34" s="347"/>
      <c r="X34" s="233"/>
      <c r="Y34" s="227"/>
      <c r="Z34" s="227"/>
      <c r="AA34" s="233">
        <v>0</v>
      </c>
      <c r="AB34" s="347"/>
      <c r="AC34" s="233"/>
      <c r="AD34" s="227"/>
      <c r="AE34" s="227"/>
      <c r="AF34" s="233">
        <v>0</v>
      </c>
      <c r="AG34" s="347"/>
      <c r="AH34" s="233"/>
      <c r="AI34" s="227"/>
      <c r="AJ34" s="227"/>
      <c r="AK34" s="233">
        <v>0</v>
      </c>
      <c r="AL34" s="347"/>
      <c r="AM34" s="233"/>
      <c r="AN34" s="227"/>
      <c r="AO34" s="227"/>
      <c r="AP34" s="233">
        <v>0</v>
      </c>
      <c r="AQ34" s="347"/>
      <c r="AR34" s="233"/>
      <c r="AS34" s="227"/>
      <c r="AT34" s="227"/>
      <c r="AU34" s="233">
        <v>0</v>
      </c>
      <c r="AV34" s="347"/>
      <c r="AW34" s="233"/>
      <c r="AX34" s="227"/>
      <c r="AY34" s="227"/>
      <c r="AZ34" s="233">
        <v>0</v>
      </c>
      <c r="BA34" s="347"/>
      <c r="BB34" s="233"/>
      <c r="BC34" s="227"/>
      <c r="BD34" s="227"/>
      <c r="BE34" s="233">
        <v>0</v>
      </c>
      <c r="BF34" s="347"/>
      <c r="BG34" s="233"/>
      <c r="BH34" s="227"/>
      <c r="BI34" s="227"/>
      <c r="BJ34" s="233">
        <v>0</v>
      </c>
      <c r="BK34" s="347"/>
      <c r="BL34" s="233"/>
      <c r="BM34" s="227"/>
      <c r="BN34" s="227"/>
      <c r="BO34" s="233">
        <v>0</v>
      </c>
      <c r="BP34" s="347"/>
      <c r="BQ34" s="233"/>
      <c r="BR34" s="227"/>
      <c r="BS34" s="227"/>
      <c r="BT34" s="233">
        <f>SUM(L34:BO34)</f>
        <v>0</v>
      </c>
      <c r="BU34" s="347"/>
      <c r="BV34" s="233"/>
      <c r="BW34" s="233"/>
      <c r="BX34" s="254"/>
    </row>
    <row r="35" spans="1:76" hidden="1" x14ac:dyDescent="0.2">
      <c r="A35" s="244"/>
      <c r="B35" s="244"/>
      <c r="C35" s="244"/>
      <c r="D35" s="254" t="s">
        <v>320</v>
      </c>
      <c r="E35" s="261"/>
      <c r="F35" s="284"/>
      <c r="G35" s="355">
        <v>0</v>
      </c>
      <c r="H35" s="356"/>
      <c r="I35" s="233"/>
      <c r="J35" s="227"/>
      <c r="K35" s="357"/>
      <c r="L35" s="355">
        <v>0</v>
      </c>
      <c r="M35" s="356"/>
      <c r="N35" s="233"/>
      <c r="O35" s="227"/>
      <c r="P35" s="357"/>
      <c r="Q35" s="355">
        <v>0</v>
      </c>
      <c r="R35" s="356"/>
      <c r="S35" s="233"/>
      <c r="T35" s="227"/>
      <c r="U35" s="357"/>
      <c r="V35" s="355">
        <v>0</v>
      </c>
      <c r="W35" s="356"/>
      <c r="X35" s="233"/>
      <c r="Y35" s="227"/>
      <c r="Z35" s="357"/>
      <c r="AA35" s="355">
        <v>0</v>
      </c>
      <c r="AB35" s="356"/>
      <c r="AC35" s="233"/>
      <c r="AD35" s="227"/>
      <c r="AE35" s="357"/>
      <c r="AF35" s="355">
        <v>0</v>
      </c>
      <c r="AG35" s="356"/>
      <c r="AH35" s="233"/>
      <c r="AI35" s="227"/>
      <c r="AJ35" s="357"/>
      <c r="AK35" s="355">
        <v>0</v>
      </c>
      <c r="AL35" s="356"/>
      <c r="AM35" s="233"/>
      <c r="AN35" s="227"/>
      <c r="AO35" s="357"/>
      <c r="AP35" s="355">
        <v>0</v>
      </c>
      <c r="AQ35" s="356"/>
      <c r="AR35" s="233"/>
      <c r="AS35" s="227"/>
      <c r="AT35" s="357"/>
      <c r="AU35" s="355">
        <v>0</v>
      </c>
      <c r="AV35" s="356"/>
      <c r="AW35" s="233"/>
      <c r="AX35" s="227"/>
      <c r="AY35" s="357"/>
      <c r="AZ35" s="355">
        <v>0</v>
      </c>
      <c r="BA35" s="356"/>
      <c r="BB35" s="233"/>
      <c r="BC35" s="227"/>
      <c r="BD35" s="357"/>
      <c r="BE35" s="355">
        <v>0</v>
      </c>
      <c r="BF35" s="356"/>
      <c r="BG35" s="233"/>
      <c r="BH35" s="227"/>
      <c r="BI35" s="357"/>
      <c r="BJ35" s="355">
        <v>0</v>
      </c>
      <c r="BK35" s="356"/>
      <c r="BL35" s="233"/>
      <c r="BM35" s="227"/>
      <c r="BN35" s="357"/>
      <c r="BO35" s="355">
        <v>0</v>
      </c>
      <c r="BP35" s="356"/>
      <c r="BQ35" s="233"/>
      <c r="BR35" s="227"/>
      <c r="BS35" s="357"/>
      <c r="BT35" s="355">
        <f>SUM(L35:BO35)</f>
        <v>0</v>
      </c>
      <c r="BU35" s="356"/>
      <c r="BV35" s="233"/>
      <c r="BW35" s="233"/>
      <c r="BX35" s="254"/>
    </row>
    <row r="36" spans="1:76" hidden="1" x14ac:dyDescent="0.2">
      <c r="A36" s="244"/>
      <c r="B36" s="244"/>
      <c r="C36" s="244"/>
      <c r="D36" s="254"/>
      <c r="E36" s="261"/>
      <c r="F36" s="244"/>
      <c r="G36" s="233"/>
      <c r="H36" s="233"/>
      <c r="I36" s="233"/>
      <c r="J36" s="227"/>
      <c r="K36" s="233"/>
      <c r="L36" s="233"/>
      <c r="M36" s="233"/>
      <c r="N36" s="233"/>
      <c r="O36" s="227"/>
      <c r="P36" s="233"/>
      <c r="Q36" s="233"/>
      <c r="R36" s="233"/>
      <c r="S36" s="233"/>
      <c r="T36" s="227"/>
      <c r="U36" s="233"/>
      <c r="V36" s="233"/>
      <c r="W36" s="233"/>
      <c r="X36" s="233"/>
      <c r="Y36" s="227"/>
      <c r="Z36" s="233"/>
      <c r="AA36" s="233"/>
      <c r="AB36" s="233"/>
      <c r="AC36" s="233"/>
      <c r="AD36" s="227"/>
      <c r="AE36" s="233"/>
      <c r="AF36" s="233"/>
      <c r="AG36" s="233"/>
      <c r="AH36" s="233"/>
      <c r="AI36" s="227"/>
      <c r="AJ36" s="233"/>
      <c r="AK36" s="233"/>
      <c r="AL36" s="233"/>
      <c r="AM36" s="233"/>
      <c r="AN36" s="227"/>
      <c r="AO36" s="233"/>
      <c r="AP36" s="233"/>
      <c r="AQ36" s="233"/>
      <c r="AR36" s="233"/>
      <c r="AS36" s="227"/>
      <c r="AT36" s="233"/>
      <c r="AU36" s="233"/>
      <c r="AV36" s="233"/>
      <c r="AW36" s="233"/>
      <c r="AX36" s="227"/>
      <c r="AY36" s="233"/>
      <c r="AZ36" s="233"/>
      <c r="BA36" s="233"/>
      <c r="BB36" s="233"/>
      <c r="BC36" s="227"/>
      <c r="BD36" s="233"/>
      <c r="BE36" s="233"/>
      <c r="BF36" s="233"/>
      <c r="BG36" s="233"/>
      <c r="BH36" s="227"/>
      <c r="BI36" s="233"/>
      <c r="BJ36" s="233"/>
      <c r="BK36" s="233"/>
      <c r="BL36" s="233"/>
      <c r="BM36" s="227"/>
      <c r="BN36" s="233"/>
      <c r="BO36" s="233"/>
      <c r="BP36" s="233"/>
      <c r="BQ36" s="233"/>
      <c r="BR36" s="227"/>
      <c r="BS36" s="233"/>
      <c r="BT36" s="233"/>
      <c r="BU36" s="233"/>
      <c r="BV36" s="233"/>
      <c r="BW36" s="233"/>
      <c r="BX36" s="254"/>
    </row>
    <row r="37" spans="1:76" hidden="1" x14ac:dyDescent="0.2">
      <c r="A37" s="244"/>
      <c r="B37" s="244"/>
      <c r="C37" s="244"/>
      <c r="D37" s="254" t="s">
        <v>416</v>
      </c>
      <c r="E37" s="261"/>
      <c r="F37" s="244"/>
      <c r="G37" s="233">
        <v>0</v>
      </c>
      <c r="H37" s="233"/>
      <c r="I37" s="233"/>
      <c r="J37" s="227"/>
      <c r="K37" s="233"/>
      <c r="L37" s="233">
        <f>L38+L40</f>
        <v>0</v>
      </c>
      <c r="M37" s="233"/>
      <c r="N37" s="233"/>
      <c r="O37" s="227"/>
      <c r="P37" s="233"/>
      <c r="Q37" s="233">
        <f>SUM(Q38:Q40)</f>
        <v>0</v>
      </c>
      <c r="R37" s="233"/>
      <c r="S37" s="233"/>
      <c r="T37" s="227"/>
      <c r="U37" s="233"/>
      <c r="V37" s="233">
        <f>V38+V40</f>
        <v>0</v>
      </c>
      <c r="W37" s="233"/>
      <c r="X37" s="233"/>
      <c r="Y37" s="227"/>
      <c r="Z37" s="233"/>
      <c r="AA37" s="233">
        <f>AA38+AA40</f>
        <v>0</v>
      </c>
      <c r="AB37" s="233"/>
      <c r="AC37" s="233"/>
      <c r="AD37" s="227"/>
      <c r="AE37" s="233"/>
      <c r="AF37" s="233">
        <f>AF38+AF40</f>
        <v>0</v>
      </c>
      <c r="AG37" s="233"/>
      <c r="AH37" s="233"/>
      <c r="AI37" s="227"/>
      <c r="AJ37" s="233"/>
      <c r="AK37" s="233">
        <f>AK38+AK40</f>
        <v>0</v>
      </c>
      <c r="AL37" s="233"/>
      <c r="AM37" s="233"/>
      <c r="AN37" s="227"/>
      <c r="AO37" s="233"/>
      <c r="AP37" s="233">
        <f>AP38+AP40</f>
        <v>0</v>
      </c>
      <c r="AQ37" s="233"/>
      <c r="AR37" s="233"/>
      <c r="AS37" s="227"/>
      <c r="AT37" s="233"/>
      <c r="AU37" s="233">
        <f>AU38+AU40</f>
        <v>0</v>
      </c>
      <c r="AV37" s="233"/>
      <c r="AW37" s="233"/>
      <c r="AX37" s="227"/>
      <c r="AY37" s="233"/>
      <c r="AZ37" s="233">
        <f>AZ38+AZ40</f>
        <v>0</v>
      </c>
      <c r="BA37" s="233"/>
      <c r="BB37" s="233"/>
      <c r="BC37" s="227"/>
      <c r="BD37" s="233"/>
      <c r="BE37" s="233">
        <f>BE38+BE40</f>
        <v>0</v>
      </c>
      <c r="BF37" s="233"/>
      <c r="BG37" s="233"/>
      <c r="BH37" s="227"/>
      <c r="BI37" s="233"/>
      <c r="BJ37" s="233">
        <f>BJ38+BJ40</f>
        <v>0</v>
      </c>
      <c r="BK37" s="233"/>
      <c r="BL37" s="233"/>
      <c r="BM37" s="227"/>
      <c r="BN37" s="233"/>
      <c r="BO37" s="233">
        <f>BO38+BO40</f>
        <v>0</v>
      </c>
      <c r="BP37" s="233"/>
      <c r="BQ37" s="233"/>
      <c r="BR37" s="227"/>
      <c r="BS37" s="233"/>
      <c r="BT37" s="233">
        <f>SUM(BT38:BT40)</f>
        <v>0</v>
      </c>
      <c r="BU37" s="233"/>
      <c r="BV37" s="233"/>
      <c r="BW37" s="233"/>
      <c r="BX37" s="254"/>
    </row>
    <row r="38" spans="1:76" hidden="1" x14ac:dyDescent="0.2">
      <c r="A38" s="244"/>
      <c r="B38" s="244"/>
      <c r="C38" s="244"/>
      <c r="D38" s="254" t="s">
        <v>310</v>
      </c>
      <c r="E38" s="261"/>
      <c r="F38" s="269"/>
      <c r="G38" s="343">
        <v>0</v>
      </c>
      <c r="H38" s="344"/>
      <c r="I38" s="233"/>
      <c r="J38" s="227"/>
      <c r="K38" s="345"/>
      <c r="L38" s="343">
        <v>0</v>
      </c>
      <c r="M38" s="344"/>
      <c r="N38" s="233"/>
      <c r="O38" s="227"/>
      <c r="P38" s="345"/>
      <c r="Q38" s="343">
        <v>0</v>
      </c>
      <c r="R38" s="344"/>
      <c r="S38" s="233"/>
      <c r="T38" s="227"/>
      <c r="U38" s="345"/>
      <c r="V38" s="343">
        <v>0</v>
      </c>
      <c r="W38" s="344"/>
      <c r="X38" s="233"/>
      <c r="Y38" s="227"/>
      <c r="Z38" s="345"/>
      <c r="AA38" s="343">
        <v>0</v>
      </c>
      <c r="AB38" s="344"/>
      <c r="AC38" s="233"/>
      <c r="AD38" s="227"/>
      <c r="AE38" s="345"/>
      <c r="AF38" s="343">
        <v>0</v>
      </c>
      <c r="AG38" s="344"/>
      <c r="AH38" s="233"/>
      <c r="AI38" s="227"/>
      <c r="AJ38" s="345"/>
      <c r="AK38" s="343">
        <v>0</v>
      </c>
      <c r="AL38" s="344"/>
      <c r="AM38" s="233"/>
      <c r="AN38" s="227"/>
      <c r="AO38" s="345"/>
      <c r="AP38" s="343">
        <v>0</v>
      </c>
      <c r="AQ38" s="344"/>
      <c r="AR38" s="233"/>
      <c r="AS38" s="227"/>
      <c r="AT38" s="345"/>
      <c r="AU38" s="343">
        <v>0</v>
      </c>
      <c r="AV38" s="344"/>
      <c r="AW38" s="233"/>
      <c r="AX38" s="227"/>
      <c r="AY38" s="345"/>
      <c r="AZ38" s="343">
        <v>0</v>
      </c>
      <c r="BA38" s="344"/>
      <c r="BB38" s="233"/>
      <c r="BC38" s="227"/>
      <c r="BD38" s="345"/>
      <c r="BE38" s="343">
        <v>0</v>
      </c>
      <c r="BF38" s="344"/>
      <c r="BG38" s="233"/>
      <c r="BH38" s="227"/>
      <c r="BI38" s="345"/>
      <c r="BJ38" s="343">
        <v>0</v>
      </c>
      <c r="BK38" s="344"/>
      <c r="BL38" s="233"/>
      <c r="BM38" s="227"/>
      <c r="BN38" s="345"/>
      <c r="BO38" s="343">
        <v>0</v>
      </c>
      <c r="BP38" s="344"/>
      <c r="BQ38" s="233"/>
      <c r="BR38" s="227"/>
      <c r="BS38" s="345"/>
      <c r="BT38" s="343">
        <f>SUM(L38:BO38)</f>
        <v>0</v>
      </c>
      <c r="BU38" s="344"/>
      <c r="BV38" s="233"/>
      <c r="BW38" s="233"/>
      <c r="BX38" s="254"/>
    </row>
    <row r="39" spans="1:76" hidden="1" x14ac:dyDescent="0.2">
      <c r="A39" s="244"/>
      <c r="B39" s="244"/>
      <c r="C39" s="244"/>
      <c r="D39" s="254" t="s">
        <v>312</v>
      </c>
      <c r="E39" s="261"/>
      <c r="F39" s="261"/>
      <c r="G39" s="233">
        <v>0</v>
      </c>
      <c r="H39" s="347"/>
      <c r="I39" s="233"/>
      <c r="J39" s="227"/>
      <c r="K39" s="227"/>
      <c r="L39" s="233">
        <v>0</v>
      </c>
      <c r="M39" s="347"/>
      <c r="N39" s="233"/>
      <c r="O39" s="227"/>
      <c r="P39" s="227"/>
      <c r="Q39" s="233">
        <v>0</v>
      </c>
      <c r="R39" s="347"/>
      <c r="S39" s="233"/>
      <c r="T39" s="227"/>
      <c r="U39" s="227"/>
      <c r="V39" s="233">
        <v>0</v>
      </c>
      <c r="W39" s="347"/>
      <c r="X39" s="233"/>
      <c r="Y39" s="227"/>
      <c r="Z39" s="227"/>
      <c r="AA39" s="233">
        <v>0</v>
      </c>
      <c r="AB39" s="347"/>
      <c r="AC39" s="233"/>
      <c r="AD39" s="227"/>
      <c r="AE39" s="227"/>
      <c r="AF39" s="233">
        <v>0</v>
      </c>
      <c r="AG39" s="347"/>
      <c r="AH39" s="233"/>
      <c r="AI39" s="227"/>
      <c r="AJ39" s="227"/>
      <c r="AK39" s="233">
        <v>0</v>
      </c>
      <c r="AL39" s="347"/>
      <c r="AM39" s="233"/>
      <c r="AN39" s="227"/>
      <c r="AO39" s="227"/>
      <c r="AP39" s="233">
        <v>0</v>
      </c>
      <c r="AQ39" s="347"/>
      <c r="AR39" s="233"/>
      <c r="AS39" s="227"/>
      <c r="AT39" s="227"/>
      <c r="AU39" s="233">
        <v>0</v>
      </c>
      <c r="AV39" s="347"/>
      <c r="AW39" s="233"/>
      <c r="AX39" s="227"/>
      <c r="AY39" s="227"/>
      <c r="AZ39" s="233">
        <v>0</v>
      </c>
      <c r="BA39" s="347"/>
      <c r="BB39" s="233"/>
      <c r="BC39" s="227"/>
      <c r="BD39" s="227"/>
      <c r="BE39" s="233">
        <v>0</v>
      </c>
      <c r="BF39" s="347"/>
      <c r="BG39" s="233"/>
      <c r="BH39" s="227"/>
      <c r="BI39" s="227"/>
      <c r="BJ39" s="233">
        <v>0</v>
      </c>
      <c r="BK39" s="347"/>
      <c r="BL39" s="233"/>
      <c r="BM39" s="227"/>
      <c r="BN39" s="227"/>
      <c r="BO39" s="233">
        <v>0</v>
      </c>
      <c r="BP39" s="347"/>
      <c r="BQ39" s="233"/>
      <c r="BR39" s="227"/>
      <c r="BS39" s="227"/>
      <c r="BT39" s="233">
        <f>SUM(L39:BO39)</f>
        <v>0</v>
      </c>
      <c r="BU39" s="347"/>
      <c r="BV39" s="233"/>
      <c r="BW39" s="233"/>
      <c r="BX39" s="254"/>
    </row>
    <row r="40" spans="1:76" hidden="1" x14ac:dyDescent="0.2">
      <c r="A40" s="244"/>
      <c r="B40" s="244"/>
      <c r="C40" s="244"/>
      <c r="D40" s="254" t="s">
        <v>320</v>
      </c>
      <c r="E40" s="261"/>
      <c r="F40" s="284"/>
      <c r="G40" s="355">
        <v>0</v>
      </c>
      <c r="H40" s="356"/>
      <c r="I40" s="233"/>
      <c r="J40" s="227"/>
      <c r="K40" s="357"/>
      <c r="L40" s="355">
        <v>0</v>
      </c>
      <c r="M40" s="356"/>
      <c r="N40" s="233"/>
      <c r="O40" s="227"/>
      <c r="P40" s="357"/>
      <c r="Q40" s="355">
        <v>0</v>
      </c>
      <c r="R40" s="356"/>
      <c r="S40" s="233"/>
      <c r="T40" s="227"/>
      <c r="U40" s="357"/>
      <c r="V40" s="355">
        <v>0</v>
      </c>
      <c r="W40" s="356"/>
      <c r="X40" s="233"/>
      <c r="Y40" s="227"/>
      <c r="Z40" s="357"/>
      <c r="AA40" s="355">
        <v>0</v>
      </c>
      <c r="AB40" s="356"/>
      <c r="AC40" s="233"/>
      <c r="AD40" s="227"/>
      <c r="AE40" s="357"/>
      <c r="AF40" s="355">
        <v>0</v>
      </c>
      <c r="AG40" s="356"/>
      <c r="AH40" s="233"/>
      <c r="AI40" s="227"/>
      <c r="AJ40" s="357"/>
      <c r="AK40" s="355">
        <v>0</v>
      </c>
      <c r="AL40" s="356"/>
      <c r="AM40" s="233"/>
      <c r="AN40" s="227"/>
      <c r="AO40" s="357"/>
      <c r="AP40" s="355">
        <v>0</v>
      </c>
      <c r="AQ40" s="356"/>
      <c r="AR40" s="233"/>
      <c r="AS40" s="227"/>
      <c r="AT40" s="357"/>
      <c r="AU40" s="355">
        <v>0</v>
      </c>
      <c r="AV40" s="356"/>
      <c r="AW40" s="233"/>
      <c r="AX40" s="227"/>
      <c r="AY40" s="357"/>
      <c r="AZ40" s="355">
        <v>0</v>
      </c>
      <c r="BA40" s="356"/>
      <c r="BB40" s="233"/>
      <c r="BC40" s="227"/>
      <c r="BD40" s="357"/>
      <c r="BE40" s="355">
        <v>0</v>
      </c>
      <c r="BF40" s="356"/>
      <c r="BG40" s="233"/>
      <c r="BH40" s="227"/>
      <c r="BI40" s="357"/>
      <c r="BJ40" s="355">
        <v>0</v>
      </c>
      <c r="BK40" s="356"/>
      <c r="BL40" s="233"/>
      <c r="BM40" s="227"/>
      <c r="BN40" s="357"/>
      <c r="BO40" s="355">
        <v>0</v>
      </c>
      <c r="BP40" s="356"/>
      <c r="BQ40" s="233"/>
      <c r="BR40" s="227"/>
      <c r="BS40" s="357"/>
      <c r="BT40" s="355">
        <f>SUM(L40:BO40)</f>
        <v>0</v>
      </c>
      <c r="BU40" s="356"/>
      <c r="BV40" s="233"/>
      <c r="BW40" s="233"/>
      <c r="BX40" s="254"/>
    </row>
    <row r="41" spans="1:76" ht="12.75" hidden="1" customHeight="1" x14ac:dyDescent="0.2">
      <c r="A41" s="244"/>
      <c r="B41" s="244"/>
      <c r="C41" s="244"/>
      <c r="D41" s="392"/>
      <c r="E41" s="393"/>
      <c r="F41" s="394"/>
      <c r="G41" s="233"/>
      <c r="H41" s="233"/>
      <c r="I41" s="233"/>
      <c r="J41" s="227"/>
      <c r="K41" s="233"/>
      <c r="L41" s="233"/>
      <c r="M41" s="233"/>
      <c r="N41" s="233"/>
      <c r="O41" s="227"/>
      <c r="P41" s="233"/>
      <c r="Q41" s="233"/>
      <c r="R41" s="233"/>
      <c r="S41" s="233"/>
      <c r="T41" s="227"/>
      <c r="U41" s="233"/>
      <c r="V41" s="233"/>
      <c r="W41" s="233"/>
      <c r="X41" s="233"/>
      <c r="Y41" s="227"/>
      <c r="Z41" s="233"/>
      <c r="AA41" s="233"/>
      <c r="AB41" s="233"/>
      <c r="AC41" s="233"/>
      <c r="AD41" s="227"/>
      <c r="AE41" s="233"/>
      <c r="AF41" s="233"/>
      <c r="AG41" s="233"/>
      <c r="AH41" s="233"/>
      <c r="AI41" s="227"/>
      <c r="AJ41" s="233"/>
      <c r="AK41" s="233"/>
      <c r="AL41" s="233"/>
      <c r="AM41" s="233"/>
      <c r="AN41" s="227"/>
      <c r="AO41" s="233"/>
      <c r="AP41" s="233"/>
      <c r="AQ41" s="233"/>
      <c r="AR41" s="233"/>
      <c r="AS41" s="227"/>
      <c r="AT41" s="233"/>
      <c r="AU41" s="233"/>
      <c r="AV41" s="233"/>
      <c r="AW41" s="233"/>
      <c r="AX41" s="227"/>
      <c r="AY41" s="233"/>
      <c r="AZ41" s="233"/>
      <c r="BA41" s="233"/>
      <c r="BB41" s="233"/>
      <c r="BC41" s="227"/>
      <c r="BD41" s="233"/>
      <c r="BE41" s="233"/>
      <c r="BF41" s="233"/>
      <c r="BG41" s="233"/>
      <c r="BH41" s="227"/>
      <c r="BI41" s="233"/>
      <c r="BJ41" s="233"/>
      <c r="BK41" s="233"/>
      <c r="BL41" s="233"/>
      <c r="BM41" s="227"/>
      <c r="BN41" s="233"/>
      <c r="BO41" s="233"/>
      <c r="BP41" s="233"/>
      <c r="BQ41" s="233"/>
      <c r="BR41" s="227"/>
      <c r="BS41" s="233"/>
      <c r="BT41" s="233"/>
      <c r="BU41" s="233"/>
      <c r="BV41" s="233"/>
      <c r="BW41" s="233"/>
      <c r="BX41" s="254"/>
    </row>
    <row r="42" spans="1:76" ht="12.75" hidden="1" customHeight="1" x14ac:dyDescent="0.2">
      <c r="A42" s="244"/>
      <c r="B42" s="244"/>
      <c r="C42" s="244"/>
      <c r="D42" s="254" t="s">
        <v>417</v>
      </c>
      <c r="E42" s="261"/>
      <c r="F42" s="244"/>
      <c r="G42" s="233">
        <v>0</v>
      </c>
      <c r="H42" s="233"/>
      <c r="I42" s="233"/>
      <c r="J42" s="227"/>
      <c r="K42" s="233"/>
      <c r="L42" s="233">
        <f>L43+L45</f>
        <v>0</v>
      </c>
      <c r="M42" s="233"/>
      <c r="N42" s="233"/>
      <c r="O42" s="227"/>
      <c r="P42" s="233"/>
      <c r="Q42" s="233">
        <f>SUM(Q43:Q45)</f>
        <v>0</v>
      </c>
      <c r="R42" s="233"/>
      <c r="S42" s="233"/>
      <c r="T42" s="227"/>
      <c r="U42" s="233"/>
      <c r="V42" s="233">
        <f>V43+V45</f>
        <v>0</v>
      </c>
      <c r="W42" s="233"/>
      <c r="X42" s="233"/>
      <c r="Y42" s="227"/>
      <c r="Z42" s="233"/>
      <c r="AA42" s="233">
        <f>AA43+AA45</f>
        <v>0</v>
      </c>
      <c r="AB42" s="233"/>
      <c r="AC42" s="233"/>
      <c r="AD42" s="227"/>
      <c r="AE42" s="233"/>
      <c r="AF42" s="233">
        <f>AF43+AF45</f>
        <v>0</v>
      </c>
      <c r="AG42" s="233"/>
      <c r="AH42" s="233"/>
      <c r="AI42" s="227"/>
      <c r="AJ42" s="233"/>
      <c r="AK42" s="233">
        <f>AK43+AK45</f>
        <v>0</v>
      </c>
      <c r="AL42" s="233"/>
      <c r="AM42" s="233"/>
      <c r="AN42" s="227"/>
      <c r="AO42" s="233"/>
      <c r="AP42" s="233">
        <f>AP43+AP45</f>
        <v>0</v>
      </c>
      <c r="AQ42" s="233"/>
      <c r="AR42" s="233"/>
      <c r="AS42" s="227"/>
      <c r="AT42" s="233"/>
      <c r="AU42" s="233">
        <f>AU43+AU45</f>
        <v>0</v>
      </c>
      <c r="AV42" s="233"/>
      <c r="AW42" s="233"/>
      <c r="AX42" s="227"/>
      <c r="AY42" s="233"/>
      <c r="AZ42" s="233">
        <f>AZ43+AZ45</f>
        <v>0</v>
      </c>
      <c r="BA42" s="233"/>
      <c r="BB42" s="233"/>
      <c r="BC42" s="227"/>
      <c r="BD42" s="233"/>
      <c r="BE42" s="233">
        <f>BE43+BE45</f>
        <v>0</v>
      </c>
      <c r="BF42" s="233"/>
      <c r="BG42" s="233"/>
      <c r="BH42" s="227"/>
      <c r="BI42" s="233"/>
      <c r="BJ42" s="233">
        <f>BJ43+BJ45</f>
        <v>0</v>
      </c>
      <c r="BK42" s="233"/>
      <c r="BL42" s="233"/>
      <c r="BM42" s="227"/>
      <c r="BN42" s="233"/>
      <c r="BO42" s="233">
        <f>BO43+BO45</f>
        <v>0</v>
      </c>
      <c r="BP42" s="233"/>
      <c r="BQ42" s="233"/>
      <c r="BR42" s="227"/>
      <c r="BS42" s="233"/>
      <c r="BT42" s="233">
        <f>SUM(BT43:BT45)</f>
        <v>0</v>
      </c>
      <c r="BU42" s="233"/>
      <c r="BV42" s="233"/>
      <c r="BW42" s="233"/>
      <c r="BX42" s="254"/>
    </row>
    <row r="43" spans="1:76" ht="12.75" hidden="1" customHeight="1" x14ac:dyDescent="0.2">
      <c r="A43" s="244"/>
      <c r="B43" s="244"/>
      <c r="C43" s="244"/>
      <c r="D43" s="254" t="s">
        <v>310</v>
      </c>
      <c r="E43" s="261"/>
      <c r="F43" s="269"/>
      <c r="G43" s="343">
        <v>0</v>
      </c>
      <c r="H43" s="344"/>
      <c r="I43" s="233"/>
      <c r="J43" s="227"/>
      <c r="K43" s="345"/>
      <c r="L43" s="343">
        <v>0</v>
      </c>
      <c r="M43" s="344"/>
      <c r="N43" s="233"/>
      <c r="O43" s="227"/>
      <c r="P43" s="345"/>
      <c r="Q43" s="343">
        <v>0</v>
      </c>
      <c r="R43" s="344"/>
      <c r="S43" s="233"/>
      <c r="T43" s="227"/>
      <c r="U43" s="345"/>
      <c r="V43" s="343">
        <v>0</v>
      </c>
      <c r="W43" s="344"/>
      <c r="X43" s="233"/>
      <c r="Y43" s="227"/>
      <c r="Z43" s="345"/>
      <c r="AA43" s="343">
        <v>0</v>
      </c>
      <c r="AB43" s="344"/>
      <c r="AC43" s="233"/>
      <c r="AD43" s="227"/>
      <c r="AE43" s="345"/>
      <c r="AF43" s="343">
        <v>0</v>
      </c>
      <c r="AG43" s="344"/>
      <c r="AH43" s="233"/>
      <c r="AI43" s="227"/>
      <c r="AJ43" s="345"/>
      <c r="AK43" s="343">
        <v>0</v>
      </c>
      <c r="AL43" s="344"/>
      <c r="AM43" s="233"/>
      <c r="AN43" s="227"/>
      <c r="AO43" s="345"/>
      <c r="AP43" s="343">
        <v>0</v>
      </c>
      <c r="AQ43" s="344"/>
      <c r="AR43" s="233"/>
      <c r="AS43" s="227"/>
      <c r="AT43" s="345"/>
      <c r="AU43" s="343">
        <v>0</v>
      </c>
      <c r="AV43" s="344"/>
      <c r="AW43" s="233"/>
      <c r="AX43" s="227"/>
      <c r="AY43" s="345"/>
      <c r="AZ43" s="343">
        <v>0</v>
      </c>
      <c r="BA43" s="344"/>
      <c r="BB43" s="233"/>
      <c r="BC43" s="227"/>
      <c r="BD43" s="345"/>
      <c r="BE43" s="343">
        <v>0</v>
      </c>
      <c r="BF43" s="344"/>
      <c r="BG43" s="233"/>
      <c r="BH43" s="227"/>
      <c r="BI43" s="345"/>
      <c r="BJ43" s="343">
        <v>0</v>
      </c>
      <c r="BK43" s="344"/>
      <c r="BL43" s="233"/>
      <c r="BM43" s="227"/>
      <c r="BN43" s="345"/>
      <c r="BO43" s="343">
        <v>0</v>
      </c>
      <c r="BP43" s="344"/>
      <c r="BQ43" s="233"/>
      <c r="BR43" s="227"/>
      <c r="BS43" s="345"/>
      <c r="BT43" s="343">
        <f>SUM(L43:BO43)</f>
        <v>0</v>
      </c>
      <c r="BU43" s="344"/>
      <c r="BV43" s="233"/>
      <c r="BW43" s="233"/>
      <c r="BX43" s="254"/>
    </row>
    <row r="44" spans="1:76" ht="12.75" hidden="1" customHeight="1" x14ac:dyDescent="0.2">
      <c r="A44" s="244"/>
      <c r="B44" s="244"/>
      <c r="C44" s="244"/>
      <c r="D44" s="254" t="s">
        <v>312</v>
      </c>
      <c r="E44" s="261"/>
      <c r="F44" s="261"/>
      <c r="G44" s="233">
        <v>0</v>
      </c>
      <c r="H44" s="347"/>
      <c r="I44" s="233"/>
      <c r="J44" s="227"/>
      <c r="K44" s="227"/>
      <c r="L44" s="233">
        <v>0</v>
      </c>
      <c r="M44" s="347"/>
      <c r="N44" s="233"/>
      <c r="O44" s="227"/>
      <c r="P44" s="227"/>
      <c r="Q44" s="233">
        <v>0</v>
      </c>
      <c r="R44" s="347"/>
      <c r="S44" s="233"/>
      <c r="T44" s="227"/>
      <c r="U44" s="227"/>
      <c r="V44" s="233">
        <v>0</v>
      </c>
      <c r="W44" s="347"/>
      <c r="X44" s="233"/>
      <c r="Y44" s="227"/>
      <c r="Z44" s="227"/>
      <c r="AA44" s="233">
        <v>0</v>
      </c>
      <c r="AB44" s="347"/>
      <c r="AC44" s="233"/>
      <c r="AD44" s="227"/>
      <c r="AE44" s="227"/>
      <c r="AF44" s="233">
        <v>0</v>
      </c>
      <c r="AG44" s="347"/>
      <c r="AH44" s="233"/>
      <c r="AI44" s="227"/>
      <c r="AJ44" s="227"/>
      <c r="AK44" s="233">
        <v>0</v>
      </c>
      <c r="AL44" s="347"/>
      <c r="AM44" s="233"/>
      <c r="AN44" s="227"/>
      <c r="AO44" s="227"/>
      <c r="AP44" s="233">
        <v>0</v>
      </c>
      <c r="AQ44" s="347"/>
      <c r="AR44" s="233"/>
      <c r="AS44" s="227"/>
      <c r="AT44" s="227"/>
      <c r="AU44" s="233">
        <v>0</v>
      </c>
      <c r="AV44" s="347"/>
      <c r="AW44" s="233"/>
      <c r="AX44" s="227"/>
      <c r="AY44" s="227"/>
      <c r="AZ44" s="233">
        <v>0</v>
      </c>
      <c r="BA44" s="347"/>
      <c r="BB44" s="233"/>
      <c r="BC44" s="227"/>
      <c r="BD44" s="227"/>
      <c r="BE44" s="233">
        <v>0</v>
      </c>
      <c r="BF44" s="347"/>
      <c r="BG44" s="233"/>
      <c r="BH44" s="227"/>
      <c r="BI44" s="227"/>
      <c r="BJ44" s="233">
        <v>0</v>
      </c>
      <c r="BK44" s="347"/>
      <c r="BL44" s="233"/>
      <c r="BM44" s="227"/>
      <c r="BN44" s="227"/>
      <c r="BO44" s="233">
        <v>0</v>
      </c>
      <c r="BP44" s="347"/>
      <c r="BQ44" s="233"/>
      <c r="BR44" s="227"/>
      <c r="BS44" s="227"/>
      <c r="BT44" s="233">
        <f>SUM(L44:BO44)</f>
        <v>0</v>
      </c>
      <c r="BU44" s="347"/>
      <c r="BV44" s="233"/>
      <c r="BW44" s="233"/>
      <c r="BX44" s="254"/>
    </row>
    <row r="45" spans="1:76" ht="12.75" hidden="1" customHeight="1" x14ac:dyDescent="0.2">
      <c r="A45" s="244"/>
      <c r="B45" s="244"/>
      <c r="C45" s="244"/>
      <c r="D45" s="254" t="s">
        <v>320</v>
      </c>
      <c r="E45" s="261"/>
      <c r="F45" s="284"/>
      <c r="G45" s="355">
        <v>0</v>
      </c>
      <c r="H45" s="356"/>
      <c r="I45" s="233"/>
      <c r="J45" s="227"/>
      <c r="K45" s="357"/>
      <c r="L45" s="355">
        <v>0</v>
      </c>
      <c r="M45" s="356"/>
      <c r="N45" s="233"/>
      <c r="O45" s="227"/>
      <c r="P45" s="357"/>
      <c r="Q45" s="355">
        <v>0</v>
      </c>
      <c r="R45" s="356"/>
      <c r="S45" s="233"/>
      <c r="T45" s="227"/>
      <c r="U45" s="357"/>
      <c r="V45" s="355">
        <v>0</v>
      </c>
      <c r="W45" s="356"/>
      <c r="X45" s="233"/>
      <c r="Y45" s="227"/>
      <c r="Z45" s="357"/>
      <c r="AA45" s="355">
        <v>0</v>
      </c>
      <c r="AB45" s="356"/>
      <c r="AC45" s="233"/>
      <c r="AD45" s="227"/>
      <c r="AE45" s="357"/>
      <c r="AF45" s="355">
        <v>0</v>
      </c>
      <c r="AG45" s="356"/>
      <c r="AH45" s="233"/>
      <c r="AI45" s="227"/>
      <c r="AJ45" s="357"/>
      <c r="AK45" s="355">
        <v>0</v>
      </c>
      <c r="AL45" s="356"/>
      <c r="AM45" s="233"/>
      <c r="AN45" s="227"/>
      <c r="AO45" s="357"/>
      <c r="AP45" s="355">
        <v>0</v>
      </c>
      <c r="AQ45" s="356"/>
      <c r="AR45" s="233"/>
      <c r="AS45" s="227"/>
      <c r="AT45" s="357"/>
      <c r="AU45" s="355">
        <v>0</v>
      </c>
      <c r="AV45" s="356"/>
      <c r="AW45" s="233"/>
      <c r="AX45" s="227"/>
      <c r="AY45" s="357"/>
      <c r="AZ45" s="355">
        <v>0</v>
      </c>
      <c r="BA45" s="356"/>
      <c r="BB45" s="233"/>
      <c r="BC45" s="227"/>
      <c r="BD45" s="357"/>
      <c r="BE45" s="355">
        <v>0</v>
      </c>
      <c r="BF45" s="356"/>
      <c r="BG45" s="233"/>
      <c r="BH45" s="227"/>
      <c r="BI45" s="357"/>
      <c r="BJ45" s="355">
        <v>0</v>
      </c>
      <c r="BK45" s="356"/>
      <c r="BL45" s="233"/>
      <c r="BM45" s="227"/>
      <c r="BN45" s="357"/>
      <c r="BO45" s="355">
        <v>0</v>
      </c>
      <c r="BP45" s="356"/>
      <c r="BQ45" s="233"/>
      <c r="BR45" s="227"/>
      <c r="BS45" s="357"/>
      <c r="BT45" s="355">
        <f>SUM(L45:BO45)</f>
        <v>0</v>
      </c>
      <c r="BU45" s="356"/>
      <c r="BV45" s="233"/>
      <c r="BW45" s="233"/>
      <c r="BX45" s="254"/>
    </row>
    <row r="46" spans="1:76" ht="12.75" hidden="1" customHeight="1" x14ac:dyDescent="0.2">
      <c r="A46" s="244"/>
      <c r="B46" s="244"/>
      <c r="C46" s="244"/>
      <c r="D46" s="392"/>
      <c r="E46" s="393"/>
      <c r="F46" s="394"/>
      <c r="G46" s="233"/>
      <c r="H46" s="233"/>
      <c r="I46" s="233"/>
      <c r="J46" s="227"/>
      <c r="K46" s="233"/>
      <c r="L46" s="233"/>
      <c r="M46" s="233"/>
      <c r="N46" s="233"/>
      <c r="O46" s="227"/>
      <c r="P46" s="233"/>
      <c r="Q46" s="233"/>
      <c r="R46" s="233"/>
      <c r="S46" s="233"/>
      <c r="T46" s="227"/>
      <c r="U46" s="233"/>
      <c r="V46" s="233"/>
      <c r="W46" s="233"/>
      <c r="X46" s="233"/>
      <c r="Y46" s="227"/>
      <c r="Z46" s="233"/>
      <c r="AA46" s="233"/>
      <c r="AB46" s="233"/>
      <c r="AC46" s="233"/>
      <c r="AD46" s="227"/>
      <c r="AE46" s="233"/>
      <c r="AF46" s="233"/>
      <c r="AG46" s="233"/>
      <c r="AH46" s="233"/>
      <c r="AI46" s="227"/>
      <c r="AJ46" s="233"/>
      <c r="AK46" s="233"/>
      <c r="AL46" s="233"/>
      <c r="AM46" s="233"/>
      <c r="AN46" s="227"/>
      <c r="AO46" s="233"/>
      <c r="AP46" s="233"/>
      <c r="AQ46" s="233"/>
      <c r="AR46" s="233"/>
      <c r="AS46" s="227"/>
      <c r="AT46" s="233"/>
      <c r="AU46" s="233"/>
      <c r="AV46" s="233"/>
      <c r="AW46" s="233"/>
      <c r="AX46" s="227"/>
      <c r="AY46" s="233"/>
      <c r="AZ46" s="233"/>
      <c r="BA46" s="233"/>
      <c r="BB46" s="233"/>
      <c r="BC46" s="227"/>
      <c r="BD46" s="233"/>
      <c r="BE46" s="233"/>
      <c r="BF46" s="233"/>
      <c r="BG46" s="233"/>
      <c r="BH46" s="227"/>
      <c r="BI46" s="233"/>
      <c r="BJ46" s="233"/>
      <c r="BK46" s="233"/>
      <c r="BL46" s="233"/>
      <c r="BM46" s="227"/>
      <c r="BN46" s="233"/>
      <c r="BO46" s="233"/>
      <c r="BP46" s="233"/>
      <c r="BQ46" s="233"/>
      <c r="BR46" s="227"/>
      <c r="BS46" s="233"/>
      <c r="BT46" s="233"/>
      <c r="BU46" s="233"/>
      <c r="BV46" s="233"/>
      <c r="BW46" s="233"/>
      <c r="BX46" s="254"/>
    </row>
    <row r="47" spans="1:76" ht="12.75" hidden="1" customHeight="1" x14ac:dyDescent="0.2">
      <c r="A47" s="244"/>
      <c r="B47" s="244"/>
      <c r="C47" s="244"/>
      <c r="D47" s="254" t="s">
        <v>418</v>
      </c>
      <c r="E47" s="261"/>
      <c r="F47" s="244"/>
      <c r="G47" s="233">
        <v>0</v>
      </c>
      <c r="H47" s="233"/>
      <c r="I47" s="233"/>
      <c r="J47" s="227"/>
      <c r="K47" s="233"/>
      <c r="L47" s="233">
        <f>L48+L50</f>
        <v>0</v>
      </c>
      <c r="M47" s="233"/>
      <c r="N47" s="233"/>
      <c r="O47" s="227"/>
      <c r="P47" s="233"/>
      <c r="Q47" s="233">
        <f>Q48+Q50</f>
        <v>0</v>
      </c>
      <c r="R47" s="233"/>
      <c r="S47" s="233"/>
      <c r="T47" s="227"/>
      <c r="U47" s="233"/>
      <c r="V47" s="233">
        <f>V48+V50</f>
        <v>0</v>
      </c>
      <c r="W47" s="233"/>
      <c r="X47" s="233"/>
      <c r="Y47" s="227"/>
      <c r="Z47" s="233"/>
      <c r="AA47" s="233">
        <f>AA48+AA50</f>
        <v>0</v>
      </c>
      <c r="AB47" s="233"/>
      <c r="AC47" s="233"/>
      <c r="AD47" s="227"/>
      <c r="AE47" s="233"/>
      <c r="AF47" s="233">
        <f>AF48+AF50</f>
        <v>0</v>
      </c>
      <c r="AG47" s="233"/>
      <c r="AH47" s="233"/>
      <c r="AI47" s="227"/>
      <c r="AJ47" s="233"/>
      <c r="AK47" s="233">
        <f>AK48+AK50</f>
        <v>0</v>
      </c>
      <c r="AL47" s="233"/>
      <c r="AM47" s="233"/>
      <c r="AN47" s="227"/>
      <c r="AO47" s="233"/>
      <c r="AP47" s="233">
        <f>AP48+AP50</f>
        <v>0</v>
      </c>
      <c r="AQ47" s="233"/>
      <c r="AR47" s="233"/>
      <c r="AS47" s="227"/>
      <c r="AT47" s="233"/>
      <c r="AU47" s="233">
        <f>AU48+AU50</f>
        <v>0</v>
      </c>
      <c r="AV47" s="233"/>
      <c r="AW47" s="233"/>
      <c r="AX47" s="227"/>
      <c r="AY47" s="233"/>
      <c r="AZ47" s="233">
        <f>AZ48+AZ50</f>
        <v>0</v>
      </c>
      <c r="BA47" s="233"/>
      <c r="BB47" s="233"/>
      <c r="BC47" s="227"/>
      <c r="BD47" s="233"/>
      <c r="BE47" s="233">
        <f>BE48+BE50</f>
        <v>0</v>
      </c>
      <c r="BF47" s="233"/>
      <c r="BG47" s="233"/>
      <c r="BH47" s="227"/>
      <c r="BI47" s="233"/>
      <c r="BJ47" s="233">
        <f>BJ48+BJ50</f>
        <v>0</v>
      </c>
      <c r="BK47" s="233"/>
      <c r="BL47" s="233"/>
      <c r="BM47" s="227"/>
      <c r="BN47" s="233"/>
      <c r="BO47" s="233">
        <f>BO48+BO50</f>
        <v>0</v>
      </c>
      <c r="BP47" s="233"/>
      <c r="BQ47" s="233"/>
      <c r="BR47" s="227"/>
      <c r="BS47" s="233"/>
      <c r="BT47" s="233">
        <f>SUM(BT48:BT50)</f>
        <v>0</v>
      </c>
      <c r="BU47" s="233"/>
      <c r="BV47" s="233"/>
      <c r="BW47" s="233"/>
      <c r="BX47" s="254"/>
    </row>
    <row r="48" spans="1:76" ht="12.75" hidden="1" customHeight="1" x14ac:dyDescent="0.2">
      <c r="A48" s="244"/>
      <c r="B48" s="244"/>
      <c r="C48" s="244"/>
      <c r="D48" s="254" t="s">
        <v>310</v>
      </c>
      <c r="E48" s="261"/>
      <c r="F48" s="269"/>
      <c r="G48" s="343">
        <v>0</v>
      </c>
      <c r="H48" s="344"/>
      <c r="I48" s="233"/>
      <c r="J48" s="227"/>
      <c r="K48" s="345"/>
      <c r="L48" s="343">
        <v>0</v>
      </c>
      <c r="M48" s="344"/>
      <c r="N48" s="233"/>
      <c r="O48" s="227"/>
      <c r="P48" s="345"/>
      <c r="Q48" s="343">
        <v>0</v>
      </c>
      <c r="R48" s="344"/>
      <c r="S48" s="233"/>
      <c r="T48" s="227"/>
      <c r="U48" s="345"/>
      <c r="V48" s="343">
        <v>0</v>
      </c>
      <c r="W48" s="344"/>
      <c r="X48" s="233"/>
      <c r="Y48" s="227"/>
      <c r="Z48" s="345"/>
      <c r="AA48" s="343">
        <v>0</v>
      </c>
      <c r="AB48" s="344"/>
      <c r="AC48" s="233"/>
      <c r="AD48" s="227"/>
      <c r="AE48" s="345"/>
      <c r="AF48" s="343">
        <v>0</v>
      </c>
      <c r="AG48" s="344"/>
      <c r="AH48" s="233"/>
      <c r="AI48" s="227"/>
      <c r="AJ48" s="345"/>
      <c r="AK48" s="343">
        <v>0</v>
      </c>
      <c r="AL48" s="344"/>
      <c r="AM48" s="233"/>
      <c r="AN48" s="227"/>
      <c r="AO48" s="345"/>
      <c r="AP48" s="343">
        <v>0</v>
      </c>
      <c r="AQ48" s="344"/>
      <c r="AR48" s="233"/>
      <c r="AS48" s="227"/>
      <c r="AT48" s="345"/>
      <c r="AU48" s="343">
        <v>0</v>
      </c>
      <c r="AV48" s="344"/>
      <c r="AW48" s="233"/>
      <c r="AX48" s="227"/>
      <c r="AY48" s="345"/>
      <c r="AZ48" s="343">
        <v>0</v>
      </c>
      <c r="BA48" s="344"/>
      <c r="BB48" s="233"/>
      <c r="BC48" s="227"/>
      <c r="BD48" s="345"/>
      <c r="BE48" s="343">
        <v>0</v>
      </c>
      <c r="BF48" s="344"/>
      <c r="BG48" s="233"/>
      <c r="BH48" s="227"/>
      <c r="BI48" s="345"/>
      <c r="BJ48" s="343">
        <v>0</v>
      </c>
      <c r="BK48" s="344"/>
      <c r="BL48" s="233"/>
      <c r="BM48" s="227"/>
      <c r="BN48" s="345"/>
      <c r="BO48" s="343">
        <v>0</v>
      </c>
      <c r="BP48" s="344"/>
      <c r="BQ48" s="233"/>
      <c r="BR48" s="227"/>
      <c r="BS48" s="345"/>
      <c r="BT48" s="343">
        <f>SUM(L48:BO48)</f>
        <v>0</v>
      </c>
      <c r="BU48" s="344"/>
      <c r="BV48" s="233"/>
      <c r="BW48" s="233"/>
      <c r="BX48" s="254"/>
    </row>
    <row r="49" spans="1:79" ht="12.75" hidden="1" customHeight="1" x14ac:dyDescent="0.2">
      <c r="A49" s="244"/>
      <c r="B49" s="244"/>
      <c r="C49" s="244"/>
      <c r="D49" s="254" t="s">
        <v>312</v>
      </c>
      <c r="E49" s="261"/>
      <c r="F49" s="261"/>
      <c r="G49" s="233">
        <v>0</v>
      </c>
      <c r="H49" s="347"/>
      <c r="I49" s="233"/>
      <c r="J49" s="227"/>
      <c r="K49" s="227"/>
      <c r="L49" s="233">
        <v>0</v>
      </c>
      <c r="M49" s="347"/>
      <c r="N49" s="233"/>
      <c r="O49" s="227"/>
      <c r="P49" s="227"/>
      <c r="Q49" s="233">
        <v>0</v>
      </c>
      <c r="R49" s="347"/>
      <c r="S49" s="233"/>
      <c r="T49" s="227"/>
      <c r="U49" s="227"/>
      <c r="V49" s="233">
        <v>0</v>
      </c>
      <c r="W49" s="347"/>
      <c r="X49" s="233"/>
      <c r="Y49" s="227"/>
      <c r="Z49" s="227"/>
      <c r="AA49" s="233">
        <v>0</v>
      </c>
      <c r="AB49" s="347"/>
      <c r="AC49" s="233"/>
      <c r="AD49" s="227"/>
      <c r="AE49" s="227"/>
      <c r="AF49" s="233">
        <v>0</v>
      </c>
      <c r="AG49" s="347"/>
      <c r="AH49" s="233"/>
      <c r="AI49" s="227"/>
      <c r="AJ49" s="227"/>
      <c r="AK49" s="233">
        <v>0</v>
      </c>
      <c r="AL49" s="347"/>
      <c r="AM49" s="233"/>
      <c r="AN49" s="227"/>
      <c r="AO49" s="227"/>
      <c r="AP49" s="233">
        <v>0</v>
      </c>
      <c r="AQ49" s="347"/>
      <c r="AR49" s="233"/>
      <c r="AS49" s="227"/>
      <c r="AT49" s="227"/>
      <c r="AU49" s="233">
        <v>0</v>
      </c>
      <c r="AV49" s="347"/>
      <c r="AW49" s="233"/>
      <c r="AX49" s="227"/>
      <c r="AY49" s="227"/>
      <c r="AZ49" s="233">
        <v>0</v>
      </c>
      <c r="BA49" s="347"/>
      <c r="BB49" s="233"/>
      <c r="BC49" s="227"/>
      <c r="BD49" s="227"/>
      <c r="BE49" s="233">
        <v>0</v>
      </c>
      <c r="BF49" s="347"/>
      <c r="BG49" s="233"/>
      <c r="BH49" s="227"/>
      <c r="BI49" s="227"/>
      <c r="BJ49" s="233">
        <v>0</v>
      </c>
      <c r="BK49" s="347"/>
      <c r="BL49" s="233"/>
      <c r="BM49" s="227"/>
      <c r="BN49" s="227"/>
      <c r="BO49" s="233">
        <v>0</v>
      </c>
      <c r="BP49" s="347"/>
      <c r="BQ49" s="233"/>
      <c r="BR49" s="227"/>
      <c r="BS49" s="227"/>
      <c r="BT49" s="233">
        <f>SUM(L49:BO49)</f>
        <v>0</v>
      </c>
      <c r="BU49" s="347"/>
      <c r="BV49" s="233"/>
      <c r="BW49" s="233"/>
      <c r="BX49" s="254"/>
    </row>
    <row r="50" spans="1:79" ht="12.75" hidden="1" customHeight="1" x14ac:dyDescent="0.2">
      <c r="A50" s="244"/>
      <c r="B50" s="244"/>
      <c r="C50" s="244"/>
      <c r="D50" s="254" t="s">
        <v>320</v>
      </c>
      <c r="E50" s="261"/>
      <c r="F50" s="284"/>
      <c r="G50" s="355">
        <v>0</v>
      </c>
      <c r="H50" s="356"/>
      <c r="I50" s="233"/>
      <c r="J50" s="227"/>
      <c r="K50" s="357"/>
      <c r="L50" s="355">
        <v>0</v>
      </c>
      <c r="M50" s="356"/>
      <c r="N50" s="233"/>
      <c r="O50" s="227"/>
      <c r="P50" s="357"/>
      <c r="Q50" s="355">
        <v>0</v>
      </c>
      <c r="R50" s="356"/>
      <c r="S50" s="233"/>
      <c r="T50" s="227"/>
      <c r="U50" s="357"/>
      <c r="V50" s="355">
        <v>0</v>
      </c>
      <c r="W50" s="356"/>
      <c r="X50" s="233"/>
      <c r="Y50" s="227"/>
      <c r="Z50" s="357"/>
      <c r="AA50" s="355">
        <v>0</v>
      </c>
      <c r="AB50" s="356"/>
      <c r="AC50" s="233"/>
      <c r="AD50" s="227"/>
      <c r="AE50" s="357"/>
      <c r="AF50" s="355">
        <v>0</v>
      </c>
      <c r="AG50" s="356"/>
      <c r="AH50" s="233"/>
      <c r="AI50" s="227"/>
      <c r="AJ50" s="357"/>
      <c r="AK50" s="355">
        <v>0</v>
      </c>
      <c r="AL50" s="356"/>
      <c r="AM50" s="233"/>
      <c r="AN50" s="227"/>
      <c r="AO50" s="357"/>
      <c r="AP50" s="355">
        <v>0</v>
      </c>
      <c r="AQ50" s="356"/>
      <c r="AR50" s="233"/>
      <c r="AS50" s="227"/>
      <c r="AT50" s="357"/>
      <c r="AU50" s="355">
        <v>0</v>
      </c>
      <c r="AV50" s="356"/>
      <c r="AW50" s="233"/>
      <c r="AX50" s="227"/>
      <c r="AY50" s="357"/>
      <c r="AZ50" s="355">
        <v>0</v>
      </c>
      <c r="BA50" s="356"/>
      <c r="BB50" s="233"/>
      <c r="BC50" s="227"/>
      <c r="BD50" s="357"/>
      <c r="BE50" s="355">
        <v>0</v>
      </c>
      <c r="BF50" s="356"/>
      <c r="BG50" s="233"/>
      <c r="BH50" s="227"/>
      <c r="BI50" s="357"/>
      <c r="BJ50" s="355">
        <v>0</v>
      </c>
      <c r="BK50" s="356"/>
      <c r="BL50" s="233"/>
      <c r="BM50" s="227"/>
      <c r="BN50" s="357"/>
      <c r="BO50" s="355">
        <v>0</v>
      </c>
      <c r="BP50" s="356"/>
      <c r="BQ50" s="233"/>
      <c r="BR50" s="227"/>
      <c r="BS50" s="357"/>
      <c r="BT50" s="355">
        <f>SUM(L50:BO50)</f>
        <v>0</v>
      </c>
      <c r="BU50" s="356"/>
      <c r="BV50" s="233"/>
      <c r="BW50" s="233"/>
      <c r="BX50" s="254"/>
    </row>
    <row r="51" spans="1:79" ht="12.75" hidden="1" customHeight="1" x14ac:dyDescent="0.2">
      <c r="A51" s="244"/>
      <c r="B51" s="244"/>
      <c r="C51" s="244"/>
      <c r="D51" s="392"/>
      <c r="E51" s="393"/>
      <c r="F51" s="394"/>
      <c r="G51" s="233"/>
      <c r="H51" s="233"/>
      <c r="I51" s="233"/>
      <c r="J51" s="227"/>
      <c r="K51" s="233"/>
      <c r="L51" s="233"/>
      <c r="M51" s="233"/>
      <c r="N51" s="233"/>
      <c r="O51" s="227"/>
      <c r="P51" s="233"/>
      <c r="Q51" s="233"/>
      <c r="R51" s="233"/>
      <c r="S51" s="233"/>
      <c r="T51" s="227"/>
      <c r="U51" s="233"/>
      <c r="V51" s="233"/>
      <c r="W51" s="233"/>
      <c r="X51" s="233"/>
      <c r="Y51" s="227"/>
      <c r="Z51" s="233"/>
      <c r="AA51" s="233"/>
      <c r="AB51" s="233"/>
      <c r="AC51" s="233"/>
      <c r="AD51" s="227"/>
      <c r="AE51" s="233"/>
      <c r="AF51" s="233"/>
      <c r="AG51" s="233"/>
      <c r="AH51" s="233"/>
      <c r="AI51" s="227"/>
      <c r="AJ51" s="233"/>
      <c r="AK51" s="233"/>
      <c r="AL51" s="233"/>
      <c r="AM51" s="233"/>
      <c r="AN51" s="227"/>
      <c r="AO51" s="233"/>
      <c r="AP51" s="233"/>
      <c r="AQ51" s="233"/>
      <c r="AR51" s="233"/>
      <c r="AS51" s="227"/>
      <c r="AT51" s="233"/>
      <c r="AU51" s="233"/>
      <c r="AV51" s="233"/>
      <c r="AW51" s="233"/>
      <c r="AX51" s="227"/>
      <c r="AY51" s="233"/>
      <c r="AZ51" s="233"/>
      <c r="BA51" s="233"/>
      <c r="BB51" s="233"/>
      <c r="BC51" s="227"/>
      <c r="BD51" s="233"/>
      <c r="BE51" s="233"/>
      <c r="BF51" s="233"/>
      <c r="BG51" s="233"/>
      <c r="BH51" s="227"/>
      <c r="BI51" s="233"/>
      <c r="BJ51" s="233"/>
      <c r="BK51" s="233"/>
      <c r="BL51" s="233"/>
      <c r="BM51" s="227"/>
      <c r="BN51" s="233"/>
      <c r="BO51" s="233"/>
      <c r="BP51" s="233"/>
      <c r="BQ51" s="233"/>
      <c r="BR51" s="227"/>
      <c r="BS51" s="233"/>
      <c r="BT51" s="233"/>
      <c r="BU51" s="233"/>
      <c r="BV51" s="233"/>
      <c r="BW51" s="233"/>
      <c r="BX51" s="254"/>
    </row>
    <row r="52" spans="1:79" ht="12.75" hidden="1" customHeight="1" x14ac:dyDescent="0.2">
      <c r="A52" s="244"/>
      <c r="B52" s="244"/>
      <c r="C52" s="244"/>
      <c r="D52" s="254" t="s">
        <v>419</v>
      </c>
      <c r="E52" s="261"/>
      <c r="F52" s="244"/>
      <c r="G52" s="233">
        <v>0</v>
      </c>
      <c r="H52" s="233"/>
      <c r="I52" s="233"/>
      <c r="J52" s="227"/>
      <c r="K52" s="233"/>
      <c r="L52" s="233">
        <f>L53+L55</f>
        <v>0</v>
      </c>
      <c r="M52" s="233"/>
      <c r="N52" s="233"/>
      <c r="O52" s="227"/>
      <c r="P52" s="233"/>
      <c r="Q52" s="233">
        <f>Q53+Q55</f>
        <v>0</v>
      </c>
      <c r="R52" s="233"/>
      <c r="S52" s="233"/>
      <c r="T52" s="227"/>
      <c r="U52" s="233"/>
      <c r="V52" s="233">
        <f>V53+V55</f>
        <v>0</v>
      </c>
      <c r="W52" s="233"/>
      <c r="X52" s="233"/>
      <c r="Y52" s="227"/>
      <c r="Z52" s="233"/>
      <c r="AA52" s="233">
        <f>AA53+AA55</f>
        <v>0</v>
      </c>
      <c r="AB52" s="233"/>
      <c r="AC52" s="233"/>
      <c r="AD52" s="227"/>
      <c r="AE52" s="233"/>
      <c r="AF52" s="233">
        <f>AF53+AF55</f>
        <v>0</v>
      </c>
      <c r="AG52" s="233"/>
      <c r="AH52" s="233"/>
      <c r="AI52" s="227"/>
      <c r="AJ52" s="233"/>
      <c r="AK52" s="233">
        <f>AK53+AK55</f>
        <v>0</v>
      </c>
      <c r="AL52" s="233"/>
      <c r="AM52" s="233"/>
      <c r="AN52" s="227"/>
      <c r="AO52" s="233"/>
      <c r="AP52" s="233">
        <f>AP53+AP55</f>
        <v>0</v>
      </c>
      <c r="AQ52" s="233"/>
      <c r="AR52" s="233"/>
      <c r="AS52" s="227"/>
      <c r="AT52" s="233"/>
      <c r="AU52" s="233">
        <f>AU53+AU55</f>
        <v>0</v>
      </c>
      <c r="AV52" s="233"/>
      <c r="AW52" s="233"/>
      <c r="AX52" s="227"/>
      <c r="AY52" s="233"/>
      <c r="AZ52" s="233">
        <f>AZ53+AZ55</f>
        <v>0</v>
      </c>
      <c r="BA52" s="233"/>
      <c r="BB52" s="233"/>
      <c r="BC52" s="227"/>
      <c r="BD52" s="233"/>
      <c r="BE52" s="233">
        <f>BE53+BE55</f>
        <v>0</v>
      </c>
      <c r="BF52" s="233"/>
      <c r="BG52" s="233"/>
      <c r="BH52" s="227"/>
      <c r="BI52" s="233"/>
      <c r="BJ52" s="233">
        <f>BJ53+BJ55</f>
        <v>0</v>
      </c>
      <c r="BK52" s="233"/>
      <c r="BL52" s="233"/>
      <c r="BM52" s="227"/>
      <c r="BN52" s="233"/>
      <c r="BO52" s="233">
        <f>BO53+BO55</f>
        <v>0</v>
      </c>
      <c r="BP52" s="233"/>
      <c r="BQ52" s="233"/>
      <c r="BR52" s="227"/>
      <c r="BS52" s="233"/>
      <c r="BT52" s="233">
        <f>SUM(BT53:BT55)</f>
        <v>0</v>
      </c>
      <c r="BU52" s="233"/>
      <c r="BV52" s="233"/>
      <c r="BW52" s="233"/>
      <c r="BX52" s="254"/>
    </row>
    <row r="53" spans="1:79" ht="12.75" hidden="1" customHeight="1" x14ac:dyDescent="0.2">
      <c r="A53" s="244"/>
      <c r="B53" s="244"/>
      <c r="C53" s="244"/>
      <c r="D53" s="254" t="s">
        <v>310</v>
      </c>
      <c r="E53" s="261"/>
      <c r="F53" s="269"/>
      <c r="G53" s="343">
        <v>0</v>
      </c>
      <c r="H53" s="344"/>
      <c r="I53" s="233"/>
      <c r="J53" s="227"/>
      <c r="K53" s="345"/>
      <c r="L53" s="343">
        <v>0</v>
      </c>
      <c r="M53" s="344"/>
      <c r="N53" s="233"/>
      <c r="O53" s="227"/>
      <c r="P53" s="345"/>
      <c r="Q53" s="343">
        <v>0</v>
      </c>
      <c r="R53" s="344"/>
      <c r="S53" s="233"/>
      <c r="T53" s="227"/>
      <c r="U53" s="345"/>
      <c r="V53" s="343">
        <v>0</v>
      </c>
      <c r="W53" s="344"/>
      <c r="X53" s="233"/>
      <c r="Y53" s="227"/>
      <c r="Z53" s="345"/>
      <c r="AA53" s="343">
        <v>0</v>
      </c>
      <c r="AB53" s="344"/>
      <c r="AC53" s="233"/>
      <c r="AD53" s="227"/>
      <c r="AE53" s="345"/>
      <c r="AF53" s="343">
        <v>0</v>
      </c>
      <c r="AG53" s="344"/>
      <c r="AH53" s="233"/>
      <c r="AI53" s="227"/>
      <c r="AJ53" s="345"/>
      <c r="AK53" s="343">
        <v>0</v>
      </c>
      <c r="AL53" s="344"/>
      <c r="AM53" s="233"/>
      <c r="AN53" s="227"/>
      <c r="AO53" s="345"/>
      <c r="AP53" s="343">
        <v>0</v>
      </c>
      <c r="AQ53" s="344"/>
      <c r="AR53" s="233"/>
      <c r="AS53" s="227"/>
      <c r="AT53" s="345"/>
      <c r="AU53" s="343">
        <v>0</v>
      </c>
      <c r="AV53" s="344"/>
      <c r="AW53" s="233"/>
      <c r="AX53" s="227"/>
      <c r="AY53" s="345"/>
      <c r="AZ53" s="343">
        <v>0</v>
      </c>
      <c r="BA53" s="344"/>
      <c r="BB53" s="233"/>
      <c r="BC53" s="227"/>
      <c r="BD53" s="345"/>
      <c r="BE53" s="343">
        <v>0</v>
      </c>
      <c r="BF53" s="344"/>
      <c r="BG53" s="233"/>
      <c r="BH53" s="227"/>
      <c r="BI53" s="345"/>
      <c r="BJ53" s="343">
        <v>0</v>
      </c>
      <c r="BK53" s="344"/>
      <c r="BL53" s="233"/>
      <c r="BM53" s="227"/>
      <c r="BN53" s="345"/>
      <c r="BO53" s="343">
        <v>0</v>
      </c>
      <c r="BP53" s="344"/>
      <c r="BQ53" s="233"/>
      <c r="BR53" s="227"/>
      <c r="BS53" s="345"/>
      <c r="BT53" s="343">
        <f>SUM(L53:BO53)</f>
        <v>0</v>
      </c>
      <c r="BU53" s="344"/>
      <c r="BV53" s="233"/>
      <c r="BW53" s="233"/>
      <c r="BX53" s="254"/>
    </row>
    <row r="54" spans="1:79" ht="12.75" hidden="1" customHeight="1" x14ac:dyDescent="0.2">
      <c r="A54" s="244"/>
      <c r="B54" s="244"/>
      <c r="C54" s="244"/>
      <c r="D54" s="254" t="s">
        <v>312</v>
      </c>
      <c r="E54" s="261"/>
      <c r="F54" s="261"/>
      <c r="G54" s="233">
        <v>0</v>
      </c>
      <c r="H54" s="347"/>
      <c r="I54" s="233"/>
      <c r="J54" s="227"/>
      <c r="K54" s="227"/>
      <c r="L54" s="233">
        <v>0</v>
      </c>
      <c r="M54" s="347"/>
      <c r="N54" s="233"/>
      <c r="O54" s="227"/>
      <c r="P54" s="227"/>
      <c r="Q54" s="233">
        <v>0</v>
      </c>
      <c r="R54" s="347"/>
      <c r="S54" s="233"/>
      <c r="T54" s="227"/>
      <c r="U54" s="227"/>
      <c r="V54" s="233">
        <v>0</v>
      </c>
      <c r="W54" s="347"/>
      <c r="X54" s="233"/>
      <c r="Y54" s="227"/>
      <c r="Z54" s="227"/>
      <c r="AA54" s="233">
        <v>0</v>
      </c>
      <c r="AB54" s="347"/>
      <c r="AC54" s="233"/>
      <c r="AD54" s="227"/>
      <c r="AE54" s="227"/>
      <c r="AF54" s="233">
        <v>0</v>
      </c>
      <c r="AG54" s="347"/>
      <c r="AH54" s="233"/>
      <c r="AI54" s="227"/>
      <c r="AJ54" s="227"/>
      <c r="AK54" s="233">
        <v>0</v>
      </c>
      <c r="AL54" s="347"/>
      <c r="AM54" s="233"/>
      <c r="AN54" s="227"/>
      <c r="AO54" s="227"/>
      <c r="AP54" s="233">
        <v>0</v>
      </c>
      <c r="AQ54" s="347"/>
      <c r="AR54" s="233"/>
      <c r="AS54" s="227"/>
      <c r="AT54" s="227"/>
      <c r="AU54" s="233">
        <v>0</v>
      </c>
      <c r="AV54" s="347"/>
      <c r="AW54" s="233"/>
      <c r="AX54" s="227"/>
      <c r="AY54" s="227"/>
      <c r="AZ54" s="233">
        <v>0</v>
      </c>
      <c r="BA54" s="347"/>
      <c r="BB54" s="233"/>
      <c r="BC54" s="227"/>
      <c r="BD54" s="227"/>
      <c r="BE54" s="233">
        <v>0</v>
      </c>
      <c r="BF54" s="347"/>
      <c r="BG54" s="233"/>
      <c r="BH54" s="227"/>
      <c r="BI54" s="227"/>
      <c r="BJ54" s="233">
        <v>0</v>
      </c>
      <c r="BK54" s="347"/>
      <c r="BL54" s="233"/>
      <c r="BM54" s="227"/>
      <c r="BN54" s="227"/>
      <c r="BO54" s="233">
        <v>0</v>
      </c>
      <c r="BP54" s="347"/>
      <c r="BQ54" s="233"/>
      <c r="BR54" s="227"/>
      <c r="BS54" s="227"/>
      <c r="BT54" s="233">
        <f>SUM(L54:BO54)</f>
        <v>0</v>
      </c>
      <c r="BU54" s="347"/>
      <c r="BV54" s="233"/>
      <c r="BW54" s="233"/>
      <c r="BX54" s="254"/>
    </row>
    <row r="55" spans="1:79" ht="12.75" hidden="1" customHeight="1" x14ac:dyDescent="0.2">
      <c r="A55" s="244"/>
      <c r="B55" s="244"/>
      <c r="C55" s="244"/>
      <c r="D55" s="254" t="s">
        <v>320</v>
      </c>
      <c r="E55" s="261"/>
      <c r="F55" s="284"/>
      <c r="G55" s="355">
        <v>0</v>
      </c>
      <c r="H55" s="356"/>
      <c r="I55" s="233"/>
      <c r="J55" s="227"/>
      <c r="K55" s="357"/>
      <c r="L55" s="355">
        <v>0</v>
      </c>
      <c r="M55" s="356"/>
      <c r="N55" s="233"/>
      <c r="O55" s="227"/>
      <c r="P55" s="357"/>
      <c r="Q55" s="355">
        <v>0</v>
      </c>
      <c r="R55" s="356"/>
      <c r="S55" s="233"/>
      <c r="T55" s="227"/>
      <c r="U55" s="357"/>
      <c r="V55" s="355">
        <v>0</v>
      </c>
      <c r="W55" s="356"/>
      <c r="X55" s="233"/>
      <c r="Y55" s="227"/>
      <c r="Z55" s="357"/>
      <c r="AA55" s="355">
        <v>0</v>
      </c>
      <c r="AB55" s="356"/>
      <c r="AC55" s="233"/>
      <c r="AD55" s="227"/>
      <c r="AE55" s="357"/>
      <c r="AF55" s="355">
        <v>0</v>
      </c>
      <c r="AG55" s="356"/>
      <c r="AH55" s="233"/>
      <c r="AI55" s="227"/>
      <c r="AJ55" s="357"/>
      <c r="AK55" s="355">
        <v>0</v>
      </c>
      <c r="AL55" s="356"/>
      <c r="AM55" s="233"/>
      <c r="AN55" s="227"/>
      <c r="AO55" s="357"/>
      <c r="AP55" s="355">
        <v>0</v>
      </c>
      <c r="AQ55" s="356"/>
      <c r="AR55" s="233"/>
      <c r="AS55" s="227"/>
      <c r="AT55" s="357"/>
      <c r="AU55" s="355">
        <v>0</v>
      </c>
      <c r="AV55" s="356"/>
      <c r="AW55" s="233"/>
      <c r="AX55" s="227"/>
      <c r="AY55" s="357"/>
      <c r="AZ55" s="355">
        <v>0</v>
      </c>
      <c r="BA55" s="356"/>
      <c r="BB55" s="233"/>
      <c r="BC55" s="227"/>
      <c r="BD55" s="357"/>
      <c r="BE55" s="355">
        <v>0</v>
      </c>
      <c r="BF55" s="356"/>
      <c r="BG55" s="233"/>
      <c r="BH55" s="227"/>
      <c r="BI55" s="357"/>
      <c r="BJ55" s="355">
        <v>0</v>
      </c>
      <c r="BK55" s="356"/>
      <c r="BL55" s="233"/>
      <c r="BM55" s="227"/>
      <c r="BN55" s="357"/>
      <c r="BO55" s="355">
        <v>0</v>
      </c>
      <c r="BP55" s="356"/>
      <c r="BQ55" s="233"/>
      <c r="BR55" s="227"/>
      <c r="BS55" s="357"/>
      <c r="BT55" s="355">
        <f>SUM(L55:BO55)</f>
        <v>0</v>
      </c>
      <c r="BU55" s="356"/>
      <c r="BV55" s="233"/>
      <c r="BW55" s="233"/>
      <c r="BX55" s="254"/>
    </row>
    <row r="56" spans="1:79" hidden="1" x14ac:dyDescent="0.2">
      <c r="A56" s="244"/>
      <c r="B56" s="244"/>
      <c r="C56" s="244"/>
      <c r="D56" s="254"/>
      <c r="E56" s="261"/>
      <c r="F56" s="244"/>
      <c r="G56" s="233"/>
      <c r="H56" s="233"/>
      <c r="I56" s="233"/>
      <c r="J56" s="227"/>
      <c r="K56" s="233"/>
      <c r="L56" s="233"/>
      <c r="M56" s="233"/>
      <c r="N56" s="233"/>
      <c r="O56" s="227"/>
      <c r="P56" s="233"/>
      <c r="Q56" s="233"/>
      <c r="R56" s="233"/>
      <c r="S56" s="233"/>
      <c r="T56" s="227"/>
      <c r="U56" s="233"/>
      <c r="V56" s="233"/>
      <c r="W56" s="233"/>
      <c r="X56" s="233"/>
      <c r="Y56" s="227"/>
      <c r="Z56" s="233"/>
      <c r="AA56" s="233"/>
      <c r="AB56" s="233"/>
      <c r="AC56" s="233"/>
      <c r="AD56" s="227"/>
      <c r="AE56" s="233"/>
      <c r="AF56" s="233"/>
      <c r="AG56" s="233"/>
      <c r="AH56" s="233"/>
      <c r="AI56" s="227"/>
      <c r="AJ56" s="233"/>
      <c r="AK56" s="233"/>
      <c r="AL56" s="233"/>
      <c r="AM56" s="233"/>
      <c r="AN56" s="227"/>
      <c r="AO56" s="233"/>
      <c r="AP56" s="233"/>
      <c r="AQ56" s="233"/>
      <c r="AR56" s="233"/>
      <c r="AS56" s="227"/>
      <c r="AT56" s="233"/>
      <c r="AU56" s="233"/>
      <c r="AV56" s="233"/>
      <c r="AW56" s="233"/>
      <c r="AX56" s="227"/>
      <c r="AY56" s="233"/>
      <c r="AZ56" s="233"/>
      <c r="BA56" s="233"/>
      <c r="BB56" s="233"/>
      <c r="BC56" s="227"/>
      <c r="BD56" s="233"/>
      <c r="BE56" s="233"/>
      <c r="BF56" s="233"/>
      <c r="BG56" s="233"/>
      <c r="BH56" s="227"/>
      <c r="BI56" s="233"/>
      <c r="BJ56" s="233"/>
      <c r="BK56" s="233"/>
      <c r="BL56" s="233"/>
      <c r="BM56" s="227"/>
      <c r="BN56" s="233"/>
      <c r="BO56" s="233"/>
      <c r="BP56" s="233"/>
      <c r="BQ56" s="233"/>
      <c r="BR56" s="227"/>
      <c r="BS56" s="233"/>
      <c r="BT56" s="233"/>
      <c r="BU56" s="233"/>
      <c r="BV56" s="233"/>
      <c r="BW56" s="233"/>
      <c r="BX56" s="254"/>
    </row>
    <row r="57" spans="1:79" hidden="1" x14ac:dyDescent="0.2">
      <c r="A57" s="244"/>
      <c r="B57" s="244"/>
      <c r="C57" s="244"/>
      <c r="D57" s="254" t="s">
        <v>420</v>
      </c>
      <c r="E57" s="261"/>
      <c r="F57" s="244"/>
      <c r="G57" s="233">
        <v>0</v>
      </c>
      <c r="H57" s="233"/>
      <c r="I57" s="233"/>
      <c r="J57" s="227"/>
      <c r="K57" s="233"/>
      <c r="L57" s="233">
        <f>SUM(L58:L61)</f>
        <v>0</v>
      </c>
      <c r="M57" s="233"/>
      <c r="N57" s="233"/>
      <c r="O57" s="227"/>
      <c r="P57" s="233"/>
      <c r="Q57" s="233">
        <f>SUM(Q58:Q61)</f>
        <v>0</v>
      </c>
      <c r="R57" s="233"/>
      <c r="S57" s="233"/>
      <c r="T57" s="227"/>
      <c r="U57" s="233"/>
      <c r="V57" s="233">
        <f>SUM(V58:V61)</f>
        <v>0</v>
      </c>
      <c r="W57" s="233"/>
      <c r="X57" s="233"/>
      <c r="Y57" s="227"/>
      <c r="Z57" s="233"/>
      <c r="AA57" s="233">
        <f>SUM(AA58:AA61)</f>
        <v>0</v>
      </c>
      <c r="AB57" s="233"/>
      <c r="AC57" s="233"/>
      <c r="AD57" s="227"/>
      <c r="AE57" s="233"/>
      <c r="AF57" s="233">
        <f>SUM(AF58:AF61)</f>
        <v>0</v>
      </c>
      <c r="AG57" s="233"/>
      <c r="AH57" s="233"/>
      <c r="AI57" s="227"/>
      <c r="AJ57" s="233"/>
      <c r="AK57" s="233">
        <f>SUM(AK58:AK61)</f>
        <v>0</v>
      </c>
      <c r="AL57" s="233"/>
      <c r="AM57" s="233"/>
      <c r="AN57" s="227"/>
      <c r="AO57" s="233"/>
      <c r="AP57" s="233">
        <f>SUM(AP58:AP61)</f>
        <v>0</v>
      </c>
      <c r="AQ57" s="233"/>
      <c r="AR57" s="233"/>
      <c r="AS57" s="227"/>
      <c r="AT57" s="233"/>
      <c r="AU57" s="233">
        <f>SUM(AU58:AU61)</f>
        <v>0</v>
      </c>
      <c r="AV57" s="233"/>
      <c r="AW57" s="233"/>
      <c r="AX57" s="227"/>
      <c r="AY57" s="233"/>
      <c r="AZ57" s="233">
        <f>SUM(AZ58:AZ61)</f>
        <v>0</v>
      </c>
      <c r="BA57" s="233"/>
      <c r="BB57" s="233"/>
      <c r="BC57" s="227"/>
      <c r="BD57" s="233"/>
      <c r="BE57" s="233">
        <f>SUM(BE58:BE61)</f>
        <v>0</v>
      </c>
      <c r="BF57" s="233"/>
      <c r="BG57" s="233"/>
      <c r="BH57" s="227"/>
      <c r="BI57" s="233"/>
      <c r="BJ57" s="233">
        <f>SUM(BJ58:BJ61)</f>
        <v>0</v>
      </c>
      <c r="BK57" s="233"/>
      <c r="BL57" s="233"/>
      <c r="BM57" s="227"/>
      <c r="BN57" s="233"/>
      <c r="BO57" s="233">
        <f>SUM(BO58:BO61)</f>
        <v>0</v>
      </c>
      <c r="BP57" s="233"/>
      <c r="BQ57" s="233"/>
      <c r="BR57" s="227"/>
      <c r="BS57" s="233"/>
      <c r="BT57" s="233">
        <f>SUM(BT58:BT61)</f>
        <v>0</v>
      </c>
      <c r="BU57" s="233"/>
      <c r="BV57" s="233"/>
      <c r="BW57" s="233"/>
      <c r="BX57" s="254"/>
    </row>
    <row r="58" spans="1:79" hidden="1" x14ac:dyDescent="0.2">
      <c r="A58" s="244"/>
      <c r="B58" s="244"/>
      <c r="C58" s="244"/>
      <c r="D58" s="254" t="s">
        <v>421</v>
      </c>
      <c r="E58" s="261"/>
      <c r="F58" s="345"/>
      <c r="G58" s="343">
        <v>0</v>
      </c>
      <c r="H58" s="344"/>
      <c r="I58" s="233"/>
      <c r="J58" s="227"/>
      <c r="K58" s="345"/>
      <c r="L58" s="343">
        <v>0</v>
      </c>
      <c r="M58" s="344"/>
      <c r="N58" s="233"/>
      <c r="O58" s="227"/>
      <c r="P58" s="345"/>
      <c r="Q58" s="343">
        <v>0</v>
      </c>
      <c r="R58" s="344"/>
      <c r="S58" s="233"/>
      <c r="T58" s="227"/>
      <c r="U58" s="345"/>
      <c r="V58" s="343">
        <v>0</v>
      </c>
      <c r="W58" s="344"/>
      <c r="X58" s="233"/>
      <c r="Y58" s="227"/>
      <c r="Z58" s="345"/>
      <c r="AA58" s="343">
        <v>0</v>
      </c>
      <c r="AB58" s="344"/>
      <c r="AC58" s="233"/>
      <c r="AD58" s="227"/>
      <c r="AE58" s="345"/>
      <c r="AF58" s="343">
        <v>0</v>
      </c>
      <c r="AG58" s="344"/>
      <c r="AH58" s="233"/>
      <c r="AI58" s="227"/>
      <c r="AJ58" s="345"/>
      <c r="AK58" s="343">
        <v>0</v>
      </c>
      <c r="AL58" s="344"/>
      <c r="AM58" s="233"/>
      <c r="AN58" s="227"/>
      <c r="AO58" s="345"/>
      <c r="AP58" s="343">
        <v>0</v>
      </c>
      <c r="AQ58" s="344"/>
      <c r="AR58" s="233"/>
      <c r="AS58" s="227"/>
      <c r="AT58" s="345"/>
      <c r="AU58" s="343">
        <v>0</v>
      </c>
      <c r="AV58" s="344"/>
      <c r="AW58" s="233"/>
      <c r="AX58" s="227"/>
      <c r="AY58" s="345"/>
      <c r="AZ58" s="343">
        <v>0</v>
      </c>
      <c r="BA58" s="344"/>
      <c r="BB58" s="233"/>
      <c r="BC58" s="227"/>
      <c r="BD58" s="345"/>
      <c r="BE58" s="343">
        <v>0</v>
      </c>
      <c r="BF58" s="344"/>
      <c r="BG58" s="233"/>
      <c r="BH58" s="227"/>
      <c r="BI58" s="345"/>
      <c r="BJ58" s="343">
        <v>0</v>
      </c>
      <c r="BK58" s="344"/>
      <c r="BL58" s="233"/>
      <c r="BM58" s="227"/>
      <c r="BN58" s="345"/>
      <c r="BO58" s="343">
        <v>0</v>
      </c>
      <c r="BP58" s="344"/>
      <c r="BQ58" s="233"/>
      <c r="BR58" s="227"/>
      <c r="BS58" s="345"/>
      <c r="BT58" s="343">
        <f>SUM(L58:BO58)</f>
        <v>0</v>
      </c>
      <c r="BU58" s="344"/>
      <c r="BV58" s="233"/>
      <c r="BW58" s="233"/>
      <c r="BX58" s="254"/>
    </row>
    <row r="59" spans="1:79" hidden="1" x14ac:dyDescent="0.2">
      <c r="A59" s="244"/>
      <c r="B59" s="244"/>
      <c r="C59" s="244"/>
      <c r="D59" s="254" t="s">
        <v>422</v>
      </c>
      <c r="E59" s="261"/>
      <c r="F59" s="227"/>
      <c r="G59" s="233">
        <v>0</v>
      </c>
      <c r="H59" s="347"/>
      <c r="I59" s="233"/>
      <c r="J59" s="227"/>
      <c r="K59" s="227"/>
      <c r="L59" s="233">
        <v>0</v>
      </c>
      <c r="M59" s="347"/>
      <c r="N59" s="233"/>
      <c r="O59" s="227"/>
      <c r="P59" s="227"/>
      <c r="Q59" s="233">
        <v>0</v>
      </c>
      <c r="R59" s="347"/>
      <c r="S59" s="233"/>
      <c r="T59" s="227"/>
      <c r="U59" s="227"/>
      <c r="V59" s="233">
        <v>0</v>
      </c>
      <c r="W59" s="347"/>
      <c r="X59" s="233"/>
      <c r="Y59" s="227"/>
      <c r="Z59" s="227"/>
      <c r="AA59" s="233">
        <v>0</v>
      </c>
      <c r="AB59" s="347"/>
      <c r="AC59" s="233"/>
      <c r="AD59" s="227"/>
      <c r="AE59" s="227"/>
      <c r="AF59" s="233">
        <v>0</v>
      </c>
      <c r="AG59" s="347"/>
      <c r="AH59" s="233"/>
      <c r="AI59" s="227"/>
      <c r="AJ59" s="227"/>
      <c r="AK59" s="233">
        <v>0</v>
      </c>
      <c r="AL59" s="347"/>
      <c r="AM59" s="233"/>
      <c r="AN59" s="227"/>
      <c r="AO59" s="227"/>
      <c r="AP59" s="233">
        <v>0</v>
      </c>
      <c r="AQ59" s="347"/>
      <c r="AR59" s="233"/>
      <c r="AS59" s="227"/>
      <c r="AT59" s="227"/>
      <c r="AU59" s="233">
        <v>0</v>
      </c>
      <c r="AV59" s="347"/>
      <c r="AW59" s="233"/>
      <c r="AX59" s="227"/>
      <c r="AY59" s="227"/>
      <c r="AZ59" s="233">
        <v>0</v>
      </c>
      <c r="BA59" s="347"/>
      <c r="BB59" s="233"/>
      <c r="BC59" s="227"/>
      <c r="BD59" s="227"/>
      <c r="BE59" s="233">
        <v>0</v>
      </c>
      <c r="BF59" s="347"/>
      <c r="BG59" s="233"/>
      <c r="BH59" s="227"/>
      <c r="BI59" s="227"/>
      <c r="BJ59" s="233">
        <v>0</v>
      </c>
      <c r="BK59" s="347"/>
      <c r="BL59" s="233"/>
      <c r="BM59" s="227"/>
      <c r="BN59" s="227"/>
      <c r="BO59" s="233">
        <v>0</v>
      </c>
      <c r="BP59" s="347"/>
      <c r="BQ59" s="233"/>
      <c r="BR59" s="227"/>
      <c r="BS59" s="227"/>
      <c r="BT59" s="233">
        <f>SUM(L59:BO59)</f>
        <v>0</v>
      </c>
      <c r="BU59" s="347"/>
      <c r="BV59" s="233"/>
      <c r="BW59" s="233"/>
      <c r="BX59" s="254"/>
    </row>
    <row r="60" spans="1:79" hidden="1" x14ac:dyDescent="0.2">
      <c r="A60" s="244"/>
      <c r="B60" s="244"/>
      <c r="C60" s="244"/>
      <c r="D60" s="254" t="s">
        <v>423</v>
      </c>
      <c r="E60" s="261"/>
      <c r="F60" s="227"/>
      <c r="G60" s="233">
        <v>0</v>
      </c>
      <c r="H60" s="347"/>
      <c r="I60" s="233"/>
      <c r="J60" s="227"/>
      <c r="K60" s="227"/>
      <c r="L60" s="233">
        <v>0</v>
      </c>
      <c r="M60" s="347"/>
      <c r="N60" s="233"/>
      <c r="O60" s="227"/>
      <c r="P60" s="227"/>
      <c r="Q60" s="233">
        <v>0</v>
      </c>
      <c r="R60" s="347"/>
      <c r="S60" s="233"/>
      <c r="T60" s="227"/>
      <c r="U60" s="227"/>
      <c r="V60" s="233">
        <v>0</v>
      </c>
      <c r="W60" s="347"/>
      <c r="X60" s="233"/>
      <c r="Y60" s="227"/>
      <c r="Z60" s="227"/>
      <c r="AA60" s="233">
        <v>0</v>
      </c>
      <c r="AB60" s="347"/>
      <c r="AC60" s="233"/>
      <c r="AD60" s="227"/>
      <c r="AE60" s="227"/>
      <c r="AF60" s="233">
        <v>0</v>
      </c>
      <c r="AG60" s="347"/>
      <c r="AH60" s="233"/>
      <c r="AI60" s="227"/>
      <c r="AJ60" s="227"/>
      <c r="AK60" s="233">
        <v>0</v>
      </c>
      <c r="AL60" s="347"/>
      <c r="AM60" s="233"/>
      <c r="AN60" s="227"/>
      <c r="AO60" s="227"/>
      <c r="AP60" s="233">
        <v>0</v>
      </c>
      <c r="AQ60" s="347"/>
      <c r="AR60" s="233"/>
      <c r="AS60" s="227"/>
      <c r="AT60" s="227"/>
      <c r="AU60" s="233">
        <v>0</v>
      </c>
      <c r="AV60" s="347"/>
      <c r="AW60" s="233"/>
      <c r="AX60" s="227"/>
      <c r="AY60" s="227"/>
      <c r="AZ60" s="233">
        <v>0</v>
      </c>
      <c r="BA60" s="347"/>
      <c r="BB60" s="233"/>
      <c r="BC60" s="227"/>
      <c r="BD60" s="227"/>
      <c r="BE60" s="233">
        <v>0</v>
      </c>
      <c r="BF60" s="347"/>
      <c r="BG60" s="233"/>
      <c r="BH60" s="227"/>
      <c r="BI60" s="227"/>
      <c r="BJ60" s="233">
        <v>0</v>
      </c>
      <c r="BK60" s="347"/>
      <c r="BL60" s="233"/>
      <c r="BM60" s="227"/>
      <c r="BN60" s="227"/>
      <c r="BO60" s="233">
        <v>0</v>
      </c>
      <c r="BP60" s="347"/>
      <c r="BQ60" s="233"/>
      <c r="BR60" s="227"/>
      <c r="BS60" s="227"/>
      <c r="BT60" s="233">
        <f>SUM(L60:BO60)</f>
        <v>0</v>
      </c>
      <c r="BU60" s="347"/>
      <c r="BV60" s="233"/>
      <c r="BW60" s="233"/>
      <c r="BX60" s="254"/>
    </row>
    <row r="61" spans="1:79" hidden="1" x14ac:dyDescent="0.2">
      <c r="A61" s="244"/>
      <c r="B61" s="244"/>
      <c r="C61" s="244"/>
      <c r="D61" s="254" t="s">
        <v>424</v>
      </c>
      <c r="E61" s="261"/>
      <c r="F61" s="357"/>
      <c r="G61" s="355">
        <v>0</v>
      </c>
      <c r="H61" s="356"/>
      <c r="I61" s="233"/>
      <c r="J61" s="227"/>
      <c r="K61" s="357"/>
      <c r="L61" s="355">
        <v>0</v>
      </c>
      <c r="M61" s="356"/>
      <c r="N61" s="233"/>
      <c r="O61" s="227"/>
      <c r="P61" s="357"/>
      <c r="Q61" s="355">
        <v>0</v>
      </c>
      <c r="R61" s="356"/>
      <c r="S61" s="233"/>
      <c r="T61" s="227"/>
      <c r="U61" s="357"/>
      <c r="V61" s="355">
        <v>0</v>
      </c>
      <c r="W61" s="356"/>
      <c r="X61" s="233"/>
      <c r="Y61" s="227"/>
      <c r="Z61" s="357"/>
      <c r="AA61" s="355">
        <v>0</v>
      </c>
      <c r="AB61" s="356"/>
      <c r="AC61" s="233"/>
      <c r="AD61" s="227"/>
      <c r="AE61" s="357"/>
      <c r="AF61" s="355">
        <v>0</v>
      </c>
      <c r="AG61" s="356"/>
      <c r="AH61" s="233"/>
      <c r="AI61" s="227"/>
      <c r="AJ61" s="357"/>
      <c r="AK61" s="355">
        <v>0</v>
      </c>
      <c r="AL61" s="356"/>
      <c r="AM61" s="233"/>
      <c r="AN61" s="227"/>
      <c r="AO61" s="357"/>
      <c r="AP61" s="355">
        <v>0</v>
      </c>
      <c r="AQ61" s="356"/>
      <c r="AR61" s="233"/>
      <c r="AS61" s="227"/>
      <c r="AT61" s="357"/>
      <c r="AU61" s="355">
        <v>0</v>
      </c>
      <c r="AV61" s="356"/>
      <c r="AW61" s="233"/>
      <c r="AX61" s="227"/>
      <c r="AY61" s="357"/>
      <c r="AZ61" s="355">
        <v>0</v>
      </c>
      <c r="BA61" s="356"/>
      <c r="BB61" s="233"/>
      <c r="BC61" s="227"/>
      <c r="BD61" s="357"/>
      <c r="BE61" s="355">
        <v>0</v>
      </c>
      <c r="BF61" s="356"/>
      <c r="BG61" s="233"/>
      <c r="BH61" s="227"/>
      <c r="BI61" s="357"/>
      <c r="BJ61" s="355">
        <v>0</v>
      </c>
      <c r="BK61" s="356"/>
      <c r="BL61" s="233"/>
      <c r="BM61" s="227"/>
      <c r="BN61" s="357"/>
      <c r="BO61" s="355">
        <v>0</v>
      </c>
      <c r="BP61" s="356"/>
      <c r="BQ61" s="233"/>
      <c r="BR61" s="227"/>
      <c r="BS61" s="357"/>
      <c r="BT61" s="355">
        <f>SUM(L61:BO61)</f>
        <v>0</v>
      </c>
      <c r="BU61" s="356"/>
      <c r="BV61" s="233"/>
      <c r="BW61" s="233"/>
      <c r="BX61" s="254"/>
    </row>
    <row r="62" spans="1:79" ht="12.75" hidden="1" customHeight="1" x14ac:dyDescent="0.2">
      <c r="A62" s="244"/>
      <c r="B62" s="244"/>
      <c r="C62" s="244"/>
      <c r="D62" s="254"/>
      <c r="E62" s="261"/>
      <c r="F62" s="244"/>
      <c r="G62" s="233"/>
      <c r="H62" s="233"/>
      <c r="I62" s="233"/>
      <c r="J62" s="227"/>
      <c r="K62" s="233"/>
      <c r="L62" s="233"/>
      <c r="M62" s="233"/>
      <c r="N62" s="233"/>
      <c r="O62" s="227"/>
      <c r="P62" s="233"/>
      <c r="Q62" s="233"/>
      <c r="R62" s="233"/>
      <c r="S62" s="233"/>
      <c r="T62" s="227"/>
      <c r="U62" s="233"/>
      <c r="V62" s="233"/>
      <c r="W62" s="233"/>
      <c r="X62" s="233"/>
      <c r="Y62" s="227"/>
      <c r="Z62" s="233"/>
      <c r="AA62" s="233"/>
      <c r="AB62" s="233"/>
      <c r="AC62" s="233"/>
      <c r="AD62" s="227"/>
      <c r="AE62" s="233"/>
      <c r="AF62" s="233"/>
      <c r="AG62" s="233"/>
      <c r="AH62" s="233"/>
      <c r="AI62" s="227"/>
      <c r="AJ62" s="233"/>
      <c r="AK62" s="233"/>
      <c r="AL62" s="233"/>
      <c r="AM62" s="233"/>
      <c r="AN62" s="227"/>
      <c r="AO62" s="233"/>
      <c r="AP62" s="233"/>
      <c r="AQ62" s="233"/>
      <c r="AR62" s="233"/>
      <c r="AS62" s="227"/>
      <c r="AT62" s="233"/>
      <c r="AU62" s="233"/>
      <c r="AV62" s="233"/>
      <c r="AW62" s="233"/>
      <c r="AX62" s="227"/>
      <c r="AY62" s="233"/>
      <c r="AZ62" s="233"/>
      <c r="BA62" s="233"/>
      <c r="BB62" s="233"/>
      <c r="BC62" s="227"/>
      <c r="BD62" s="233"/>
      <c r="BE62" s="233"/>
      <c r="BF62" s="233"/>
      <c r="BG62" s="233"/>
      <c r="BH62" s="227"/>
      <c r="BI62" s="233"/>
      <c r="BJ62" s="233"/>
      <c r="BK62" s="233"/>
      <c r="BL62" s="233"/>
      <c r="BM62" s="227"/>
      <c r="BN62" s="233"/>
      <c r="BO62" s="233"/>
      <c r="BP62" s="233"/>
      <c r="BQ62" s="233"/>
      <c r="BR62" s="227"/>
      <c r="BS62" s="233"/>
      <c r="BT62" s="233"/>
      <c r="BU62" s="233"/>
      <c r="BV62" s="233"/>
      <c r="BW62" s="233"/>
      <c r="BX62" s="254"/>
    </row>
    <row r="63" spans="1:79" s="268" customFormat="1" ht="12.75" hidden="1" customHeight="1" x14ac:dyDescent="0.2">
      <c r="A63" s="245"/>
      <c r="B63" s="245"/>
      <c r="C63" s="245"/>
      <c r="D63" s="262" t="s">
        <v>425</v>
      </c>
      <c r="E63" s="264"/>
      <c r="F63" s="245"/>
      <c r="G63" s="340">
        <f>SUM(G64:G66)</f>
        <v>0</v>
      </c>
      <c r="H63" s="340"/>
      <c r="I63" s="340"/>
      <c r="J63" s="341"/>
      <c r="K63" s="340"/>
      <c r="L63" s="340">
        <f>SUM(L64:L66)</f>
        <v>0</v>
      </c>
      <c r="M63" s="340"/>
      <c r="N63" s="340"/>
      <c r="O63" s="341"/>
      <c r="P63" s="340"/>
      <c r="Q63" s="340">
        <f>SUM(Q64:Q66)</f>
        <v>0</v>
      </c>
      <c r="R63" s="340"/>
      <c r="S63" s="340"/>
      <c r="T63" s="341"/>
      <c r="U63" s="340"/>
      <c r="V63" s="340">
        <f>SUM(V64:V66)</f>
        <v>0</v>
      </c>
      <c r="W63" s="340"/>
      <c r="X63" s="340"/>
      <c r="Y63" s="341"/>
      <c r="Z63" s="340"/>
      <c r="AA63" s="340">
        <f>SUM(AA64:AA66)</f>
        <v>0</v>
      </c>
      <c r="AB63" s="340"/>
      <c r="AC63" s="340"/>
      <c r="AD63" s="341"/>
      <c r="AE63" s="340"/>
      <c r="AF63" s="340">
        <f>SUM(AF64:AF66)</f>
        <v>0</v>
      </c>
      <c r="AG63" s="340"/>
      <c r="AH63" s="340"/>
      <c r="AI63" s="341"/>
      <c r="AJ63" s="340"/>
      <c r="AK63" s="340">
        <f>SUM(AK64:AK66)</f>
        <v>0</v>
      </c>
      <c r="AL63" s="340"/>
      <c r="AM63" s="340"/>
      <c r="AN63" s="341"/>
      <c r="AO63" s="340"/>
      <c r="AP63" s="340">
        <f>SUM(AP64:AP66)</f>
        <v>0</v>
      </c>
      <c r="AQ63" s="340"/>
      <c r="AR63" s="340"/>
      <c r="AS63" s="341"/>
      <c r="AT63" s="340"/>
      <c r="AU63" s="340">
        <f>SUM(AU64:AU66)</f>
        <v>0</v>
      </c>
      <c r="AV63" s="340"/>
      <c r="AW63" s="340"/>
      <c r="AX63" s="341"/>
      <c r="AY63" s="340"/>
      <c r="AZ63" s="340">
        <f>SUM(AZ64:AZ66)</f>
        <v>0</v>
      </c>
      <c r="BA63" s="340"/>
      <c r="BB63" s="340"/>
      <c r="BC63" s="341"/>
      <c r="BD63" s="340"/>
      <c r="BE63" s="340">
        <f>SUM(BE64:BE66)</f>
        <v>0</v>
      </c>
      <c r="BF63" s="340"/>
      <c r="BG63" s="340"/>
      <c r="BH63" s="341"/>
      <c r="BI63" s="340"/>
      <c r="BJ63" s="340">
        <f>SUM(BJ64:BJ66)</f>
        <v>0</v>
      </c>
      <c r="BK63" s="340"/>
      <c r="BL63" s="340"/>
      <c r="BM63" s="341"/>
      <c r="BN63" s="340"/>
      <c r="BO63" s="340">
        <f>SUM(BO64:BO66)</f>
        <v>0</v>
      </c>
      <c r="BP63" s="340"/>
      <c r="BQ63" s="340"/>
      <c r="BR63" s="341"/>
      <c r="BS63" s="340"/>
      <c r="BT63" s="340">
        <f>SUM(BT64:BT66)</f>
        <v>0</v>
      </c>
      <c r="BU63" s="340"/>
      <c r="BV63" s="340"/>
      <c r="BW63" s="340"/>
      <c r="BX63" s="262"/>
      <c r="BZ63" s="243"/>
      <c r="CA63" s="243"/>
    </row>
    <row r="64" spans="1:79" ht="12.75" hidden="1" customHeight="1" x14ac:dyDescent="0.2">
      <c r="A64" s="244"/>
      <c r="B64" s="244"/>
      <c r="C64" s="244"/>
      <c r="D64" s="254" t="s">
        <v>310</v>
      </c>
      <c r="E64" s="261"/>
      <c r="F64" s="269"/>
      <c r="G64" s="343">
        <v>0</v>
      </c>
      <c r="H64" s="344"/>
      <c r="I64" s="233"/>
      <c r="J64" s="227"/>
      <c r="K64" s="345"/>
      <c r="L64" s="343">
        <f>L69</f>
        <v>0</v>
      </c>
      <c r="M64" s="344"/>
      <c r="N64" s="233"/>
      <c r="O64" s="227"/>
      <c r="P64" s="345"/>
      <c r="Q64" s="343">
        <f>Q69</f>
        <v>0</v>
      </c>
      <c r="R64" s="344"/>
      <c r="S64" s="233"/>
      <c r="T64" s="227"/>
      <c r="U64" s="345"/>
      <c r="V64" s="343">
        <f>V69</f>
        <v>0</v>
      </c>
      <c r="W64" s="344"/>
      <c r="X64" s="233"/>
      <c r="Y64" s="227"/>
      <c r="Z64" s="345"/>
      <c r="AA64" s="343">
        <f>AA69</f>
        <v>0</v>
      </c>
      <c r="AB64" s="344"/>
      <c r="AC64" s="233"/>
      <c r="AD64" s="227"/>
      <c r="AE64" s="345"/>
      <c r="AF64" s="343">
        <f>AF69</f>
        <v>0</v>
      </c>
      <c r="AG64" s="344"/>
      <c r="AH64" s="233"/>
      <c r="AI64" s="227"/>
      <c r="AJ64" s="345"/>
      <c r="AK64" s="343">
        <f>AK69</f>
        <v>0</v>
      </c>
      <c r="AL64" s="344"/>
      <c r="AM64" s="233"/>
      <c r="AN64" s="227"/>
      <c r="AO64" s="345"/>
      <c r="AP64" s="343">
        <f>AP69</f>
        <v>0</v>
      </c>
      <c r="AQ64" s="344"/>
      <c r="AR64" s="233"/>
      <c r="AS64" s="227"/>
      <c r="AT64" s="345"/>
      <c r="AU64" s="343">
        <f>AU69</f>
        <v>0</v>
      </c>
      <c r="AV64" s="344"/>
      <c r="AW64" s="233"/>
      <c r="AX64" s="227"/>
      <c r="AY64" s="345"/>
      <c r="AZ64" s="343">
        <f>AZ69</f>
        <v>0</v>
      </c>
      <c r="BA64" s="344"/>
      <c r="BB64" s="233"/>
      <c r="BC64" s="227"/>
      <c r="BD64" s="345"/>
      <c r="BE64" s="343">
        <f>BE69</f>
        <v>0</v>
      </c>
      <c r="BF64" s="344"/>
      <c r="BG64" s="233"/>
      <c r="BH64" s="227"/>
      <c r="BI64" s="345"/>
      <c r="BJ64" s="343">
        <f>BJ69</f>
        <v>0</v>
      </c>
      <c r="BK64" s="344"/>
      <c r="BL64" s="233"/>
      <c r="BM64" s="227"/>
      <c r="BN64" s="345"/>
      <c r="BO64" s="343">
        <f>BO69</f>
        <v>0</v>
      </c>
      <c r="BP64" s="344"/>
      <c r="BQ64" s="233"/>
      <c r="BR64" s="227"/>
      <c r="BS64" s="345"/>
      <c r="BT64" s="343">
        <f>BT69</f>
        <v>0</v>
      </c>
      <c r="BU64" s="344"/>
      <c r="BV64" s="233"/>
      <c r="BW64" s="233"/>
      <c r="BX64" s="254"/>
    </row>
    <row r="65" spans="1:79" ht="12.75" hidden="1" customHeight="1" x14ac:dyDescent="0.2">
      <c r="A65" s="244"/>
      <c r="B65" s="244"/>
      <c r="C65" s="244"/>
      <c r="D65" s="254" t="s">
        <v>312</v>
      </c>
      <c r="E65" s="261"/>
      <c r="F65" s="261"/>
      <c r="G65" s="233">
        <v>0</v>
      </c>
      <c r="H65" s="347"/>
      <c r="I65" s="233"/>
      <c r="J65" s="227"/>
      <c r="K65" s="227"/>
      <c r="L65" s="233">
        <f>L70</f>
        <v>0</v>
      </c>
      <c r="M65" s="347"/>
      <c r="N65" s="233"/>
      <c r="O65" s="227"/>
      <c r="P65" s="227"/>
      <c r="Q65" s="233">
        <f>Q70</f>
        <v>0</v>
      </c>
      <c r="R65" s="347"/>
      <c r="S65" s="233"/>
      <c r="T65" s="227"/>
      <c r="U65" s="227"/>
      <c r="V65" s="233">
        <f>V70</f>
        <v>0</v>
      </c>
      <c r="W65" s="347"/>
      <c r="X65" s="233"/>
      <c r="Y65" s="227"/>
      <c r="Z65" s="227"/>
      <c r="AA65" s="233">
        <f>AA70</f>
        <v>0</v>
      </c>
      <c r="AB65" s="347"/>
      <c r="AC65" s="233"/>
      <c r="AD65" s="227"/>
      <c r="AE65" s="227"/>
      <c r="AF65" s="233">
        <f>AF70</f>
        <v>0</v>
      </c>
      <c r="AG65" s="347"/>
      <c r="AH65" s="233"/>
      <c r="AI65" s="227"/>
      <c r="AJ65" s="227"/>
      <c r="AK65" s="233">
        <f>AK70</f>
        <v>0</v>
      </c>
      <c r="AL65" s="347"/>
      <c r="AM65" s="233"/>
      <c r="AN65" s="227"/>
      <c r="AO65" s="227"/>
      <c r="AP65" s="233">
        <f>AP70</f>
        <v>0</v>
      </c>
      <c r="AQ65" s="347"/>
      <c r="AR65" s="233"/>
      <c r="AS65" s="227"/>
      <c r="AT65" s="227"/>
      <c r="AU65" s="233">
        <f>AU70</f>
        <v>0</v>
      </c>
      <c r="AV65" s="347"/>
      <c r="AW65" s="233"/>
      <c r="AX65" s="227"/>
      <c r="AY65" s="227"/>
      <c r="AZ65" s="233">
        <f>AZ70</f>
        <v>0</v>
      </c>
      <c r="BA65" s="347"/>
      <c r="BB65" s="233"/>
      <c r="BC65" s="227"/>
      <c r="BD65" s="227"/>
      <c r="BE65" s="233">
        <f>BE70</f>
        <v>0</v>
      </c>
      <c r="BF65" s="347"/>
      <c r="BG65" s="233"/>
      <c r="BH65" s="227"/>
      <c r="BI65" s="227"/>
      <c r="BJ65" s="233">
        <f>BJ70</f>
        <v>0</v>
      </c>
      <c r="BK65" s="347"/>
      <c r="BL65" s="233"/>
      <c r="BM65" s="227"/>
      <c r="BN65" s="227"/>
      <c r="BO65" s="233">
        <f>BO70</f>
        <v>0</v>
      </c>
      <c r="BP65" s="347"/>
      <c r="BQ65" s="233"/>
      <c r="BR65" s="227"/>
      <c r="BS65" s="227"/>
      <c r="BT65" s="233">
        <f>BT70</f>
        <v>0</v>
      </c>
      <c r="BU65" s="347"/>
      <c r="BV65" s="233"/>
      <c r="BW65" s="233"/>
      <c r="BX65" s="254"/>
    </row>
    <row r="66" spans="1:79" ht="12.75" hidden="1" customHeight="1" x14ac:dyDescent="0.2">
      <c r="A66" s="244"/>
      <c r="B66" s="244"/>
      <c r="C66" s="244"/>
      <c r="D66" s="254" t="s">
        <v>320</v>
      </c>
      <c r="E66" s="261"/>
      <c r="F66" s="284"/>
      <c r="G66" s="355">
        <v>0</v>
      </c>
      <c r="H66" s="356"/>
      <c r="I66" s="233"/>
      <c r="J66" s="227"/>
      <c r="K66" s="357"/>
      <c r="L66" s="355">
        <f>L71</f>
        <v>0</v>
      </c>
      <c r="M66" s="356"/>
      <c r="N66" s="233"/>
      <c r="O66" s="227"/>
      <c r="P66" s="357"/>
      <c r="Q66" s="355">
        <f>Q71</f>
        <v>0</v>
      </c>
      <c r="R66" s="356"/>
      <c r="S66" s="233"/>
      <c r="T66" s="227"/>
      <c r="U66" s="357"/>
      <c r="V66" s="355">
        <f>V71</f>
        <v>0</v>
      </c>
      <c r="W66" s="356"/>
      <c r="X66" s="233"/>
      <c r="Y66" s="227"/>
      <c r="Z66" s="357"/>
      <c r="AA66" s="355">
        <f>AA71</f>
        <v>0</v>
      </c>
      <c r="AB66" s="356"/>
      <c r="AC66" s="233"/>
      <c r="AD66" s="227"/>
      <c r="AE66" s="357"/>
      <c r="AF66" s="355">
        <f>AF71</f>
        <v>0</v>
      </c>
      <c r="AG66" s="356"/>
      <c r="AH66" s="233"/>
      <c r="AI66" s="227"/>
      <c r="AJ66" s="357"/>
      <c r="AK66" s="355">
        <f>AK71</f>
        <v>0</v>
      </c>
      <c r="AL66" s="356"/>
      <c r="AM66" s="233"/>
      <c r="AN66" s="227"/>
      <c r="AO66" s="357"/>
      <c r="AP66" s="355">
        <f>AP71</f>
        <v>0</v>
      </c>
      <c r="AQ66" s="356"/>
      <c r="AR66" s="233"/>
      <c r="AS66" s="227"/>
      <c r="AT66" s="357"/>
      <c r="AU66" s="355">
        <f>AU71</f>
        <v>0</v>
      </c>
      <c r="AV66" s="356"/>
      <c r="AW66" s="233"/>
      <c r="AX66" s="227"/>
      <c r="AY66" s="357"/>
      <c r="AZ66" s="355">
        <f>AZ71</f>
        <v>0</v>
      </c>
      <c r="BA66" s="356"/>
      <c r="BB66" s="233"/>
      <c r="BC66" s="227"/>
      <c r="BD66" s="357"/>
      <c r="BE66" s="355">
        <f>BE71</f>
        <v>0</v>
      </c>
      <c r="BF66" s="356"/>
      <c r="BG66" s="233"/>
      <c r="BH66" s="227"/>
      <c r="BI66" s="357"/>
      <c r="BJ66" s="355">
        <f>BJ71</f>
        <v>0</v>
      </c>
      <c r="BK66" s="356"/>
      <c r="BL66" s="233"/>
      <c r="BM66" s="227"/>
      <c r="BN66" s="357"/>
      <c r="BO66" s="355">
        <f>BO71</f>
        <v>0</v>
      </c>
      <c r="BP66" s="356"/>
      <c r="BQ66" s="233"/>
      <c r="BR66" s="227"/>
      <c r="BS66" s="357"/>
      <c r="BT66" s="355">
        <f>BT71</f>
        <v>0</v>
      </c>
      <c r="BU66" s="356"/>
      <c r="BV66" s="233"/>
      <c r="BW66" s="233"/>
      <c r="BX66" s="254"/>
    </row>
    <row r="67" spans="1:79" ht="12.75" hidden="1" customHeight="1" x14ac:dyDescent="0.2">
      <c r="A67" s="244"/>
      <c r="B67" s="244"/>
      <c r="C67" s="244"/>
      <c r="D67" s="254"/>
      <c r="E67" s="261"/>
      <c r="F67" s="244"/>
      <c r="G67" s="233"/>
      <c r="H67" s="233"/>
      <c r="I67" s="233"/>
      <c r="J67" s="227"/>
      <c r="K67" s="233"/>
      <c r="L67" s="233"/>
      <c r="M67" s="233"/>
      <c r="N67" s="233"/>
      <c r="O67" s="227"/>
      <c r="P67" s="233"/>
      <c r="Q67" s="233"/>
      <c r="R67" s="233"/>
      <c r="S67" s="233"/>
      <c r="T67" s="227"/>
      <c r="U67" s="233"/>
      <c r="V67" s="233"/>
      <c r="W67" s="233"/>
      <c r="X67" s="233"/>
      <c r="Y67" s="227"/>
      <c r="Z67" s="233"/>
      <c r="AA67" s="233"/>
      <c r="AB67" s="233"/>
      <c r="AC67" s="233"/>
      <c r="AD67" s="227"/>
      <c r="AE67" s="233"/>
      <c r="AF67" s="233"/>
      <c r="AG67" s="233"/>
      <c r="AH67" s="233"/>
      <c r="AI67" s="227"/>
      <c r="AJ67" s="233"/>
      <c r="AK67" s="233"/>
      <c r="AL67" s="233"/>
      <c r="AM67" s="233"/>
      <c r="AN67" s="227"/>
      <c r="AO67" s="233"/>
      <c r="AP67" s="233"/>
      <c r="AQ67" s="233"/>
      <c r="AR67" s="233"/>
      <c r="AS67" s="227"/>
      <c r="AT67" s="233"/>
      <c r="AU67" s="233"/>
      <c r="AV67" s="233"/>
      <c r="AW67" s="233"/>
      <c r="AX67" s="227"/>
      <c r="AY67" s="233"/>
      <c r="AZ67" s="233"/>
      <c r="BA67" s="233"/>
      <c r="BB67" s="233"/>
      <c r="BC67" s="227"/>
      <c r="BD67" s="233"/>
      <c r="BE67" s="233"/>
      <c r="BF67" s="233"/>
      <c r="BG67" s="233"/>
      <c r="BH67" s="227"/>
      <c r="BI67" s="233"/>
      <c r="BJ67" s="233"/>
      <c r="BK67" s="233"/>
      <c r="BL67" s="233"/>
      <c r="BM67" s="227"/>
      <c r="BN67" s="233"/>
      <c r="BO67" s="233"/>
      <c r="BP67" s="233"/>
      <c r="BQ67" s="233"/>
      <c r="BR67" s="227"/>
      <c r="BS67" s="233"/>
      <c r="BT67" s="233"/>
      <c r="BU67" s="233"/>
      <c r="BV67" s="233"/>
      <c r="BW67" s="233"/>
      <c r="BX67" s="254"/>
    </row>
    <row r="68" spans="1:79" ht="12.75" hidden="1" customHeight="1" x14ac:dyDescent="0.2">
      <c r="A68" s="244"/>
      <c r="B68" s="244"/>
      <c r="C68" s="244"/>
      <c r="D68" s="254" t="s">
        <v>426</v>
      </c>
      <c r="E68" s="261"/>
      <c r="F68" s="244"/>
      <c r="G68" s="233">
        <v>0</v>
      </c>
      <c r="H68" s="233"/>
      <c r="I68" s="233"/>
      <c r="J68" s="227"/>
      <c r="K68" s="233"/>
      <c r="L68" s="233">
        <f>SUM(L69:L71)</f>
        <v>0</v>
      </c>
      <c r="M68" s="233"/>
      <c r="N68" s="233"/>
      <c r="O68" s="227"/>
      <c r="P68" s="233"/>
      <c r="Q68" s="233">
        <f>SUM(Q69:Q71)</f>
        <v>0</v>
      </c>
      <c r="R68" s="233"/>
      <c r="S68" s="233"/>
      <c r="T68" s="227"/>
      <c r="U68" s="233"/>
      <c r="V68" s="233">
        <f>SUM(V69:V71)</f>
        <v>0</v>
      </c>
      <c r="W68" s="233"/>
      <c r="X68" s="233"/>
      <c r="Y68" s="227"/>
      <c r="Z68" s="233"/>
      <c r="AA68" s="233">
        <f>SUM(AA69:AA71)</f>
        <v>0</v>
      </c>
      <c r="AB68" s="233"/>
      <c r="AC68" s="233"/>
      <c r="AD68" s="227"/>
      <c r="AE68" s="233"/>
      <c r="AF68" s="233">
        <f>SUM(AF69:AF71)</f>
        <v>0</v>
      </c>
      <c r="AG68" s="233"/>
      <c r="AH68" s="233"/>
      <c r="AI68" s="227"/>
      <c r="AJ68" s="233"/>
      <c r="AK68" s="233">
        <f>SUM(AK69:AK71)</f>
        <v>0</v>
      </c>
      <c r="AL68" s="233"/>
      <c r="AM68" s="233"/>
      <c r="AN68" s="227"/>
      <c r="AO68" s="233"/>
      <c r="AP68" s="233">
        <f>SUM(AP69:AP71)</f>
        <v>0</v>
      </c>
      <c r="AQ68" s="233"/>
      <c r="AR68" s="233"/>
      <c r="AS68" s="227"/>
      <c r="AT68" s="233"/>
      <c r="AU68" s="233">
        <f>SUM(AU69:AU71)</f>
        <v>0</v>
      </c>
      <c r="AV68" s="233"/>
      <c r="AW68" s="233"/>
      <c r="AX68" s="227"/>
      <c r="AY68" s="233"/>
      <c r="AZ68" s="233">
        <f>SUM(AZ69:AZ71)</f>
        <v>0</v>
      </c>
      <c r="BA68" s="233"/>
      <c r="BB68" s="233"/>
      <c r="BC68" s="227"/>
      <c r="BD68" s="233"/>
      <c r="BE68" s="233">
        <f>SUM(BE69:BE71)</f>
        <v>0</v>
      </c>
      <c r="BF68" s="233"/>
      <c r="BG68" s="233"/>
      <c r="BH68" s="227"/>
      <c r="BI68" s="233"/>
      <c r="BJ68" s="233">
        <f>SUM(BJ69:BJ71)</f>
        <v>0</v>
      </c>
      <c r="BK68" s="233"/>
      <c r="BL68" s="233"/>
      <c r="BM68" s="227"/>
      <c r="BN68" s="233"/>
      <c r="BO68" s="233">
        <f>SUM(BO69:BO71)</f>
        <v>0</v>
      </c>
      <c r="BP68" s="233"/>
      <c r="BQ68" s="233"/>
      <c r="BR68" s="227"/>
      <c r="BS68" s="233"/>
      <c r="BT68" s="233">
        <f>SUM(BT69:BT71)</f>
        <v>0</v>
      </c>
      <c r="BU68" s="233"/>
      <c r="BV68" s="233"/>
      <c r="BW68" s="233"/>
      <c r="BX68" s="254"/>
    </row>
    <row r="69" spans="1:79" ht="12.75" hidden="1" customHeight="1" x14ac:dyDescent="0.2">
      <c r="A69" s="244"/>
      <c r="B69" s="244"/>
      <c r="C69" s="244"/>
      <c r="D69" s="254" t="s">
        <v>310</v>
      </c>
      <c r="E69" s="261"/>
      <c r="F69" s="269"/>
      <c r="G69" s="343">
        <v>0</v>
      </c>
      <c r="H69" s="344"/>
      <c r="I69" s="233"/>
      <c r="J69" s="227"/>
      <c r="K69" s="345"/>
      <c r="L69" s="343">
        <v>0</v>
      </c>
      <c r="M69" s="344"/>
      <c r="N69" s="233"/>
      <c r="O69" s="227"/>
      <c r="P69" s="345"/>
      <c r="Q69" s="343">
        <v>0</v>
      </c>
      <c r="R69" s="344"/>
      <c r="S69" s="233"/>
      <c r="T69" s="227"/>
      <c r="U69" s="345"/>
      <c r="V69" s="343">
        <v>0</v>
      </c>
      <c r="W69" s="344"/>
      <c r="X69" s="233"/>
      <c r="Y69" s="227"/>
      <c r="Z69" s="345"/>
      <c r="AA69" s="343">
        <v>0</v>
      </c>
      <c r="AB69" s="344"/>
      <c r="AC69" s="233"/>
      <c r="AD69" s="227"/>
      <c r="AE69" s="345"/>
      <c r="AF69" s="343">
        <v>0</v>
      </c>
      <c r="AG69" s="344"/>
      <c r="AH69" s="233"/>
      <c r="AI69" s="227"/>
      <c r="AJ69" s="345"/>
      <c r="AK69" s="343">
        <v>0</v>
      </c>
      <c r="AL69" s="344"/>
      <c r="AM69" s="233"/>
      <c r="AN69" s="227"/>
      <c r="AO69" s="345"/>
      <c r="AP69" s="343">
        <v>0</v>
      </c>
      <c r="AQ69" s="344"/>
      <c r="AR69" s="233"/>
      <c r="AS69" s="227"/>
      <c r="AT69" s="345"/>
      <c r="AU69" s="343">
        <v>0</v>
      </c>
      <c r="AV69" s="344"/>
      <c r="AW69" s="233"/>
      <c r="AX69" s="227"/>
      <c r="AY69" s="345"/>
      <c r="AZ69" s="343">
        <v>0</v>
      </c>
      <c r="BA69" s="344"/>
      <c r="BB69" s="233"/>
      <c r="BC69" s="227"/>
      <c r="BD69" s="345"/>
      <c r="BE69" s="343">
        <v>0</v>
      </c>
      <c r="BF69" s="344"/>
      <c r="BG69" s="233"/>
      <c r="BH69" s="227"/>
      <c r="BI69" s="345"/>
      <c r="BJ69" s="343">
        <v>0</v>
      </c>
      <c r="BK69" s="344"/>
      <c r="BL69" s="233"/>
      <c r="BM69" s="227"/>
      <c r="BN69" s="345"/>
      <c r="BO69" s="343">
        <v>0</v>
      </c>
      <c r="BP69" s="344"/>
      <c r="BQ69" s="233"/>
      <c r="BR69" s="227"/>
      <c r="BS69" s="345"/>
      <c r="BT69" s="343">
        <f>SUM(L69:BO69)</f>
        <v>0</v>
      </c>
      <c r="BU69" s="344"/>
      <c r="BV69" s="233"/>
      <c r="BW69" s="233"/>
      <c r="BX69" s="254"/>
    </row>
    <row r="70" spans="1:79" ht="12.75" hidden="1" customHeight="1" x14ac:dyDescent="0.2">
      <c r="A70" s="244"/>
      <c r="B70" s="244"/>
      <c r="C70" s="244"/>
      <c r="D70" s="254" t="s">
        <v>312</v>
      </c>
      <c r="E70" s="261"/>
      <c r="F70" s="261"/>
      <c r="G70" s="233">
        <v>0</v>
      </c>
      <c r="H70" s="347"/>
      <c r="I70" s="233"/>
      <c r="J70" s="227"/>
      <c r="K70" s="227"/>
      <c r="L70" s="233">
        <v>0</v>
      </c>
      <c r="M70" s="347"/>
      <c r="N70" s="233"/>
      <c r="O70" s="227"/>
      <c r="P70" s="227"/>
      <c r="Q70" s="233">
        <v>0</v>
      </c>
      <c r="R70" s="347"/>
      <c r="S70" s="233"/>
      <c r="T70" s="227"/>
      <c r="U70" s="227"/>
      <c r="V70" s="233">
        <v>0</v>
      </c>
      <c r="W70" s="347"/>
      <c r="X70" s="233"/>
      <c r="Y70" s="227"/>
      <c r="Z70" s="227"/>
      <c r="AA70" s="233">
        <v>0</v>
      </c>
      <c r="AB70" s="347"/>
      <c r="AC70" s="233"/>
      <c r="AD70" s="227"/>
      <c r="AE70" s="227"/>
      <c r="AF70" s="233">
        <v>0</v>
      </c>
      <c r="AG70" s="347"/>
      <c r="AH70" s="233"/>
      <c r="AI70" s="227"/>
      <c r="AJ70" s="227"/>
      <c r="AK70" s="233">
        <v>0</v>
      </c>
      <c r="AL70" s="347"/>
      <c r="AM70" s="233"/>
      <c r="AN70" s="227"/>
      <c r="AO70" s="227"/>
      <c r="AP70" s="233">
        <v>0</v>
      </c>
      <c r="AQ70" s="347"/>
      <c r="AR70" s="233"/>
      <c r="AS70" s="227"/>
      <c r="AT70" s="227"/>
      <c r="AU70" s="233">
        <v>0</v>
      </c>
      <c r="AV70" s="347"/>
      <c r="AW70" s="233"/>
      <c r="AX70" s="227"/>
      <c r="AY70" s="227"/>
      <c r="AZ70" s="233">
        <v>0</v>
      </c>
      <c r="BA70" s="347"/>
      <c r="BB70" s="233"/>
      <c r="BC70" s="227"/>
      <c r="BD70" s="227"/>
      <c r="BE70" s="233">
        <v>0</v>
      </c>
      <c r="BF70" s="347"/>
      <c r="BG70" s="233"/>
      <c r="BH70" s="227"/>
      <c r="BI70" s="227"/>
      <c r="BJ70" s="233">
        <v>0</v>
      </c>
      <c r="BK70" s="347"/>
      <c r="BL70" s="233"/>
      <c r="BM70" s="227"/>
      <c r="BN70" s="227"/>
      <c r="BO70" s="233">
        <v>0</v>
      </c>
      <c r="BP70" s="347"/>
      <c r="BQ70" s="233"/>
      <c r="BR70" s="227"/>
      <c r="BS70" s="227"/>
      <c r="BT70" s="233">
        <f>SUM(L70:BO70)</f>
        <v>0</v>
      </c>
      <c r="BU70" s="347"/>
      <c r="BV70" s="233"/>
      <c r="BW70" s="233"/>
      <c r="BX70" s="254"/>
    </row>
    <row r="71" spans="1:79" ht="12.75" hidden="1" customHeight="1" x14ac:dyDescent="0.2">
      <c r="A71" s="244"/>
      <c r="B71" s="244"/>
      <c r="C71" s="244"/>
      <c r="D71" s="254" t="s">
        <v>320</v>
      </c>
      <c r="E71" s="261"/>
      <c r="F71" s="284"/>
      <c r="G71" s="355">
        <v>0</v>
      </c>
      <c r="H71" s="356"/>
      <c r="I71" s="233"/>
      <c r="J71" s="227"/>
      <c r="K71" s="357"/>
      <c r="L71" s="355">
        <v>0</v>
      </c>
      <c r="M71" s="356"/>
      <c r="N71" s="233"/>
      <c r="O71" s="227"/>
      <c r="P71" s="357"/>
      <c r="Q71" s="355">
        <v>0</v>
      </c>
      <c r="R71" s="356"/>
      <c r="S71" s="233"/>
      <c r="T71" s="227"/>
      <c r="U71" s="357"/>
      <c r="V71" s="355">
        <v>0</v>
      </c>
      <c r="W71" s="356"/>
      <c r="X71" s="233"/>
      <c r="Y71" s="227"/>
      <c r="Z71" s="357"/>
      <c r="AA71" s="355">
        <v>0</v>
      </c>
      <c r="AB71" s="356"/>
      <c r="AC71" s="233"/>
      <c r="AD71" s="227"/>
      <c r="AE71" s="357"/>
      <c r="AF71" s="355">
        <v>0</v>
      </c>
      <c r="AG71" s="356"/>
      <c r="AH71" s="233"/>
      <c r="AI71" s="227"/>
      <c r="AJ71" s="357"/>
      <c r="AK71" s="355">
        <v>0</v>
      </c>
      <c r="AL71" s="356"/>
      <c r="AM71" s="233"/>
      <c r="AN71" s="227"/>
      <c r="AO71" s="357"/>
      <c r="AP71" s="355">
        <v>0</v>
      </c>
      <c r="AQ71" s="356"/>
      <c r="AR71" s="233"/>
      <c r="AS71" s="227"/>
      <c r="AT71" s="357"/>
      <c r="AU71" s="355">
        <v>0</v>
      </c>
      <c r="AV71" s="356"/>
      <c r="AW71" s="233"/>
      <c r="AX71" s="227"/>
      <c r="AY71" s="357"/>
      <c r="AZ71" s="355">
        <v>0</v>
      </c>
      <c r="BA71" s="356"/>
      <c r="BB71" s="233"/>
      <c r="BC71" s="227"/>
      <c r="BD71" s="357"/>
      <c r="BE71" s="355">
        <v>0</v>
      </c>
      <c r="BF71" s="356"/>
      <c r="BG71" s="233"/>
      <c r="BH71" s="227"/>
      <c r="BI71" s="357"/>
      <c r="BJ71" s="355">
        <v>0</v>
      </c>
      <c r="BK71" s="356"/>
      <c r="BL71" s="233"/>
      <c r="BM71" s="227"/>
      <c r="BN71" s="357"/>
      <c r="BO71" s="355">
        <v>0</v>
      </c>
      <c r="BP71" s="356"/>
      <c r="BQ71" s="233"/>
      <c r="BR71" s="227"/>
      <c r="BS71" s="357"/>
      <c r="BT71" s="355">
        <f>SUM(L71:BO71)</f>
        <v>0</v>
      </c>
      <c r="BU71" s="356"/>
      <c r="BV71" s="233"/>
      <c r="BW71" s="233"/>
      <c r="BX71" s="254"/>
    </row>
    <row r="72" spans="1:79" ht="12.75" hidden="1" customHeight="1" x14ac:dyDescent="0.2">
      <c r="A72" s="244"/>
      <c r="B72" s="244"/>
      <c r="C72" s="244"/>
      <c r="D72" s="254"/>
      <c r="E72" s="261"/>
      <c r="F72" s="244"/>
      <c r="G72" s="233"/>
      <c r="H72" s="233"/>
      <c r="I72" s="233"/>
      <c r="J72" s="227"/>
      <c r="K72" s="233"/>
      <c r="L72" s="233"/>
      <c r="M72" s="233"/>
      <c r="N72" s="233"/>
      <c r="O72" s="227"/>
      <c r="P72" s="233"/>
      <c r="Q72" s="233"/>
      <c r="R72" s="233"/>
      <c r="S72" s="233"/>
      <c r="T72" s="227"/>
      <c r="U72" s="233"/>
      <c r="V72" s="233"/>
      <c r="W72" s="233"/>
      <c r="X72" s="233"/>
      <c r="Y72" s="227"/>
      <c r="Z72" s="233"/>
      <c r="AA72" s="233"/>
      <c r="AB72" s="233"/>
      <c r="AC72" s="233"/>
      <c r="AD72" s="227"/>
      <c r="AE72" s="233"/>
      <c r="AF72" s="233"/>
      <c r="AG72" s="233"/>
      <c r="AH72" s="233"/>
      <c r="AI72" s="227"/>
      <c r="AJ72" s="233"/>
      <c r="AK72" s="233"/>
      <c r="AL72" s="233"/>
      <c r="AM72" s="233"/>
      <c r="AN72" s="227"/>
      <c r="AO72" s="233"/>
      <c r="AP72" s="233"/>
      <c r="AQ72" s="233"/>
      <c r="AR72" s="233"/>
      <c r="AS72" s="227"/>
      <c r="AT72" s="233"/>
      <c r="AU72" s="233"/>
      <c r="AV72" s="233"/>
      <c r="AW72" s="233"/>
      <c r="AX72" s="227"/>
      <c r="AY72" s="233"/>
      <c r="AZ72" s="233"/>
      <c r="BA72" s="233"/>
      <c r="BB72" s="233"/>
      <c r="BC72" s="227"/>
      <c r="BD72" s="233"/>
      <c r="BE72" s="233"/>
      <c r="BF72" s="233"/>
      <c r="BG72" s="233"/>
      <c r="BH72" s="227"/>
      <c r="BI72" s="233"/>
      <c r="BJ72" s="233"/>
      <c r="BK72" s="233"/>
      <c r="BL72" s="233"/>
      <c r="BM72" s="227"/>
      <c r="BN72" s="233"/>
      <c r="BO72" s="233"/>
      <c r="BP72" s="233"/>
      <c r="BQ72" s="233"/>
      <c r="BR72" s="227"/>
      <c r="BS72" s="233"/>
      <c r="BT72" s="233"/>
      <c r="BU72" s="233"/>
      <c r="BV72" s="233"/>
      <c r="BW72" s="233"/>
      <c r="BX72" s="254"/>
    </row>
    <row r="73" spans="1:79" s="268" customFormat="1" ht="12.75" hidden="1" customHeight="1" x14ac:dyDescent="0.2">
      <c r="A73" s="245"/>
      <c r="B73" s="245"/>
      <c r="C73" s="245"/>
      <c r="D73" s="262" t="s">
        <v>427</v>
      </c>
      <c r="E73" s="264"/>
      <c r="F73" s="245"/>
      <c r="G73" s="340">
        <v>0</v>
      </c>
      <c r="H73" s="340"/>
      <c r="I73" s="340"/>
      <c r="J73" s="341"/>
      <c r="K73" s="340"/>
      <c r="L73" s="340">
        <f>SUM(L74:L76)</f>
        <v>0</v>
      </c>
      <c r="M73" s="340"/>
      <c r="N73" s="340"/>
      <c r="O73" s="341"/>
      <c r="P73" s="340"/>
      <c r="Q73" s="340">
        <f>SUM(Q74:Q76)</f>
        <v>0</v>
      </c>
      <c r="R73" s="340"/>
      <c r="S73" s="340"/>
      <c r="T73" s="341"/>
      <c r="U73" s="340"/>
      <c r="V73" s="340">
        <f>SUM(V74:V76)</f>
        <v>0</v>
      </c>
      <c r="W73" s="340"/>
      <c r="X73" s="340"/>
      <c r="Y73" s="341"/>
      <c r="Z73" s="340"/>
      <c r="AA73" s="340">
        <f>SUM(AA74:AA76)</f>
        <v>0</v>
      </c>
      <c r="AB73" s="340"/>
      <c r="AC73" s="340"/>
      <c r="AD73" s="341"/>
      <c r="AE73" s="340"/>
      <c r="AF73" s="340">
        <f>SUM(AF74:AF76)</f>
        <v>0</v>
      </c>
      <c r="AG73" s="340"/>
      <c r="AH73" s="340"/>
      <c r="AI73" s="341"/>
      <c r="AJ73" s="340"/>
      <c r="AK73" s="340">
        <f>SUM(AK74:AK76)</f>
        <v>0</v>
      </c>
      <c r="AL73" s="340"/>
      <c r="AM73" s="340"/>
      <c r="AN73" s="341"/>
      <c r="AO73" s="340"/>
      <c r="AP73" s="340">
        <f>SUM(AP74:AP76)</f>
        <v>0</v>
      </c>
      <c r="AQ73" s="340"/>
      <c r="AR73" s="340"/>
      <c r="AS73" s="341"/>
      <c r="AT73" s="340"/>
      <c r="AU73" s="340">
        <f>SUM(AU74:AU76)</f>
        <v>0</v>
      </c>
      <c r="AV73" s="340"/>
      <c r="AW73" s="340"/>
      <c r="AX73" s="341"/>
      <c r="AY73" s="340"/>
      <c r="AZ73" s="340">
        <f>SUM(AZ74:AZ76)</f>
        <v>0</v>
      </c>
      <c r="BA73" s="340"/>
      <c r="BB73" s="340"/>
      <c r="BC73" s="341"/>
      <c r="BD73" s="340"/>
      <c r="BE73" s="340">
        <f>SUM(BE74:BE76)</f>
        <v>0</v>
      </c>
      <c r="BF73" s="340"/>
      <c r="BG73" s="340"/>
      <c r="BH73" s="341"/>
      <c r="BI73" s="340"/>
      <c r="BJ73" s="340">
        <f>SUM(BJ74:BJ76)</f>
        <v>0</v>
      </c>
      <c r="BK73" s="340"/>
      <c r="BL73" s="340"/>
      <c r="BM73" s="341"/>
      <c r="BN73" s="340"/>
      <c r="BO73" s="340">
        <f>SUM(BO74:BO76)</f>
        <v>0</v>
      </c>
      <c r="BP73" s="340"/>
      <c r="BQ73" s="340"/>
      <c r="BR73" s="341"/>
      <c r="BS73" s="340"/>
      <c r="BT73" s="340">
        <f>SUM(BT74:BT76)</f>
        <v>0</v>
      </c>
      <c r="BU73" s="340"/>
      <c r="BV73" s="340"/>
      <c r="BW73" s="340"/>
      <c r="BX73" s="262"/>
      <c r="BZ73" s="243"/>
      <c r="CA73" s="243"/>
    </row>
    <row r="74" spans="1:79" ht="12.75" hidden="1" customHeight="1" x14ac:dyDescent="0.2">
      <c r="A74" s="244"/>
      <c r="B74" s="244"/>
      <c r="C74" s="244"/>
      <c r="D74" s="254" t="s">
        <v>310</v>
      </c>
      <c r="E74" s="261"/>
      <c r="F74" s="269"/>
      <c r="G74" s="343">
        <v>0</v>
      </c>
      <c r="H74" s="344"/>
      <c r="I74" s="233"/>
      <c r="J74" s="227"/>
      <c r="K74" s="345"/>
      <c r="L74" s="343">
        <f>L79</f>
        <v>0</v>
      </c>
      <c r="M74" s="344"/>
      <c r="N74" s="233"/>
      <c r="O74" s="227"/>
      <c r="P74" s="345"/>
      <c r="Q74" s="343">
        <f>Q79</f>
        <v>0</v>
      </c>
      <c r="R74" s="344"/>
      <c r="S74" s="233"/>
      <c r="T74" s="227"/>
      <c r="U74" s="345"/>
      <c r="V74" s="343">
        <f>V79</f>
        <v>0</v>
      </c>
      <c r="W74" s="344"/>
      <c r="X74" s="233"/>
      <c r="Y74" s="227"/>
      <c r="Z74" s="345"/>
      <c r="AA74" s="343">
        <f>AA79</f>
        <v>0</v>
      </c>
      <c r="AB74" s="344"/>
      <c r="AC74" s="233"/>
      <c r="AD74" s="227"/>
      <c r="AE74" s="345"/>
      <c r="AF74" s="343">
        <f>AF79</f>
        <v>0</v>
      </c>
      <c r="AG74" s="344"/>
      <c r="AH74" s="233"/>
      <c r="AI74" s="227"/>
      <c r="AJ74" s="345"/>
      <c r="AK74" s="343">
        <f>AK79</f>
        <v>0</v>
      </c>
      <c r="AL74" s="344"/>
      <c r="AM74" s="233"/>
      <c r="AN74" s="227"/>
      <c r="AO74" s="345"/>
      <c r="AP74" s="343">
        <f>AP79</f>
        <v>0</v>
      </c>
      <c r="AQ74" s="344"/>
      <c r="AR74" s="233"/>
      <c r="AS74" s="227"/>
      <c r="AT74" s="345"/>
      <c r="AU74" s="343">
        <f>AU79</f>
        <v>0</v>
      </c>
      <c r="AV74" s="344"/>
      <c r="AW74" s="233"/>
      <c r="AX74" s="227"/>
      <c r="AY74" s="345"/>
      <c r="AZ74" s="343">
        <f>AZ79</f>
        <v>0</v>
      </c>
      <c r="BA74" s="344"/>
      <c r="BB74" s="233"/>
      <c r="BC74" s="227"/>
      <c r="BD74" s="345"/>
      <c r="BE74" s="343">
        <f>BE79</f>
        <v>0</v>
      </c>
      <c r="BF74" s="344"/>
      <c r="BG74" s="233"/>
      <c r="BH74" s="227"/>
      <c r="BI74" s="345"/>
      <c r="BJ74" s="343">
        <f>BJ79</f>
        <v>0</v>
      </c>
      <c r="BK74" s="344"/>
      <c r="BL74" s="233"/>
      <c r="BM74" s="227"/>
      <c r="BN74" s="345"/>
      <c r="BO74" s="343">
        <f>BO79</f>
        <v>0</v>
      </c>
      <c r="BP74" s="344"/>
      <c r="BQ74" s="233"/>
      <c r="BR74" s="227"/>
      <c r="BS74" s="345"/>
      <c r="BT74" s="343">
        <f>BT79</f>
        <v>0</v>
      </c>
      <c r="BU74" s="344"/>
      <c r="BV74" s="233"/>
      <c r="BW74" s="233"/>
      <c r="BX74" s="254"/>
    </row>
    <row r="75" spans="1:79" ht="12.75" hidden="1" customHeight="1" x14ac:dyDescent="0.2">
      <c r="A75" s="244"/>
      <c r="B75" s="244"/>
      <c r="C75" s="244"/>
      <c r="D75" s="254" t="s">
        <v>312</v>
      </c>
      <c r="E75" s="261"/>
      <c r="F75" s="261"/>
      <c r="G75" s="233">
        <v>0</v>
      </c>
      <c r="H75" s="347"/>
      <c r="I75" s="233"/>
      <c r="J75" s="227"/>
      <c r="K75" s="227"/>
      <c r="L75" s="233">
        <f>L80</f>
        <v>0</v>
      </c>
      <c r="M75" s="347"/>
      <c r="N75" s="233"/>
      <c r="O75" s="227"/>
      <c r="P75" s="227"/>
      <c r="Q75" s="233">
        <f>Q80</f>
        <v>0</v>
      </c>
      <c r="R75" s="347"/>
      <c r="S75" s="233"/>
      <c r="T75" s="227"/>
      <c r="U75" s="227"/>
      <c r="V75" s="233">
        <f>V80</f>
        <v>0</v>
      </c>
      <c r="W75" s="347"/>
      <c r="X75" s="233"/>
      <c r="Y75" s="227"/>
      <c r="Z75" s="227"/>
      <c r="AA75" s="233">
        <f>AA80</f>
        <v>0</v>
      </c>
      <c r="AB75" s="347"/>
      <c r="AC75" s="233"/>
      <c r="AD75" s="227"/>
      <c r="AE75" s="227"/>
      <c r="AF75" s="233">
        <f>AF80</f>
        <v>0</v>
      </c>
      <c r="AG75" s="347"/>
      <c r="AH75" s="233"/>
      <c r="AI75" s="227"/>
      <c r="AJ75" s="227"/>
      <c r="AK75" s="233">
        <f>AK80</f>
        <v>0</v>
      </c>
      <c r="AL75" s="347"/>
      <c r="AM75" s="233"/>
      <c r="AN75" s="227"/>
      <c r="AO75" s="227"/>
      <c r="AP75" s="233">
        <f>AP80</f>
        <v>0</v>
      </c>
      <c r="AQ75" s="347"/>
      <c r="AR75" s="233"/>
      <c r="AS75" s="227"/>
      <c r="AT75" s="227"/>
      <c r="AU75" s="233">
        <f>AU80</f>
        <v>0</v>
      </c>
      <c r="AV75" s="347"/>
      <c r="AW75" s="233"/>
      <c r="AX75" s="227"/>
      <c r="AY75" s="227"/>
      <c r="AZ75" s="233">
        <f>AZ80</f>
        <v>0</v>
      </c>
      <c r="BA75" s="347"/>
      <c r="BB75" s="233"/>
      <c r="BC75" s="227"/>
      <c r="BD75" s="227"/>
      <c r="BE75" s="233">
        <f>BE80</f>
        <v>0</v>
      </c>
      <c r="BF75" s="347"/>
      <c r="BG75" s="233"/>
      <c r="BH75" s="227"/>
      <c r="BI75" s="227"/>
      <c r="BJ75" s="233">
        <f>BJ80</f>
        <v>0</v>
      </c>
      <c r="BK75" s="347"/>
      <c r="BL75" s="233"/>
      <c r="BM75" s="227"/>
      <c r="BN75" s="227"/>
      <c r="BO75" s="233">
        <f>BO80</f>
        <v>0</v>
      </c>
      <c r="BP75" s="347"/>
      <c r="BQ75" s="233"/>
      <c r="BR75" s="227"/>
      <c r="BS75" s="227"/>
      <c r="BT75" s="233">
        <f>BT80</f>
        <v>0</v>
      </c>
      <c r="BU75" s="347"/>
      <c r="BV75" s="233"/>
      <c r="BW75" s="233"/>
      <c r="BX75" s="254"/>
    </row>
    <row r="76" spans="1:79" ht="12.75" hidden="1" customHeight="1" x14ac:dyDescent="0.2">
      <c r="A76" s="244"/>
      <c r="B76" s="244"/>
      <c r="C76" s="244"/>
      <c r="D76" s="254" t="s">
        <v>320</v>
      </c>
      <c r="E76" s="261"/>
      <c r="F76" s="284"/>
      <c r="G76" s="355">
        <v>0</v>
      </c>
      <c r="H76" s="356"/>
      <c r="I76" s="233"/>
      <c r="J76" s="227"/>
      <c r="K76" s="357"/>
      <c r="L76" s="355">
        <f>L81</f>
        <v>0</v>
      </c>
      <c r="M76" s="356"/>
      <c r="N76" s="233"/>
      <c r="O76" s="227"/>
      <c r="P76" s="357"/>
      <c r="Q76" s="355">
        <f>Q81</f>
        <v>0</v>
      </c>
      <c r="R76" s="356"/>
      <c r="S76" s="233"/>
      <c r="T76" s="227"/>
      <c r="U76" s="357"/>
      <c r="V76" s="355">
        <f>V81</f>
        <v>0</v>
      </c>
      <c r="W76" s="356"/>
      <c r="X76" s="233"/>
      <c r="Y76" s="227"/>
      <c r="Z76" s="357"/>
      <c r="AA76" s="355">
        <f>AA81</f>
        <v>0</v>
      </c>
      <c r="AB76" s="356"/>
      <c r="AC76" s="233"/>
      <c r="AD76" s="227"/>
      <c r="AE76" s="357"/>
      <c r="AF76" s="355">
        <f>AF81</f>
        <v>0</v>
      </c>
      <c r="AG76" s="356"/>
      <c r="AH76" s="233"/>
      <c r="AI76" s="227"/>
      <c r="AJ76" s="357"/>
      <c r="AK76" s="355">
        <f>AK81</f>
        <v>0</v>
      </c>
      <c r="AL76" s="356"/>
      <c r="AM76" s="233"/>
      <c r="AN76" s="227"/>
      <c r="AO76" s="357"/>
      <c r="AP76" s="355">
        <f>AP81</f>
        <v>0</v>
      </c>
      <c r="AQ76" s="356"/>
      <c r="AR76" s="233"/>
      <c r="AS76" s="227"/>
      <c r="AT76" s="357"/>
      <c r="AU76" s="355">
        <f>AU81</f>
        <v>0</v>
      </c>
      <c r="AV76" s="356"/>
      <c r="AW76" s="233"/>
      <c r="AX76" s="227"/>
      <c r="AY76" s="357"/>
      <c r="AZ76" s="355">
        <f>AZ81</f>
        <v>0</v>
      </c>
      <c r="BA76" s="356"/>
      <c r="BB76" s="233"/>
      <c r="BC76" s="227"/>
      <c r="BD76" s="357"/>
      <c r="BE76" s="355">
        <f>BE81</f>
        <v>0</v>
      </c>
      <c r="BF76" s="356"/>
      <c r="BG76" s="233"/>
      <c r="BH76" s="227"/>
      <c r="BI76" s="357"/>
      <c r="BJ76" s="355">
        <f>BJ81</f>
        <v>0</v>
      </c>
      <c r="BK76" s="356"/>
      <c r="BL76" s="233"/>
      <c r="BM76" s="227"/>
      <c r="BN76" s="357"/>
      <c r="BO76" s="355">
        <f>BO81</f>
        <v>0</v>
      </c>
      <c r="BP76" s="356"/>
      <c r="BQ76" s="233"/>
      <c r="BR76" s="227"/>
      <c r="BS76" s="357"/>
      <c r="BT76" s="355">
        <f>BT81</f>
        <v>0</v>
      </c>
      <c r="BU76" s="356"/>
      <c r="BV76" s="233"/>
      <c r="BW76" s="233"/>
      <c r="BX76" s="254"/>
    </row>
    <row r="77" spans="1:79" ht="12.75" hidden="1" customHeight="1" x14ac:dyDescent="0.2">
      <c r="A77" s="244"/>
      <c r="B77" s="244"/>
      <c r="C77" s="244"/>
      <c r="D77" s="254"/>
      <c r="E77" s="261"/>
      <c r="F77" s="244"/>
      <c r="G77" s="233"/>
      <c r="H77" s="233"/>
      <c r="I77" s="233"/>
      <c r="J77" s="227"/>
      <c r="K77" s="233"/>
      <c r="L77" s="233"/>
      <c r="M77" s="233"/>
      <c r="N77" s="233"/>
      <c r="O77" s="227"/>
      <c r="P77" s="233"/>
      <c r="Q77" s="233"/>
      <c r="R77" s="233"/>
      <c r="S77" s="233"/>
      <c r="T77" s="227"/>
      <c r="U77" s="233"/>
      <c r="V77" s="233"/>
      <c r="W77" s="233"/>
      <c r="X77" s="233"/>
      <c r="Y77" s="227"/>
      <c r="Z77" s="233"/>
      <c r="AA77" s="233"/>
      <c r="AB77" s="233"/>
      <c r="AC77" s="233"/>
      <c r="AD77" s="227"/>
      <c r="AE77" s="233"/>
      <c r="AF77" s="233"/>
      <c r="AG77" s="233"/>
      <c r="AH77" s="233"/>
      <c r="AI77" s="227"/>
      <c r="AJ77" s="233"/>
      <c r="AK77" s="233"/>
      <c r="AL77" s="233"/>
      <c r="AM77" s="233"/>
      <c r="AN77" s="227"/>
      <c r="AO77" s="233"/>
      <c r="AP77" s="233"/>
      <c r="AQ77" s="233"/>
      <c r="AR77" s="233"/>
      <c r="AS77" s="227"/>
      <c r="AT77" s="233"/>
      <c r="AU77" s="233"/>
      <c r="AV77" s="233"/>
      <c r="AW77" s="233"/>
      <c r="AX77" s="227"/>
      <c r="AY77" s="233"/>
      <c r="AZ77" s="233"/>
      <c r="BA77" s="233"/>
      <c r="BB77" s="233"/>
      <c r="BC77" s="227"/>
      <c r="BD77" s="233"/>
      <c r="BE77" s="233"/>
      <c r="BF77" s="233"/>
      <c r="BG77" s="233"/>
      <c r="BH77" s="227"/>
      <c r="BI77" s="233"/>
      <c r="BJ77" s="233"/>
      <c r="BK77" s="233"/>
      <c r="BL77" s="233"/>
      <c r="BM77" s="227"/>
      <c r="BN77" s="233"/>
      <c r="BO77" s="233"/>
      <c r="BP77" s="233"/>
      <c r="BQ77" s="233"/>
      <c r="BR77" s="227"/>
      <c r="BS77" s="233"/>
      <c r="BT77" s="233"/>
      <c r="BU77" s="233"/>
      <c r="BV77" s="233"/>
      <c r="BW77" s="233"/>
      <c r="BX77" s="254"/>
    </row>
    <row r="78" spans="1:79" ht="12.75" hidden="1" customHeight="1" x14ac:dyDescent="0.2">
      <c r="A78" s="244"/>
      <c r="B78" s="244"/>
      <c r="C78" s="244"/>
      <c r="D78" s="254" t="s">
        <v>428</v>
      </c>
      <c r="E78" s="261"/>
      <c r="F78" s="244"/>
      <c r="G78" s="233">
        <v>0</v>
      </c>
      <c r="H78" s="233"/>
      <c r="I78" s="233"/>
      <c r="J78" s="227"/>
      <c r="K78" s="233"/>
      <c r="L78" s="233">
        <f>SUM(L79:L81)</f>
        <v>0</v>
      </c>
      <c r="M78" s="233"/>
      <c r="N78" s="233"/>
      <c r="O78" s="227"/>
      <c r="P78" s="233"/>
      <c r="Q78" s="233">
        <f>SUM(Q79:Q81)</f>
        <v>0</v>
      </c>
      <c r="R78" s="233"/>
      <c r="S78" s="233"/>
      <c r="T78" s="227"/>
      <c r="U78" s="233"/>
      <c r="V78" s="233">
        <f>SUM(V79:V81)</f>
        <v>0</v>
      </c>
      <c r="W78" s="233"/>
      <c r="X78" s="233"/>
      <c r="Y78" s="227"/>
      <c r="Z78" s="233"/>
      <c r="AA78" s="233">
        <f>SUM(AA79:AA81)</f>
        <v>0</v>
      </c>
      <c r="AB78" s="233"/>
      <c r="AC78" s="233"/>
      <c r="AD78" s="227"/>
      <c r="AE78" s="233"/>
      <c r="AF78" s="233">
        <f>SUM(AF79:AF81)</f>
        <v>0</v>
      </c>
      <c r="AG78" s="233"/>
      <c r="AH78" s="233"/>
      <c r="AI78" s="227"/>
      <c r="AJ78" s="233"/>
      <c r="AK78" s="233">
        <f>SUM(AK79:AK81)</f>
        <v>0</v>
      </c>
      <c r="AL78" s="233"/>
      <c r="AM78" s="233"/>
      <c r="AN78" s="227"/>
      <c r="AO78" s="233"/>
      <c r="AP78" s="233">
        <f>SUM(AP79:AP81)</f>
        <v>0</v>
      </c>
      <c r="AQ78" s="233"/>
      <c r="AR78" s="233"/>
      <c r="AS78" s="227"/>
      <c r="AT78" s="233"/>
      <c r="AU78" s="233">
        <f>SUM(AU79:AU81)</f>
        <v>0</v>
      </c>
      <c r="AV78" s="233"/>
      <c r="AW78" s="233"/>
      <c r="AX78" s="227"/>
      <c r="AY78" s="233"/>
      <c r="AZ78" s="233">
        <f>SUM(AZ79:AZ81)</f>
        <v>0</v>
      </c>
      <c r="BA78" s="233"/>
      <c r="BB78" s="233"/>
      <c r="BC78" s="227"/>
      <c r="BD78" s="233"/>
      <c r="BE78" s="233">
        <f>SUM(BE79:BE81)</f>
        <v>0</v>
      </c>
      <c r="BF78" s="233"/>
      <c r="BG78" s="233"/>
      <c r="BH78" s="227"/>
      <c r="BI78" s="233"/>
      <c r="BJ78" s="233">
        <f>SUM(BJ79:BJ81)</f>
        <v>0</v>
      </c>
      <c r="BK78" s="233"/>
      <c r="BL78" s="233"/>
      <c r="BM78" s="227"/>
      <c r="BN78" s="233"/>
      <c r="BO78" s="233">
        <f>SUM(BO79:BO81)</f>
        <v>0</v>
      </c>
      <c r="BP78" s="233"/>
      <c r="BQ78" s="233"/>
      <c r="BR78" s="227"/>
      <c r="BS78" s="233"/>
      <c r="BT78" s="233">
        <f>SUM(BT79:BT81)</f>
        <v>0</v>
      </c>
      <c r="BU78" s="233"/>
      <c r="BV78" s="233"/>
      <c r="BW78" s="233"/>
      <c r="BX78" s="254"/>
    </row>
    <row r="79" spans="1:79" ht="12.75" hidden="1" customHeight="1" x14ac:dyDescent="0.2">
      <c r="A79" s="244"/>
      <c r="B79" s="244"/>
      <c r="C79" s="244"/>
      <c r="D79" s="254" t="s">
        <v>310</v>
      </c>
      <c r="E79" s="261"/>
      <c r="F79" s="269"/>
      <c r="G79" s="343">
        <v>0</v>
      </c>
      <c r="H79" s="344"/>
      <c r="I79" s="233"/>
      <c r="J79" s="227"/>
      <c r="K79" s="345"/>
      <c r="L79" s="343">
        <v>0</v>
      </c>
      <c r="M79" s="344"/>
      <c r="N79" s="233"/>
      <c r="O79" s="227"/>
      <c r="P79" s="345"/>
      <c r="Q79" s="343">
        <v>0</v>
      </c>
      <c r="R79" s="344"/>
      <c r="S79" s="233"/>
      <c r="T79" s="227"/>
      <c r="U79" s="345"/>
      <c r="V79" s="343">
        <v>0</v>
      </c>
      <c r="W79" s="344"/>
      <c r="X79" s="233"/>
      <c r="Y79" s="227"/>
      <c r="Z79" s="345"/>
      <c r="AA79" s="343">
        <v>0</v>
      </c>
      <c r="AB79" s="344"/>
      <c r="AC79" s="233"/>
      <c r="AD79" s="227"/>
      <c r="AE79" s="345"/>
      <c r="AF79" s="343">
        <v>0</v>
      </c>
      <c r="AG79" s="344"/>
      <c r="AH79" s="233"/>
      <c r="AI79" s="227"/>
      <c r="AJ79" s="345"/>
      <c r="AK79" s="343">
        <v>0</v>
      </c>
      <c r="AL79" s="344"/>
      <c r="AM79" s="233"/>
      <c r="AN79" s="227"/>
      <c r="AO79" s="345"/>
      <c r="AP79" s="343">
        <v>0</v>
      </c>
      <c r="AQ79" s="344"/>
      <c r="AR79" s="233"/>
      <c r="AS79" s="227"/>
      <c r="AT79" s="345"/>
      <c r="AU79" s="343">
        <v>0</v>
      </c>
      <c r="AV79" s="344"/>
      <c r="AW79" s="233"/>
      <c r="AX79" s="227"/>
      <c r="AY79" s="345"/>
      <c r="AZ79" s="343">
        <v>0</v>
      </c>
      <c r="BA79" s="344"/>
      <c r="BB79" s="233"/>
      <c r="BC79" s="227"/>
      <c r="BD79" s="345"/>
      <c r="BE79" s="343">
        <v>0</v>
      </c>
      <c r="BF79" s="344"/>
      <c r="BG79" s="233"/>
      <c r="BH79" s="227"/>
      <c r="BI79" s="345"/>
      <c r="BJ79" s="343">
        <v>0</v>
      </c>
      <c r="BK79" s="344"/>
      <c r="BL79" s="233"/>
      <c r="BM79" s="227"/>
      <c r="BN79" s="345"/>
      <c r="BO79" s="343">
        <v>0</v>
      </c>
      <c r="BP79" s="344"/>
      <c r="BQ79" s="233"/>
      <c r="BR79" s="227"/>
      <c r="BS79" s="345"/>
      <c r="BT79" s="343">
        <f>SUM(L79:BO79)</f>
        <v>0</v>
      </c>
      <c r="BU79" s="344"/>
      <c r="BV79" s="233"/>
      <c r="BW79" s="233"/>
      <c r="BX79" s="254"/>
    </row>
    <row r="80" spans="1:79" ht="12.75" hidden="1" customHeight="1" x14ac:dyDescent="0.2">
      <c r="A80" s="244"/>
      <c r="B80" s="244"/>
      <c r="C80" s="244"/>
      <c r="D80" s="254" t="s">
        <v>312</v>
      </c>
      <c r="E80" s="261"/>
      <c r="F80" s="261"/>
      <c r="G80" s="233">
        <v>0</v>
      </c>
      <c r="H80" s="347"/>
      <c r="I80" s="233"/>
      <c r="J80" s="227"/>
      <c r="K80" s="227"/>
      <c r="L80" s="233">
        <v>0</v>
      </c>
      <c r="M80" s="347"/>
      <c r="N80" s="233"/>
      <c r="O80" s="227"/>
      <c r="P80" s="227"/>
      <c r="Q80" s="233">
        <v>0</v>
      </c>
      <c r="R80" s="347"/>
      <c r="S80" s="233"/>
      <c r="T80" s="227"/>
      <c r="U80" s="227"/>
      <c r="V80" s="233">
        <v>0</v>
      </c>
      <c r="W80" s="347"/>
      <c r="X80" s="233"/>
      <c r="Y80" s="227"/>
      <c r="Z80" s="227"/>
      <c r="AA80" s="233">
        <v>0</v>
      </c>
      <c r="AB80" s="347"/>
      <c r="AC80" s="233"/>
      <c r="AD80" s="227"/>
      <c r="AE80" s="227"/>
      <c r="AF80" s="233">
        <v>0</v>
      </c>
      <c r="AG80" s="347"/>
      <c r="AH80" s="233"/>
      <c r="AI80" s="227"/>
      <c r="AJ80" s="227"/>
      <c r="AK80" s="233">
        <v>0</v>
      </c>
      <c r="AL80" s="347"/>
      <c r="AM80" s="233"/>
      <c r="AN80" s="227"/>
      <c r="AO80" s="227"/>
      <c r="AP80" s="233">
        <v>0</v>
      </c>
      <c r="AQ80" s="347"/>
      <c r="AR80" s="233"/>
      <c r="AS80" s="227"/>
      <c r="AT80" s="227"/>
      <c r="AU80" s="233">
        <v>0</v>
      </c>
      <c r="AV80" s="347"/>
      <c r="AW80" s="233"/>
      <c r="AX80" s="227"/>
      <c r="AY80" s="227"/>
      <c r="AZ80" s="233">
        <v>0</v>
      </c>
      <c r="BA80" s="347"/>
      <c r="BB80" s="233"/>
      <c r="BC80" s="227"/>
      <c r="BD80" s="227"/>
      <c r="BE80" s="233">
        <v>0</v>
      </c>
      <c r="BF80" s="347"/>
      <c r="BG80" s="233"/>
      <c r="BH80" s="227"/>
      <c r="BI80" s="227"/>
      <c r="BJ80" s="233">
        <v>0</v>
      </c>
      <c r="BK80" s="347"/>
      <c r="BL80" s="233"/>
      <c r="BM80" s="227"/>
      <c r="BN80" s="227"/>
      <c r="BO80" s="233">
        <v>0</v>
      </c>
      <c r="BP80" s="347"/>
      <c r="BQ80" s="233"/>
      <c r="BR80" s="227"/>
      <c r="BS80" s="227"/>
      <c r="BT80" s="233">
        <f>SUM(L80:BO80)</f>
        <v>0</v>
      </c>
      <c r="BU80" s="347"/>
      <c r="BV80" s="233"/>
      <c r="BW80" s="233"/>
      <c r="BX80" s="254"/>
    </row>
    <row r="81" spans="1:76" ht="12.75" hidden="1" customHeight="1" x14ac:dyDescent="0.2">
      <c r="A81" s="244"/>
      <c r="B81" s="244"/>
      <c r="C81" s="244"/>
      <c r="D81" s="254" t="s">
        <v>320</v>
      </c>
      <c r="E81" s="261"/>
      <c r="F81" s="284"/>
      <c r="G81" s="355">
        <v>0</v>
      </c>
      <c r="H81" s="356"/>
      <c r="I81" s="233"/>
      <c r="J81" s="227"/>
      <c r="K81" s="357"/>
      <c r="L81" s="355">
        <v>0</v>
      </c>
      <c r="M81" s="356"/>
      <c r="N81" s="233"/>
      <c r="O81" s="227"/>
      <c r="P81" s="357"/>
      <c r="Q81" s="355">
        <v>0</v>
      </c>
      <c r="R81" s="356"/>
      <c r="S81" s="233"/>
      <c r="T81" s="227"/>
      <c r="U81" s="357"/>
      <c r="V81" s="355">
        <v>0</v>
      </c>
      <c r="W81" s="356"/>
      <c r="X81" s="233"/>
      <c r="Y81" s="227"/>
      <c r="Z81" s="357"/>
      <c r="AA81" s="355">
        <v>0</v>
      </c>
      <c r="AB81" s="356"/>
      <c r="AC81" s="233"/>
      <c r="AD81" s="227"/>
      <c r="AE81" s="357"/>
      <c r="AF81" s="355">
        <v>0</v>
      </c>
      <c r="AG81" s="356"/>
      <c r="AH81" s="233"/>
      <c r="AI81" s="227"/>
      <c r="AJ81" s="357"/>
      <c r="AK81" s="355">
        <v>0</v>
      </c>
      <c r="AL81" s="356"/>
      <c r="AM81" s="233"/>
      <c r="AN81" s="227"/>
      <c r="AO81" s="357"/>
      <c r="AP81" s="355">
        <v>0</v>
      </c>
      <c r="AQ81" s="356"/>
      <c r="AR81" s="233"/>
      <c r="AS81" s="227"/>
      <c r="AT81" s="357"/>
      <c r="AU81" s="355">
        <v>0</v>
      </c>
      <c r="AV81" s="356"/>
      <c r="AW81" s="233"/>
      <c r="AX81" s="227"/>
      <c r="AY81" s="357"/>
      <c r="AZ81" s="355">
        <v>0</v>
      </c>
      <c r="BA81" s="356"/>
      <c r="BB81" s="233"/>
      <c r="BC81" s="227"/>
      <c r="BD81" s="357"/>
      <c r="BE81" s="355">
        <v>0</v>
      </c>
      <c r="BF81" s="356"/>
      <c r="BG81" s="233"/>
      <c r="BH81" s="227"/>
      <c r="BI81" s="357"/>
      <c r="BJ81" s="355">
        <v>0</v>
      </c>
      <c r="BK81" s="356"/>
      <c r="BL81" s="233"/>
      <c r="BM81" s="227"/>
      <c r="BN81" s="357"/>
      <c r="BO81" s="355">
        <v>0</v>
      </c>
      <c r="BP81" s="356"/>
      <c r="BQ81" s="233"/>
      <c r="BR81" s="227"/>
      <c r="BS81" s="357"/>
      <c r="BT81" s="355">
        <f>SUM(L81:BO81)</f>
        <v>0</v>
      </c>
      <c r="BU81" s="356"/>
      <c r="BV81" s="233"/>
      <c r="BW81" s="233"/>
      <c r="BX81" s="254"/>
    </row>
    <row r="82" spans="1:76" ht="12.75" hidden="1" customHeight="1" x14ac:dyDescent="0.2">
      <c r="A82" s="244"/>
      <c r="B82" s="244"/>
      <c r="C82" s="244"/>
      <c r="D82" s="254"/>
      <c r="E82" s="261"/>
      <c r="F82" s="244"/>
      <c r="G82" s="233"/>
      <c r="H82" s="233"/>
      <c r="I82" s="233"/>
      <c r="J82" s="227"/>
      <c r="K82" s="233"/>
      <c r="L82" s="233"/>
      <c r="M82" s="233"/>
      <c r="N82" s="233"/>
      <c r="O82" s="227"/>
      <c r="P82" s="233"/>
      <c r="Q82" s="233"/>
      <c r="R82" s="233"/>
      <c r="S82" s="233"/>
      <c r="T82" s="227"/>
      <c r="U82" s="233"/>
      <c r="V82" s="233"/>
      <c r="W82" s="233"/>
      <c r="X82" s="233"/>
      <c r="Y82" s="227"/>
      <c r="Z82" s="233"/>
      <c r="AA82" s="233"/>
      <c r="AB82" s="233"/>
      <c r="AC82" s="233"/>
      <c r="AD82" s="227"/>
      <c r="AE82" s="233"/>
      <c r="AF82" s="233"/>
      <c r="AG82" s="233"/>
      <c r="AH82" s="233"/>
      <c r="AI82" s="227"/>
      <c r="AJ82" s="233"/>
      <c r="AK82" s="233"/>
      <c r="AL82" s="233"/>
      <c r="AM82" s="233"/>
      <c r="AN82" s="227"/>
      <c r="AO82" s="233"/>
      <c r="AP82" s="233"/>
      <c r="AQ82" s="233"/>
      <c r="AR82" s="233"/>
      <c r="AS82" s="227"/>
      <c r="AT82" s="233"/>
      <c r="AU82" s="233"/>
      <c r="AV82" s="233"/>
      <c r="AW82" s="233"/>
      <c r="AX82" s="227"/>
      <c r="AY82" s="233"/>
      <c r="AZ82" s="233"/>
      <c r="BA82" s="233"/>
      <c r="BB82" s="233"/>
      <c r="BC82" s="227"/>
      <c r="BD82" s="233"/>
      <c r="BE82" s="233"/>
      <c r="BF82" s="233"/>
      <c r="BG82" s="233"/>
      <c r="BH82" s="227"/>
      <c r="BI82" s="233"/>
      <c r="BJ82" s="233"/>
      <c r="BK82" s="233"/>
      <c r="BL82" s="233"/>
      <c r="BM82" s="227"/>
      <c r="BN82" s="233"/>
      <c r="BO82" s="233"/>
      <c r="BP82" s="233"/>
      <c r="BQ82" s="233"/>
      <c r="BR82" s="227"/>
      <c r="BS82" s="233"/>
      <c r="BT82" s="233"/>
      <c r="BU82" s="233"/>
      <c r="BV82" s="233"/>
      <c r="BW82" s="233"/>
      <c r="BX82" s="254"/>
    </row>
    <row r="83" spans="1:76" ht="12.75" hidden="1" customHeight="1" x14ac:dyDescent="0.2">
      <c r="A83" s="244"/>
      <c r="B83" s="244"/>
      <c r="C83" s="244"/>
      <c r="D83" s="254" t="s">
        <v>415</v>
      </c>
      <c r="E83" s="261"/>
      <c r="F83" s="244"/>
      <c r="G83" s="233">
        <v>0</v>
      </c>
      <c r="H83" s="233"/>
      <c r="I83" s="233"/>
      <c r="J83" s="227"/>
      <c r="K83" s="233"/>
      <c r="L83" s="233">
        <f>SUM(L84:L86)</f>
        <v>0</v>
      </c>
      <c r="M83" s="233"/>
      <c r="N83" s="233"/>
      <c r="O83" s="227"/>
      <c r="P83" s="233"/>
      <c r="Q83" s="233">
        <f>SUM(Q84:Q86)</f>
        <v>0</v>
      </c>
      <c r="R83" s="233"/>
      <c r="S83" s="233"/>
      <c r="T83" s="227"/>
      <c r="U83" s="233"/>
      <c r="V83" s="233">
        <f>SUM(V84:V86)</f>
        <v>0</v>
      </c>
      <c r="W83" s="233"/>
      <c r="X83" s="233"/>
      <c r="Y83" s="227"/>
      <c r="Z83" s="233"/>
      <c r="AA83" s="233">
        <f>SUM(AA84:AA86)</f>
        <v>0</v>
      </c>
      <c r="AB83" s="233"/>
      <c r="AC83" s="233"/>
      <c r="AD83" s="227"/>
      <c r="AE83" s="233"/>
      <c r="AF83" s="233">
        <f>SUM(AF84:AF86)</f>
        <v>0</v>
      </c>
      <c r="AG83" s="233"/>
      <c r="AH83" s="233"/>
      <c r="AI83" s="227"/>
      <c r="AJ83" s="233"/>
      <c r="AK83" s="233">
        <f>SUM(AK84:AK86)</f>
        <v>0</v>
      </c>
      <c r="AL83" s="233"/>
      <c r="AM83" s="233"/>
      <c r="AN83" s="227"/>
      <c r="AO83" s="233"/>
      <c r="AP83" s="233">
        <f>SUM(AP84:AP86)</f>
        <v>0</v>
      </c>
      <c r="AQ83" s="233"/>
      <c r="AR83" s="233"/>
      <c r="AS83" s="227"/>
      <c r="AT83" s="233"/>
      <c r="AU83" s="233">
        <f>SUM(AU84:AU86)</f>
        <v>0</v>
      </c>
      <c r="AV83" s="233"/>
      <c r="AW83" s="233"/>
      <c r="AX83" s="227"/>
      <c r="AY83" s="233"/>
      <c r="AZ83" s="233">
        <f>SUM(AZ84:AZ86)</f>
        <v>0</v>
      </c>
      <c r="BA83" s="233"/>
      <c r="BB83" s="233"/>
      <c r="BC83" s="227"/>
      <c r="BD83" s="233"/>
      <c r="BE83" s="233">
        <f>SUM(BE84:BE86)</f>
        <v>0</v>
      </c>
      <c r="BF83" s="233"/>
      <c r="BG83" s="233"/>
      <c r="BH83" s="227"/>
      <c r="BI83" s="233"/>
      <c r="BJ83" s="233">
        <f>SUM(BJ84:BJ86)</f>
        <v>0</v>
      </c>
      <c r="BK83" s="233"/>
      <c r="BL83" s="233"/>
      <c r="BM83" s="227"/>
      <c r="BN83" s="233"/>
      <c r="BO83" s="233">
        <f>SUM(BO84:BO86)</f>
        <v>0</v>
      </c>
      <c r="BP83" s="233"/>
      <c r="BQ83" s="233"/>
      <c r="BR83" s="227"/>
      <c r="BS83" s="233"/>
      <c r="BT83" s="233">
        <f>SUM(BT84:BT86)</f>
        <v>0</v>
      </c>
      <c r="BU83" s="233"/>
      <c r="BV83" s="233"/>
      <c r="BW83" s="233"/>
      <c r="BX83" s="254"/>
    </row>
    <row r="84" spans="1:76" ht="12.75" hidden="1" customHeight="1" x14ac:dyDescent="0.2">
      <c r="A84" s="244"/>
      <c r="B84" s="244"/>
      <c r="C84" s="244"/>
      <c r="D84" s="254" t="s">
        <v>310</v>
      </c>
      <c r="E84" s="261"/>
      <c r="F84" s="269"/>
      <c r="G84" s="343">
        <v>0</v>
      </c>
      <c r="H84" s="344"/>
      <c r="I84" s="233"/>
      <c r="J84" s="227"/>
      <c r="K84" s="345"/>
      <c r="L84" s="343">
        <v>0</v>
      </c>
      <c r="M84" s="344"/>
      <c r="N84" s="233"/>
      <c r="O84" s="227"/>
      <c r="P84" s="345"/>
      <c r="Q84" s="343">
        <v>0</v>
      </c>
      <c r="R84" s="344"/>
      <c r="S84" s="233"/>
      <c r="T84" s="227"/>
      <c r="U84" s="345"/>
      <c r="V84" s="343">
        <v>0</v>
      </c>
      <c r="W84" s="344"/>
      <c r="X84" s="233"/>
      <c r="Y84" s="227"/>
      <c r="Z84" s="345"/>
      <c r="AA84" s="343">
        <v>0</v>
      </c>
      <c r="AB84" s="344"/>
      <c r="AC84" s="233"/>
      <c r="AD84" s="227"/>
      <c r="AE84" s="345"/>
      <c r="AF84" s="343">
        <v>0</v>
      </c>
      <c r="AG84" s="344"/>
      <c r="AH84" s="233"/>
      <c r="AI84" s="227"/>
      <c r="AJ84" s="345"/>
      <c r="AK84" s="343">
        <v>0</v>
      </c>
      <c r="AL84" s="344"/>
      <c r="AM84" s="233"/>
      <c r="AN84" s="227"/>
      <c r="AO84" s="345"/>
      <c r="AP84" s="343">
        <v>0</v>
      </c>
      <c r="AQ84" s="344"/>
      <c r="AR84" s="233"/>
      <c r="AS84" s="227"/>
      <c r="AT84" s="345"/>
      <c r="AU84" s="343">
        <v>0</v>
      </c>
      <c r="AV84" s="344"/>
      <c r="AW84" s="233"/>
      <c r="AX84" s="227"/>
      <c r="AY84" s="345"/>
      <c r="AZ84" s="343">
        <v>0</v>
      </c>
      <c r="BA84" s="344"/>
      <c r="BB84" s="233"/>
      <c r="BC84" s="227"/>
      <c r="BD84" s="345"/>
      <c r="BE84" s="343">
        <v>0</v>
      </c>
      <c r="BF84" s="344"/>
      <c r="BG84" s="233"/>
      <c r="BH84" s="227"/>
      <c r="BI84" s="345"/>
      <c r="BJ84" s="343">
        <v>0</v>
      </c>
      <c r="BK84" s="344"/>
      <c r="BL84" s="233"/>
      <c r="BM84" s="227"/>
      <c r="BN84" s="345"/>
      <c r="BO84" s="343">
        <v>0</v>
      </c>
      <c r="BP84" s="344"/>
      <c r="BQ84" s="233"/>
      <c r="BR84" s="227"/>
      <c r="BS84" s="345"/>
      <c r="BT84" s="343">
        <f>SUM(L84:BO84)</f>
        <v>0</v>
      </c>
      <c r="BU84" s="344"/>
      <c r="BV84" s="233"/>
      <c r="BW84" s="233"/>
      <c r="BX84" s="254"/>
    </row>
    <row r="85" spans="1:76" ht="12.75" hidden="1" customHeight="1" x14ac:dyDescent="0.2">
      <c r="A85" s="244"/>
      <c r="B85" s="244"/>
      <c r="C85" s="244"/>
      <c r="D85" s="254" t="s">
        <v>312</v>
      </c>
      <c r="E85" s="261"/>
      <c r="F85" s="261"/>
      <c r="G85" s="233">
        <v>0</v>
      </c>
      <c r="H85" s="347"/>
      <c r="I85" s="233"/>
      <c r="J85" s="227"/>
      <c r="K85" s="227"/>
      <c r="L85" s="233">
        <v>0</v>
      </c>
      <c r="M85" s="347"/>
      <c r="N85" s="233"/>
      <c r="O85" s="227"/>
      <c r="P85" s="227"/>
      <c r="Q85" s="233">
        <v>0</v>
      </c>
      <c r="R85" s="347"/>
      <c r="S85" s="233"/>
      <c r="T85" s="227"/>
      <c r="U85" s="227"/>
      <c r="V85" s="233">
        <v>0</v>
      </c>
      <c r="W85" s="347"/>
      <c r="X85" s="233"/>
      <c r="Y85" s="227"/>
      <c r="Z85" s="227"/>
      <c r="AA85" s="233">
        <v>0</v>
      </c>
      <c r="AB85" s="347"/>
      <c r="AC85" s="233"/>
      <c r="AD85" s="227"/>
      <c r="AE85" s="227"/>
      <c r="AF85" s="233">
        <v>0</v>
      </c>
      <c r="AG85" s="347"/>
      <c r="AH85" s="233"/>
      <c r="AI85" s="227"/>
      <c r="AJ85" s="227"/>
      <c r="AK85" s="233">
        <v>0</v>
      </c>
      <c r="AL85" s="347"/>
      <c r="AM85" s="233"/>
      <c r="AN85" s="227"/>
      <c r="AO85" s="227"/>
      <c r="AP85" s="233">
        <v>0</v>
      </c>
      <c r="AQ85" s="347"/>
      <c r="AR85" s="233"/>
      <c r="AS85" s="227"/>
      <c r="AT85" s="227"/>
      <c r="AU85" s="233">
        <v>0</v>
      </c>
      <c r="AV85" s="347"/>
      <c r="AW85" s="233"/>
      <c r="AX85" s="227"/>
      <c r="AY85" s="227"/>
      <c r="AZ85" s="233">
        <v>0</v>
      </c>
      <c r="BA85" s="347"/>
      <c r="BB85" s="233"/>
      <c r="BC85" s="227"/>
      <c r="BD85" s="227"/>
      <c r="BE85" s="233">
        <v>0</v>
      </c>
      <c r="BF85" s="347"/>
      <c r="BG85" s="233"/>
      <c r="BH85" s="227"/>
      <c r="BI85" s="227"/>
      <c r="BJ85" s="233">
        <v>0</v>
      </c>
      <c r="BK85" s="347"/>
      <c r="BL85" s="233"/>
      <c r="BM85" s="227"/>
      <c r="BN85" s="227"/>
      <c r="BO85" s="233">
        <v>0</v>
      </c>
      <c r="BP85" s="347"/>
      <c r="BQ85" s="233"/>
      <c r="BR85" s="227"/>
      <c r="BS85" s="227"/>
      <c r="BT85" s="233">
        <f>SUM(L85:BO85)</f>
        <v>0</v>
      </c>
      <c r="BU85" s="347"/>
      <c r="BV85" s="233"/>
      <c r="BW85" s="233"/>
      <c r="BX85" s="254"/>
    </row>
    <row r="86" spans="1:76" ht="12.75" hidden="1" customHeight="1" x14ac:dyDescent="0.2">
      <c r="A86" s="244"/>
      <c r="B86" s="244"/>
      <c r="C86" s="244"/>
      <c r="D86" s="254" t="s">
        <v>320</v>
      </c>
      <c r="E86" s="261"/>
      <c r="F86" s="284"/>
      <c r="G86" s="355">
        <v>0</v>
      </c>
      <c r="H86" s="356"/>
      <c r="I86" s="233"/>
      <c r="J86" s="227"/>
      <c r="K86" s="357"/>
      <c r="L86" s="355">
        <v>0</v>
      </c>
      <c r="M86" s="356"/>
      <c r="N86" s="233"/>
      <c r="O86" s="227"/>
      <c r="P86" s="357"/>
      <c r="Q86" s="355">
        <v>0</v>
      </c>
      <c r="R86" s="356"/>
      <c r="S86" s="233"/>
      <c r="T86" s="227"/>
      <c r="U86" s="357"/>
      <c r="V86" s="355">
        <v>0</v>
      </c>
      <c r="W86" s="356"/>
      <c r="X86" s="233"/>
      <c r="Y86" s="227"/>
      <c r="Z86" s="357"/>
      <c r="AA86" s="355">
        <v>0</v>
      </c>
      <c r="AB86" s="356"/>
      <c r="AC86" s="233"/>
      <c r="AD86" s="227"/>
      <c r="AE86" s="357"/>
      <c r="AF86" s="355">
        <v>0</v>
      </c>
      <c r="AG86" s="356"/>
      <c r="AH86" s="233"/>
      <c r="AI86" s="227"/>
      <c r="AJ86" s="357"/>
      <c r="AK86" s="355">
        <v>0</v>
      </c>
      <c r="AL86" s="356"/>
      <c r="AM86" s="233"/>
      <c r="AN86" s="227"/>
      <c r="AO86" s="357"/>
      <c r="AP86" s="355">
        <v>0</v>
      </c>
      <c r="AQ86" s="356"/>
      <c r="AR86" s="233"/>
      <c r="AS86" s="227"/>
      <c r="AT86" s="357"/>
      <c r="AU86" s="355">
        <v>0</v>
      </c>
      <c r="AV86" s="356"/>
      <c r="AW86" s="233"/>
      <c r="AX86" s="227"/>
      <c r="AY86" s="357"/>
      <c r="AZ86" s="355">
        <v>0</v>
      </c>
      <c r="BA86" s="356"/>
      <c r="BB86" s="233"/>
      <c r="BC86" s="227"/>
      <c r="BD86" s="357"/>
      <c r="BE86" s="355">
        <v>0</v>
      </c>
      <c r="BF86" s="356"/>
      <c r="BG86" s="233"/>
      <c r="BH86" s="227"/>
      <c r="BI86" s="357"/>
      <c r="BJ86" s="355">
        <v>0</v>
      </c>
      <c r="BK86" s="356"/>
      <c r="BL86" s="233"/>
      <c r="BM86" s="227"/>
      <c r="BN86" s="357"/>
      <c r="BO86" s="355">
        <v>0</v>
      </c>
      <c r="BP86" s="356"/>
      <c r="BQ86" s="233"/>
      <c r="BR86" s="227"/>
      <c r="BS86" s="357"/>
      <c r="BT86" s="355">
        <f>SUM(L86:BO86)</f>
        <v>0</v>
      </c>
      <c r="BU86" s="356"/>
      <c r="BV86" s="233"/>
      <c r="BW86" s="233"/>
      <c r="BX86" s="254"/>
    </row>
    <row r="87" spans="1:76" ht="12.75" hidden="1" customHeight="1" x14ac:dyDescent="0.2">
      <c r="A87" s="244"/>
      <c r="B87" s="244"/>
      <c r="C87" s="244"/>
      <c r="D87" s="254"/>
      <c r="E87" s="261"/>
      <c r="F87" s="244"/>
      <c r="G87" s="233"/>
      <c r="H87" s="233"/>
      <c r="I87" s="233"/>
      <c r="J87" s="227"/>
      <c r="K87" s="233"/>
      <c r="L87" s="233"/>
      <c r="M87" s="233"/>
      <c r="N87" s="233"/>
      <c r="O87" s="227"/>
      <c r="P87" s="233"/>
      <c r="Q87" s="233"/>
      <c r="R87" s="233"/>
      <c r="S87" s="233"/>
      <c r="T87" s="227"/>
      <c r="U87" s="233"/>
      <c r="V87" s="233"/>
      <c r="W87" s="233"/>
      <c r="X87" s="233"/>
      <c r="Y87" s="227"/>
      <c r="Z87" s="233"/>
      <c r="AA87" s="233"/>
      <c r="AB87" s="233"/>
      <c r="AC87" s="233"/>
      <c r="AD87" s="227"/>
      <c r="AE87" s="233"/>
      <c r="AF87" s="233"/>
      <c r="AG87" s="233"/>
      <c r="AH87" s="233"/>
      <c r="AI87" s="227"/>
      <c r="AJ87" s="233"/>
      <c r="AK87" s="233"/>
      <c r="AL87" s="233"/>
      <c r="AM87" s="233"/>
      <c r="AN87" s="227"/>
      <c r="AO87" s="233"/>
      <c r="AP87" s="233"/>
      <c r="AQ87" s="233"/>
      <c r="AR87" s="233"/>
      <c r="AS87" s="227"/>
      <c r="AT87" s="233"/>
      <c r="AU87" s="233"/>
      <c r="AV87" s="233"/>
      <c r="AW87" s="233"/>
      <c r="AX87" s="227"/>
      <c r="AY87" s="233"/>
      <c r="AZ87" s="233"/>
      <c r="BA87" s="233"/>
      <c r="BB87" s="233"/>
      <c r="BC87" s="227"/>
      <c r="BD87" s="233"/>
      <c r="BE87" s="233"/>
      <c r="BF87" s="233"/>
      <c r="BG87" s="233"/>
      <c r="BH87" s="227"/>
      <c r="BI87" s="233"/>
      <c r="BJ87" s="233"/>
      <c r="BK87" s="233"/>
      <c r="BL87" s="233"/>
      <c r="BM87" s="227"/>
      <c r="BN87" s="233"/>
      <c r="BO87" s="233"/>
      <c r="BP87" s="233"/>
      <c r="BQ87" s="233"/>
      <c r="BR87" s="227"/>
      <c r="BS87" s="233"/>
      <c r="BT87" s="233"/>
      <c r="BU87" s="233"/>
      <c r="BV87" s="233"/>
      <c r="BW87" s="233"/>
      <c r="BX87" s="254"/>
    </row>
    <row r="88" spans="1:76" ht="12.75" hidden="1" customHeight="1" x14ac:dyDescent="0.2">
      <c r="A88" s="244"/>
      <c r="B88" s="244"/>
      <c r="C88" s="244"/>
      <c r="D88" s="254" t="s">
        <v>429</v>
      </c>
      <c r="E88" s="261"/>
      <c r="F88" s="244"/>
      <c r="G88" s="233">
        <v>0</v>
      </c>
      <c r="H88" s="233"/>
      <c r="I88" s="233"/>
      <c r="J88" s="227"/>
      <c r="K88" s="233"/>
      <c r="L88" s="233">
        <f>SUM(L89:L91)</f>
        <v>0</v>
      </c>
      <c r="M88" s="233"/>
      <c r="N88" s="233"/>
      <c r="O88" s="227"/>
      <c r="P88" s="233"/>
      <c r="Q88" s="233">
        <f>SUM(Q89:Q91)</f>
        <v>0</v>
      </c>
      <c r="R88" s="233"/>
      <c r="S88" s="233"/>
      <c r="T88" s="227"/>
      <c r="U88" s="233"/>
      <c r="V88" s="233">
        <f>SUM(V89:V91)</f>
        <v>0</v>
      </c>
      <c r="W88" s="233"/>
      <c r="X88" s="233"/>
      <c r="Y88" s="227"/>
      <c r="Z88" s="233"/>
      <c r="AA88" s="233">
        <f>SUM(AA89:AA91)</f>
        <v>0</v>
      </c>
      <c r="AB88" s="233"/>
      <c r="AC88" s="233"/>
      <c r="AD88" s="227"/>
      <c r="AE88" s="233"/>
      <c r="AF88" s="233">
        <f>SUM(AF89:AF91)</f>
        <v>0</v>
      </c>
      <c r="AG88" s="233"/>
      <c r="AH88" s="233"/>
      <c r="AI88" s="227"/>
      <c r="AJ88" s="233"/>
      <c r="AK88" s="233">
        <f>SUM(AK89:AK91)</f>
        <v>0</v>
      </c>
      <c r="AL88" s="233"/>
      <c r="AM88" s="233"/>
      <c r="AN88" s="227"/>
      <c r="AO88" s="233"/>
      <c r="AP88" s="233">
        <f>SUM(AP89:AP91)</f>
        <v>0</v>
      </c>
      <c r="AQ88" s="233"/>
      <c r="AR88" s="233"/>
      <c r="AS88" s="227"/>
      <c r="AT88" s="233"/>
      <c r="AU88" s="233">
        <f>SUM(AU89:AU91)</f>
        <v>0</v>
      </c>
      <c r="AV88" s="233"/>
      <c r="AW88" s="233"/>
      <c r="AX88" s="227"/>
      <c r="AY88" s="233"/>
      <c r="AZ88" s="233">
        <f>SUM(AZ89:AZ91)</f>
        <v>0</v>
      </c>
      <c r="BA88" s="233"/>
      <c r="BB88" s="233"/>
      <c r="BC88" s="227"/>
      <c r="BD88" s="233"/>
      <c r="BE88" s="233">
        <f>SUM(BE89:BE91)</f>
        <v>0</v>
      </c>
      <c r="BF88" s="233"/>
      <c r="BG88" s="233"/>
      <c r="BH88" s="227"/>
      <c r="BI88" s="233"/>
      <c r="BJ88" s="233">
        <f>SUM(BJ89:BJ91)</f>
        <v>0</v>
      </c>
      <c r="BK88" s="233"/>
      <c r="BL88" s="233"/>
      <c r="BM88" s="227"/>
      <c r="BN88" s="233"/>
      <c r="BO88" s="233">
        <f>SUM(BO89:BO91)</f>
        <v>0</v>
      </c>
      <c r="BP88" s="233"/>
      <c r="BQ88" s="233"/>
      <c r="BR88" s="227"/>
      <c r="BS88" s="233"/>
      <c r="BT88" s="233">
        <f>SUM(BT89:BT91)</f>
        <v>0</v>
      </c>
      <c r="BU88" s="233"/>
      <c r="BV88" s="233"/>
      <c r="BW88" s="233"/>
      <c r="BX88" s="254"/>
    </row>
    <row r="89" spans="1:76" ht="12.75" hidden="1" customHeight="1" x14ac:dyDescent="0.2">
      <c r="A89" s="244"/>
      <c r="B89" s="244"/>
      <c r="C89" s="244"/>
      <c r="D89" s="254" t="s">
        <v>310</v>
      </c>
      <c r="E89" s="261"/>
      <c r="F89" s="269"/>
      <c r="G89" s="343">
        <v>0</v>
      </c>
      <c r="H89" s="344"/>
      <c r="I89" s="233"/>
      <c r="J89" s="227"/>
      <c r="K89" s="345"/>
      <c r="L89" s="343">
        <v>0</v>
      </c>
      <c r="M89" s="344"/>
      <c r="N89" s="233"/>
      <c r="O89" s="227"/>
      <c r="P89" s="345"/>
      <c r="Q89" s="343">
        <v>0</v>
      </c>
      <c r="R89" s="344"/>
      <c r="S89" s="233"/>
      <c r="T89" s="227"/>
      <c r="U89" s="345"/>
      <c r="V89" s="343">
        <v>0</v>
      </c>
      <c r="W89" s="344"/>
      <c r="X89" s="233"/>
      <c r="Y89" s="227"/>
      <c r="Z89" s="345"/>
      <c r="AA89" s="343">
        <v>0</v>
      </c>
      <c r="AB89" s="344"/>
      <c r="AC89" s="233"/>
      <c r="AD89" s="227"/>
      <c r="AE89" s="345"/>
      <c r="AF89" s="343">
        <v>0</v>
      </c>
      <c r="AG89" s="344"/>
      <c r="AH89" s="233"/>
      <c r="AI89" s="227"/>
      <c r="AJ89" s="345"/>
      <c r="AK89" s="343">
        <v>0</v>
      </c>
      <c r="AL89" s="344"/>
      <c r="AM89" s="233"/>
      <c r="AN89" s="227"/>
      <c r="AO89" s="345"/>
      <c r="AP89" s="343">
        <v>0</v>
      </c>
      <c r="AQ89" s="344"/>
      <c r="AR89" s="233"/>
      <c r="AS89" s="227"/>
      <c r="AT89" s="345"/>
      <c r="AU89" s="343">
        <v>0</v>
      </c>
      <c r="AV89" s="344"/>
      <c r="AW89" s="233"/>
      <c r="AX89" s="227"/>
      <c r="AY89" s="345"/>
      <c r="AZ89" s="343">
        <v>0</v>
      </c>
      <c r="BA89" s="344"/>
      <c r="BB89" s="233"/>
      <c r="BC89" s="227"/>
      <c r="BD89" s="345"/>
      <c r="BE89" s="343">
        <v>0</v>
      </c>
      <c r="BF89" s="344"/>
      <c r="BG89" s="233"/>
      <c r="BH89" s="227"/>
      <c r="BI89" s="345"/>
      <c r="BJ89" s="343">
        <v>0</v>
      </c>
      <c r="BK89" s="344"/>
      <c r="BL89" s="233"/>
      <c r="BM89" s="227"/>
      <c r="BN89" s="345"/>
      <c r="BO89" s="343">
        <v>0</v>
      </c>
      <c r="BP89" s="344"/>
      <c r="BQ89" s="233"/>
      <c r="BR89" s="227"/>
      <c r="BS89" s="345"/>
      <c r="BT89" s="343">
        <f>SUM(L89:BO89)</f>
        <v>0</v>
      </c>
      <c r="BU89" s="344"/>
      <c r="BV89" s="233"/>
      <c r="BW89" s="233"/>
      <c r="BX89" s="254"/>
    </row>
    <row r="90" spans="1:76" ht="12.75" hidden="1" customHeight="1" x14ac:dyDescent="0.2">
      <c r="A90" s="244"/>
      <c r="B90" s="244"/>
      <c r="C90" s="244"/>
      <c r="D90" s="254" t="s">
        <v>312</v>
      </c>
      <c r="E90" s="261"/>
      <c r="F90" s="261"/>
      <c r="G90" s="233">
        <v>0</v>
      </c>
      <c r="H90" s="347"/>
      <c r="I90" s="233"/>
      <c r="J90" s="227"/>
      <c r="K90" s="227"/>
      <c r="L90" s="233">
        <v>0</v>
      </c>
      <c r="M90" s="347"/>
      <c r="N90" s="233"/>
      <c r="O90" s="227"/>
      <c r="P90" s="227"/>
      <c r="Q90" s="233">
        <v>0</v>
      </c>
      <c r="R90" s="347"/>
      <c r="S90" s="233"/>
      <c r="T90" s="227"/>
      <c r="U90" s="227"/>
      <c r="V90" s="233">
        <v>0</v>
      </c>
      <c r="W90" s="347"/>
      <c r="X90" s="233"/>
      <c r="Y90" s="227"/>
      <c r="Z90" s="227"/>
      <c r="AA90" s="233">
        <v>0</v>
      </c>
      <c r="AB90" s="347"/>
      <c r="AC90" s="233"/>
      <c r="AD90" s="227"/>
      <c r="AE90" s="227"/>
      <c r="AF90" s="233">
        <v>0</v>
      </c>
      <c r="AG90" s="347"/>
      <c r="AH90" s="233"/>
      <c r="AI90" s="227"/>
      <c r="AJ90" s="227"/>
      <c r="AK90" s="233">
        <v>0</v>
      </c>
      <c r="AL90" s="347"/>
      <c r="AM90" s="233"/>
      <c r="AN90" s="227"/>
      <c r="AO90" s="227"/>
      <c r="AP90" s="233">
        <v>0</v>
      </c>
      <c r="AQ90" s="347"/>
      <c r="AR90" s="233"/>
      <c r="AS90" s="227"/>
      <c r="AT90" s="227"/>
      <c r="AU90" s="233">
        <v>0</v>
      </c>
      <c r="AV90" s="347"/>
      <c r="AW90" s="233"/>
      <c r="AX90" s="227"/>
      <c r="AY90" s="227"/>
      <c r="AZ90" s="233">
        <v>0</v>
      </c>
      <c r="BA90" s="347"/>
      <c r="BB90" s="233"/>
      <c r="BC90" s="227"/>
      <c r="BD90" s="227"/>
      <c r="BE90" s="233">
        <v>0</v>
      </c>
      <c r="BF90" s="347"/>
      <c r="BG90" s="233"/>
      <c r="BH90" s="227"/>
      <c r="BI90" s="227"/>
      <c r="BJ90" s="233">
        <v>0</v>
      </c>
      <c r="BK90" s="347"/>
      <c r="BL90" s="233"/>
      <c r="BM90" s="227"/>
      <c r="BN90" s="227"/>
      <c r="BO90" s="233">
        <v>0</v>
      </c>
      <c r="BP90" s="347"/>
      <c r="BQ90" s="233"/>
      <c r="BR90" s="227"/>
      <c r="BS90" s="227"/>
      <c r="BT90" s="233">
        <f>SUM(L90:BO90)</f>
        <v>0</v>
      </c>
      <c r="BU90" s="347"/>
      <c r="BV90" s="233"/>
      <c r="BW90" s="233"/>
      <c r="BX90" s="254"/>
    </row>
    <row r="91" spans="1:76" ht="12.75" hidden="1" customHeight="1" x14ac:dyDescent="0.2">
      <c r="A91" s="244"/>
      <c r="B91" s="244"/>
      <c r="C91" s="244"/>
      <c r="D91" s="254" t="s">
        <v>320</v>
      </c>
      <c r="E91" s="261"/>
      <c r="F91" s="284"/>
      <c r="G91" s="355">
        <v>0</v>
      </c>
      <c r="H91" s="356"/>
      <c r="I91" s="233"/>
      <c r="J91" s="227"/>
      <c r="K91" s="357"/>
      <c r="L91" s="355">
        <v>0</v>
      </c>
      <c r="M91" s="356"/>
      <c r="N91" s="233"/>
      <c r="O91" s="227"/>
      <c r="P91" s="357"/>
      <c r="Q91" s="355">
        <v>0</v>
      </c>
      <c r="R91" s="356"/>
      <c r="S91" s="233"/>
      <c r="T91" s="227"/>
      <c r="U91" s="357"/>
      <c r="V91" s="355">
        <v>0</v>
      </c>
      <c r="W91" s="356"/>
      <c r="X91" s="233"/>
      <c r="Y91" s="227"/>
      <c r="Z91" s="357"/>
      <c r="AA91" s="355">
        <v>0</v>
      </c>
      <c r="AB91" s="356"/>
      <c r="AC91" s="233"/>
      <c r="AD91" s="227"/>
      <c r="AE91" s="357"/>
      <c r="AF91" s="355">
        <v>0</v>
      </c>
      <c r="AG91" s="356"/>
      <c r="AH91" s="233"/>
      <c r="AI91" s="227"/>
      <c r="AJ91" s="357"/>
      <c r="AK91" s="355">
        <v>0</v>
      </c>
      <c r="AL91" s="356"/>
      <c r="AM91" s="233"/>
      <c r="AN91" s="227"/>
      <c r="AO91" s="357"/>
      <c r="AP91" s="355">
        <v>0</v>
      </c>
      <c r="AQ91" s="356"/>
      <c r="AR91" s="233"/>
      <c r="AS91" s="227"/>
      <c r="AT91" s="357"/>
      <c r="AU91" s="355">
        <v>0</v>
      </c>
      <c r="AV91" s="356"/>
      <c r="AW91" s="233"/>
      <c r="AX91" s="227"/>
      <c r="AY91" s="357"/>
      <c r="AZ91" s="355">
        <v>0</v>
      </c>
      <c r="BA91" s="356"/>
      <c r="BB91" s="233"/>
      <c r="BC91" s="227"/>
      <c r="BD91" s="357"/>
      <c r="BE91" s="355">
        <v>0</v>
      </c>
      <c r="BF91" s="356"/>
      <c r="BG91" s="233"/>
      <c r="BH91" s="227"/>
      <c r="BI91" s="357"/>
      <c r="BJ91" s="355">
        <v>0</v>
      </c>
      <c r="BK91" s="356"/>
      <c r="BL91" s="233"/>
      <c r="BM91" s="227"/>
      <c r="BN91" s="357"/>
      <c r="BO91" s="355">
        <v>0</v>
      </c>
      <c r="BP91" s="356"/>
      <c r="BQ91" s="233"/>
      <c r="BR91" s="227"/>
      <c r="BS91" s="357"/>
      <c r="BT91" s="355">
        <f>SUM(L91:BO91)</f>
        <v>0</v>
      </c>
      <c r="BU91" s="356"/>
      <c r="BV91" s="233"/>
      <c r="BW91" s="233"/>
      <c r="BX91" s="254"/>
    </row>
    <row r="92" spans="1:76" ht="12.75" hidden="1" customHeight="1" x14ac:dyDescent="0.2">
      <c r="A92" s="244"/>
      <c r="B92" s="244"/>
      <c r="C92" s="244"/>
      <c r="D92" s="254"/>
      <c r="E92" s="261"/>
      <c r="F92" s="244"/>
      <c r="G92" s="233"/>
      <c r="H92" s="233"/>
      <c r="I92" s="233"/>
      <c r="J92" s="227"/>
      <c r="K92" s="233"/>
      <c r="L92" s="233"/>
      <c r="M92" s="233"/>
      <c r="N92" s="233"/>
      <c r="O92" s="227"/>
      <c r="P92" s="233"/>
      <c r="Q92" s="233"/>
      <c r="R92" s="233"/>
      <c r="S92" s="233"/>
      <c r="T92" s="227"/>
      <c r="U92" s="233"/>
      <c r="V92" s="233"/>
      <c r="W92" s="233"/>
      <c r="X92" s="233"/>
      <c r="Y92" s="227"/>
      <c r="Z92" s="233"/>
      <c r="AA92" s="233"/>
      <c r="AB92" s="233"/>
      <c r="AC92" s="233"/>
      <c r="AD92" s="227"/>
      <c r="AE92" s="233"/>
      <c r="AF92" s="233"/>
      <c r="AG92" s="233"/>
      <c r="AH92" s="233"/>
      <c r="AI92" s="227"/>
      <c r="AJ92" s="233"/>
      <c r="AK92" s="233"/>
      <c r="AL92" s="233"/>
      <c r="AM92" s="233"/>
      <c r="AN92" s="227"/>
      <c r="AO92" s="233"/>
      <c r="AP92" s="233"/>
      <c r="AQ92" s="233"/>
      <c r="AR92" s="233"/>
      <c r="AS92" s="227"/>
      <c r="AT92" s="233"/>
      <c r="AU92" s="233"/>
      <c r="AV92" s="233"/>
      <c r="AW92" s="233"/>
      <c r="AX92" s="227"/>
      <c r="AY92" s="233"/>
      <c r="AZ92" s="233"/>
      <c r="BA92" s="233"/>
      <c r="BB92" s="233"/>
      <c r="BC92" s="227"/>
      <c r="BD92" s="233"/>
      <c r="BE92" s="233"/>
      <c r="BF92" s="233"/>
      <c r="BG92" s="233"/>
      <c r="BH92" s="227"/>
      <c r="BI92" s="233"/>
      <c r="BJ92" s="233"/>
      <c r="BK92" s="233"/>
      <c r="BL92" s="233"/>
      <c r="BM92" s="227"/>
      <c r="BN92" s="233"/>
      <c r="BO92" s="233"/>
      <c r="BP92" s="233"/>
      <c r="BQ92" s="233"/>
      <c r="BR92" s="227"/>
      <c r="BS92" s="233"/>
      <c r="BT92" s="233"/>
      <c r="BU92" s="233"/>
      <c r="BV92" s="233"/>
      <c r="BW92" s="233"/>
      <c r="BX92" s="254"/>
    </row>
    <row r="93" spans="1:76" ht="12.75" hidden="1" customHeight="1" x14ac:dyDescent="0.2">
      <c r="A93" s="244"/>
      <c r="B93" s="244"/>
      <c r="C93" s="244"/>
      <c r="D93" s="254" t="s">
        <v>430</v>
      </c>
      <c r="E93" s="261"/>
      <c r="F93" s="244"/>
      <c r="G93" s="233">
        <v>0</v>
      </c>
      <c r="H93" s="233"/>
      <c r="I93" s="233"/>
      <c r="J93" s="227"/>
      <c r="K93" s="233"/>
      <c r="L93" s="233">
        <f>SUM(L94:L96)</f>
        <v>0</v>
      </c>
      <c r="M93" s="233"/>
      <c r="N93" s="233"/>
      <c r="O93" s="227"/>
      <c r="P93" s="233"/>
      <c r="Q93" s="233">
        <f>SUM(Q94:Q96)</f>
        <v>0</v>
      </c>
      <c r="R93" s="233"/>
      <c r="S93" s="233"/>
      <c r="T93" s="227"/>
      <c r="U93" s="233"/>
      <c r="V93" s="233">
        <f>SUM(V94:V96)</f>
        <v>0</v>
      </c>
      <c r="W93" s="233"/>
      <c r="X93" s="233"/>
      <c r="Y93" s="227"/>
      <c r="Z93" s="233"/>
      <c r="AA93" s="233">
        <f>SUM(AA94:AA96)</f>
        <v>0</v>
      </c>
      <c r="AB93" s="233"/>
      <c r="AC93" s="233"/>
      <c r="AD93" s="227"/>
      <c r="AE93" s="233"/>
      <c r="AF93" s="233">
        <f>SUM(AF94:AF96)</f>
        <v>0</v>
      </c>
      <c r="AG93" s="233"/>
      <c r="AH93" s="233"/>
      <c r="AI93" s="227"/>
      <c r="AJ93" s="233"/>
      <c r="AK93" s="233">
        <f>SUM(AK94:AK96)</f>
        <v>0</v>
      </c>
      <c r="AL93" s="233"/>
      <c r="AM93" s="233"/>
      <c r="AN93" s="227"/>
      <c r="AO93" s="233"/>
      <c r="AP93" s="233">
        <f>SUM(AP94:AP96)</f>
        <v>0</v>
      </c>
      <c r="AQ93" s="233"/>
      <c r="AR93" s="233"/>
      <c r="AS93" s="227"/>
      <c r="AT93" s="233"/>
      <c r="AU93" s="233">
        <f>SUM(AU94:AU96)</f>
        <v>0</v>
      </c>
      <c r="AV93" s="233"/>
      <c r="AW93" s="233"/>
      <c r="AX93" s="227"/>
      <c r="AY93" s="233"/>
      <c r="AZ93" s="233">
        <f>SUM(AZ94:AZ96)</f>
        <v>0</v>
      </c>
      <c r="BA93" s="233"/>
      <c r="BB93" s="233"/>
      <c r="BC93" s="227"/>
      <c r="BD93" s="233"/>
      <c r="BE93" s="233">
        <f>SUM(BE94:BE96)</f>
        <v>0</v>
      </c>
      <c r="BF93" s="233"/>
      <c r="BG93" s="233"/>
      <c r="BH93" s="227"/>
      <c r="BI93" s="233"/>
      <c r="BJ93" s="233">
        <f>SUM(BJ94:BJ96)</f>
        <v>0</v>
      </c>
      <c r="BK93" s="233"/>
      <c r="BL93" s="233"/>
      <c r="BM93" s="227"/>
      <c r="BN93" s="233"/>
      <c r="BO93" s="233">
        <f>SUM(BO94:BO96)</f>
        <v>0</v>
      </c>
      <c r="BP93" s="233"/>
      <c r="BQ93" s="233"/>
      <c r="BR93" s="227"/>
      <c r="BS93" s="233"/>
      <c r="BT93" s="233">
        <f>SUM(BT94:BT96)</f>
        <v>0</v>
      </c>
      <c r="BU93" s="233"/>
      <c r="BV93" s="233"/>
      <c r="BW93" s="233"/>
      <c r="BX93" s="254"/>
    </row>
    <row r="94" spans="1:76" ht="12.75" hidden="1" customHeight="1" x14ac:dyDescent="0.2">
      <c r="A94" s="244"/>
      <c r="B94" s="244"/>
      <c r="C94" s="244"/>
      <c r="D94" s="254" t="s">
        <v>310</v>
      </c>
      <c r="E94" s="261"/>
      <c r="F94" s="269"/>
      <c r="G94" s="343">
        <v>0</v>
      </c>
      <c r="H94" s="344"/>
      <c r="I94" s="233"/>
      <c r="J94" s="227"/>
      <c r="K94" s="345"/>
      <c r="L94" s="343">
        <v>0</v>
      </c>
      <c r="M94" s="344"/>
      <c r="N94" s="233"/>
      <c r="O94" s="227"/>
      <c r="P94" s="345"/>
      <c r="Q94" s="343">
        <v>0</v>
      </c>
      <c r="R94" s="344"/>
      <c r="S94" s="233"/>
      <c r="T94" s="227"/>
      <c r="U94" s="345"/>
      <c r="V94" s="343">
        <v>0</v>
      </c>
      <c r="W94" s="344"/>
      <c r="X94" s="233"/>
      <c r="Y94" s="227"/>
      <c r="Z94" s="345"/>
      <c r="AA94" s="343">
        <v>0</v>
      </c>
      <c r="AB94" s="344"/>
      <c r="AC94" s="233"/>
      <c r="AD94" s="227"/>
      <c r="AE94" s="345"/>
      <c r="AF94" s="343">
        <v>0</v>
      </c>
      <c r="AG94" s="344"/>
      <c r="AH94" s="233"/>
      <c r="AI94" s="227"/>
      <c r="AJ94" s="345"/>
      <c r="AK94" s="343">
        <v>0</v>
      </c>
      <c r="AL94" s="344"/>
      <c r="AM94" s="233"/>
      <c r="AN94" s="227"/>
      <c r="AO94" s="345"/>
      <c r="AP94" s="343">
        <v>0</v>
      </c>
      <c r="AQ94" s="344"/>
      <c r="AR94" s="233"/>
      <c r="AS94" s="227"/>
      <c r="AT94" s="345"/>
      <c r="AU94" s="343">
        <v>0</v>
      </c>
      <c r="AV94" s="344"/>
      <c r="AW94" s="233"/>
      <c r="AX94" s="227"/>
      <c r="AY94" s="345"/>
      <c r="AZ94" s="343">
        <v>0</v>
      </c>
      <c r="BA94" s="344"/>
      <c r="BB94" s="233"/>
      <c r="BC94" s="227"/>
      <c r="BD94" s="345"/>
      <c r="BE94" s="343">
        <v>0</v>
      </c>
      <c r="BF94" s="344"/>
      <c r="BG94" s="233"/>
      <c r="BH94" s="227"/>
      <c r="BI94" s="345"/>
      <c r="BJ94" s="343">
        <v>0</v>
      </c>
      <c r="BK94" s="344"/>
      <c r="BL94" s="233"/>
      <c r="BM94" s="227"/>
      <c r="BN94" s="345"/>
      <c r="BO94" s="343">
        <v>0</v>
      </c>
      <c r="BP94" s="344"/>
      <c r="BQ94" s="233"/>
      <c r="BR94" s="227"/>
      <c r="BS94" s="345"/>
      <c r="BT94" s="343">
        <f>SUM(L94:BO94)</f>
        <v>0</v>
      </c>
      <c r="BU94" s="344"/>
      <c r="BV94" s="233"/>
      <c r="BW94" s="233"/>
      <c r="BX94" s="254"/>
    </row>
    <row r="95" spans="1:76" ht="12.75" hidden="1" customHeight="1" x14ac:dyDescent="0.2">
      <c r="A95" s="244"/>
      <c r="B95" s="244"/>
      <c r="C95" s="244"/>
      <c r="D95" s="254" t="s">
        <v>312</v>
      </c>
      <c r="E95" s="261"/>
      <c r="F95" s="261"/>
      <c r="G95" s="233">
        <v>0</v>
      </c>
      <c r="H95" s="347"/>
      <c r="I95" s="233"/>
      <c r="J95" s="227"/>
      <c r="K95" s="227"/>
      <c r="L95" s="233">
        <v>0</v>
      </c>
      <c r="M95" s="347"/>
      <c r="N95" s="233"/>
      <c r="O95" s="227"/>
      <c r="P95" s="227"/>
      <c r="Q95" s="233">
        <v>0</v>
      </c>
      <c r="R95" s="347"/>
      <c r="S95" s="233"/>
      <c r="T95" s="227"/>
      <c r="U95" s="227"/>
      <c r="V95" s="233">
        <v>0</v>
      </c>
      <c r="W95" s="347"/>
      <c r="X95" s="233"/>
      <c r="Y95" s="227"/>
      <c r="Z95" s="227"/>
      <c r="AA95" s="233">
        <v>0</v>
      </c>
      <c r="AB95" s="347"/>
      <c r="AC95" s="233"/>
      <c r="AD95" s="227"/>
      <c r="AE95" s="227"/>
      <c r="AF95" s="233">
        <v>0</v>
      </c>
      <c r="AG95" s="347"/>
      <c r="AH95" s="233"/>
      <c r="AI95" s="227"/>
      <c r="AJ95" s="227"/>
      <c r="AK95" s="233">
        <v>0</v>
      </c>
      <c r="AL95" s="347"/>
      <c r="AM95" s="233"/>
      <c r="AN95" s="227"/>
      <c r="AO95" s="227"/>
      <c r="AP95" s="233">
        <v>0</v>
      </c>
      <c r="AQ95" s="347"/>
      <c r="AR95" s="233"/>
      <c r="AS95" s="227"/>
      <c r="AT95" s="227"/>
      <c r="AU95" s="233">
        <v>0</v>
      </c>
      <c r="AV95" s="347"/>
      <c r="AW95" s="233"/>
      <c r="AX95" s="227"/>
      <c r="AY95" s="227"/>
      <c r="AZ95" s="233">
        <v>0</v>
      </c>
      <c r="BA95" s="347"/>
      <c r="BB95" s="233"/>
      <c r="BC95" s="227"/>
      <c r="BD95" s="227"/>
      <c r="BE95" s="233">
        <v>0</v>
      </c>
      <c r="BF95" s="347"/>
      <c r="BG95" s="233"/>
      <c r="BH95" s="227"/>
      <c r="BI95" s="227"/>
      <c r="BJ95" s="233">
        <v>0</v>
      </c>
      <c r="BK95" s="347"/>
      <c r="BL95" s="233"/>
      <c r="BM95" s="227"/>
      <c r="BN95" s="227"/>
      <c r="BO95" s="233">
        <v>0</v>
      </c>
      <c r="BP95" s="347"/>
      <c r="BQ95" s="233"/>
      <c r="BR95" s="227"/>
      <c r="BS95" s="227"/>
      <c r="BT95" s="233">
        <f>SUM(L95:BO95)</f>
        <v>0</v>
      </c>
      <c r="BU95" s="347"/>
      <c r="BV95" s="233"/>
      <c r="BW95" s="233"/>
      <c r="BX95" s="254"/>
    </row>
    <row r="96" spans="1:76" ht="12.75" hidden="1" customHeight="1" x14ac:dyDescent="0.2">
      <c r="A96" s="244"/>
      <c r="B96" s="244"/>
      <c r="C96" s="244"/>
      <c r="D96" s="254" t="s">
        <v>320</v>
      </c>
      <c r="E96" s="261"/>
      <c r="F96" s="284"/>
      <c r="G96" s="355">
        <v>0</v>
      </c>
      <c r="H96" s="356"/>
      <c r="I96" s="233"/>
      <c r="J96" s="227"/>
      <c r="K96" s="357"/>
      <c r="L96" s="355">
        <v>0</v>
      </c>
      <c r="M96" s="356"/>
      <c r="N96" s="233"/>
      <c r="O96" s="227"/>
      <c r="P96" s="357"/>
      <c r="Q96" s="355">
        <v>0</v>
      </c>
      <c r="R96" s="356"/>
      <c r="S96" s="233"/>
      <c r="T96" s="227"/>
      <c r="U96" s="357"/>
      <c r="V96" s="355">
        <v>0</v>
      </c>
      <c r="W96" s="356"/>
      <c r="X96" s="233"/>
      <c r="Y96" s="227"/>
      <c r="Z96" s="357"/>
      <c r="AA96" s="355">
        <v>0</v>
      </c>
      <c r="AB96" s="356"/>
      <c r="AC96" s="233"/>
      <c r="AD96" s="227"/>
      <c r="AE96" s="357"/>
      <c r="AF96" s="355">
        <v>0</v>
      </c>
      <c r="AG96" s="356"/>
      <c r="AH96" s="233"/>
      <c r="AI96" s="227"/>
      <c r="AJ96" s="357"/>
      <c r="AK96" s="355">
        <v>0</v>
      </c>
      <c r="AL96" s="356"/>
      <c r="AM96" s="233"/>
      <c r="AN96" s="227"/>
      <c r="AO96" s="357"/>
      <c r="AP96" s="355">
        <v>0</v>
      </c>
      <c r="AQ96" s="356"/>
      <c r="AR96" s="233"/>
      <c r="AS96" s="227"/>
      <c r="AT96" s="357"/>
      <c r="AU96" s="355">
        <v>0</v>
      </c>
      <c r="AV96" s="356"/>
      <c r="AW96" s="233"/>
      <c r="AX96" s="227"/>
      <c r="AY96" s="357"/>
      <c r="AZ96" s="355">
        <v>0</v>
      </c>
      <c r="BA96" s="356"/>
      <c r="BB96" s="233"/>
      <c r="BC96" s="227"/>
      <c r="BD96" s="357"/>
      <c r="BE96" s="355">
        <v>0</v>
      </c>
      <c r="BF96" s="356"/>
      <c r="BG96" s="233"/>
      <c r="BH96" s="227"/>
      <c r="BI96" s="357"/>
      <c r="BJ96" s="355">
        <v>0</v>
      </c>
      <c r="BK96" s="356"/>
      <c r="BL96" s="233"/>
      <c r="BM96" s="227"/>
      <c r="BN96" s="357"/>
      <c r="BO96" s="355">
        <v>0</v>
      </c>
      <c r="BP96" s="356"/>
      <c r="BQ96" s="233"/>
      <c r="BR96" s="227"/>
      <c r="BS96" s="357"/>
      <c r="BT96" s="355">
        <f>SUM(L96:BO96)</f>
        <v>0</v>
      </c>
      <c r="BU96" s="356"/>
      <c r="BV96" s="233"/>
      <c r="BW96" s="233"/>
      <c r="BX96" s="254"/>
    </row>
    <row r="97" spans="1:76" ht="12.75" hidden="1" customHeight="1" x14ac:dyDescent="0.2">
      <c r="A97" s="244"/>
      <c r="B97" s="244"/>
      <c r="C97" s="244"/>
      <c r="D97" s="254"/>
      <c r="E97" s="261"/>
      <c r="F97" s="244"/>
      <c r="G97" s="233"/>
      <c r="H97" s="233"/>
      <c r="I97" s="233"/>
      <c r="J97" s="227"/>
      <c r="K97" s="233"/>
      <c r="L97" s="233"/>
      <c r="M97" s="233"/>
      <c r="N97" s="233"/>
      <c r="O97" s="227"/>
      <c r="P97" s="233"/>
      <c r="Q97" s="233"/>
      <c r="R97" s="233"/>
      <c r="S97" s="233"/>
      <c r="T97" s="227"/>
      <c r="U97" s="233"/>
      <c r="V97" s="233"/>
      <c r="W97" s="233"/>
      <c r="X97" s="233"/>
      <c r="Y97" s="227"/>
      <c r="Z97" s="233"/>
      <c r="AA97" s="233"/>
      <c r="AB97" s="233"/>
      <c r="AC97" s="233"/>
      <c r="AD97" s="227"/>
      <c r="AE97" s="233"/>
      <c r="AF97" s="233"/>
      <c r="AG97" s="233"/>
      <c r="AH97" s="233"/>
      <c r="AI97" s="227"/>
      <c r="AJ97" s="233"/>
      <c r="AK97" s="233"/>
      <c r="AL97" s="233"/>
      <c r="AM97" s="233"/>
      <c r="AN97" s="227"/>
      <c r="AO97" s="233"/>
      <c r="AP97" s="233"/>
      <c r="AQ97" s="233"/>
      <c r="AR97" s="233"/>
      <c r="AS97" s="227"/>
      <c r="AT97" s="233"/>
      <c r="AU97" s="233"/>
      <c r="AV97" s="233"/>
      <c r="AW97" s="233"/>
      <c r="AX97" s="227"/>
      <c r="AY97" s="233"/>
      <c r="AZ97" s="233"/>
      <c r="BA97" s="233"/>
      <c r="BB97" s="233"/>
      <c r="BC97" s="227"/>
      <c r="BD97" s="233"/>
      <c r="BE97" s="233"/>
      <c r="BF97" s="233"/>
      <c r="BG97" s="233"/>
      <c r="BH97" s="227"/>
      <c r="BI97" s="233"/>
      <c r="BJ97" s="233"/>
      <c r="BK97" s="233"/>
      <c r="BL97" s="233"/>
      <c r="BM97" s="227"/>
      <c r="BN97" s="233"/>
      <c r="BO97" s="233"/>
      <c r="BP97" s="233"/>
      <c r="BQ97" s="233"/>
      <c r="BR97" s="227"/>
      <c r="BS97" s="233"/>
      <c r="BT97" s="233"/>
      <c r="BU97" s="233"/>
      <c r="BV97" s="233"/>
      <c r="BW97" s="233"/>
      <c r="BX97" s="254"/>
    </row>
    <row r="98" spans="1:76" ht="12.75" hidden="1" customHeight="1" x14ac:dyDescent="0.2">
      <c r="A98" s="244"/>
      <c r="B98" s="244"/>
      <c r="C98" s="244"/>
      <c r="D98" s="254" t="s">
        <v>431</v>
      </c>
      <c r="E98" s="261"/>
      <c r="F98" s="244"/>
      <c r="G98" s="233">
        <v>0</v>
      </c>
      <c r="H98" s="233"/>
      <c r="I98" s="233"/>
      <c r="J98" s="227"/>
      <c r="K98" s="233"/>
      <c r="L98" s="233">
        <f>SUM(L99:L101)</f>
        <v>0</v>
      </c>
      <c r="M98" s="233"/>
      <c r="N98" s="233"/>
      <c r="O98" s="227"/>
      <c r="P98" s="233"/>
      <c r="Q98" s="233">
        <f>SUM(Q99:Q101)</f>
        <v>0</v>
      </c>
      <c r="R98" s="233"/>
      <c r="S98" s="233"/>
      <c r="T98" s="227"/>
      <c r="U98" s="233"/>
      <c r="V98" s="233">
        <f>SUM(V99:V101)</f>
        <v>0</v>
      </c>
      <c r="W98" s="233"/>
      <c r="X98" s="233"/>
      <c r="Y98" s="227"/>
      <c r="Z98" s="233"/>
      <c r="AA98" s="233">
        <f>SUM(AA99:AA101)</f>
        <v>0</v>
      </c>
      <c r="AB98" s="233"/>
      <c r="AC98" s="233"/>
      <c r="AD98" s="227"/>
      <c r="AE98" s="233"/>
      <c r="AF98" s="233">
        <f>SUM(AF99:AF101)</f>
        <v>0</v>
      </c>
      <c r="AG98" s="233"/>
      <c r="AH98" s="233"/>
      <c r="AI98" s="227"/>
      <c r="AJ98" s="233"/>
      <c r="AK98" s="233">
        <f>SUM(AK99:AK101)</f>
        <v>0</v>
      </c>
      <c r="AL98" s="233"/>
      <c r="AM98" s="233"/>
      <c r="AN98" s="227"/>
      <c r="AO98" s="233"/>
      <c r="AP98" s="233">
        <f>SUM(AP99:AP101)</f>
        <v>0</v>
      </c>
      <c r="AQ98" s="233"/>
      <c r="AR98" s="233"/>
      <c r="AS98" s="227"/>
      <c r="AT98" s="233"/>
      <c r="AU98" s="233">
        <f>SUM(AU99:AU101)</f>
        <v>0</v>
      </c>
      <c r="AV98" s="233"/>
      <c r="AW98" s="233"/>
      <c r="AX98" s="227"/>
      <c r="AY98" s="233"/>
      <c r="AZ98" s="233">
        <f>SUM(AZ99:AZ101)</f>
        <v>0</v>
      </c>
      <c r="BA98" s="233"/>
      <c r="BB98" s="233"/>
      <c r="BC98" s="227"/>
      <c r="BD98" s="233"/>
      <c r="BE98" s="233">
        <f>SUM(BE99:BE101)</f>
        <v>0</v>
      </c>
      <c r="BF98" s="233"/>
      <c r="BG98" s="233"/>
      <c r="BH98" s="227"/>
      <c r="BI98" s="233"/>
      <c r="BJ98" s="233">
        <f>SUM(BJ99:BJ101)</f>
        <v>0</v>
      </c>
      <c r="BK98" s="233"/>
      <c r="BL98" s="233"/>
      <c r="BM98" s="227"/>
      <c r="BN98" s="233"/>
      <c r="BO98" s="233">
        <f>SUM(BO99:BO101)</f>
        <v>0</v>
      </c>
      <c r="BP98" s="233"/>
      <c r="BQ98" s="233"/>
      <c r="BR98" s="227"/>
      <c r="BS98" s="233"/>
      <c r="BT98" s="233">
        <f>SUM(BT99:BT101)</f>
        <v>0</v>
      </c>
      <c r="BU98" s="233"/>
      <c r="BV98" s="233"/>
      <c r="BW98" s="233"/>
      <c r="BX98" s="254"/>
    </row>
    <row r="99" spans="1:76" ht="12.75" hidden="1" customHeight="1" x14ac:dyDescent="0.2">
      <c r="A99" s="244"/>
      <c r="B99" s="244"/>
      <c r="C99" s="244"/>
      <c r="D99" s="254" t="s">
        <v>310</v>
      </c>
      <c r="E99" s="261"/>
      <c r="F99" s="269"/>
      <c r="G99" s="343">
        <v>0</v>
      </c>
      <c r="H99" s="344"/>
      <c r="I99" s="233"/>
      <c r="J99" s="227"/>
      <c r="K99" s="345"/>
      <c r="L99" s="343">
        <v>0</v>
      </c>
      <c r="M99" s="344"/>
      <c r="N99" s="233"/>
      <c r="O99" s="227"/>
      <c r="P99" s="345"/>
      <c r="Q99" s="343">
        <v>0</v>
      </c>
      <c r="R99" s="344"/>
      <c r="S99" s="233"/>
      <c r="T99" s="227"/>
      <c r="U99" s="345"/>
      <c r="V99" s="343">
        <v>0</v>
      </c>
      <c r="W99" s="344"/>
      <c r="X99" s="233"/>
      <c r="Y99" s="227"/>
      <c r="Z99" s="345"/>
      <c r="AA99" s="343">
        <v>0</v>
      </c>
      <c r="AB99" s="344"/>
      <c r="AC99" s="233"/>
      <c r="AD99" s="227"/>
      <c r="AE99" s="345"/>
      <c r="AF99" s="343">
        <v>0</v>
      </c>
      <c r="AG99" s="344"/>
      <c r="AH99" s="233"/>
      <c r="AI99" s="227"/>
      <c r="AJ99" s="345"/>
      <c r="AK99" s="343">
        <v>0</v>
      </c>
      <c r="AL99" s="344"/>
      <c r="AM99" s="233"/>
      <c r="AN99" s="227"/>
      <c r="AO99" s="345"/>
      <c r="AP99" s="343">
        <v>0</v>
      </c>
      <c r="AQ99" s="344"/>
      <c r="AR99" s="233"/>
      <c r="AS99" s="227"/>
      <c r="AT99" s="345"/>
      <c r="AU99" s="343">
        <v>0</v>
      </c>
      <c r="AV99" s="344"/>
      <c r="AW99" s="233"/>
      <c r="AX99" s="227"/>
      <c r="AY99" s="345"/>
      <c r="AZ99" s="343">
        <v>0</v>
      </c>
      <c r="BA99" s="344"/>
      <c r="BB99" s="233"/>
      <c r="BC99" s="227"/>
      <c r="BD99" s="345"/>
      <c r="BE99" s="343">
        <v>0</v>
      </c>
      <c r="BF99" s="344"/>
      <c r="BG99" s="233"/>
      <c r="BH99" s="227"/>
      <c r="BI99" s="345"/>
      <c r="BJ99" s="343">
        <v>0</v>
      </c>
      <c r="BK99" s="344"/>
      <c r="BL99" s="233"/>
      <c r="BM99" s="227"/>
      <c r="BN99" s="345"/>
      <c r="BO99" s="343">
        <v>0</v>
      </c>
      <c r="BP99" s="344"/>
      <c r="BQ99" s="233"/>
      <c r="BR99" s="227"/>
      <c r="BS99" s="345"/>
      <c r="BT99" s="343">
        <f>SUM(L99:BO99)</f>
        <v>0</v>
      </c>
      <c r="BU99" s="344"/>
      <c r="BV99" s="233"/>
      <c r="BW99" s="233"/>
      <c r="BX99" s="254"/>
    </row>
    <row r="100" spans="1:76" ht="12.75" hidden="1" customHeight="1" x14ac:dyDescent="0.2">
      <c r="A100" s="244"/>
      <c r="B100" s="244"/>
      <c r="C100" s="244"/>
      <c r="D100" s="254" t="s">
        <v>312</v>
      </c>
      <c r="E100" s="261"/>
      <c r="F100" s="261"/>
      <c r="G100" s="233">
        <v>0</v>
      </c>
      <c r="H100" s="347"/>
      <c r="I100" s="233"/>
      <c r="J100" s="227"/>
      <c r="K100" s="227"/>
      <c r="L100" s="233">
        <v>0</v>
      </c>
      <c r="M100" s="347"/>
      <c r="N100" s="233"/>
      <c r="O100" s="227"/>
      <c r="P100" s="227"/>
      <c r="Q100" s="233">
        <v>0</v>
      </c>
      <c r="R100" s="347"/>
      <c r="S100" s="233"/>
      <c r="T100" s="227"/>
      <c r="U100" s="227"/>
      <c r="V100" s="233">
        <v>0</v>
      </c>
      <c r="W100" s="347"/>
      <c r="X100" s="233"/>
      <c r="Y100" s="227"/>
      <c r="Z100" s="227"/>
      <c r="AA100" s="233">
        <v>0</v>
      </c>
      <c r="AB100" s="347"/>
      <c r="AC100" s="233"/>
      <c r="AD100" s="227"/>
      <c r="AE100" s="227"/>
      <c r="AF100" s="233">
        <v>0</v>
      </c>
      <c r="AG100" s="347"/>
      <c r="AH100" s="233"/>
      <c r="AI100" s="227"/>
      <c r="AJ100" s="227"/>
      <c r="AK100" s="233">
        <v>0</v>
      </c>
      <c r="AL100" s="347"/>
      <c r="AM100" s="233"/>
      <c r="AN100" s="227"/>
      <c r="AO100" s="227"/>
      <c r="AP100" s="233">
        <v>0</v>
      </c>
      <c r="AQ100" s="347"/>
      <c r="AR100" s="233"/>
      <c r="AS100" s="227"/>
      <c r="AT100" s="227"/>
      <c r="AU100" s="233">
        <v>0</v>
      </c>
      <c r="AV100" s="347"/>
      <c r="AW100" s="233"/>
      <c r="AX100" s="227"/>
      <c r="AY100" s="227"/>
      <c r="AZ100" s="233">
        <v>0</v>
      </c>
      <c r="BA100" s="347"/>
      <c r="BB100" s="233"/>
      <c r="BC100" s="227"/>
      <c r="BD100" s="227"/>
      <c r="BE100" s="233">
        <v>0</v>
      </c>
      <c r="BF100" s="347"/>
      <c r="BG100" s="233"/>
      <c r="BH100" s="227"/>
      <c r="BI100" s="227"/>
      <c r="BJ100" s="233">
        <v>0</v>
      </c>
      <c r="BK100" s="347"/>
      <c r="BL100" s="233"/>
      <c r="BM100" s="227"/>
      <c r="BN100" s="227"/>
      <c r="BO100" s="233">
        <v>0</v>
      </c>
      <c r="BP100" s="347"/>
      <c r="BQ100" s="233"/>
      <c r="BR100" s="227"/>
      <c r="BS100" s="227"/>
      <c r="BT100" s="233">
        <f>SUM(L100:BO100)</f>
        <v>0</v>
      </c>
      <c r="BU100" s="347"/>
      <c r="BV100" s="233"/>
      <c r="BW100" s="233"/>
      <c r="BX100" s="254"/>
    </row>
    <row r="101" spans="1:76" ht="12.75" hidden="1" customHeight="1" x14ac:dyDescent="0.2">
      <c r="A101" s="244"/>
      <c r="B101" s="244"/>
      <c r="C101" s="244"/>
      <c r="D101" s="254" t="s">
        <v>320</v>
      </c>
      <c r="E101" s="261"/>
      <c r="F101" s="284"/>
      <c r="G101" s="355">
        <v>0</v>
      </c>
      <c r="H101" s="356"/>
      <c r="I101" s="233"/>
      <c r="J101" s="227"/>
      <c r="K101" s="357"/>
      <c r="L101" s="355">
        <v>0</v>
      </c>
      <c r="M101" s="356"/>
      <c r="N101" s="233"/>
      <c r="O101" s="227"/>
      <c r="P101" s="357"/>
      <c r="Q101" s="355">
        <v>0</v>
      </c>
      <c r="R101" s="356"/>
      <c r="S101" s="233"/>
      <c r="T101" s="227"/>
      <c r="U101" s="357"/>
      <c r="V101" s="355">
        <v>0</v>
      </c>
      <c r="W101" s="356"/>
      <c r="X101" s="233"/>
      <c r="Y101" s="227"/>
      <c r="Z101" s="357"/>
      <c r="AA101" s="355">
        <v>0</v>
      </c>
      <c r="AB101" s="356"/>
      <c r="AC101" s="233"/>
      <c r="AD101" s="227"/>
      <c r="AE101" s="357"/>
      <c r="AF101" s="355">
        <v>0</v>
      </c>
      <c r="AG101" s="356"/>
      <c r="AH101" s="233"/>
      <c r="AI101" s="227"/>
      <c r="AJ101" s="357"/>
      <c r="AK101" s="355">
        <v>0</v>
      </c>
      <c r="AL101" s="356"/>
      <c r="AM101" s="233"/>
      <c r="AN101" s="227"/>
      <c r="AO101" s="357"/>
      <c r="AP101" s="355">
        <v>0</v>
      </c>
      <c r="AQ101" s="356"/>
      <c r="AR101" s="233"/>
      <c r="AS101" s="227"/>
      <c r="AT101" s="357"/>
      <c r="AU101" s="355">
        <v>0</v>
      </c>
      <c r="AV101" s="356"/>
      <c r="AW101" s="233"/>
      <c r="AX101" s="227"/>
      <c r="AY101" s="357"/>
      <c r="AZ101" s="355">
        <v>0</v>
      </c>
      <c r="BA101" s="356"/>
      <c r="BB101" s="233"/>
      <c r="BC101" s="227"/>
      <c r="BD101" s="357"/>
      <c r="BE101" s="355">
        <v>0</v>
      </c>
      <c r="BF101" s="356"/>
      <c r="BG101" s="233"/>
      <c r="BH101" s="227"/>
      <c r="BI101" s="357"/>
      <c r="BJ101" s="355">
        <v>0</v>
      </c>
      <c r="BK101" s="356"/>
      <c r="BL101" s="233"/>
      <c r="BM101" s="227"/>
      <c r="BN101" s="357"/>
      <c r="BO101" s="355">
        <v>0</v>
      </c>
      <c r="BP101" s="356"/>
      <c r="BQ101" s="233"/>
      <c r="BR101" s="227"/>
      <c r="BS101" s="357"/>
      <c r="BT101" s="355">
        <f>SUM(L101:BO101)</f>
        <v>0</v>
      </c>
      <c r="BU101" s="356"/>
      <c r="BV101" s="233"/>
      <c r="BW101" s="233"/>
      <c r="BX101" s="254"/>
    </row>
    <row r="102" spans="1:76" x14ac:dyDescent="0.2">
      <c r="A102" s="244"/>
      <c r="B102" s="244"/>
      <c r="C102" s="244"/>
      <c r="D102" s="254"/>
      <c r="E102" s="261"/>
      <c r="F102" s="244"/>
      <c r="G102" s="233"/>
      <c r="H102" s="233"/>
      <c r="I102" s="233"/>
      <c r="J102" s="227"/>
      <c r="K102" s="233"/>
      <c r="L102" s="233"/>
      <c r="M102" s="233"/>
      <c r="N102" s="233"/>
      <c r="O102" s="227"/>
      <c r="P102" s="233"/>
      <c r="Q102" s="233"/>
      <c r="R102" s="233"/>
      <c r="S102" s="233"/>
      <c r="T102" s="227"/>
      <c r="U102" s="233"/>
      <c r="V102" s="233"/>
      <c r="W102" s="233"/>
      <c r="X102" s="233"/>
      <c r="Y102" s="227"/>
      <c r="Z102" s="233"/>
      <c r="AA102" s="233"/>
      <c r="AB102" s="233"/>
      <c r="AC102" s="233"/>
      <c r="AD102" s="227"/>
      <c r="AE102" s="233"/>
      <c r="AF102" s="233"/>
      <c r="AG102" s="233"/>
      <c r="AH102" s="233"/>
      <c r="AI102" s="227"/>
      <c r="AJ102" s="233"/>
      <c r="AK102" s="233"/>
      <c r="AL102" s="233"/>
      <c r="AM102" s="233"/>
      <c r="AN102" s="227"/>
      <c r="AO102" s="233"/>
      <c r="AP102" s="233"/>
      <c r="AQ102" s="233"/>
      <c r="AR102" s="233"/>
      <c r="AS102" s="227"/>
      <c r="AT102" s="233"/>
      <c r="AU102" s="233"/>
      <c r="AV102" s="233"/>
      <c r="AW102" s="233"/>
      <c r="AX102" s="227"/>
      <c r="AY102" s="233"/>
      <c r="AZ102" s="233"/>
      <c r="BA102" s="233"/>
      <c r="BB102" s="233"/>
      <c r="BC102" s="227"/>
      <c r="BD102" s="233"/>
      <c r="BE102" s="233"/>
      <c r="BF102" s="233"/>
      <c r="BG102" s="233"/>
      <c r="BH102" s="227"/>
      <c r="BI102" s="233"/>
      <c r="BJ102" s="233"/>
      <c r="BK102" s="233"/>
      <c r="BL102" s="233"/>
      <c r="BM102" s="227"/>
      <c r="BN102" s="233"/>
      <c r="BO102" s="233"/>
      <c r="BP102" s="233"/>
      <c r="BQ102" s="233"/>
      <c r="BR102" s="227"/>
      <c r="BS102" s="233"/>
      <c r="BT102" s="233"/>
      <c r="BU102" s="233"/>
      <c r="BV102" s="233"/>
      <c r="BW102" s="233"/>
      <c r="BX102" s="254"/>
    </row>
    <row r="103" spans="1:76" x14ac:dyDescent="0.2">
      <c r="A103" s="244"/>
      <c r="B103" s="244"/>
      <c r="D103" s="262" t="s">
        <v>432</v>
      </c>
      <c r="E103" s="261"/>
      <c r="F103" s="244"/>
      <c r="G103" s="267">
        <f>SUM(G104:G106)</f>
        <v>50208000</v>
      </c>
      <c r="H103" s="244"/>
      <c r="I103" s="244"/>
      <c r="J103" s="261"/>
      <c r="K103" s="244"/>
      <c r="L103" s="245">
        <f>SUM(L104:L106)</f>
        <v>628449</v>
      </c>
      <c r="M103" s="244"/>
      <c r="N103" s="244"/>
      <c r="O103" s="261"/>
      <c r="P103" s="244"/>
      <c r="Q103" s="245">
        <f>SUM(Q104:Q106)</f>
        <v>25247385</v>
      </c>
      <c r="R103" s="244"/>
      <c r="S103" s="244"/>
      <c r="T103" s="261"/>
      <c r="U103" s="244"/>
      <c r="V103" s="245">
        <f>SUM(V104:V106)</f>
        <v>0</v>
      </c>
      <c r="W103" s="244"/>
      <c r="X103" s="244"/>
      <c r="Y103" s="261"/>
      <c r="Z103" s="244"/>
      <c r="AA103" s="245">
        <f>SUM(AA104:AA106)</f>
        <v>0</v>
      </c>
      <c r="AB103" s="244"/>
      <c r="AC103" s="244"/>
      <c r="AD103" s="261"/>
      <c r="AE103" s="244"/>
      <c r="AF103" s="245">
        <f>SUM(AF104:AF106)</f>
        <v>0</v>
      </c>
      <c r="AG103" s="244"/>
      <c r="AH103" s="244"/>
      <c r="AI103" s="261"/>
      <c r="AJ103" s="244"/>
      <c r="AK103" s="245">
        <f>SUM(AK104:AK106)</f>
        <v>0</v>
      </c>
      <c r="AL103" s="244"/>
      <c r="AM103" s="244"/>
      <c r="AN103" s="261"/>
      <c r="AO103" s="244"/>
      <c r="AP103" s="245">
        <f>SUM(AP104:AP106)</f>
        <v>654491</v>
      </c>
      <c r="AQ103" s="244"/>
      <c r="AR103" s="244"/>
      <c r="AS103" s="261"/>
      <c r="AT103" s="244"/>
      <c r="AU103" s="245">
        <f>SUM(AU104:AU106)</f>
        <v>6365</v>
      </c>
      <c r="AV103" s="244"/>
      <c r="AW103" s="244"/>
      <c r="AX103" s="261"/>
      <c r="AY103" s="244"/>
      <c r="AZ103" s="245">
        <f>SUM(AZ104:AZ106)</f>
        <v>0</v>
      </c>
      <c r="BA103" s="244"/>
      <c r="BB103" s="244"/>
      <c r="BC103" s="261"/>
      <c r="BD103" s="244"/>
      <c r="BE103" s="245">
        <f>SUM(BE104:BE106)</f>
        <v>0</v>
      </c>
      <c r="BF103" s="244"/>
      <c r="BG103" s="244"/>
      <c r="BH103" s="261"/>
      <c r="BI103" s="244"/>
      <c r="BJ103" s="245">
        <f>SUM(BJ104:BJ106)</f>
        <v>0</v>
      </c>
      <c r="BK103" s="244"/>
      <c r="BL103" s="244"/>
      <c r="BM103" s="261"/>
      <c r="BN103" s="244"/>
      <c r="BO103" s="245">
        <f>SUM(BO104:BO106)</f>
        <v>24692267</v>
      </c>
      <c r="BP103" s="244"/>
      <c r="BQ103" s="244"/>
      <c r="BR103" s="261"/>
      <c r="BS103" s="244"/>
      <c r="BT103" s="245">
        <f>SUM(BT104:BT106)</f>
        <v>51228957</v>
      </c>
      <c r="BU103" s="244"/>
      <c r="BV103" s="244"/>
      <c r="BW103" s="244"/>
      <c r="BX103" s="254"/>
    </row>
    <row r="104" spans="1:76" x14ac:dyDescent="0.2">
      <c r="A104" s="244"/>
      <c r="B104" s="244"/>
      <c r="D104" s="118" t="s">
        <v>433</v>
      </c>
      <c r="E104" s="261"/>
      <c r="F104" s="269"/>
      <c r="G104" s="274">
        <f>G108</f>
        <v>50208000</v>
      </c>
      <c r="H104" s="271"/>
      <c r="I104" s="244"/>
      <c r="J104" s="261"/>
      <c r="K104" s="269"/>
      <c r="L104" s="270">
        <f>L108</f>
        <v>628449</v>
      </c>
      <c r="M104" s="271"/>
      <c r="N104" s="244"/>
      <c r="O104" s="261"/>
      <c r="P104" s="269"/>
      <c r="Q104" s="270">
        <f>Q108</f>
        <v>25247385</v>
      </c>
      <c r="R104" s="271"/>
      <c r="S104" s="244"/>
      <c r="T104" s="261"/>
      <c r="U104" s="269"/>
      <c r="V104" s="270">
        <f>V108</f>
        <v>0</v>
      </c>
      <c r="W104" s="271"/>
      <c r="X104" s="244"/>
      <c r="Y104" s="261"/>
      <c r="Z104" s="269"/>
      <c r="AA104" s="270">
        <f>AA108</f>
        <v>0</v>
      </c>
      <c r="AB104" s="271"/>
      <c r="AC104" s="244"/>
      <c r="AD104" s="261"/>
      <c r="AE104" s="269"/>
      <c r="AF104" s="270">
        <f>AF108</f>
        <v>0</v>
      </c>
      <c r="AG104" s="271"/>
      <c r="AH104" s="244"/>
      <c r="AI104" s="261"/>
      <c r="AJ104" s="269"/>
      <c r="AK104" s="270">
        <f>AK108</f>
        <v>0</v>
      </c>
      <c r="AL104" s="271"/>
      <c r="AM104" s="244"/>
      <c r="AN104" s="261"/>
      <c r="AO104" s="269"/>
      <c r="AP104" s="270">
        <f>AP108</f>
        <v>654491</v>
      </c>
      <c r="AQ104" s="271"/>
      <c r="AR104" s="244"/>
      <c r="AS104" s="261"/>
      <c r="AT104" s="269"/>
      <c r="AU104" s="274">
        <f>AU108</f>
        <v>6365</v>
      </c>
      <c r="AV104" s="271"/>
      <c r="AW104" s="244"/>
      <c r="AX104" s="261"/>
      <c r="AY104" s="269"/>
      <c r="AZ104" s="274">
        <f>AZ108</f>
        <v>0</v>
      </c>
      <c r="BA104" s="271"/>
      <c r="BB104" s="244"/>
      <c r="BC104" s="261"/>
      <c r="BD104" s="269"/>
      <c r="BE104" s="274">
        <f>BE108</f>
        <v>0</v>
      </c>
      <c r="BF104" s="271"/>
      <c r="BG104" s="244"/>
      <c r="BH104" s="261"/>
      <c r="BI104" s="269"/>
      <c r="BJ104" s="274">
        <f>BJ108</f>
        <v>0</v>
      </c>
      <c r="BK104" s="271"/>
      <c r="BL104" s="244"/>
      <c r="BM104" s="261"/>
      <c r="BN104" s="269"/>
      <c r="BO104" s="274">
        <f>BO108</f>
        <v>24692267</v>
      </c>
      <c r="BP104" s="271"/>
      <c r="BQ104" s="244"/>
      <c r="BR104" s="261"/>
      <c r="BS104" s="269"/>
      <c r="BT104" s="270">
        <f>BT108</f>
        <v>51228957</v>
      </c>
      <c r="BU104" s="271"/>
      <c r="BV104" s="244"/>
      <c r="BW104" s="244"/>
      <c r="BX104" s="254"/>
    </row>
    <row r="105" spans="1:76" x14ac:dyDescent="0.2">
      <c r="A105" s="244"/>
      <c r="B105" s="244"/>
      <c r="D105" s="118" t="s">
        <v>434</v>
      </c>
      <c r="E105" s="261"/>
      <c r="F105" s="261"/>
      <c r="G105" s="282">
        <f>G156</f>
        <v>0</v>
      </c>
      <c r="H105" s="276"/>
      <c r="I105" s="244"/>
      <c r="J105" s="261"/>
      <c r="K105" s="261"/>
      <c r="L105" s="244">
        <f>L156</f>
        <v>0</v>
      </c>
      <c r="M105" s="276"/>
      <c r="N105" s="244"/>
      <c r="O105" s="261"/>
      <c r="P105" s="261"/>
      <c r="Q105" s="244">
        <f>Q156</f>
        <v>0</v>
      </c>
      <c r="R105" s="276"/>
      <c r="S105" s="244"/>
      <c r="T105" s="261"/>
      <c r="U105" s="261"/>
      <c r="V105" s="244">
        <f>V156</f>
        <v>0</v>
      </c>
      <c r="W105" s="276"/>
      <c r="X105" s="244"/>
      <c r="Y105" s="261"/>
      <c r="Z105" s="261"/>
      <c r="AA105" s="244">
        <f>AA156</f>
        <v>0</v>
      </c>
      <c r="AB105" s="276"/>
      <c r="AC105" s="244"/>
      <c r="AD105" s="261"/>
      <c r="AE105" s="261"/>
      <c r="AF105" s="244">
        <f>AF156</f>
        <v>0</v>
      </c>
      <c r="AG105" s="276"/>
      <c r="AH105" s="244"/>
      <c r="AI105" s="261"/>
      <c r="AJ105" s="261"/>
      <c r="AK105" s="244">
        <f>AK156</f>
        <v>0</v>
      </c>
      <c r="AL105" s="276"/>
      <c r="AM105" s="244"/>
      <c r="AN105" s="261"/>
      <c r="AO105" s="261"/>
      <c r="AP105" s="244">
        <f>AP156</f>
        <v>0</v>
      </c>
      <c r="AQ105" s="276"/>
      <c r="AR105" s="244"/>
      <c r="AS105" s="261"/>
      <c r="AT105" s="261"/>
      <c r="AU105" s="282">
        <f>AU156</f>
        <v>0</v>
      </c>
      <c r="AV105" s="276"/>
      <c r="AW105" s="244"/>
      <c r="AX105" s="261"/>
      <c r="AY105" s="261"/>
      <c r="AZ105" s="282">
        <f>AZ156</f>
        <v>0</v>
      </c>
      <c r="BA105" s="276"/>
      <c r="BB105" s="244"/>
      <c r="BC105" s="261"/>
      <c r="BD105" s="261"/>
      <c r="BE105" s="282">
        <f>BE156</f>
        <v>0</v>
      </c>
      <c r="BF105" s="276"/>
      <c r="BG105" s="244"/>
      <c r="BH105" s="261"/>
      <c r="BI105" s="261"/>
      <c r="BJ105" s="282">
        <f>BJ156</f>
        <v>0</v>
      </c>
      <c r="BK105" s="276"/>
      <c r="BL105" s="244"/>
      <c r="BM105" s="261"/>
      <c r="BN105" s="261"/>
      <c r="BO105" s="282">
        <f>BO156</f>
        <v>0</v>
      </c>
      <c r="BP105" s="276"/>
      <c r="BQ105" s="244"/>
      <c r="BR105" s="261"/>
      <c r="BS105" s="261"/>
      <c r="BT105" s="244">
        <f>BT156</f>
        <v>0</v>
      </c>
      <c r="BU105" s="276"/>
      <c r="BV105" s="244"/>
      <c r="BW105" s="244"/>
      <c r="BX105" s="254"/>
    </row>
    <row r="106" spans="1:76" x14ac:dyDescent="0.2">
      <c r="A106" s="244"/>
      <c r="B106" s="244"/>
      <c r="D106" s="118" t="s">
        <v>435</v>
      </c>
      <c r="E106" s="261"/>
      <c r="F106" s="284"/>
      <c r="G106" s="285">
        <f>G168</f>
        <v>0</v>
      </c>
      <c r="H106" s="286"/>
      <c r="I106" s="244"/>
      <c r="J106" s="261"/>
      <c r="K106" s="284"/>
      <c r="L106" s="287">
        <f>L168</f>
        <v>0</v>
      </c>
      <c r="M106" s="286"/>
      <c r="N106" s="244"/>
      <c r="O106" s="261"/>
      <c r="P106" s="284"/>
      <c r="Q106" s="287">
        <f>Q168</f>
        <v>0</v>
      </c>
      <c r="R106" s="286"/>
      <c r="S106" s="244"/>
      <c r="T106" s="261"/>
      <c r="U106" s="284"/>
      <c r="V106" s="287">
        <f>V168</f>
        <v>0</v>
      </c>
      <c r="W106" s="286"/>
      <c r="X106" s="244"/>
      <c r="Y106" s="261"/>
      <c r="Z106" s="284"/>
      <c r="AA106" s="287">
        <f>AA168</f>
        <v>0</v>
      </c>
      <c r="AB106" s="286"/>
      <c r="AC106" s="244"/>
      <c r="AD106" s="261"/>
      <c r="AE106" s="284"/>
      <c r="AF106" s="287">
        <f>AF168</f>
        <v>0</v>
      </c>
      <c r="AG106" s="286"/>
      <c r="AH106" s="244"/>
      <c r="AI106" s="261"/>
      <c r="AJ106" s="284"/>
      <c r="AK106" s="287">
        <f>AK168</f>
        <v>0</v>
      </c>
      <c r="AL106" s="286"/>
      <c r="AM106" s="244"/>
      <c r="AN106" s="261"/>
      <c r="AO106" s="284"/>
      <c r="AP106" s="287">
        <f>AP168</f>
        <v>0</v>
      </c>
      <c r="AQ106" s="286"/>
      <c r="AR106" s="244"/>
      <c r="AS106" s="261"/>
      <c r="AT106" s="284"/>
      <c r="AU106" s="285">
        <f>AU168</f>
        <v>0</v>
      </c>
      <c r="AV106" s="286"/>
      <c r="AW106" s="244"/>
      <c r="AX106" s="261"/>
      <c r="AY106" s="284"/>
      <c r="AZ106" s="285">
        <f>AZ168</f>
        <v>0</v>
      </c>
      <c r="BA106" s="286"/>
      <c r="BB106" s="244"/>
      <c r="BC106" s="261"/>
      <c r="BD106" s="284"/>
      <c r="BE106" s="285">
        <f>BE168</f>
        <v>0</v>
      </c>
      <c r="BF106" s="286"/>
      <c r="BG106" s="244"/>
      <c r="BH106" s="261"/>
      <c r="BI106" s="284"/>
      <c r="BJ106" s="285">
        <f>BJ168</f>
        <v>0</v>
      </c>
      <c r="BK106" s="286"/>
      <c r="BL106" s="244"/>
      <c r="BM106" s="261"/>
      <c r="BN106" s="284"/>
      <c r="BO106" s="285">
        <f>BO168</f>
        <v>0</v>
      </c>
      <c r="BP106" s="286"/>
      <c r="BQ106" s="244"/>
      <c r="BR106" s="261"/>
      <c r="BS106" s="284"/>
      <c r="BT106" s="287">
        <f>BT168</f>
        <v>0</v>
      </c>
      <c r="BU106" s="286"/>
      <c r="BV106" s="244"/>
      <c r="BW106" s="244"/>
      <c r="BX106" s="254"/>
    </row>
    <row r="107" spans="1:76" x14ac:dyDescent="0.2">
      <c r="A107" s="244"/>
      <c r="B107" s="244"/>
      <c r="D107" s="254"/>
      <c r="E107" s="261"/>
      <c r="F107" s="244"/>
      <c r="G107" s="282"/>
      <c r="H107" s="244"/>
      <c r="I107" s="244"/>
      <c r="J107" s="261"/>
      <c r="K107" s="244"/>
      <c r="L107" s="244"/>
      <c r="M107" s="244"/>
      <c r="N107" s="244"/>
      <c r="O107" s="261"/>
      <c r="P107" s="244"/>
      <c r="Q107" s="244"/>
      <c r="R107" s="244"/>
      <c r="S107" s="244"/>
      <c r="T107" s="261"/>
      <c r="U107" s="244"/>
      <c r="V107" s="244"/>
      <c r="W107" s="244"/>
      <c r="X107" s="244"/>
      <c r="Y107" s="261"/>
      <c r="Z107" s="244"/>
      <c r="AA107" s="244"/>
      <c r="AB107" s="244"/>
      <c r="AC107" s="244"/>
      <c r="AD107" s="261"/>
      <c r="AE107" s="244"/>
      <c r="AF107" s="244"/>
      <c r="AG107" s="244"/>
      <c r="AH107" s="244"/>
      <c r="AI107" s="261"/>
      <c r="AJ107" s="244"/>
      <c r="AK107" s="244"/>
      <c r="AL107" s="244"/>
      <c r="AM107" s="244"/>
      <c r="AN107" s="261"/>
      <c r="AO107" s="244"/>
      <c r="AP107" s="244"/>
      <c r="AQ107" s="244"/>
      <c r="AR107" s="244"/>
      <c r="AS107" s="261"/>
      <c r="AT107" s="244"/>
      <c r="AU107" s="244"/>
      <c r="AV107" s="244"/>
      <c r="AW107" s="244"/>
      <c r="AX107" s="261"/>
      <c r="AY107" s="244"/>
      <c r="AZ107" s="244"/>
      <c r="BA107" s="244"/>
      <c r="BB107" s="244"/>
      <c r="BC107" s="261"/>
      <c r="BD107" s="244"/>
      <c r="BE107" s="244"/>
      <c r="BF107" s="244"/>
      <c r="BG107" s="244"/>
      <c r="BH107" s="261"/>
      <c r="BI107" s="244"/>
      <c r="BJ107" s="244"/>
      <c r="BK107" s="244"/>
      <c r="BL107" s="244"/>
      <c r="BM107" s="261"/>
      <c r="BN107" s="244"/>
      <c r="BO107" s="244"/>
      <c r="BP107" s="244"/>
      <c r="BQ107" s="244"/>
      <c r="BR107" s="261"/>
      <c r="BS107" s="244"/>
      <c r="BT107" s="244"/>
      <c r="BU107" s="244"/>
      <c r="BV107" s="244"/>
      <c r="BW107" s="244"/>
      <c r="BX107" s="254"/>
    </row>
    <row r="108" spans="1:76" x14ac:dyDescent="0.2">
      <c r="A108" s="244"/>
      <c r="B108" s="244"/>
      <c r="C108" s="244"/>
      <c r="D108" s="254" t="s">
        <v>436</v>
      </c>
      <c r="E108" s="261"/>
      <c r="F108" s="244"/>
      <c r="G108" s="233">
        <f>SUM(G109:G110)</f>
        <v>50208000</v>
      </c>
      <c r="H108" s="233"/>
      <c r="I108" s="233"/>
      <c r="J108" s="227"/>
      <c r="K108" s="233"/>
      <c r="L108" s="233">
        <f>SUM(L109:L110)</f>
        <v>628449</v>
      </c>
      <c r="M108" s="233"/>
      <c r="N108" s="233"/>
      <c r="O108" s="227"/>
      <c r="P108" s="233"/>
      <c r="Q108" s="233">
        <f>SUM(Q109:Q110)</f>
        <v>25247385</v>
      </c>
      <c r="R108" s="233"/>
      <c r="S108" s="233"/>
      <c r="T108" s="227"/>
      <c r="U108" s="233"/>
      <c r="V108" s="233">
        <f>SUM(V109:V110)</f>
        <v>0</v>
      </c>
      <c r="W108" s="233"/>
      <c r="X108" s="233"/>
      <c r="Y108" s="227"/>
      <c r="Z108" s="233"/>
      <c r="AA108" s="233">
        <f>SUM(AA109:AA110)</f>
        <v>0</v>
      </c>
      <c r="AB108" s="233"/>
      <c r="AC108" s="233"/>
      <c r="AD108" s="227"/>
      <c r="AE108" s="233"/>
      <c r="AF108" s="233">
        <f>SUM(AF109:AF110)</f>
        <v>0</v>
      </c>
      <c r="AG108" s="233"/>
      <c r="AH108" s="233"/>
      <c r="AI108" s="227"/>
      <c r="AJ108" s="233"/>
      <c r="AK108" s="233">
        <f>SUM(AK109:AK110)</f>
        <v>0</v>
      </c>
      <c r="AL108" s="233"/>
      <c r="AM108" s="233"/>
      <c r="AN108" s="227"/>
      <c r="AO108" s="233"/>
      <c r="AP108" s="233">
        <f>SUM(AP109:AP110)</f>
        <v>654491</v>
      </c>
      <c r="AQ108" s="233"/>
      <c r="AR108" s="233"/>
      <c r="AS108" s="227"/>
      <c r="AT108" s="233"/>
      <c r="AU108" s="233">
        <f>SUM(AU109:AU110)</f>
        <v>6365</v>
      </c>
      <c r="AV108" s="233"/>
      <c r="AW108" s="233"/>
      <c r="AX108" s="227"/>
      <c r="AY108" s="233"/>
      <c r="AZ108" s="233">
        <f>SUM(AZ109:AZ110)</f>
        <v>0</v>
      </c>
      <c r="BA108" s="233"/>
      <c r="BB108" s="233"/>
      <c r="BC108" s="227"/>
      <c r="BD108" s="233"/>
      <c r="BE108" s="233">
        <f>SUM(BE109:BE110)</f>
        <v>0</v>
      </c>
      <c r="BF108" s="233"/>
      <c r="BG108" s="233"/>
      <c r="BH108" s="227"/>
      <c r="BI108" s="233"/>
      <c r="BJ108" s="233">
        <f>SUM(BJ109:BJ110)</f>
        <v>0</v>
      </c>
      <c r="BK108" s="233"/>
      <c r="BL108" s="233"/>
      <c r="BM108" s="227"/>
      <c r="BN108" s="233"/>
      <c r="BO108" s="233">
        <f>SUM(BO109:BO110)</f>
        <v>24692267</v>
      </c>
      <c r="BP108" s="233"/>
      <c r="BQ108" s="233"/>
      <c r="BR108" s="227"/>
      <c r="BS108" s="233"/>
      <c r="BT108" s="233">
        <f>SUM(BT109:BT110)</f>
        <v>51228957</v>
      </c>
      <c r="BU108" s="233"/>
      <c r="BV108" s="233"/>
      <c r="BW108" s="233"/>
      <c r="BX108" s="254"/>
    </row>
    <row r="109" spans="1:76" x14ac:dyDescent="0.2">
      <c r="A109" s="244"/>
      <c r="B109" s="244"/>
      <c r="C109" s="244"/>
      <c r="D109" s="254" t="s">
        <v>437</v>
      </c>
      <c r="E109" s="261"/>
      <c r="F109" s="269"/>
      <c r="G109" s="343">
        <v>26952000</v>
      </c>
      <c r="H109" s="344"/>
      <c r="I109" s="233"/>
      <c r="J109" s="227"/>
      <c r="K109" s="345"/>
      <c r="L109" s="343">
        <f>+L113+L121+L125+L129+L133+L137+L117+L141+L149+L153+L145</f>
        <v>391647</v>
      </c>
      <c r="M109" s="344"/>
      <c r="N109" s="233"/>
      <c r="O109" s="227"/>
      <c r="P109" s="345"/>
      <c r="Q109" s="343">
        <f>+Q113+Q121+Q125+Q129+Q133+Q137+Q117+Q141+Q149+Q153+Q145</f>
        <v>14120864</v>
      </c>
      <c r="R109" s="344"/>
      <c r="S109" s="233"/>
      <c r="T109" s="227"/>
      <c r="U109" s="345"/>
      <c r="V109" s="343">
        <f>+V113+V121+V125+V129+V133+V137+V117+V141+V149+V153+V145</f>
        <v>0</v>
      </c>
      <c r="W109" s="344"/>
      <c r="X109" s="233"/>
      <c r="Y109" s="227"/>
      <c r="Z109" s="345"/>
      <c r="AA109" s="343">
        <f>+AA113+AA121+AA125+AA129+AA133+AA137+AA117+AA141+AA149+AA153+AA145</f>
        <v>0</v>
      </c>
      <c r="AB109" s="344"/>
      <c r="AC109" s="233"/>
      <c r="AD109" s="227"/>
      <c r="AE109" s="345"/>
      <c r="AF109" s="343">
        <f>+AF113+AF121+AF125+AF129+AF133+AF137+AF117+AF141+AF149+AF153+AF145</f>
        <v>0</v>
      </c>
      <c r="AG109" s="344"/>
      <c r="AH109" s="233"/>
      <c r="AI109" s="227"/>
      <c r="AJ109" s="345"/>
      <c r="AK109" s="343">
        <f>+AK113+AK121+AK125+AK129+AK133+AK137+AK117+AK141+AK149+AK153+AK145</f>
        <v>0</v>
      </c>
      <c r="AL109" s="344"/>
      <c r="AM109" s="233"/>
      <c r="AN109" s="227"/>
      <c r="AO109" s="345"/>
      <c r="AP109" s="343">
        <f>+AP113+AP121+AP125+AP129+AP133+AP137+AP117+AP141+AP149+AP153+AP145</f>
        <v>391647</v>
      </c>
      <c r="AQ109" s="344"/>
      <c r="AR109" s="233"/>
      <c r="AS109" s="227"/>
      <c r="AT109" s="345"/>
      <c r="AU109" s="343">
        <f>+AU113+AU121+AU125+AU129+AU133+AU137+AU117+AU141+AU149+AU153+AU145</f>
        <v>1940</v>
      </c>
      <c r="AV109" s="344"/>
      <c r="AW109" s="233"/>
      <c r="AX109" s="227"/>
      <c r="AY109" s="345"/>
      <c r="AZ109" s="343">
        <f>+AZ113+AZ121+AZ125+AZ129+AZ133+AZ137+AZ117+AZ141+AZ149+AZ153+AZ145</f>
        <v>0</v>
      </c>
      <c r="BA109" s="344"/>
      <c r="BB109" s="233"/>
      <c r="BC109" s="227"/>
      <c r="BD109" s="345"/>
      <c r="BE109" s="343">
        <f>+BE113+BE121+BE125+BE129+BE133+BE137+BE117+BE141+BE149+BE153+BE145</f>
        <v>0</v>
      </c>
      <c r="BF109" s="344"/>
      <c r="BG109" s="233"/>
      <c r="BH109" s="227"/>
      <c r="BI109" s="345"/>
      <c r="BJ109" s="343">
        <f>+BJ113+BJ121+BJ125+BJ129+BJ133+BJ137+BJ117+BJ141+BJ149+BJ153+BJ145</f>
        <v>0</v>
      </c>
      <c r="BK109" s="344"/>
      <c r="BL109" s="233"/>
      <c r="BM109" s="227"/>
      <c r="BN109" s="345"/>
      <c r="BO109" s="343">
        <f>+BO113+BO121+BO125+BO129+BO133+BO137+BO117+BO141+BO149+BO153+BO145</f>
        <v>12046193</v>
      </c>
      <c r="BP109" s="344"/>
      <c r="BQ109" s="233"/>
      <c r="BR109" s="227"/>
      <c r="BS109" s="345"/>
      <c r="BT109" s="343">
        <f>+BT113+BT121+BT125+BT129+BT133+BT137+BT117+BT141+BT149+BT153+BT145</f>
        <v>26952291</v>
      </c>
      <c r="BU109" s="344"/>
      <c r="BV109" s="233"/>
      <c r="BW109" s="233"/>
      <c r="BX109" s="254"/>
    </row>
    <row r="110" spans="1:76" x14ac:dyDescent="0.2">
      <c r="A110" s="244"/>
      <c r="B110" s="244"/>
      <c r="C110" s="244"/>
      <c r="D110" s="254" t="s">
        <v>438</v>
      </c>
      <c r="E110" s="261"/>
      <c r="F110" s="284"/>
      <c r="G110" s="355">
        <v>23256000</v>
      </c>
      <c r="H110" s="356"/>
      <c r="I110" s="233"/>
      <c r="J110" s="227"/>
      <c r="K110" s="357"/>
      <c r="L110" s="355">
        <f>+L114+L122+L126+L130+L134+L138+L118+L142+L150+L154+L146</f>
        <v>236802</v>
      </c>
      <c r="M110" s="356"/>
      <c r="N110" s="233"/>
      <c r="O110" s="227"/>
      <c r="P110" s="357"/>
      <c r="Q110" s="355">
        <f>+Q114+Q122+Q126+Q130+Q134+Q138+Q118+Q142+Q150+Q154+Q146</f>
        <v>11126521</v>
      </c>
      <c r="R110" s="356"/>
      <c r="S110" s="233"/>
      <c r="T110" s="227"/>
      <c r="U110" s="357"/>
      <c r="V110" s="355">
        <f>+V114+V122+V126+V130+V134+V138+V118+V142+V150+V154+V146</f>
        <v>0</v>
      </c>
      <c r="W110" s="356"/>
      <c r="X110" s="233"/>
      <c r="Y110" s="227"/>
      <c r="Z110" s="357"/>
      <c r="AA110" s="355">
        <f>+AA114+AA122+AA126+AA130+AA134+AA138+AA118+AA142+AA150+AA154+AA146</f>
        <v>0</v>
      </c>
      <c r="AB110" s="356"/>
      <c r="AC110" s="233"/>
      <c r="AD110" s="227"/>
      <c r="AE110" s="357"/>
      <c r="AF110" s="355">
        <f>+AF114+AF122+AF126+AF130+AF134+AF138+AF118+AF142+AF150+AF154+AF146</f>
        <v>0</v>
      </c>
      <c r="AG110" s="356"/>
      <c r="AH110" s="233"/>
      <c r="AI110" s="227"/>
      <c r="AJ110" s="357"/>
      <c r="AK110" s="355">
        <f>+AK114+AK122+AK126+AK130+AK134+AK138+AK118+AK142+AK150+AK154+AK146</f>
        <v>0</v>
      </c>
      <c r="AL110" s="356"/>
      <c r="AM110" s="233"/>
      <c r="AN110" s="227"/>
      <c r="AO110" s="357"/>
      <c r="AP110" s="355">
        <f>+AP114+AP122+AP126+AP130+AP134+AP138+AP118+AP142+AP150+AP154+AP146</f>
        <v>262844</v>
      </c>
      <c r="AQ110" s="356"/>
      <c r="AR110" s="233"/>
      <c r="AS110" s="227"/>
      <c r="AT110" s="357"/>
      <c r="AU110" s="355">
        <f>+AU114+AU122+AU126+AU130+AU134+AU138+AU118+AU142+AU150+AU154+AU146</f>
        <v>4425</v>
      </c>
      <c r="AV110" s="356"/>
      <c r="AW110" s="233"/>
      <c r="AX110" s="227"/>
      <c r="AY110" s="357"/>
      <c r="AZ110" s="355">
        <f>+AZ114+AZ122+AZ126+AZ130+AZ134+AZ138+AZ118+AZ142+AZ150+AZ154+AZ146</f>
        <v>0</v>
      </c>
      <c r="BA110" s="356"/>
      <c r="BB110" s="233"/>
      <c r="BC110" s="227"/>
      <c r="BD110" s="357"/>
      <c r="BE110" s="355">
        <f>+BE114+BE122+BE126+BE130+BE134+BE138+BE118+BE142+BE150+BE154+BE146</f>
        <v>0</v>
      </c>
      <c r="BF110" s="356"/>
      <c r="BG110" s="233"/>
      <c r="BH110" s="227"/>
      <c r="BI110" s="357"/>
      <c r="BJ110" s="355">
        <f>+BJ114+BJ122+BJ126+BJ130+BJ134+BJ138+BJ118+BJ142+BJ150+BJ154+BJ146</f>
        <v>0</v>
      </c>
      <c r="BK110" s="356"/>
      <c r="BL110" s="233"/>
      <c r="BM110" s="227"/>
      <c r="BN110" s="357"/>
      <c r="BO110" s="355">
        <f>+BO114+BO122+BO126+BO130+BO134+BO138+BO118+BO142+BO150+BO154+BO146</f>
        <v>12646074</v>
      </c>
      <c r="BP110" s="356"/>
      <c r="BQ110" s="233"/>
      <c r="BR110" s="227"/>
      <c r="BS110" s="357"/>
      <c r="BT110" s="355">
        <f>+BT114+BT122+BT126+BT130+BT134+BT138+BT118+BT142+BT150+BT154+BT146</f>
        <v>24276666</v>
      </c>
      <c r="BU110" s="356"/>
      <c r="BV110" s="233"/>
      <c r="BW110" s="233"/>
      <c r="BX110" s="254"/>
    </row>
    <row r="111" spans="1:76" x14ac:dyDescent="0.2">
      <c r="A111" s="244"/>
      <c r="B111" s="244"/>
      <c r="C111" s="244"/>
      <c r="D111" s="254"/>
      <c r="E111" s="261"/>
      <c r="F111" s="244"/>
      <c r="G111" s="233"/>
      <c r="H111" s="233"/>
      <c r="I111" s="233"/>
      <c r="J111" s="227"/>
      <c r="K111" s="233"/>
      <c r="L111" s="233"/>
      <c r="M111" s="233"/>
      <c r="N111" s="233"/>
      <c r="O111" s="227"/>
      <c r="P111" s="233"/>
      <c r="Q111" s="233"/>
      <c r="R111" s="233"/>
      <c r="S111" s="233"/>
      <c r="T111" s="227"/>
      <c r="U111" s="233"/>
      <c r="V111" s="233"/>
      <c r="W111" s="233"/>
      <c r="X111" s="233"/>
      <c r="Y111" s="227"/>
      <c r="Z111" s="233"/>
      <c r="AA111" s="233"/>
      <c r="AB111" s="233"/>
      <c r="AC111" s="233"/>
      <c r="AD111" s="227"/>
      <c r="AE111" s="233"/>
      <c r="AF111" s="233"/>
      <c r="AG111" s="233"/>
      <c r="AH111" s="233"/>
      <c r="AI111" s="227"/>
      <c r="AJ111" s="233"/>
      <c r="AK111" s="233"/>
      <c r="AL111" s="233"/>
      <c r="AM111" s="233"/>
      <c r="AN111" s="227"/>
      <c r="AO111" s="233"/>
      <c r="AP111" s="233"/>
      <c r="AQ111" s="233"/>
      <c r="AR111" s="233"/>
      <c r="AS111" s="227"/>
      <c r="AT111" s="233"/>
      <c r="AU111" s="233"/>
      <c r="AV111" s="233"/>
      <c r="AW111" s="233"/>
      <c r="AX111" s="227"/>
      <c r="AY111" s="233"/>
      <c r="AZ111" s="233"/>
      <c r="BA111" s="233"/>
      <c r="BB111" s="233"/>
      <c r="BC111" s="227"/>
      <c r="BD111" s="233"/>
      <c r="BE111" s="233"/>
      <c r="BF111" s="233"/>
      <c r="BG111" s="233"/>
      <c r="BH111" s="227"/>
      <c r="BI111" s="233"/>
      <c r="BJ111" s="233"/>
      <c r="BK111" s="233"/>
      <c r="BL111" s="233"/>
      <c r="BM111" s="227"/>
      <c r="BN111" s="233"/>
      <c r="BO111" s="233"/>
      <c r="BP111" s="233"/>
      <c r="BQ111" s="233"/>
      <c r="BR111" s="227"/>
      <c r="BS111" s="233"/>
      <c r="BT111" s="233"/>
      <c r="BU111" s="233"/>
      <c r="BV111" s="233"/>
      <c r="BW111" s="233"/>
      <c r="BX111" s="254"/>
    </row>
    <row r="112" spans="1:76" x14ac:dyDescent="0.2">
      <c r="A112" s="244"/>
      <c r="B112" s="244"/>
      <c r="C112" s="244"/>
      <c r="D112" s="254" t="s">
        <v>439</v>
      </c>
      <c r="E112" s="261"/>
      <c r="F112" s="244"/>
      <c r="G112" s="233">
        <f>SUM(G113:G114)</f>
        <v>0</v>
      </c>
      <c r="H112" s="233"/>
      <c r="I112" s="233"/>
      <c r="J112" s="227"/>
      <c r="K112" s="233"/>
      <c r="L112" s="233">
        <f>SUM(L113:L114)</f>
        <v>0</v>
      </c>
      <c r="M112" s="233"/>
      <c r="N112" s="233"/>
      <c r="O112" s="227"/>
      <c r="P112" s="233"/>
      <c r="Q112" s="233">
        <f>SUM(Q113:Q114)</f>
        <v>6265</v>
      </c>
      <c r="R112" s="233"/>
      <c r="S112" s="233"/>
      <c r="T112" s="227"/>
      <c r="U112" s="233"/>
      <c r="V112" s="233">
        <f>SUM(V113:V114)</f>
        <v>0</v>
      </c>
      <c r="W112" s="233"/>
      <c r="X112" s="233"/>
      <c r="Y112" s="227"/>
      <c r="Z112" s="233"/>
      <c r="AA112" s="233">
        <f>SUM(AA113:AA114)</f>
        <v>0</v>
      </c>
      <c r="AB112" s="233"/>
      <c r="AC112" s="233"/>
      <c r="AD112" s="227"/>
      <c r="AE112" s="233"/>
      <c r="AF112" s="233">
        <f>SUM(AF113:AF114)</f>
        <v>0</v>
      </c>
      <c r="AG112" s="233"/>
      <c r="AH112" s="233"/>
      <c r="AI112" s="227"/>
      <c r="AJ112" s="233"/>
      <c r="AK112" s="233">
        <f>SUM(AK113:AK114)</f>
        <v>0</v>
      </c>
      <c r="AL112" s="233"/>
      <c r="AM112" s="233"/>
      <c r="AN112" s="227"/>
      <c r="AO112" s="233"/>
      <c r="AP112" s="233">
        <f>SUM(AP113:AP114)</f>
        <v>0</v>
      </c>
      <c r="AQ112" s="233"/>
      <c r="AR112" s="233"/>
      <c r="AS112" s="227"/>
      <c r="AT112" s="233"/>
      <c r="AU112" s="233">
        <f>SUM(AU113:AU114)</f>
        <v>6365</v>
      </c>
      <c r="AV112" s="233"/>
      <c r="AW112" s="233"/>
      <c r="AX112" s="227"/>
      <c r="AY112" s="233"/>
      <c r="AZ112" s="233">
        <f>SUM(AZ113:AZ114)</f>
        <v>0</v>
      </c>
      <c r="BA112" s="233"/>
      <c r="BB112" s="233"/>
      <c r="BC112" s="227"/>
      <c r="BD112" s="233"/>
      <c r="BE112" s="233">
        <f>SUM(BE113:BE114)</f>
        <v>0</v>
      </c>
      <c r="BF112" s="233"/>
      <c r="BG112" s="233"/>
      <c r="BH112" s="227"/>
      <c r="BI112" s="233"/>
      <c r="BJ112" s="233">
        <f>SUM(BJ113:BJ114)</f>
        <v>0</v>
      </c>
      <c r="BK112" s="233"/>
      <c r="BL112" s="233"/>
      <c r="BM112" s="227"/>
      <c r="BN112" s="233"/>
      <c r="BO112" s="233">
        <f>SUM(BO113:BO114)</f>
        <v>0</v>
      </c>
      <c r="BP112" s="233"/>
      <c r="BQ112" s="233"/>
      <c r="BR112" s="227"/>
      <c r="BS112" s="233"/>
      <c r="BT112" s="233">
        <f>SUM(BT113:BT114)</f>
        <v>12630</v>
      </c>
      <c r="BU112" s="233"/>
      <c r="BV112" s="233"/>
      <c r="BW112" s="233"/>
      <c r="BX112" s="254"/>
    </row>
    <row r="113" spans="1:76" x14ac:dyDescent="0.2">
      <c r="A113" s="244"/>
      <c r="B113" s="244"/>
      <c r="C113" s="244"/>
      <c r="D113" s="254" t="s">
        <v>437</v>
      </c>
      <c r="E113" s="261"/>
      <c r="F113" s="269"/>
      <c r="G113" s="343">
        <v>0</v>
      </c>
      <c r="H113" s="344"/>
      <c r="I113" s="233"/>
      <c r="J113" s="227"/>
      <c r="K113" s="345"/>
      <c r="L113" s="343">
        <v>0</v>
      </c>
      <c r="M113" s="344"/>
      <c r="N113" s="233"/>
      <c r="O113" s="227"/>
      <c r="P113" s="345"/>
      <c r="Q113" s="343">
        <v>1939</v>
      </c>
      <c r="R113" s="344"/>
      <c r="S113" s="233"/>
      <c r="T113" s="227"/>
      <c r="U113" s="345"/>
      <c r="V113" s="343">
        <v>0</v>
      </c>
      <c r="W113" s="344"/>
      <c r="X113" s="233"/>
      <c r="Y113" s="227"/>
      <c r="Z113" s="345"/>
      <c r="AA113" s="343">
        <v>0</v>
      </c>
      <c r="AB113" s="344"/>
      <c r="AC113" s="233"/>
      <c r="AD113" s="227"/>
      <c r="AE113" s="345"/>
      <c r="AF113" s="343">
        <v>0</v>
      </c>
      <c r="AG113" s="344"/>
      <c r="AH113" s="233"/>
      <c r="AI113" s="227"/>
      <c r="AJ113" s="345"/>
      <c r="AK113" s="343">
        <v>0</v>
      </c>
      <c r="AL113" s="344"/>
      <c r="AM113" s="233"/>
      <c r="AN113" s="227"/>
      <c r="AO113" s="345"/>
      <c r="AP113" s="343">
        <v>0</v>
      </c>
      <c r="AQ113" s="344"/>
      <c r="AR113" s="233"/>
      <c r="AS113" s="227"/>
      <c r="AT113" s="345"/>
      <c r="AU113" s="343">
        <f>1940</f>
        <v>1940</v>
      </c>
      <c r="AV113" s="344"/>
      <c r="AW113" s="233"/>
      <c r="AX113" s="227"/>
      <c r="AY113" s="345"/>
      <c r="AZ113" s="343">
        <v>0</v>
      </c>
      <c r="BA113" s="344"/>
      <c r="BB113" s="233"/>
      <c r="BC113" s="227"/>
      <c r="BD113" s="345"/>
      <c r="BE113" s="343">
        <v>0</v>
      </c>
      <c r="BF113" s="344"/>
      <c r="BG113" s="233"/>
      <c r="BH113" s="227"/>
      <c r="BI113" s="345"/>
      <c r="BJ113" s="343">
        <v>0</v>
      </c>
      <c r="BK113" s="344"/>
      <c r="BL113" s="233"/>
      <c r="BM113" s="227"/>
      <c r="BN113" s="345"/>
      <c r="BO113" s="343">
        <v>0</v>
      </c>
      <c r="BP113" s="344"/>
      <c r="BQ113" s="233"/>
      <c r="BR113" s="227"/>
      <c r="BS113" s="345"/>
      <c r="BT113" s="343">
        <f>SUM(L113:BO113)</f>
        <v>3879</v>
      </c>
      <c r="BU113" s="344"/>
      <c r="BV113" s="233"/>
      <c r="BW113" s="233"/>
      <c r="BX113" s="254"/>
    </row>
    <row r="114" spans="1:76" x14ac:dyDescent="0.2">
      <c r="A114" s="244"/>
      <c r="B114" s="244"/>
      <c r="C114" s="244"/>
      <c r="D114" s="254" t="s">
        <v>438</v>
      </c>
      <c r="E114" s="261"/>
      <c r="F114" s="284"/>
      <c r="G114" s="355">
        <v>0</v>
      </c>
      <c r="H114" s="356"/>
      <c r="I114" s="233"/>
      <c r="J114" s="227"/>
      <c r="K114" s="357"/>
      <c r="L114" s="355">
        <v>0</v>
      </c>
      <c r="M114" s="356"/>
      <c r="N114" s="233"/>
      <c r="O114" s="227"/>
      <c r="P114" s="357"/>
      <c r="Q114" s="355">
        <v>4326</v>
      </c>
      <c r="R114" s="356"/>
      <c r="S114" s="233"/>
      <c r="T114" s="227"/>
      <c r="U114" s="357"/>
      <c r="V114" s="355">
        <v>0</v>
      </c>
      <c r="W114" s="356"/>
      <c r="X114" s="233"/>
      <c r="Y114" s="227"/>
      <c r="Z114" s="357"/>
      <c r="AA114" s="355">
        <v>0</v>
      </c>
      <c r="AB114" s="356"/>
      <c r="AC114" s="233"/>
      <c r="AD114" s="227"/>
      <c r="AE114" s="357"/>
      <c r="AF114" s="355">
        <v>0</v>
      </c>
      <c r="AG114" s="356"/>
      <c r="AH114" s="233"/>
      <c r="AI114" s="227"/>
      <c r="AJ114" s="357"/>
      <c r="AK114" s="355">
        <v>0</v>
      </c>
      <c r="AL114" s="356"/>
      <c r="AM114" s="233"/>
      <c r="AN114" s="227"/>
      <c r="AO114" s="357"/>
      <c r="AP114" s="355">
        <v>0</v>
      </c>
      <c r="AQ114" s="356"/>
      <c r="AR114" s="233"/>
      <c r="AS114" s="227"/>
      <c r="AT114" s="357"/>
      <c r="AU114" s="355">
        <f>4425</f>
        <v>4425</v>
      </c>
      <c r="AV114" s="356"/>
      <c r="AW114" s="233"/>
      <c r="AX114" s="227"/>
      <c r="AY114" s="357"/>
      <c r="AZ114" s="355">
        <v>0</v>
      </c>
      <c r="BA114" s="356"/>
      <c r="BB114" s="233"/>
      <c r="BC114" s="227"/>
      <c r="BD114" s="357"/>
      <c r="BE114" s="355">
        <v>0</v>
      </c>
      <c r="BF114" s="356"/>
      <c r="BG114" s="233"/>
      <c r="BH114" s="227"/>
      <c r="BI114" s="357"/>
      <c r="BJ114" s="355">
        <v>0</v>
      </c>
      <c r="BK114" s="356"/>
      <c r="BL114" s="233"/>
      <c r="BM114" s="227"/>
      <c r="BN114" s="357"/>
      <c r="BO114" s="355">
        <v>0</v>
      </c>
      <c r="BP114" s="356"/>
      <c r="BQ114" s="233"/>
      <c r="BR114" s="227"/>
      <c r="BS114" s="357"/>
      <c r="BT114" s="355">
        <f>SUM(L114:BO114)</f>
        <v>8751</v>
      </c>
      <c r="BU114" s="356"/>
      <c r="BV114" s="233"/>
      <c r="BW114" s="233"/>
      <c r="BX114" s="254"/>
    </row>
    <row r="115" spans="1:76" x14ac:dyDescent="0.2">
      <c r="A115" s="244"/>
      <c r="B115" s="244"/>
      <c r="C115" s="244"/>
      <c r="D115" s="254"/>
      <c r="E115" s="261"/>
      <c r="F115" s="244"/>
      <c r="G115" s="233"/>
      <c r="H115" s="233"/>
      <c r="I115" s="233"/>
      <c r="J115" s="227"/>
      <c r="K115" s="233"/>
      <c r="L115" s="233"/>
      <c r="M115" s="233"/>
      <c r="N115" s="233"/>
      <c r="O115" s="227"/>
      <c r="P115" s="233"/>
      <c r="Q115" s="233"/>
      <c r="R115" s="233"/>
      <c r="S115" s="233"/>
      <c r="T115" s="227"/>
      <c r="U115" s="233"/>
      <c r="V115" s="233"/>
      <c r="W115" s="233"/>
      <c r="X115" s="233"/>
      <c r="Y115" s="227"/>
      <c r="Z115" s="233"/>
      <c r="AA115" s="233"/>
      <c r="AB115" s="233"/>
      <c r="AC115" s="233"/>
      <c r="AD115" s="227"/>
      <c r="AE115" s="233"/>
      <c r="AF115" s="233"/>
      <c r="AG115" s="233"/>
      <c r="AH115" s="233"/>
      <c r="AI115" s="227"/>
      <c r="AJ115" s="233"/>
      <c r="AK115" s="233"/>
      <c r="AL115" s="233"/>
      <c r="AM115" s="233"/>
      <c r="AN115" s="227"/>
      <c r="AO115" s="233"/>
      <c r="AP115" s="233"/>
      <c r="AQ115" s="233"/>
      <c r="AR115" s="233"/>
      <c r="AS115" s="227"/>
      <c r="AT115" s="233"/>
      <c r="AU115" s="233"/>
      <c r="AV115" s="233"/>
      <c r="AW115" s="233"/>
      <c r="AX115" s="227"/>
      <c r="AY115" s="233"/>
      <c r="AZ115" s="233"/>
      <c r="BA115" s="233"/>
      <c r="BB115" s="233"/>
      <c r="BC115" s="227"/>
      <c r="BD115" s="233"/>
      <c r="BE115" s="233"/>
      <c r="BF115" s="233"/>
      <c r="BG115" s="233"/>
      <c r="BH115" s="227"/>
      <c r="BI115" s="233"/>
      <c r="BJ115" s="233"/>
      <c r="BK115" s="233"/>
      <c r="BL115" s="233"/>
      <c r="BM115" s="227"/>
      <c r="BN115" s="233"/>
      <c r="BO115" s="233"/>
      <c r="BP115" s="233"/>
      <c r="BQ115" s="233"/>
      <c r="BR115" s="227"/>
      <c r="BS115" s="233"/>
      <c r="BT115" s="233"/>
      <c r="BU115" s="233"/>
      <c r="BV115" s="233"/>
      <c r="BW115" s="233"/>
      <c r="BX115" s="254"/>
    </row>
    <row r="116" spans="1:76" x14ac:dyDescent="0.2">
      <c r="A116" s="244"/>
      <c r="B116" s="244"/>
      <c r="C116" s="244"/>
      <c r="D116" s="254" t="s">
        <v>440</v>
      </c>
      <c r="E116" s="261"/>
      <c r="F116" s="244"/>
      <c r="G116" s="233">
        <f>SUM(G117:G118)</f>
        <v>0</v>
      </c>
      <c r="H116" s="233"/>
      <c r="I116" s="233"/>
      <c r="J116" s="227"/>
      <c r="K116" s="233"/>
      <c r="L116" s="233">
        <f>SUM(L117:L118)</f>
        <v>0</v>
      </c>
      <c r="M116" s="233"/>
      <c r="N116" s="233"/>
      <c r="O116" s="227"/>
      <c r="P116" s="233"/>
      <c r="Q116" s="233">
        <f>SUM(Q117:Q118)</f>
        <v>25241120</v>
      </c>
      <c r="R116" s="233"/>
      <c r="S116" s="233"/>
      <c r="T116" s="227"/>
      <c r="U116" s="233"/>
      <c r="V116" s="233">
        <f>SUM(V117:V118)</f>
        <v>0</v>
      </c>
      <c r="W116" s="233"/>
      <c r="X116" s="233"/>
      <c r="Y116" s="227"/>
      <c r="Z116" s="233"/>
      <c r="AA116" s="233">
        <f>SUM(AA117:AA118)</f>
        <v>0</v>
      </c>
      <c r="AB116" s="233"/>
      <c r="AC116" s="233"/>
      <c r="AD116" s="227"/>
      <c r="AE116" s="233"/>
      <c r="AF116" s="233">
        <f>SUM(AF117:AF118)</f>
        <v>0</v>
      </c>
      <c r="AG116" s="233"/>
      <c r="AH116" s="233"/>
      <c r="AI116" s="227"/>
      <c r="AJ116" s="233"/>
      <c r="AK116" s="233">
        <f>SUM(AK117:AK118)</f>
        <v>0</v>
      </c>
      <c r="AL116" s="233"/>
      <c r="AM116" s="233"/>
      <c r="AN116" s="227"/>
      <c r="AO116" s="233"/>
      <c r="AP116" s="233">
        <f>SUM(AP117:AP118)</f>
        <v>0</v>
      </c>
      <c r="AQ116" s="233"/>
      <c r="AR116" s="233"/>
      <c r="AS116" s="227"/>
      <c r="AT116" s="233"/>
      <c r="AU116" s="233">
        <f>SUM(AU117:AU118)</f>
        <v>0</v>
      </c>
      <c r="AV116" s="233"/>
      <c r="AW116" s="233"/>
      <c r="AX116" s="227"/>
      <c r="AY116" s="233"/>
      <c r="AZ116" s="233">
        <f>SUM(AZ117:AZ118)</f>
        <v>0</v>
      </c>
      <c r="BA116" s="233"/>
      <c r="BB116" s="233"/>
      <c r="BC116" s="227"/>
      <c r="BD116" s="233"/>
      <c r="BE116" s="233">
        <f>SUM(BE117:BE118)</f>
        <v>0</v>
      </c>
      <c r="BF116" s="233"/>
      <c r="BG116" s="233"/>
      <c r="BH116" s="227"/>
      <c r="BI116" s="233"/>
      <c r="BJ116" s="233">
        <f>SUM(BJ117:BJ118)</f>
        <v>0</v>
      </c>
      <c r="BK116" s="233"/>
      <c r="BL116" s="233"/>
      <c r="BM116" s="227"/>
      <c r="BN116" s="233"/>
      <c r="BO116" s="233">
        <f>SUM(BO117:BO118)</f>
        <v>0</v>
      </c>
      <c r="BP116" s="233"/>
      <c r="BQ116" s="233"/>
      <c r="BR116" s="227"/>
      <c r="BS116" s="233"/>
      <c r="BT116" s="233">
        <f>SUM(BT117:BT118)</f>
        <v>25241120</v>
      </c>
      <c r="BU116" s="233"/>
      <c r="BV116" s="233"/>
      <c r="BW116" s="233"/>
      <c r="BX116" s="254"/>
    </row>
    <row r="117" spans="1:76" x14ac:dyDescent="0.2">
      <c r="A117" s="244"/>
      <c r="B117" s="244"/>
      <c r="C117" s="244"/>
      <c r="D117" s="254" t="s">
        <v>437</v>
      </c>
      <c r="E117" s="261"/>
      <c r="F117" s="269"/>
      <c r="G117" s="343">
        <v>0</v>
      </c>
      <c r="H117" s="344"/>
      <c r="I117" s="233"/>
      <c r="J117" s="227"/>
      <c r="K117" s="345"/>
      <c r="L117" s="343">
        <v>0</v>
      </c>
      <c r="M117" s="344"/>
      <c r="N117" s="233"/>
      <c r="O117" s="227"/>
      <c r="P117" s="345"/>
      <c r="Q117" s="343">
        <v>14118925</v>
      </c>
      <c r="R117" s="344"/>
      <c r="S117" s="233"/>
      <c r="T117" s="227"/>
      <c r="U117" s="345"/>
      <c r="V117" s="343">
        <v>0</v>
      </c>
      <c r="W117" s="344"/>
      <c r="X117" s="233"/>
      <c r="Y117" s="227"/>
      <c r="Z117" s="345"/>
      <c r="AA117" s="343">
        <v>0</v>
      </c>
      <c r="AB117" s="344"/>
      <c r="AC117" s="233"/>
      <c r="AD117" s="227"/>
      <c r="AE117" s="345"/>
      <c r="AF117" s="343">
        <v>0</v>
      </c>
      <c r="AG117" s="344"/>
      <c r="AH117" s="233"/>
      <c r="AI117" s="227"/>
      <c r="AJ117" s="345"/>
      <c r="AK117" s="343">
        <v>0</v>
      </c>
      <c r="AL117" s="344"/>
      <c r="AM117" s="233"/>
      <c r="AN117" s="227"/>
      <c r="AO117" s="345"/>
      <c r="AP117" s="343">
        <v>0</v>
      </c>
      <c r="AQ117" s="344"/>
      <c r="AR117" s="233"/>
      <c r="AS117" s="227"/>
      <c r="AT117" s="345"/>
      <c r="AU117" s="343">
        <v>0</v>
      </c>
      <c r="AV117" s="344"/>
      <c r="AW117" s="233"/>
      <c r="AX117" s="227"/>
      <c r="AY117" s="345"/>
      <c r="AZ117" s="343">
        <v>0</v>
      </c>
      <c r="BA117" s="344"/>
      <c r="BB117" s="233"/>
      <c r="BC117" s="227"/>
      <c r="BD117" s="345"/>
      <c r="BE117" s="343">
        <v>0</v>
      </c>
      <c r="BF117" s="344"/>
      <c r="BG117" s="233"/>
      <c r="BH117" s="227"/>
      <c r="BI117" s="345"/>
      <c r="BJ117" s="343">
        <v>0</v>
      </c>
      <c r="BK117" s="344"/>
      <c r="BL117" s="233"/>
      <c r="BM117" s="227"/>
      <c r="BN117" s="345"/>
      <c r="BO117" s="343">
        <v>0</v>
      </c>
      <c r="BP117" s="344"/>
      <c r="BQ117" s="233"/>
      <c r="BR117" s="227"/>
      <c r="BS117" s="345"/>
      <c r="BT117" s="343">
        <f>SUM(L117:BO117)</f>
        <v>14118925</v>
      </c>
      <c r="BU117" s="344"/>
      <c r="BV117" s="233"/>
      <c r="BW117" s="233"/>
      <c r="BX117" s="254"/>
    </row>
    <row r="118" spans="1:76" x14ac:dyDescent="0.2">
      <c r="A118" s="244"/>
      <c r="B118" s="244"/>
      <c r="C118" s="244"/>
      <c r="D118" s="254" t="s">
        <v>438</v>
      </c>
      <c r="E118" s="261"/>
      <c r="F118" s="284"/>
      <c r="G118" s="355">
        <v>0</v>
      </c>
      <c r="H118" s="356"/>
      <c r="I118" s="233"/>
      <c r="J118" s="227"/>
      <c r="K118" s="357"/>
      <c r="L118" s="355">
        <v>0</v>
      </c>
      <c r="M118" s="356"/>
      <c r="N118" s="233"/>
      <c r="O118" s="227"/>
      <c r="P118" s="357"/>
      <c r="Q118" s="355">
        <v>11122195</v>
      </c>
      <c r="R118" s="356"/>
      <c r="S118" s="233"/>
      <c r="T118" s="227"/>
      <c r="U118" s="357"/>
      <c r="V118" s="355">
        <v>0</v>
      </c>
      <c r="W118" s="356"/>
      <c r="X118" s="233"/>
      <c r="Y118" s="227"/>
      <c r="Z118" s="357"/>
      <c r="AA118" s="355">
        <v>0</v>
      </c>
      <c r="AB118" s="356"/>
      <c r="AC118" s="233"/>
      <c r="AD118" s="227"/>
      <c r="AE118" s="357"/>
      <c r="AF118" s="355">
        <v>0</v>
      </c>
      <c r="AG118" s="356"/>
      <c r="AH118" s="233"/>
      <c r="AI118" s="227"/>
      <c r="AJ118" s="357"/>
      <c r="AK118" s="355">
        <v>0</v>
      </c>
      <c r="AL118" s="356"/>
      <c r="AM118" s="233"/>
      <c r="AN118" s="227"/>
      <c r="AO118" s="357"/>
      <c r="AP118" s="355">
        <v>0</v>
      </c>
      <c r="AQ118" s="356"/>
      <c r="AR118" s="233"/>
      <c r="AS118" s="227"/>
      <c r="AT118" s="357"/>
      <c r="AU118" s="355">
        <v>0</v>
      </c>
      <c r="AV118" s="356"/>
      <c r="AW118" s="233"/>
      <c r="AX118" s="227"/>
      <c r="AY118" s="357"/>
      <c r="AZ118" s="355">
        <v>0</v>
      </c>
      <c r="BA118" s="356"/>
      <c r="BB118" s="233"/>
      <c r="BC118" s="227"/>
      <c r="BD118" s="357"/>
      <c r="BE118" s="355">
        <v>0</v>
      </c>
      <c r="BF118" s="356"/>
      <c r="BG118" s="233"/>
      <c r="BH118" s="227"/>
      <c r="BI118" s="357"/>
      <c r="BJ118" s="355">
        <v>0</v>
      </c>
      <c r="BK118" s="356"/>
      <c r="BL118" s="233"/>
      <c r="BM118" s="227"/>
      <c r="BN118" s="357"/>
      <c r="BO118" s="355">
        <v>0</v>
      </c>
      <c r="BP118" s="356"/>
      <c r="BQ118" s="233"/>
      <c r="BR118" s="227"/>
      <c r="BS118" s="357"/>
      <c r="BT118" s="355">
        <f>SUM(L118:BO118)</f>
        <v>11122195</v>
      </c>
      <c r="BU118" s="356"/>
      <c r="BV118" s="233"/>
      <c r="BW118" s="233"/>
      <c r="BX118" s="254"/>
    </row>
    <row r="119" spans="1:76" x14ac:dyDescent="0.2">
      <c r="A119" s="244"/>
      <c r="B119" s="244"/>
      <c r="C119" s="244"/>
      <c r="D119" s="254"/>
      <c r="E119" s="261"/>
      <c r="F119" s="244"/>
      <c r="G119" s="233"/>
      <c r="H119" s="233"/>
      <c r="I119" s="233"/>
      <c r="J119" s="227"/>
      <c r="K119" s="233"/>
      <c r="L119" s="233"/>
      <c r="M119" s="233"/>
      <c r="N119" s="233"/>
      <c r="O119" s="227"/>
      <c r="P119" s="233"/>
      <c r="Q119" s="233"/>
      <c r="R119" s="233"/>
      <c r="S119" s="233"/>
      <c r="T119" s="227"/>
      <c r="U119" s="233"/>
      <c r="V119" s="233"/>
      <c r="W119" s="233"/>
      <c r="X119" s="233"/>
      <c r="Y119" s="227"/>
      <c r="Z119" s="233"/>
      <c r="AA119" s="233"/>
      <c r="AB119" s="233"/>
      <c r="AC119" s="233"/>
      <c r="AD119" s="227"/>
      <c r="AE119" s="233"/>
      <c r="AF119" s="233"/>
      <c r="AG119" s="233"/>
      <c r="AH119" s="233"/>
      <c r="AI119" s="227"/>
      <c r="AJ119" s="233"/>
      <c r="AK119" s="233"/>
      <c r="AL119" s="233"/>
      <c r="AM119" s="233"/>
      <c r="AN119" s="227"/>
      <c r="AO119" s="233"/>
      <c r="AP119" s="233"/>
      <c r="AQ119" s="233"/>
      <c r="AR119" s="233"/>
      <c r="AS119" s="227"/>
      <c r="AT119" s="233"/>
      <c r="AU119" s="233"/>
      <c r="AV119" s="233"/>
      <c r="AW119" s="233"/>
      <c r="AX119" s="227"/>
      <c r="AY119" s="233"/>
      <c r="AZ119" s="233"/>
      <c r="BA119" s="233"/>
      <c r="BB119" s="233"/>
      <c r="BC119" s="227"/>
      <c r="BD119" s="233"/>
      <c r="BE119" s="233"/>
      <c r="BF119" s="233"/>
      <c r="BG119" s="233"/>
      <c r="BH119" s="227"/>
      <c r="BI119" s="233"/>
      <c r="BJ119" s="233"/>
      <c r="BK119" s="233"/>
      <c r="BL119" s="233"/>
      <c r="BM119" s="227"/>
      <c r="BN119" s="233"/>
      <c r="BO119" s="233"/>
      <c r="BP119" s="233"/>
      <c r="BQ119" s="233"/>
      <c r="BR119" s="227"/>
      <c r="BS119" s="233"/>
      <c r="BT119" s="233"/>
      <c r="BU119" s="233"/>
      <c r="BV119" s="233"/>
      <c r="BW119" s="233"/>
      <c r="BX119" s="254"/>
    </row>
    <row r="120" spans="1:76" x14ac:dyDescent="0.2">
      <c r="A120" s="244"/>
      <c r="B120" s="244"/>
      <c r="C120" s="244"/>
      <c r="D120" s="254" t="s">
        <v>441</v>
      </c>
      <c r="E120" s="261"/>
      <c r="F120" s="244"/>
      <c r="G120" s="233">
        <f>SUM(G121:G122)</f>
        <v>0</v>
      </c>
      <c r="H120" s="233"/>
      <c r="I120" s="233"/>
      <c r="J120" s="227"/>
      <c r="K120" s="233"/>
      <c r="L120" s="233">
        <f>SUM(L121:L122)</f>
        <v>0</v>
      </c>
      <c r="M120" s="233"/>
      <c r="N120" s="233"/>
      <c r="O120" s="227"/>
      <c r="P120" s="233"/>
      <c r="Q120" s="233">
        <f>SUM(Q121:Q122)</f>
        <v>0</v>
      </c>
      <c r="R120" s="233"/>
      <c r="S120" s="233"/>
      <c r="T120" s="227"/>
      <c r="U120" s="233"/>
      <c r="V120" s="233">
        <f>SUM(V121:V122)</f>
        <v>0</v>
      </c>
      <c r="W120" s="233"/>
      <c r="X120" s="233"/>
      <c r="Y120" s="227"/>
      <c r="Z120" s="233"/>
      <c r="AA120" s="233">
        <f>SUM(AA121:AA122)</f>
        <v>0</v>
      </c>
      <c r="AB120" s="233"/>
      <c r="AC120" s="233"/>
      <c r="AD120" s="227"/>
      <c r="AE120" s="233"/>
      <c r="AF120" s="233">
        <f>SUM(AF121:AF122)</f>
        <v>0</v>
      </c>
      <c r="AG120" s="233"/>
      <c r="AH120" s="233"/>
      <c r="AI120" s="227"/>
      <c r="AJ120" s="233"/>
      <c r="AK120" s="233">
        <f>SUM(AK121:AK122)</f>
        <v>0</v>
      </c>
      <c r="AL120" s="233"/>
      <c r="AM120" s="233"/>
      <c r="AN120" s="227"/>
      <c r="AO120" s="233"/>
      <c r="AP120" s="233">
        <f>SUM(AP121:AP122)</f>
        <v>0</v>
      </c>
      <c r="AQ120" s="233"/>
      <c r="AR120" s="233"/>
      <c r="AS120" s="227"/>
      <c r="AT120" s="233"/>
      <c r="AU120" s="233">
        <f>SUM(AU121:AU122)</f>
        <v>0</v>
      </c>
      <c r="AV120" s="233"/>
      <c r="AW120" s="233"/>
      <c r="AX120" s="227"/>
      <c r="AY120" s="233"/>
      <c r="AZ120" s="233">
        <f>SUM(AZ121:AZ122)</f>
        <v>0</v>
      </c>
      <c r="BA120" s="233"/>
      <c r="BB120" s="233"/>
      <c r="BC120" s="227"/>
      <c r="BD120" s="233"/>
      <c r="BE120" s="233">
        <f>SUM(BE121:BE122)</f>
        <v>0</v>
      </c>
      <c r="BF120" s="233"/>
      <c r="BG120" s="233"/>
      <c r="BH120" s="227"/>
      <c r="BI120" s="233"/>
      <c r="BJ120" s="233">
        <f>SUM(BJ121:BJ122)</f>
        <v>0</v>
      </c>
      <c r="BK120" s="233"/>
      <c r="BL120" s="233"/>
      <c r="BM120" s="227"/>
      <c r="BN120" s="233"/>
      <c r="BO120" s="233">
        <f>SUM(BO121:BO122)</f>
        <v>24692267</v>
      </c>
      <c r="BP120" s="233"/>
      <c r="BQ120" s="233"/>
      <c r="BR120" s="227"/>
      <c r="BS120" s="233"/>
      <c r="BT120" s="233">
        <f>SUM(BT121:BT122)</f>
        <v>24692267</v>
      </c>
      <c r="BU120" s="233"/>
      <c r="BV120" s="233"/>
      <c r="BW120" s="233"/>
      <c r="BX120" s="254"/>
    </row>
    <row r="121" spans="1:76" x14ac:dyDescent="0.2">
      <c r="A121" s="244"/>
      <c r="B121" s="244"/>
      <c r="C121" s="244"/>
      <c r="D121" s="254" t="s">
        <v>437</v>
      </c>
      <c r="E121" s="261"/>
      <c r="F121" s="269"/>
      <c r="G121" s="343">
        <v>0</v>
      </c>
      <c r="H121" s="344"/>
      <c r="I121" s="233"/>
      <c r="J121" s="227"/>
      <c r="K121" s="345"/>
      <c r="L121" s="343">
        <v>0</v>
      </c>
      <c r="M121" s="344"/>
      <c r="N121" s="233"/>
      <c r="O121" s="227"/>
      <c r="P121" s="345"/>
      <c r="Q121" s="343">
        <v>0</v>
      </c>
      <c r="R121" s="344"/>
      <c r="S121" s="233"/>
      <c r="T121" s="227"/>
      <c r="U121" s="345"/>
      <c r="V121" s="343">
        <v>0</v>
      </c>
      <c r="W121" s="344"/>
      <c r="X121" s="233"/>
      <c r="Y121" s="227"/>
      <c r="Z121" s="345"/>
      <c r="AA121" s="343">
        <v>0</v>
      </c>
      <c r="AB121" s="344"/>
      <c r="AC121" s="233"/>
      <c r="AD121" s="227"/>
      <c r="AE121" s="345"/>
      <c r="AF121" s="343">
        <v>0</v>
      </c>
      <c r="AG121" s="344"/>
      <c r="AH121" s="233"/>
      <c r="AI121" s="227"/>
      <c r="AJ121" s="345"/>
      <c r="AK121" s="343">
        <v>0</v>
      </c>
      <c r="AL121" s="344"/>
      <c r="AM121" s="233"/>
      <c r="AN121" s="227"/>
      <c r="AO121" s="345"/>
      <c r="AP121" s="343">
        <v>0</v>
      </c>
      <c r="AQ121" s="344"/>
      <c r="AR121" s="233"/>
      <c r="AS121" s="227"/>
      <c r="AT121" s="345"/>
      <c r="AU121" s="343">
        <v>0</v>
      </c>
      <c r="AV121" s="344"/>
      <c r="AW121" s="233"/>
      <c r="AX121" s="227"/>
      <c r="AY121" s="345"/>
      <c r="AZ121" s="343">
        <v>0</v>
      </c>
      <c r="BA121" s="344"/>
      <c r="BB121" s="233"/>
      <c r="BC121" s="227"/>
      <c r="BD121" s="345"/>
      <c r="BE121" s="343">
        <v>0</v>
      </c>
      <c r="BF121" s="344"/>
      <c r="BG121" s="233"/>
      <c r="BH121" s="227"/>
      <c r="BI121" s="345"/>
      <c r="BJ121" s="343">
        <v>0</v>
      </c>
      <c r="BK121" s="344"/>
      <c r="BL121" s="233"/>
      <c r="BM121" s="227"/>
      <c r="BN121" s="345"/>
      <c r="BO121" s="343">
        <v>12046193</v>
      </c>
      <c r="BP121" s="344"/>
      <c r="BQ121" s="233"/>
      <c r="BR121" s="227"/>
      <c r="BS121" s="345"/>
      <c r="BT121" s="343">
        <f>SUM(L121:BO121)</f>
        <v>12046193</v>
      </c>
      <c r="BU121" s="344"/>
      <c r="BV121" s="233"/>
      <c r="BW121" s="233"/>
      <c r="BX121" s="254"/>
    </row>
    <row r="122" spans="1:76" x14ac:dyDescent="0.2">
      <c r="A122" s="244"/>
      <c r="B122" s="244"/>
      <c r="C122" s="244"/>
      <c r="D122" s="254" t="s">
        <v>438</v>
      </c>
      <c r="E122" s="261"/>
      <c r="F122" s="284"/>
      <c r="G122" s="355">
        <v>0</v>
      </c>
      <c r="H122" s="356"/>
      <c r="I122" s="233"/>
      <c r="J122" s="227"/>
      <c r="K122" s="357"/>
      <c r="L122" s="355">
        <v>0</v>
      </c>
      <c r="M122" s="356"/>
      <c r="N122" s="233"/>
      <c r="O122" s="227"/>
      <c r="P122" s="357"/>
      <c r="Q122" s="355">
        <v>0</v>
      </c>
      <c r="R122" s="356"/>
      <c r="S122" s="233"/>
      <c r="T122" s="227"/>
      <c r="U122" s="357"/>
      <c r="V122" s="355">
        <v>0</v>
      </c>
      <c r="W122" s="356"/>
      <c r="X122" s="233"/>
      <c r="Y122" s="227"/>
      <c r="Z122" s="357"/>
      <c r="AA122" s="355">
        <v>0</v>
      </c>
      <c r="AB122" s="356"/>
      <c r="AC122" s="233"/>
      <c r="AD122" s="227"/>
      <c r="AE122" s="357"/>
      <c r="AF122" s="355">
        <v>0</v>
      </c>
      <c r="AG122" s="356"/>
      <c r="AH122" s="233"/>
      <c r="AI122" s="227"/>
      <c r="AJ122" s="357"/>
      <c r="AK122" s="355">
        <v>0</v>
      </c>
      <c r="AL122" s="356"/>
      <c r="AM122" s="233"/>
      <c r="AN122" s="227"/>
      <c r="AO122" s="357"/>
      <c r="AP122" s="355">
        <v>0</v>
      </c>
      <c r="AQ122" s="356"/>
      <c r="AR122" s="233"/>
      <c r="AS122" s="227"/>
      <c r="AT122" s="357"/>
      <c r="AU122" s="355">
        <v>0</v>
      </c>
      <c r="AV122" s="356"/>
      <c r="AW122" s="233"/>
      <c r="AX122" s="227"/>
      <c r="AY122" s="357"/>
      <c r="AZ122" s="355">
        <v>0</v>
      </c>
      <c r="BA122" s="356"/>
      <c r="BB122" s="233"/>
      <c r="BC122" s="227"/>
      <c r="BD122" s="357"/>
      <c r="BE122" s="355">
        <v>0</v>
      </c>
      <c r="BF122" s="356"/>
      <c r="BG122" s="233"/>
      <c r="BH122" s="227"/>
      <c r="BI122" s="357"/>
      <c r="BJ122" s="355">
        <v>0</v>
      </c>
      <c r="BK122" s="356"/>
      <c r="BL122" s="233"/>
      <c r="BM122" s="227"/>
      <c r="BN122" s="357"/>
      <c r="BO122" s="355">
        <v>12646074</v>
      </c>
      <c r="BP122" s="356"/>
      <c r="BQ122" s="233"/>
      <c r="BR122" s="227"/>
      <c r="BS122" s="357"/>
      <c r="BT122" s="355">
        <f>SUM(L122:BO122)</f>
        <v>12646074</v>
      </c>
      <c r="BU122" s="356"/>
      <c r="BV122" s="233"/>
      <c r="BW122" s="233"/>
      <c r="BX122" s="254"/>
    </row>
    <row r="123" spans="1:76" hidden="1" x14ac:dyDescent="0.2">
      <c r="A123" s="244"/>
      <c r="B123" s="244"/>
      <c r="C123" s="244"/>
      <c r="D123" s="254"/>
      <c r="E123" s="261"/>
      <c r="F123" s="244"/>
      <c r="G123" s="233"/>
      <c r="H123" s="233"/>
      <c r="I123" s="233"/>
      <c r="J123" s="227"/>
      <c r="K123" s="233"/>
      <c r="L123" s="233"/>
      <c r="M123" s="233"/>
      <c r="N123" s="233"/>
      <c r="O123" s="227"/>
      <c r="P123" s="233"/>
      <c r="Q123" s="233"/>
      <c r="R123" s="233"/>
      <c r="S123" s="233"/>
      <c r="T123" s="227"/>
      <c r="U123" s="233"/>
      <c r="V123" s="233"/>
      <c r="W123" s="233"/>
      <c r="X123" s="233"/>
      <c r="Y123" s="227"/>
      <c r="Z123" s="233"/>
      <c r="AA123" s="233"/>
      <c r="AB123" s="233"/>
      <c r="AC123" s="233"/>
      <c r="AD123" s="227"/>
      <c r="AE123" s="233"/>
      <c r="AF123" s="233"/>
      <c r="AG123" s="233"/>
      <c r="AH123" s="233"/>
      <c r="AI123" s="227"/>
      <c r="AJ123" s="233"/>
      <c r="AK123" s="233"/>
      <c r="AL123" s="233"/>
      <c r="AM123" s="233"/>
      <c r="AN123" s="227"/>
      <c r="AO123" s="233"/>
      <c r="AP123" s="233"/>
      <c r="AQ123" s="233"/>
      <c r="AR123" s="233"/>
      <c r="AS123" s="227"/>
      <c r="AT123" s="233"/>
      <c r="AU123" s="233"/>
      <c r="AV123" s="233"/>
      <c r="AW123" s="233"/>
      <c r="AX123" s="227"/>
      <c r="AY123" s="233"/>
      <c r="AZ123" s="233"/>
      <c r="BA123" s="233"/>
      <c r="BB123" s="233"/>
      <c r="BC123" s="227"/>
      <c r="BD123" s="233"/>
      <c r="BE123" s="233"/>
      <c r="BF123" s="233"/>
      <c r="BG123" s="233"/>
      <c r="BH123" s="227"/>
      <c r="BI123" s="233"/>
      <c r="BJ123" s="233"/>
      <c r="BK123" s="233"/>
      <c r="BL123" s="233"/>
      <c r="BM123" s="227"/>
      <c r="BN123" s="233"/>
      <c r="BO123" s="233"/>
      <c r="BP123" s="233"/>
      <c r="BQ123" s="233"/>
      <c r="BR123" s="227"/>
      <c r="BS123" s="233"/>
      <c r="BT123" s="233"/>
      <c r="BU123" s="233"/>
      <c r="BV123" s="233"/>
      <c r="BW123" s="233"/>
      <c r="BX123" s="254"/>
    </row>
    <row r="124" spans="1:76" hidden="1" x14ac:dyDescent="0.2">
      <c r="A124" s="244"/>
      <c r="B124" s="244"/>
      <c r="C124" s="244"/>
      <c r="D124" s="254" t="s">
        <v>442</v>
      </c>
      <c r="E124" s="261"/>
      <c r="F124" s="244"/>
      <c r="G124" s="233">
        <v>0</v>
      </c>
      <c r="H124" s="233"/>
      <c r="I124" s="233"/>
      <c r="J124" s="227"/>
      <c r="K124" s="233"/>
      <c r="L124" s="233">
        <f>SUM(L125:L126)</f>
        <v>0</v>
      </c>
      <c r="M124" s="233"/>
      <c r="N124" s="233"/>
      <c r="O124" s="227"/>
      <c r="P124" s="233"/>
      <c r="Q124" s="233">
        <f>SUM(Q125:Q126)</f>
        <v>0</v>
      </c>
      <c r="R124" s="233"/>
      <c r="S124" s="233"/>
      <c r="T124" s="227"/>
      <c r="U124" s="233"/>
      <c r="V124" s="233">
        <f>SUM(V125:V126)</f>
        <v>0</v>
      </c>
      <c r="W124" s="233"/>
      <c r="X124" s="233"/>
      <c r="Y124" s="227"/>
      <c r="Z124" s="233"/>
      <c r="AA124" s="233">
        <f>SUM(AA125:AA126)</f>
        <v>0</v>
      </c>
      <c r="AB124" s="233"/>
      <c r="AC124" s="233"/>
      <c r="AD124" s="227"/>
      <c r="AE124" s="233"/>
      <c r="AF124" s="233">
        <f>SUM(AF125:AF126)</f>
        <v>0</v>
      </c>
      <c r="AG124" s="233"/>
      <c r="AH124" s="233"/>
      <c r="AI124" s="227"/>
      <c r="AJ124" s="233"/>
      <c r="AK124" s="233">
        <f>SUM(AK125:AK126)</f>
        <v>0</v>
      </c>
      <c r="AL124" s="233"/>
      <c r="AM124" s="233"/>
      <c r="AN124" s="227"/>
      <c r="AO124" s="233"/>
      <c r="AP124" s="233">
        <f>SUM(AP125:AP126)</f>
        <v>0</v>
      </c>
      <c r="AQ124" s="233"/>
      <c r="AR124" s="233"/>
      <c r="AS124" s="227"/>
      <c r="AT124" s="233"/>
      <c r="AU124" s="233">
        <f>SUM(AU125:AU126)</f>
        <v>0</v>
      </c>
      <c r="AV124" s="233"/>
      <c r="AW124" s="233"/>
      <c r="AX124" s="227"/>
      <c r="AY124" s="233"/>
      <c r="AZ124" s="233">
        <f>SUM(AZ125:AZ126)</f>
        <v>0</v>
      </c>
      <c r="BA124" s="233"/>
      <c r="BB124" s="233"/>
      <c r="BC124" s="227"/>
      <c r="BD124" s="233"/>
      <c r="BE124" s="233">
        <f>SUM(BE125:BE126)</f>
        <v>0</v>
      </c>
      <c r="BF124" s="233"/>
      <c r="BG124" s="233"/>
      <c r="BH124" s="227"/>
      <c r="BI124" s="233"/>
      <c r="BJ124" s="233">
        <f>SUM(BJ125:BJ126)</f>
        <v>0</v>
      </c>
      <c r="BK124" s="233"/>
      <c r="BL124" s="233"/>
      <c r="BM124" s="227"/>
      <c r="BN124" s="233"/>
      <c r="BO124" s="233">
        <f>SUM(BO125:BO126)</f>
        <v>0</v>
      </c>
      <c r="BP124" s="233"/>
      <c r="BQ124" s="233"/>
      <c r="BR124" s="227"/>
      <c r="BS124" s="233"/>
      <c r="BT124" s="233">
        <f>SUM(BT125:BT126)</f>
        <v>0</v>
      </c>
      <c r="BU124" s="233"/>
      <c r="BV124" s="233"/>
      <c r="BW124" s="233"/>
      <c r="BX124" s="254"/>
    </row>
    <row r="125" spans="1:76" hidden="1" x14ac:dyDescent="0.2">
      <c r="A125" s="244"/>
      <c r="B125" s="244"/>
      <c r="C125" s="244"/>
      <c r="D125" s="254" t="s">
        <v>437</v>
      </c>
      <c r="E125" s="261"/>
      <c r="F125" s="269"/>
      <c r="G125" s="343">
        <v>0</v>
      </c>
      <c r="H125" s="344"/>
      <c r="I125" s="233"/>
      <c r="J125" s="227"/>
      <c r="K125" s="345"/>
      <c r="L125" s="343">
        <v>0</v>
      </c>
      <c r="M125" s="344"/>
      <c r="N125" s="233"/>
      <c r="O125" s="227"/>
      <c r="P125" s="345"/>
      <c r="Q125" s="343">
        <v>0</v>
      </c>
      <c r="R125" s="344"/>
      <c r="S125" s="233"/>
      <c r="T125" s="227"/>
      <c r="U125" s="345"/>
      <c r="V125" s="343">
        <v>0</v>
      </c>
      <c r="W125" s="344"/>
      <c r="X125" s="233"/>
      <c r="Y125" s="227"/>
      <c r="Z125" s="345"/>
      <c r="AA125" s="343">
        <v>0</v>
      </c>
      <c r="AB125" s="344"/>
      <c r="AC125" s="233"/>
      <c r="AD125" s="227"/>
      <c r="AE125" s="345"/>
      <c r="AF125" s="343">
        <v>0</v>
      </c>
      <c r="AG125" s="344"/>
      <c r="AH125" s="233"/>
      <c r="AI125" s="227"/>
      <c r="AJ125" s="345"/>
      <c r="AK125" s="343">
        <v>0</v>
      </c>
      <c r="AL125" s="344"/>
      <c r="AM125" s="233"/>
      <c r="AN125" s="227"/>
      <c r="AO125" s="345"/>
      <c r="AP125" s="343">
        <v>0</v>
      </c>
      <c r="AQ125" s="344"/>
      <c r="AR125" s="233"/>
      <c r="AS125" s="227"/>
      <c r="AT125" s="345"/>
      <c r="AU125" s="343">
        <v>0</v>
      </c>
      <c r="AV125" s="344"/>
      <c r="AW125" s="233"/>
      <c r="AX125" s="227"/>
      <c r="AY125" s="345"/>
      <c r="AZ125" s="343">
        <v>0</v>
      </c>
      <c r="BA125" s="344"/>
      <c r="BB125" s="233"/>
      <c r="BC125" s="227"/>
      <c r="BD125" s="345"/>
      <c r="BE125" s="343">
        <v>0</v>
      </c>
      <c r="BF125" s="344"/>
      <c r="BG125" s="233"/>
      <c r="BH125" s="227"/>
      <c r="BI125" s="345"/>
      <c r="BJ125" s="343">
        <v>0</v>
      </c>
      <c r="BK125" s="344"/>
      <c r="BL125" s="233"/>
      <c r="BM125" s="227"/>
      <c r="BN125" s="345"/>
      <c r="BO125" s="343">
        <v>0</v>
      </c>
      <c r="BP125" s="344"/>
      <c r="BQ125" s="233"/>
      <c r="BR125" s="227"/>
      <c r="BS125" s="345"/>
      <c r="BT125" s="343">
        <f>SUM(L125:BO125)</f>
        <v>0</v>
      </c>
      <c r="BU125" s="344"/>
      <c r="BV125" s="233"/>
      <c r="BW125" s="233"/>
      <c r="BX125" s="254"/>
    </row>
    <row r="126" spans="1:76" hidden="1" x14ac:dyDescent="0.2">
      <c r="A126" s="244"/>
      <c r="B126" s="244"/>
      <c r="C126" s="244"/>
      <c r="D126" s="254" t="s">
        <v>438</v>
      </c>
      <c r="E126" s="261"/>
      <c r="F126" s="284"/>
      <c r="G126" s="355">
        <v>0</v>
      </c>
      <c r="H126" s="356"/>
      <c r="I126" s="233"/>
      <c r="J126" s="227"/>
      <c r="K126" s="357"/>
      <c r="L126" s="355">
        <v>0</v>
      </c>
      <c r="M126" s="356"/>
      <c r="N126" s="233"/>
      <c r="O126" s="227"/>
      <c r="P126" s="357"/>
      <c r="Q126" s="355">
        <v>0</v>
      </c>
      <c r="R126" s="356"/>
      <c r="S126" s="233"/>
      <c r="T126" s="227"/>
      <c r="U126" s="357"/>
      <c r="V126" s="355">
        <v>0</v>
      </c>
      <c r="W126" s="356"/>
      <c r="X126" s="233"/>
      <c r="Y126" s="227"/>
      <c r="Z126" s="357"/>
      <c r="AA126" s="355">
        <v>0</v>
      </c>
      <c r="AB126" s="356"/>
      <c r="AC126" s="233"/>
      <c r="AD126" s="227"/>
      <c r="AE126" s="357"/>
      <c r="AF126" s="355">
        <v>0</v>
      </c>
      <c r="AG126" s="356"/>
      <c r="AH126" s="233"/>
      <c r="AI126" s="227"/>
      <c r="AJ126" s="357"/>
      <c r="AK126" s="355">
        <v>0</v>
      </c>
      <c r="AL126" s="356"/>
      <c r="AM126" s="233"/>
      <c r="AN126" s="227"/>
      <c r="AO126" s="357"/>
      <c r="AP126" s="355">
        <v>0</v>
      </c>
      <c r="AQ126" s="356"/>
      <c r="AR126" s="233"/>
      <c r="AS126" s="227"/>
      <c r="AT126" s="357"/>
      <c r="AU126" s="355">
        <v>0</v>
      </c>
      <c r="AV126" s="356"/>
      <c r="AW126" s="233"/>
      <c r="AX126" s="227"/>
      <c r="AY126" s="357"/>
      <c r="AZ126" s="355">
        <v>0</v>
      </c>
      <c r="BA126" s="356"/>
      <c r="BB126" s="233"/>
      <c r="BC126" s="227"/>
      <c r="BD126" s="357"/>
      <c r="BE126" s="355">
        <v>0</v>
      </c>
      <c r="BF126" s="356"/>
      <c r="BG126" s="233"/>
      <c r="BH126" s="227"/>
      <c r="BI126" s="357"/>
      <c r="BJ126" s="355">
        <v>0</v>
      </c>
      <c r="BK126" s="356"/>
      <c r="BL126" s="233"/>
      <c r="BM126" s="227"/>
      <c r="BN126" s="357"/>
      <c r="BO126" s="355">
        <v>0</v>
      </c>
      <c r="BP126" s="356"/>
      <c r="BQ126" s="233"/>
      <c r="BR126" s="227"/>
      <c r="BS126" s="357"/>
      <c r="BT126" s="355">
        <f>SUM(L126:BO126)</f>
        <v>0</v>
      </c>
      <c r="BU126" s="356"/>
      <c r="BV126" s="233"/>
      <c r="BW126" s="233"/>
      <c r="BX126" s="254"/>
    </row>
    <row r="127" spans="1:76" hidden="1" x14ac:dyDescent="0.2">
      <c r="A127" s="244"/>
      <c r="B127" s="244"/>
      <c r="C127" s="244"/>
      <c r="D127" s="254"/>
      <c r="E127" s="261"/>
      <c r="F127" s="244"/>
      <c r="G127" s="233"/>
      <c r="H127" s="233"/>
      <c r="I127" s="233"/>
      <c r="J127" s="227"/>
      <c r="K127" s="233"/>
      <c r="L127" s="233"/>
      <c r="M127" s="233"/>
      <c r="N127" s="233"/>
      <c r="O127" s="227"/>
      <c r="P127" s="233"/>
      <c r="Q127" s="233"/>
      <c r="R127" s="233"/>
      <c r="S127" s="233"/>
      <c r="T127" s="227"/>
      <c r="U127" s="233"/>
      <c r="V127" s="233"/>
      <c r="W127" s="233"/>
      <c r="X127" s="233"/>
      <c r="Y127" s="227"/>
      <c r="Z127" s="233"/>
      <c r="AA127" s="233"/>
      <c r="AB127" s="233"/>
      <c r="AC127" s="233"/>
      <c r="AD127" s="227"/>
      <c r="AE127" s="233"/>
      <c r="AF127" s="233"/>
      <c r="AG127" s="233"/>
      <c r="AH127" s="233"/>
      <c r="AI127" s="227"/>
      <c r="AJ127" s="233"/>
      <c r="AK127" s="233"/>
      <c r="AL127" s="233"/>
      <c r="AM127" s="233"/>
      <c r="AN127" s="227"/>
      <c r="AO127" s="233"/>
      <c r="AP127" s="233"/>
      <c r="AQ127" s="233"/>
      <c r="AR127" s="233"/>
      <c r="AS127" s="227"/>
      <c r="AT127" s="233"/>
      <c r="AU127" s="233"/>
      <c r="AV127" s="233"/>
      <c r="AW127" s="233"/>
      <c r="AX127" s="227"/>
      <c r="AY127" s="233"/>
      <c r="AZ127" s="233"/>
      <c r="BA127" s="233"/>
      <c r="BB127" s="233"/>
      <c r="BC127" s="227"/>
      <c r="BD127" s="233"/>
      <c r="BE127" s="233"/>
      <c r="BF127" s="233"/>
      <c r="BG127" s="233"/>
      <c r="BH127" s="227"/>
      <c r="BI127" s="233"/>
      <c r="BJ127" s="233"/>
      <c r="BK127" s="233"/>
      <c r="BL127" s="233"/>
      <c r="BM127" s="227"/>
      <c r="BN127" s="233"/>
      <c r="BO127" s="233"/>
      <c r="BP127" s="233"/>
      <c r="BQ127" s="233"/>
      <c r="BR127" s="227"/>
      <c r="BS127" s="233"/>
      <c r="BT127" s="233"/>
      <c r="BU127" s="233"/>
      <c r="BV127" s="233"/>
      <c r="BW127" s="233"/>
      <c r="BX127" s="254"/>
    </row>
    <row r="128" spans="1:76" hidden="1" x14ac:dyDescent="0.2">
      <c r="A128" s="244"/>
      <c r="B128" s="244"/>
      <c r="C128" s="244"/>
      <c r="D128" s="254" t="s">
        <v>443</v>
      </c>
      <c r="E128" s="261"/>
      <c r="F128" s="244"/>
      <c r="G128" s="233">
        <v>0</v>
      </c>
      <c r="H128" s="233"/>
      <c r="I128" s="233"/>
      <c r="J128" s="227"/>
      <c r="K128" s="233"/>
      <c r="L128" s="233">
        <f>SUM(L129:L130)</f>
        <v>0</v>
      </c>
      <c r="M128" s="233"/>
      <c r="N128" s="233"/>
      <c r="O128" s="227"/>
      <c r="P128" s="233"/>
      <c r="Q128" s="233">
        <f>SUM(Q129:Q130)</f>
        <v>0</v>
      </c>
      <c r="R128" s="233"/>
      <c r="S128" s="233"/>
      <c r="T128" s="227"/>
      <c r="U128" s="233"/>
      <c r="V128" s="233">
        <f>SUM(V129:V130)</f>
        <v>0</v>
      </c>
      <c r="W128" s="233"/>
      <c r="X128" s="233"/>
      <c r="Y128" s="227"/>
      <c r="Z128" s="233"/>
      <c r="AA128" s="233">
        <f>SUM(AA129:AA130)</f>
        <v>0</v>
      </c>
      <c r="AB128" s="233"/>
      <c r="AC128" s="233"/>
      <c r="AD128" s="227"/>
      <c r="AE128" s="233"/>
      <c r="AF128" s="233">
        <f>SUM(AF129:AF130)</f>
        <v>0</v>
      </c>
      <c r="AG128" s="233"/>
      <c r="AH128" s="233"/>
      <c r="AI128" s="227"/>
      <c r="AJ128" s="233"/>
      <c r="AK128" s="233">
        <f>SUM(AK129:AK130)</f>
        <v>0</v>
      </c>
      <c r="AL128" s="233"/>
      <c r="AM128" s="233"/>
      <c r="AN128" s="227"/>
      <c r="AO128" s="233"/>
      <c r="AP128" s="233">
        <f>SUM(AP129:AP130)</f>
        <v>0</v>
      </c>
      <c r="AQ128" s="233"/>
      <c r="AR128" s="233"/>
      <c r="AS128" s="227"/>
      <c r="AT128" s="233"/>
      <c r="AU128" s="233">
        <f>SUM(AU129:AU130)</f>
        <v>0</v>
      </c>
      <c r="AV128" s="233"/>
      <c r="AW128" s="233"/>
      <c r="AX128" s="227"/>
      <c r="AY128" s="233"/>
      <c r="AZ128" s="233">
        <f>SUM(AZ129:AZ130)</f>
        <v>0</v>
      </c>
      <c r="BA128" s="233"/>
      <c r="BB128" s="233"/>
      <c r="BC128" s="227"/>
      <c r="BD128" s="233"/>
      <c r="BE128" s="233">
        <f>SUM(BE129:BE130)</f>
        <v>0</v>
      </c>
      <c r="BF128" s="233"/>
      <c r="BG128" s="233"/>
      <c r="BH128" s="227"/>
      <c r="BI128" s="233"/>
      <c r="BJ128" s="233">
        <f>SUM(BJ129:BJ130)</f>
        <v>0</v>
      </c>
      <c r="BK128" s="233"/>
      <c r="BL128" s="233"/>
      <c r="BM128" s="227"/>
      <c r="BN128" s="233"/>
      <c r="BO128" s="233">
        <f>SUM(BO129:BO130)</f>
        <v>0</v>
      </c>
      <c r="BP128" s="233"/>
      <c r="BQ128" s="233"/>
      <c r="BR128" s="227"/>
      <c r="BS128" s="233"/>
      <c r="BT128" s="233">
        <f>SUM(BT129:BT130)</f>
        <v>0</v>
      </c>
      <c r="BU128" s="233"/>
      <c r="BV128" s="233"/>
      <c r="BW128" s="233"/>
      <c r="BX128" s="254"/>
    </row>
    <row r="129" spans="1:76" hidden="1" x14ac:dyDescent="0.2">
      <c r="A129" s="244"/>
      <c r="B129" s="244"/>
      <c r="C129" s="244"/>
      <c r="D129" s="254" t="s">
        <v>437</v>
      </c>
      <c r="E129" s="261"/>
      <c r="F129" s="269"/>
      <c r="G129" s="343">
        <v>0</v>
      </c>
      <c r="H129" s="344"/>
      <c r="I129" s="233"/>
      <c r="J129" s="227"/>
      <c r="K129" s="345"/>
      <c r="L129" s="343">
        <v>0</v>
      </c>
      <c r="M129" s="344"/>
      <c r="N129" s="233"/>
      <c r="O129" s="227"/>
      <c r="P129" s="345"/>
      <c r="Q129" s="343">
        <v>0</v>
      </c>
      <c r="R129" s="344"/>
      <c r="S129" s="233"/>
      <c r="T129" s="227"/>
      <c r="U129" s="345"/>
      <c r="V129" s="343">
        <v>0</v>
      </c>
      <c r="W129" s="344"/>
      <c r="X129" s="233"/>
      <c r="Y129" s="227"/>
      <c r="Z129" s="345"/>
      <c r="AA129" s="343">
        <v>0</v>
      </c>
      <c r="AB129" s="344"/>
      <c r="AC129" s="233"/>
      <c r="AD129" s="227"/>
      <c r="AE129" s="345"/>
      <c r="AF129" s="343">
        <v>0</v>
      </c>
      <c r="AG129" s="344"/>
      <c r="AH129" s="233"/>
      <c r="AI129" s="227"/>
      <c r="AJ129" s="345"/>
      <c r="AK129" s="343">
        <v>0</v>
      </c>
      <c r="AL129" s="344"/>
      <c r="AM129" s="233"/>
      <c r="AN129" s="227"/>
      <c r="AO129" s="345"/>
      <c r="AP129" s="343">
        <v>0</v>
      </c>
      <c r="AQ129" s="344"/>
      <c r="AR129" s="233"/>
      <c r="AS129" s="227"/>
      <c r="AT129" s="345"/>
      <c r="AU129" s="343">
        <v>0</v>
      </c>
      <c r="AV129" s="344"/>
      <c r="AW129" s="233"/>
      <c r="AX129" s="227"/>
      <c r="AY129" s="345"/>
      <c r="AZ129" s="343">
        <v>0</v>
      </c>
      <c r="BA129" s="344"/>
      <c r="BB129" s="233"/>
      <c r="BC129" s="227"/>
      <c r="BD129" s="345"/>
      <c r="BE129" s="343">
        <v>0</v>
      </c>
      <c r="BF129" s="344"/>
      <c r="BG129" s="233"/>
      <c r="BH129" s="227"/>
      <c r="BI129" s="345"/>
      <c r="BJ129" s="343">
        <v>0</v>
      </c>
      <c r="BK129" s="344"/>
      <c r="BL129" s="233"/>
      <c r="BM129" s="227"/>
      <c r="BN129" s="345"/>
      <c r="BO129" s="343">
        <v>0</v>
      </c>
      <c r="BP129" s="344"/>
      <c r="BQ129" s="233"/>
      <c r="BR129" s="227"/>
      <c r="BS129" s="345"/>
      <c r="BT129" s="343">
        <f>SUM(L129:BO129)</f>
        <v>0</v>
      </c>
      <c r="BU129" s="344"/>
      <c r="BV129" s="233"/>
      <c r="BW129" s="233"/>
      <c r="BX129" s="254"/>
    </row>
    <row r="130" spans="1:76" hidden="1" x14ac:dyDescent="0.2">
      <c r="A130" s="244"/>
      <c r="B130" s="244"/>
      <c r="C130" s="244"/>
      <c r="D130" s="254" t="s">
        <v>438</v>
      </c>
      <c r="E130" s="261"/>
      <c r="F130" s="284"/>
      <c r="G130" s="355">
        <v>0</v>
      </c>
      <c r="H130" s="356"/>
      <c r="I130" s="233"/>
      <c r="J130" s="227"/>
      <c r="K130" s="357"/>
      <c r="L130" s="355">
        <v>0</v>
      </c>
      <c r="M130" s="356"/>
      <c r="N130" s="233"/>
      <c r="O130" s="227"/>
      <c r="P130" s="357"/>
      <c r="Q130" s="355">
        <v>0</v>
      </c>
      <c r="R130" s="356"/>
      <c r="S130" s="233"/>
      <c r="T130" s="227"/>
      <c r="U130" s="357"/>
      <c r="V130" s="355">
        <v>0</v>
      </c>
      <c r="W130" s="356"/>
      <c r="X130" s="233"/>
      <c r="Y130" s="227"/>
      <c r="Z130" s="357"/>
      <c r="AA130" s="355">
        <v>0</v>
      </c>
      <c r="AB130" s="356"/>
      <c r="AC130" s="233"/>
      <c r="AD130" s="227"/>
      <c r="AE130" s="357"/>
      <c r="AF130" s="355">
        <v>0</v>
      </c>
      <c r="AG130" s="356"/>
      <c r="AH130" s="233"/>
      <c r="AI130" s="227"/>
      <c r="AJ130" s="357"/>
      <c r="AK130" s="355">
        <v>0</v>
      </c>
      <c r="AL130" s="356"/>
      <c r="AM130" s="233"/>
      <c r="AN130" s="227"/>
      <c r="AO130" s="357"/>
      <c r="AP130" s="355">
        <v>0</v>
      </c>
      <c r="AQ130" s="356"/>
      <c r="AR130" s="233"/>
      <c r="AS130" s="227"/>
      <c r="AT130" s="357"/>
      <c r="AU130" s="355">
        <v>0</v>
      </c>
      <c r="AV130" s="356"/>
      <c r="AW130" s="233"/>
      <c r="AX130" s="227"/>
      <c r="AY130" s="357"/>
      <c r="AZ130" s="355">
        <v>0</v>
      </c>
      <c r="BA130" s="356"/>
      <c r="BB130" s="233"/>
      <c r="BC130" s="227"/>
      <c r="BD130" s="357"/>
      <c r="BE130" s="355">
        <v>0</v>
      </c>
      <c r="BF130" s="356"/>
      <c r="BG130" s="233"/>
      <c r="BH130" s="227"/>
      <c r="BI130" s="357"/>
      <c r="BJ130" s="355">
        <v>0</v>
      </c>
      <c r="BK130" s="356"/>
      <c r="BL130" s="233"/>
      <c r="BM130" s="227"/>
      <c r="BN130" s="357"/>
      <c r="BO130" s="355">
        <v>0</v>
      </c>
      <c r="BP130" s="356"/>
      <c r="BQ130" s="233"/>
      <c r="BR130" s="227"/>
      <c r="BS130" s="357"/>
      <c r="BT130" s="355">
        <f>SUM(L130:BO130)</f>
        <v>0</v>
      </c>
      <c r="BU130" s="356"/>
      <c r="BV130" s="233"/>
      <c r="BW130" s="233"/>
      <c r="BX130" s="254"/>
    </row>
    <row r="131" spans="1:76" x14ac:dyDescent="0.2">
      <c r="A131" s="244"/>
      <c r="B131" s="244"/>
      <c r="C131" s="244"/>
      <c r="D131" s="254"/>
      <c r="E131" s="261"/>
      <c r="F131" s="244"/>
      <c r="G131" s="233"/>
      <c r="H131" s="233"/>
      <c r="I131" s="233"/>
      <c r="J131" s="227"/>
      <c r="K131" s="233"/>
      <c r="L131" s="233"/>
      <c r="M131" s="233"/>
      <c r="N131" s="233"/>
      <c r="O131" s="227"/>
      <c r="P131" s="233"/>
      <c r="Q131" s="233"/>
      <c r="R131" s="233"/>
      <c r="S131" s="233"/>
      <c r="T131" s="227"/>
      <c r="U131" s="233"/>
      <c r="V131" s="233"/>
      <c r="W131" s="233"/>
      <c r="X131" s="233"/>
      <c r="Y131" s="227"/>
      <c r="Z131" s="233"/>
      <c r="AA131" s="233"/>
      <c r="AB131" s="233"/>
      <c r="AC131" s="233"/>
      <c r="AD131" s="227"/>
      <c r="AE131" s="233"/>
      <c r="AF131" s="233"/>
      <c r="AG131" s="233"/>
      <c r="AH131" s="233"/>
      <c r="AI131" s="227"/>
      <c r="AJ131" s="233"/>
      <c r="AK131" s="233"/>
      <c r="AL131" s="233"/>
      <c r="AM131" s="233"/>
      <c r="AN131" s="227"/>
      <c r="AO131" s="233"/>
      <c r="AP131" s="233"/>
      <c r="AQ131" s="233"/>
      <c r="AR131" s="233"/>
      <c r="AS131" s="227"/>
      <c r="AT131" s="233"/>
      <c r="AU131" s="233"/>
      <c r="AV131" s="233"/>
      <c r="AW131" s="233"/>
      <c r="AX131" s="227"/>
      <c r="AY131" s="233"/>
      <c r="AZ131" s="233"/>
      <c r="BA131" s="233"/>
      <c r="BB131" s="233"/>
      <c r="BC131" s="227"/>
      <c r="BD131" s="233"/>
      <c r="BE131" s="233"/>
      <c r="BF131" s="233"/>
      <c r="BG131" s="233"/>
      <c r="BH131" s="227"/>
      <c r="BI131" s="233"/>
      <c r="BJ131" s="233"/>
      <c r="BK131" s="233"/>
      <c r="BL131" s="233"/>
      <c r="BM131" s="227"/>
      <c r="BN131" s="233"/>
      <c r="BO131" s="233"/>
      <c r="BP131" s="233"/>
      <c r="BQ131" s="233"/>
      <c r="BR131" s="227"/>
      <c r="BS131" s="233"/>
      <c r="BT131" s="233"/>
      <c r="BU131" s="233"/>
      <c r="BV131" s="233"/>
      <c r="BW131" s="233"/>
      <c r="BX131" s="254"/>
    </row>
    <row r="132" spans="1:76" x14ac:dyDescent="0.2">
      <c r="A132" s="244"/>
      <c r="B132" s="244"/>
      <c r="C132" s="244"/>
      <c r="D132" s="254" t="s">
        <v>444</v>
      </c>
      <c r="E132" s="261"/>
      <c r="F132" s="244"/>
      <c r="G132" s="233">
        <f>SUM(G133:G134)</f>
        <v>0</v>
      </c>
      <c r="H132" s="233"/>
      <c r="I132" s="233"/>
      <c r="J132" s="227"/>
      <c r="K132" s="233"/>
      <c r="L132" s="233">
        <f>SUM(L133:L134)</f>
        <v>628449</v>
      </c>
      <c r="M132" s="233"/>
      <c r="N132" s="233"/>
      <c r="O132" s="227"/>
      <c r="P132" s="233"/>
      <c r="Q132" s="233">
        <f>SUM(Q133:Q134)</f>
        <v>0</v>
      </c>
      <c r="R132" s="233"/>
      <c r="S132" s="233"/>
      <c r="T132" s="227"/>
      <c r="U132" s="233"/>
      <c r="V132" s="233">
        <f>SUM(V133:V134)</f>
        <v>0</v>
      </c>
      <c r="W132" s="233"/>
      <c r="X132" s="233"/>
      <c r="Y132" s="227"/>
      <c r="Z132" s="233"/>
      <c r="AA132" s="233">
        <f>SUM(AA133:AA134)</f>
        <v>0</v>
      </c>
      <c r="AB132" s="233"/>
      <c r="AC132" s="233"/>
      <c r="AD132" s="227"/>
      <c r="AE132" s="233"/>
      <c r="AF132" s="233">
        <f>SUM(AF133:AF134)</f>
        <v>0</v>
      </c>
      <c r="AG132" s="233"/>
      <c r="AH132" s="233"/>
      <c r="AI132" s="227"/>
      <c r="AJ132" s="233"/>
      <c r="AK132" s="233">
        <f>SUM(AK133:AK134)</f>
        <v>0</v>
      </c>
      <c r="AL132" s="233"/>
      <c r="AM132" s="233"/>
      <c r="AN132" s="227"/>
      <c r="AO132" s="233"/>
      <c r="AP132" s="233">
        <f>SUM(AP133:AP134)</f>
        <v>654491</v>
      </c>
      <c r="AQ132" s="233"/>
      <c r="AR132" s="233"/>
      <c r="AS132" s="227"/>
      <c r="AT132" s="233"/>
      <c r="AU132" s="233">
        <f>SUM(AU133:AU134)</f>
        <v>0</v>
      </c>
      <c r="AV132" s="233"/>
      <c r="AW132" s="233"/>
      <c r="AX132" s="227"/>
      <c r="AY132" s="233"/>
      <c r="AZ132" s="233">
        <f>SUM(AZ133:AZ134)</f>
        <v>0</v>
      </c>
      <c r="BA132" s="233"/>
      <c r="BB132" s="233"/>
      <c r="BC132" s="227"/>
      <c r="BD132" s="233"/>
      <c r="BE132" s="233">
        <f>SUM(BE133:BE134)</f>
        <v>0</v>
      </c>
      <c r="BF132" s="233"/>
      <c r="BG132" s="233"/>
      <c r="BH132" s="227"/>
      <c r="BI132" s="233"/>
      <c r="BJ132" s="233">
        <f>SUM(BJ133:BJ134)</f>
        <v>0</v>
      </c>
      <c r="BK132" s="233"/>
      <c r="BL132" s="233"/>
      <c r="BM132" s="227"/>
      <c r="BN132" s="233"/>
      <c r="BO132" s="233">
        <f>SUM(BO133:BO134)</f>
        <v>0</v>
      </c>
      <c r="BP132" s="233"/>
      <c r="BQ132" s="233"/>
      <c r="BR132" s="227"/>
      <c r="BS132" s="233"/>
      <c r="BT132" s="233">
        <f>SUM(BT133:BT134)</f>
        <v>1282940</v>
      </c>
      <c r="BU132" s="233"/>
      <c r="BV132" s="233"/>
      <c r="BW132" s="233"/>
      <c r="BX132" s="254"/>
    </row>
    <row r="133" spans="1:76" x14ac:dyDescent="0.2">
      <c r="A133" s="244"/>
      <c r="B133" s="244"/>
      <c r="C133" s="244"/>
      <c r="D133" s="254" t="s">
        <v>437</v>
      </c>
      <c r="E133" s="261"/>
      <c r="F133" s="269"/>
      <c r="G133" s="343">
        <v>0</v>
      </c>
      <c r="H133" s="344"/>
      <c r="I133" s="233"/>
      <c r="J133" s="227"/>
      <c r="K133" s="345"/>
      <c r="L133" s="343">
        <v>391647</v>
      </c>
      <c r="M133" s="344"/>
      <c r="N133" s="233"/>
      <c r="O133" s="227"/>
      <c r="P133" s="345"/>
      <c r="Q133" s="343">
        <v>0</v>
      </c>
      <c r="R133" s="344"/>
      <c r="S133" s="233"/>
      <c r="T133" s="227"/>
      <c r="U133" s="345"/>
      <c r="V133" s="343">
        <v>0</v>
      </c>
      <c r="W133" s="344"/>
      <c r="X133" s="233"/>
      <c r="Y133" s="227"/>
      <c r="Z133" s="345"/>
      <c r="AA133" s="343">
        <v>0</v>
      </c>
      <c r="AB133" s="344"/>
      <c r="AC133" s="233"/>
      <c r="AD133" s="227"/>
      <c r="AE133" s="345"/>
      <c r="AF133" s="343">
        <v>0</v>
      </c>
      <c r="AG133" s="344"/>
      <c r="AH133" s="233"/>
      <c r="AI133" s="227"/>
      <c r="AJ133" s="345"/>
      <c r="AK133" s="343">
        <v>0</v>
      </c>
      <c r="AL133" s="344"/>
      <c r="AM133" s="233"/>
      <c r="AN133" s="227"/>
      <c r="AO133" s="345"/>
      <c r="AP133" s="343">
        <v>391647</v>
      </c>
      <c r="AQ133" s="344"/>
      <c r="AR133" s="233"/>
      <c r="AS133" s="227"/>
      <c r="AT133" s="345"/>
      <c r="AU133" s="343">
        <v>0</v>
      </c>
      <c r="AV133" s="344"/>
      <c r="AW133" s="233"/>
      <c r="AX133" s="227"/>
      <c r="AY133" s="345"/>
      <c r="AZ133" s="343">
        <v>0</v>
      </c>
      <c r="BA133" s="344"/>
      <c r="BB133" s="233"/>
      <c r="BC133" s="227"/>
      <c r="BD133" s="345"/>
      <c r="BE133" s="343">
        <v>0</v>
      </c>
      <c r="BF133" s="344"/>
      <c r="BG133" s="233"/>
      <c r="BH133" s="227"/>
      <c r="BI133" s="345"/>
      <c r="BJ133" s="343">
        <v>0</v>
      </c>
      <c r="BK133" s="344"/>
      <c r="BL133" s="233"/>
      <c r="BM133" s="227"/>
      <c r="BN133" s="345"/>
      <c r="BO133" s="343">
        <v>0</v>
      </c>
      <c r="BP133" s="344"/>
      <c r="BQ133" s="233"/>
      <c r="BR133" s="227"/>
      <c r="BS133" s="345"/>
      <c r="BT133" s="343">
        <f>SUM(L133:BO133)</f>
        <v>783294</v>
      </c>
      <c r="BU133" s="344"/>
      <c r="BV133" s="233"/>
      <c r="BW133" s="233"/>
      <c r="BX133" s="254"/>
    </row>
    <row r="134" spans="1:76" x14ac:dyDescent="0.2">
      <c r="A134" s="244"/>
      <c r="B134" s="244"/>
      <c r="C134" s="244"/>
      <c r="D134" s="254" t="s">
        <v>438</v>
      </c>
      <c r="E134" s="261"/>
      <c r="F134" s="284"/>
      <c r="G134" s="355">
        <v>0</v>
      </c>
      <c r="H134" s="356"/>
      <c r="I134" s="233"/>
      <c r="J134" s="227"/>
      <c r="K134" s="357"/>
      <c r="L134" s="355">
        <v>236802</v>
      </c>
      <c r="M134" s="356"/>
      <c r="N134" s="233"/>
      <c r="O134" s="227"/>
      <c r="P134" s="357"/>
      <c r="Q134" s="355">
        <v>0</v>
      </c>
      <c r="R134" s="356"/>
      <c r="S134" s="233"/>
      <c r="T134" s="227"/>
      <c r="U134" s="357"/>
      <c r="V134" s="355">
        <v>0</v>
      </c>
      <c r="W134" s="356"/>
      <c r="X134" s="233"/>
      <c r="Y134" s="227"/>
      <c r="Z134" s="357"/>
      <c r="AA134" s="355">
        <v>0</v>
      </c>
      <c r="AB134" s="356"/>
      <c r="AC134" s="233"/>
      <c r="AD134" s="227"/>
      <c r="AE134" s="357"/>
      <c r="AF134" s="355">
        <v>0</v>
      </c>
      <c r="AG134" s="356"/>
      <c r="AH134" s="233"/>
      <c r="AI134" s="227"/>
      <c r="AJ134" s="357"/>
      <c r="AK134" s="355">
        <v>0</v>
      </c>
      <c r="AL134" s="356"/>
      <c r="AM134" s="233"/>
      <c r="AN134" s="227"/>
      <c r="AO134" s="357"/>
      <c r="AP134" s="355">
        <v>262844</v>
      </c>
      <c r="AQ134" s="356"/>
      <c r="AR134" s="233"/>
      <c r="AS134" s="227"/>
      <c r="AT134" s="357"/>
      <c r="AU134" s="355">
        <v>0</v>
      </c>
      <c r="AV134" s="356"/>
      <c r="AW134" s="233"/>
      <c r="AX134" s="227"/>
      <c r="AY134" s="357"/>
      <c r="AZ134" s="355">
        <v>0</v>
      </c>
      <c r="BA134" s="356"/>
      <c r="BB134" s="233"/>
      <c r="BC134" s="227"/>
      <c r="BD134" s="357"/>
      <c r="BE134" s="355">
        <v>0</v>
      </c>
      <c r="BF134" s="356"/>
      <c r="BG134" s="233"/>
      <c r="BH134" s="227"/>
      <c r="BI134" s="357"/>
      <c r="BJ134" s="355">
        <v>0</v>
      </c>
      <c r="BK134" s="356"/>
      <c r="BL134" s="233"/>
      <c r="BM134" s="227"/>
      <c r="BN134" s="357"/>
      <c r="BO134" s="355">
        <v>0</v>
      </c>
      <c r="BP134" s="356"/>
      <c r="BQ134" s="233"/>
      <c r="BR134" s="227"/>
      <c r="BS134" s="357"/>
      <c r="BT134" s="355">
        <f>SUM(L134:BO134)</f>
        <v>499646</v>
      </c>
      <c r="BU134" s="356"/>
      <c r="BV134" s="233"/>
      <c r="BW134" s="233"/>
      <c r="BX134" s="254"/>
    </row>
    <row r="135" spans="1:76" ht="12.75" customHeight="1" x14ac:dyDescent="0.2">
      <c r="A135" s="244"/>
      <c r="B135" s="244"/>
      <c r="C135" s="244"/>
      <c r="D135" s="254"/>
      <c r="E135" s="261"/>
      <c r="F135" s="244"/>
      <c r="G135" s="233"/>
      <c r="H135" s="233"/>
      <c r="I135" s="233"/>
      <c r="J135" s="227"/>
      <c r="K135" s="233"/>
      <c r="L135" s="233"/>
      <c r="M135" s="233"/>
      <c r="N135" s="233"/>
      <c r="O135" s="227"/>
      <c r="P135" s="233"/>
      <c r="Q135" s="233"/>
      <c r="R135" s="233"/>
      <c r="S135" s="233"/>
      <c r="T135" s="227"/>
      <c r="U135" s="233"/>
      <c r="V135" s="233"/>
      <c r="W135" s="233"/>
      <c r="X135" s="233"/>
      <c r="Y135" s="227"/>
      <c r="Z135" s="233"/>
      <c r="AA135" s="233"/>
      <c r="AB135" s="233"/>
      <c r="AC135" s="233"/>
      <c r="AD135" s="227"/>
      <c r="AE135" s="233"/>
      <c r="AF135" s="233"/>
      <c r="AG135" s="233"/>
      <c r="AH135" s="233"/>
      <c r="AI135" s="227"/>
      <c r="AJ135" s="233"/>
      <c r="AK135" s="233"/>
      <c r="AL135" s="233"/>
      <c r="AM135" s="233"/>
      <c r="AN135" s="227"/>
      <c r="AO135" s="233"/>
      <c r="AP135" s="233"/>
      <c r="AQ135" s="233"/>
      <c r="AR135" s="233"/>
      <c r="AS135" s="227"/>
      <c r="AT135" s="233"/>
      <c r="AU135" s="233"/>
      <c r="AV135" s="233"/>
      <c r="AW135" s="233"/>
      <c r="AX135" s="227"/>
      <c r="AY135" s="233"/>
      <c r="AZ135" s="233"/>
      <c r="BA135" s="233"/>
      <c r="BB135" s="233"/>
      <c r="BC135" s="227"/>
      <c r="BD135" s="233"/>
      <c r="BE135" s="233"/>
      <c r="BF135" s="233"/>
      <c r="BG135" s="233"/>
      <c r="BH135" s="227"/>
      <c r="BI135" s="233"/>
      <c r="BJ135" s="233"/>
      <c r="BK135" s="233"/>
      <c r="BL135" s="233"/>
      <c r="BM135" s="227"/>
      <c r="BN135" s="233"/>
      <c r="BO135" s="233"/>
      <c r="BP135" s="233"/>
      <c r="BQ135" s="233"/>
      <c r="BR135" s="227"/>
      <c r="BS135" s="233"/>
      <c r="BT135" s="233"/>
      <c r="BU135" s="233"/>
      <c r="BV135" s="233"/>
      <c r="BW135" s="233"/>
      <c r="BX135" s="254"/>
    </row>
    <row r="136" spans="1:76" ht="12.75" hidden="1" customHeight="1" x14ac:dyDescent="0.2">
      <c r="A136" s="244"/>
      <c r="B136" s="244"/>
      <c r="C136" s="244"/>
      <c r="D136" s="254" t="s">
        <v>445</v>
      </c>
      <c r="E136" s="261"/>
      <c r="F136" s="244"/>
      <c r="G136" s="233">
        <v>0</v>
      </c>
      <c r="H136" s="233"/>
      <c r="I136" s="233"/>
      <c r="J136" s="227"/>
      <c r="K136" s="233"/>
      <c r="L136" s="233">
        <f>SUM(L137:L138)</f>
        <v>0</v>
      </c>
      <c r="M136" s="233"/>
      <c r="N136" s="233"/>
      <c r="O136" s="227"/>
      <c r="P136" s="233"/>
      <c r="Q136" s="233">
        <f>SUM(Q137:Q138)</f>
        <v>0</v>
      </c>
      <c r="R136" s="233"/>
      <c r="S136" s="233"/>
      <c r="T136" s="227"/>
      <c r="U136" s="233"/>
      <c r="V136" s="233">
        <f>SUM(V137:V138)</f>
        <v>0</v>
      </c>
      <c r="W136" s="233"/>
      <c r="X136" s="233"/>
      <c r="Y136" s="227"/>
      <c r="Z136" s="233"/>
      <c r="AA136" s="233">
        <f>SUM(AA137:AA138)</f>
        <v>0</v>
      </c>
      <c r="AB136" s="233"/>
      <c r="AC136" s="233"/>
      <c r="AD136" s="227"/>
      <c r="AE136" s="233"/>
      <c r="AF136" s="233">
        <f>SUM(AF137:AF138)</f>
        <v>0</v>
      </c>
      <c r="AG136" s="233"/>
      <c r="AH136" s="233"/>
      <c r="AI136" s="227"/>
      <c r="AJ136" s="233"/>
      <c r="AK136" s="233">
        <f>SUM(AK137:AK138)</f>
        <v>0</v>
      </c>
      <c r="AL136" s="233"/>
      <c r="AM136" s="233"/>
      <c r="AN136" s="227"/>
      <c r="AO136" s="233"/>
      <c r="AP136" s="233">
        <f>SUM(AP137:AP138)</f>
        <v>0</v>
      </c>
      <c r="AQ136" s="233"/>
      <c r="AR136" s="233"/>
      <c r="AS136" s="227"/>
      <c r="AT136" s="233"/>
      <c r="AU136" s="233">
        <f>SUM(AU137:AU138)</f>
        <v>0</v>
      </c>
      <c r="AV136" s="233"/>
      <c r="AW136" s="233"/>
      <c r="AX136" s="227"/>
      <c r="AY136" s="233"/>
      <c r="AZ136" s="233">
        <f>SUM(AZ137:AZ138)</f>
        <v>0</v>
      </c>
      <c r="BA136" s="233"/>
      <c r="BB136" s="233"/>
      <c r="BC136" s="227"/>
      <c r="BD136" s="233"/>
      <c r="BE136" s="233">
        <f>SUM(BE137:BE138)</f>
        <v>0</v>
      </c>
      <c r="BF136" s="233"/>
      <c r="BG136" s="233"/>
      <c r="BH136" s="227"/>
      <c r="BI136" s="233"/>
      <c r="BJ136" s="233">
        <f>SUM(BJ137:BJ138)</f>
        <v>0</v>
      </c>
      <c r="BK136" s="233"/>
      <c r="BL136" s="233"/>
      <c r="BM136" s="227"/>
      <c r="BN136" s="233"/>
      <c r="BO136" s="233">
        <f>SUM(BO137:BO138)</f>
        <v>0</v>
      </c>
      <c r="BP136" s="233"/>
      <c r="BQ136" s="233"/>
      <c r="BR136" s="227"/>
      <c r="BS136" s="233"/>
      <c r="BT136" s="233">
        <f>SUM(BT137:BT138)</f>
        <v>0</v>
      </c>
      <c r="BU136" s="233"/>
      <c r="BV136" s="233"/>
      <c r="BW136" s="233"/>
      <c r="BX136" s="254"/>
    </row>
    <row r="137" spans="1:76" ht="12.75" hidden="1" customHeight="1" x14ac:dyDescent="0.2">
      <c r="A137" s="244"/>
      <c r="B137" s="244"/>
      <c r="C137" s="244"/>
      <c r="D137" s="254" t="s">
        <v>437</v>
      </c>
      <c r="E137" s="261"/>
      <c r="F137" s="269"/>
      <c r="G137" s="343">
        <v>0</v>
      </c>
      <c r="H137" s="344"/>
      <c r="I137" s="233"/>
      <c r="J137" s="227"/>
      <c r="K137" s="269"/>
      <c r="L137" s="343">
        <v>0</v>
      </c>
      <c r="M137" s="344"/>
      <c r="N137" s="233"/>
      <c r="O137" s="227"/>
      <c r="P137" s="269"/>
      <c r="Q137" s="343">
        <v>0</v>
      </c>
      <c r="R137" s="344"/>
      <c r="S137" s="233"/>
      <c r="T137" s="227"/>
      <c r="U137" s="269"/>
      <c r="V137" s="343">
        <v>0</v>
      </c>
      <c r="W137" s="344"/>
      <c r="X137" s="233"/>
      <c r="Y137" s="227"/>
      <c r="Z137" s="269"/>
      <c r="AA137" s="343">
        <v>0</v>
      </c>
      <c r="AB137" s="344"/>
      <c r="AC137" s="233"/>
      <c r="AD137" s="227"/>
      <c r="AE137" s="269"/>
      <c r="AF137" s="343">
        <v>0</v>
      </c>
      <c r="AG137" s="344"/>
      <c r="AH137" s="233"/>
      <c r="AI137" s="227"/>
      <c r="AJ137" s="269"/>
      <c r="AK137" s="343">
        <v>0</v>
      </c>
      <c r="AL137" s="344"/>
      <c r="AM137" s="233"/>
      <c r="AN137" s="227"/>
      <c r="AO137" s="269"/>
      <c r="AP137" s="343">
        <v>0</v>
      </c>
      <c r="AQ137" s="344"/>
      <c r="AR137" s="233"/>
      <c r="AS137" s="227"/>
      <c r="AT137" s="269"/>
      <c r="AU137" s="343">
        <v>0</v>
      </c>
      <c r="AV137" s="344"/>
      <c r="AW137" s="233"/>
      <c r="AX137" s="227"/>
      <c r="AY137" s="269"/>
      <c r="AZ137" s="343">
        <v>0</v>
      </c>
      <c r="BA137" s="344"/>
      <c r="BB137" s="233"/>
      <c r="BC137" s="227"/>
      <c r="BD137" s="269"/>
      <c r="BE137" s="343">
        <v>0</v>
      </c>
      <c r="BF137" s="344"/>
      <c r="BG137" s="233"/>
      <c r="BH137" s="227"/>
      <c r="BI137" s="269"/>
      <c r="BJ137" s="343">
        <v>0</v>
      </c>
      <c r="BK137" s="344"/>
      <c r="BL137" s="233"/>
      <c r="BM137" s="227"/>
      <c r="BN137" s="269"/>
      <c r="BO137" s="343">
        <v>0</v>
      </c>
      <c r="BP137" s="344"/>
      <c r="BQ137" s="233"/>
      <c r="BR137" s="227"/>
      <c r="BS137" s="269"/>
      <c r="BT137" s="343">
        <f>SUM(L137:BO137)</f>
        <v>0</v>
      </c>
      <c r="BU137" s="344"/>
      <c r="BV137" s="233"/>
      <c r="BW137" s="233"/>
      <c r="BX137" s="254"/>
    </row>
    <row r="138" spans="1:76" ht="12.75" hidden="1" customHeight="1" x14ac:dyDescent="0.2">
      <c r="A138" s="244"/>
      <c r="B138" s="244"/>
      <c r="C138" s="244"/>
      <c r="D138" s="254" t="s">
        <v>438</v>
      </c>
      <c r="E138" s="261"/>
      <c r="F138" s="284"/>
      <c r="G138" s="355">
        <v>0</v>
      </c>
      <c r="H138" s="356"/>
      <c r="I138" s="233"/>
      <c r="J138" s="227"/>
      <c r="K138" s="284"/>
      <c r="L138" s="355">
        <v>0</v>
      </c>
      <c r="M138" s="356"/>
      <c r="N138" s="233"/>
      <c r="O138" s="227"/>
      <c r="P138" s="284"/>
      <c r="Q138" s="355">
        <v>0</v>
      </c>
      <c r="R138" s="356"/>
      <c r="S138" s="233"/>
      <c r="T138" s="227"/>
      <c r="U138" s="284"/>
      <c r="V138" s="355">
        <v>0</v>
      </c>
      <c r="W138" s="356"/>
      <c r="X138" s="233"/>
      <c r="Y138" s="227"/>
      <c r="Z138" s="284"/>
      <c r="AA138" s="355">
        <v>0</v>
      </c>
      <c r="AB138" s="356"/>
      <c r="AC138" s="233"/>
      <c r="AD138" s="227"/>
      <c r="AE138" s="284"/>
      <c r="AF138" s="355">
        <v>0</v>
      </c>
      <c r="AG138" s="356"/>
      <c r="AH138" s="233"/>
      <c r="AI138" s="227"/>
      <c r="AJ138" s="284"/>
      <c r="AK138" s="355">
        <v>0</v>
      </c>
      <c r="AL138" s="356"/>
      <c r="AM138" s="233"/>
      <c r="AN138" s="227"/>
      <c r="AO138" s="284"/>
      <c r="AP138" s="355">
        <v>0</v>
      </c>
      <c r="AQ138" s="356"/>
      <c r="AR138" s="233"/>
      <c r="AS138" s="227"/>
      <c r="AT138" s="284"/>
      <c r="AU138" s="355">
        <v>0</v>
      </c>
      <c r="AV138" s="356"/>
      <c r="AW138" s="233"/>
      <c r="AX138" s="227"/>
      <c r="AY138" s="284"/>
      <c r="AZ138" s="355">
        <v>0</v>
      </c>
      <c r="BA138" s="356"/>
      <c r="BB138" s="233"/>
      <c r="BC138" s="227"/>
      <c r="BD138" s="284"/>
      <c r="BE138" s="355">
        <v>0</v>
      </c>
      <c r="BF138" s="356"/>
      <c r="BG138" s="233"/>
      <c r="BH138" s="227"/>
      <c r="BI138" s="284"/>
      <c r="BJ138" s="355">
        <v>0</v>
      </c>
      <c r="BK138" s="356"/>
      <c r="BL138" s="233"/>
      <c r="BM138" s="227"/>
      <c r="BN138" s="284"/>
      <c r="BO138" s="355">
        <v>0</v>
      </c>
      <c r="BP138" s="356"/>
      <c r="BQ138" s="233"/>
      <c r="BR138" s="227"/>
      <c r="BS138" s="284"/>
      <c r="BT138" s="355">
        <f>SUM(L138:BO138)</f>
        <v>0</v>
      </c>
      <c r="BU138" s="356"/>
      <c r="BV138" s="233"/>
      <c r="BW138" s="233"/>
      <c r="BX138" s="254"/>
    </row>
    <row r="139" spans="1:76" hidden="1" x14ac:dyDescent="0.2">
      <c r="A139" s="244"/>
      <c r="B139" s="244"/>
      <c r="C139" s="244"/>
      <c r="D139" s="254"/>
      <c r="E139" s="261"/>
      <c r="F139" s="244"/>
      <c r="G139" s="233"/>
      <c r="H139" s="233"/>
      <c r="I139" s="233"/>
      <c r="J139" s="227"/>
      <c r="K139" s="233"/>
      <c r="L139" s="233"/>
      <c r="M139" s="233"/>
      <c r="N139" s="233"/>
      <c r="O139" s="227"/>
      <c r="P139" s="233"/>
      <c r="Q139" s="233"/>
      <c r="R139" s="233"/>
      <c r="S139" s="233"/>
      <c r="T139" s="227"/>
      <c r="U139" s="233"/>
      <c r="V139" s="233"/>
      <c r="W139" s="233"/>
      <c r="X139" s="233"/>
      <c r="Y139" s="227"/>
      <c r="Z139" s="233"/>
      <c r="AA139" s="233"/>
      <c r="AB139" s="233"/>
      <c r="AC139" s="233"/>
      <c r="AD139" s="227"/>
      <c r="AE139" s="233"/>
      <c r="AF139" s="233"/>
      <c r="AG139" s="233"/>
      <c r="AH139" s="233"/>
      <c r="AI139" s="227"/>
      <c r="AJ139" s="233"/>
      <c r="AK139" s="233"/>
      <c r="AL139" s="233"/>
      <c r="AM139" s="233"/>
      <c r="AN139" s="227"/>
      <c r="AO139" s="233"/>
      <c r="AP139" s="233"/>
      <c r="AQ139" s="233"/>
      <c r="AR139" s="233"/>
      <c r="AS139" s="227"/>
      <c r="AT139" s="233"/>
      <c r="AU139" s="233"/>
      <c r="AV139" s="233"/>
      <c r="AW139" s="233"/>
      <c r="AX139" s="227"/>
      <c r="AY139" s="233"/>
      <c r="AZ139" s="233"/>
      <c r="BA139" s="233"/>
      <c r="BB139" s="233"/>
      <c r="BC139" s="227"/>
      <c r="BD139" s="233"/>
      <c r="BE139" s="233"/>
      <c r="BF139" s="233"/>
      <c r="BG139" s="233"/>
      <c r="BH139" s="227"/>
      <c r="BI139" s="233"/>
      <c r="BJ139" s="233"/>
      <c r="BK139" s="233"/>
      <c r="BL139" s="233"/>
      <c r="BM139" s="227"/>
      <c r="BN139" s="233"/>
      <c r="BO139" s="233"/>
      <c r="BP139" s="233"/>
      <c r="BQ139" s="233"/>
      <c r="BR139" s="227"/>
      <c r="BS139" s="233"/>
      <c r="BT139" s="233"/>
      <c r="BU139" s="233"/>
      <c r="BV139" s="233"/>
      <c r="BW139" s="233"/>
      <c r="BX139" s="254"/>
    </row>
    <row r="140" spans="1:76" hidden="1" x14ac:dyDescent="0.2">
      <c r="A140" s="244"/>
      <c r="B140" s="244"/>
      <c r="C140" s="244"/>
      <c r="D140" s="254" t="s">
        <v>446</v>
      </c>
      <c r="E140" s="261"/>
      <c r="F140" s="244"/>
      <c r="G140" s="233">
        <v>0</v>
      </c>
      <c r="H140" s="233"/>
      <c r="I140" s="233"/>
      <c r="J140" s="227"/>
      <c r="K140" s="233"/>
      <c r="L140" s="233">
        <f>SUM(L141:L142)</f>
        <v>0</v>
      </c>
      <c r="M140" s="233"/>
      <c r="N140" s="233"/>
      <c r="O140" s="227"/>
      <c r="P140" s="233"/>
      <c r="Q140" s="233">
        <f>SUM(Q141:Q142)</f>
        <v>0</v>
      </c>
      <c r="R140" s="233"/>
      <c r="S140" s="233"/>
      <c r="T140" s="227"/>
      <c r="U140" s="233"/>
      <c r="V140" s="233">
        <f>SUM(V141:V142)</f>
        <v>0</v>
      </c>
      <c r="W140" s="233"/>
      <c r="X140" s="233"/>
      <c r="Y140" s="227"/>
      <c r="Z140" s="233"/>
      <c r="AA140" s="233">
        <f>SUM(AA141:AA142)</f>
        <v>0</v>
      </c>
      <c r="AB140" s="233"/>
      <c r="AC140" s="233"/>
      <c r="AD140" s="227"/>
      <c r="AE140" s="233"/>
      <c r="AF140" s="233">
        <f>SUM(AF141:AF142)</f>
        <v>0</v>
      </c>
      <c r="AG140" s="233"/>
      <c r="AH140" s="233"/>
      <c r="AI140" s="227"/>
      <c r="AJ140" s="233"/>
      <c r="AK140" s="233">
        <f>SUM(AK141:AK142)</f>
        <v>0</v>
      </c>
      <c r="AL140" s="233"/>
      <c r="AM140" s="233"/>
      <c r="AN140" s="227"/>
      <c r="AO140" s="233"/>
      <c r="AP140" s="233">
        <f>SUM(AP141:AP142)</f>
        <v>0</v>
      </c>
      <c r="AQ140" s="233"/>
      <c r="AR140" s="233"/>
      <c r="AS140" s="227"/>
      <c r="AT140" s="233"/>
      <c r="AU140" s="233">
        <f>SUM(AU141:AU142)</f>
        <v>0</v>
      </c>
      <c r="AV140" s="233"/>
      <c r="AW140" s="233"/>
      <c r="AX140" s="227"/>
      <c r="AY140" s="233"/>
      <c r="AZ140" s="233">
        <f>SUM(AZ141:AZ142)</f>
        <v>0</v>
      </c>
      <c r="BA140" s="233"/>
      <c r="BB140" s="233"/>
      <c r="BC140" s="227"/>
      <c r="BD140" s="233"/>
      <c r="BE140" s="233">
        <f>SUM(BE141:BE142)</f>
        <v>0</v>
      </c>
      <c r="BF140" s="233"/>
      <c r="BG140" s="233"/>
      <c r="BH140" s="227"/>
      <c r="BI140" s="233"/>
      <c r="BJ140" s="233">
        <f>SUM(BJ141:BJ142)</f>
        <v>0</v>
      </c>
      <c r="BK140" s="233"/>
      <c r="BL140" s="233"/>
      <c r="BM140" s="227"/>
      <c r="BN140" s="233"/>
      <c r="BO140" s="233">
        <f>SUM(BO141:BO142)</f>
        <v>0</v>
      </c>
      <c r="BP140" s="233"/>
      <c r="BQ140" s="233"/>
      <c r="BR140" s="227"/>
      <c r="BS140" s="233"/>
      <c r="BT140" s="233">
        <f>SUM(BT141:BT142)</f>
        <v>0</v>
      </c>
      <c r="BU140" s="233"/>
      <c r="BV140" s="233"/>
      <c r="BW140" s="233"/>
      <c r="BX140" s="254"/>
    </row>
    <row r="141" spans="1:76" hidden="1" x14ac:dyDescent="0.2">
      <c r="A141" s="244"/>
      <c r="B141" s="244"/>
      <c r="C141" s="244"/>
      <c r="D141" s="254" t="s">
        <v>437</v>
      </c>
      <c r="E141" s="261"/>
      <c r="F141" s="269"/>
      <c r="G141" s="343">
        <v>0</v>
      </c>
      <c r="H141" s="344"/>
      <c r="I141" s="233"/>
      <c r="J141" s="227"/>
      <c r="K141" s="269"/>
      <c r="L141" s="343">
        <v>0</v>
      </c>
      <c r="M141" s="344"/>
      <c r="N141" s="233"/>
      <c r="O141" s="227"/>
      <c r="P141" s="269"/>
      <c r="Q141" s="343">
        <v>0</v>
      </c>
      <c r="R141" s="344"/>
      <c r="S141" s="233"/>
      <c r="T141" s="227"/>
      <c r="U141" s="269"/>
      <c r="V141" s="343">
        <v>0</v>
      </c>
      <c r="W141" s="344"/>
      <c r="X141" s="233"/>
      <c r="Y141" s="227"/>
      <c r="Z141" s="269"/>
      <c r="AA141" s="343">
        <v>0</v>
      </c>
      <c r="AB141" s="344"/>
      <c r="AC141" s="233"/>
      <c r="AD141" s="227"/>
      <c r="AE141" s="269"/>
      <c r="AF141" s="343">
        <v>0</v>
      </c>
      <c r="AG141" s="344"/>
      <c r="AH141" s="233"/>
      <c r="AI141" s="227"/>
      <c r="AJ141" s="269"/>
      <c r="AK141" s="343">
        <v>0</v>
      </c>
      <c r="AL141" s="344"/>
      <c r="AM141" s="233"/>
      <c r="AN141" s="227"/>
      <c r="AO141" s="269"/>
      <c r="AP141" s="343">
        <v>0</v>
      </c>
      <c r="AQ141" s="344"/>
      <c r="AR141" s="233"/>
      <c r="AS141" s="227"/>
      <c r="AT141" s="269"/>
      <c r="AU141" s="343">
        <v>0</v>
      </c>
      <c r="AV141" s="344"/>
      <c r="AW141" s="233"/>
      <c r="AX141" s="227"/>
      <c r="AY141" s="269"/>
      <c r="AZ141" s="343">
        <v>0</v>
      </c>
      <c r="BA141" s="344"/>
      <c r="BB141" s="233"/>
      <c r="BC141" s="227"/>
      <c r="BD141" s="269"/>
      <c r="BE141" s="343">
        <v>0</v>
      </c>
      <c r="BF141" s="344"/>
      <c r="BG141" s="233"/>
      <c r="BH141" s="227"/>
      <c r="BI141" s="269"/>
      <c r="BJ141" s="343">
        <v>0</v>
      </c>
      <c r="BK141" s="344"/>
      <c r="BL141" s="233"/>
      <c r="BM141" s="227"/>
      <c r="BN141" s="269"/>
      <c r="BO141" s="343">
        <v>0</v>
      </c>
      <c r="BP141" s="344"/>
      <c r="BQ141" s="233"/>
      <c r="BR141" s="227"/>
      <c r="BS141" s="269"/>
      <c r="BT141" s="343">
        <f>SUM(L141:BO141)</f>
        <v>0</v>
      </c>
      <c r="BU141" s="344"/>
      <c r="BV141" s="233"/>
      <c r="BW141" s="233"/>
      <c r="BX141" s="254"/>
    </row>
    <row r="142" spans="1:76" hidden="1" x14ac:dyDescent="0.2">
      <c r="A142" s="244"/>
      <c r="B142" s="244"/>
      <c r="C142" s="244"/>
      <c r="D142" s="254" t="s">
        <v>438</v>
      </c>
      <c r="E142" s="261"/>
      <c r="F142" s="284"/>
      <c r="G142" s="355">
        <v>0</v>
      </c>
      <c r="H142" s="356"/>
      <c r="I142" s="233"/>
      <c r="J142" s="227"/>
      <c r="K142" s="284"/>
      <c r="L142" s="355">
        <v>0</v>
      </c>
      <c r="M142" s="356"/>
      <c r="N142" s="233"/>
      <c r="O142" s="227"/>
      <c r="P142" s="284"/>
      <c r="Q142" s="355">
        <v>0</v>
      </c>
      <c r="R142" s="356"/>
      <c r="S142" s="233"/>
      <c r="T142" s="227"/>
      <c r="U142" s="284"/>
      <c r="V142" s="355">
        <v>0</v>
      </c>
      <c r="W142" s="356"/>
      <c r="X142" s="233"/>
      <c r="Y142" s="227"/>
      <c r="Z142" s="284"/>
      <c r="AA142" s="355">
        <v>0</v>
      </c>
      <c r="AB142" s="356"/>
      <c r="AC142" s="233"/>
      <c r="AD142" s="227"/>
      <c r="AE142" s="284"/>
      <c r="AF142" s="355">
        <v>0</v>
      </c>
      <c r="AG142" s="356"/>
      <c r="AH142" s="233"/>
      <c r="AI142" s="227"/>
      <c r="AJ142" s="284"/>
      <c r="AK142" s="355">
        <v>0</v>
      </c>
      <c r="AL142" s="356"/>
      <c r="AM142" s="233"/>
      <c r="AN142" s="227"/>
      <c r="AO142" s="284"/>
      <c r="AP142" s="355">
        <v>0</v>
      </c>
      <c r="AQ142" s="356"/>
      <c r="AR142" s="233"/>
      <c r="AS142" s="227"/>
      <c r="AT142" s="284"/>
      <c r="AU142" s="355">
        <v>0</v>
      </c>
      <c r="AV142" s="356"/>
      <c r="AW142" s="233"/>
      <c r="AX142" s="227"/>
      <c r="AY142" s="284"/>
      <c r="AZ142" s="355">
        <v>0</v>
      </c>
      <c r="BA142" s="356"/>
      <c r="BB142" s="233"/>
      <c r="BC142" s="227"/>
      <c r="BD142" s="284"/>
      <c r="BE142" s="355">
        <v>0</v>
      </c>
      <c r="BF142" s="356"/>
      <c r="BG142" s="233"/>
      <c r="BH142" s="227"/>
      <c r="BI142" s="284"/>
      <c r="BJ142" s="355">
        <v>0</v>
      </c>
      <c r="BK142" s="356"/>
      <c r="BL142" s="233"/>
      <c r="BM142" s="227"/>
      <c r="BN142" s="284"/>
      <c r="BO142" s="355">
        <v>0</v>
      </c>
      <c r="BP142" s="356"/>
      <c r="BQ142" s="233"/>
      <c r="BR142" s="227"/>
      <c r="BS142" s="284"/>
      <c r="BT142" s="355">
        <f>SUM(L142:BO142)</f>
        <v>0</v>
      </c>
      <c r="BU142" s="356"/>
      <c r="BV142" s="233"/>
      <c r="BW142" s="233"/>
      <c r="BX142" s="254"/>
    </row>
    <row r="143" spans="1:76" hidden="1" x14ac:dyDescent="0.2">
      <c r="A143" s="244"/>
      <c r="B143" s="244"/>
      <c r="C143" s="244"/>
      <c r="D143" s="254"/>
      <c r="E143" s="261"/>
      <c r="F143" s="244"/>
      <c r="G143" s="233"/>
      <c r="H143" s="233"/>
      <c r="I143" s="233"/>
      <c r="J143" s="227"/>
      <c r="K143" s="244"/>
      <c r="L143" s="233"/>
      <c r="M143" s="233"/>
      <c r="N143" s="233"/>
      <c r="O143" s="227"/>
      <c r="P143" s="244"/>
      <c r="Q143" s="233"/>
      <c r="R143" s="233"/>
      <c r="S143" s="233"/>
      <c r="T143" s="227"/>
      <c r="U143" s="244"/>
      <c r="V143" s="233"/>
      <c r="W143" s="233"/>
      <c r="X143" s="233"/>
      <c r="Y143" s="227"/>
      <c r="Z143" s="244"/>
      <c r="AA143" s="233"/>
      <c r="AB143" s="233"/>
      <c r="AC143" s="233"/>
      <c r="AD143" s="227"/>
      <c r="AE143" s="244"/>
      <c r="AF143" s="233"/>
      <c r="AG143" s="233"/>
      <c r="AH143" s="233"/>
      <c r="AI143" s="227"/>
      <c r="AJ143" s="244"/>
      <c r="AK143" s="233"/>
      <c r="AL143" s="233"/>
      <c r="AM143" s="233"/>
      <c r="AN143" s="227"/>
      <c r="AO143" s="244"/>
      <c r="AP143" s="233"/>
      <c r="AQ143" s="233"/>
      <c r="AR143" s="233"/>
      <c r="AS143" s="227"/>
      <c r="AT143" s="244"/>
      <c r="AU143" s="233"/>
      <c r="AV143" s="233"/>
      <c r="AW143" s="233"/>
      <c r="AX143" s="227"/>
      <c r="AY143" s="244"/>
      <c r="AZ143" s="233"/>
      <c r="BA143" s="233"/>
      <c r="BB143" s="233"/>
      <c r="BC143" s="227"/>
      <c r="BD143" s="244"/>
      <c r="BE143" s="233"/>
      <c r="BF143" s="233"/>
      <c r="BG143" s="233"/>
      <c r="BH143" s="227"/>
      <c r="BI143" s="244"/>
      <c r="BJ143" s="233"/>
      <c r="BK143" s="233"/>
      <c r="BL143" s="233"/>
      <c r="BM143" s="227"/>
      <c r="BN143" s="244"/>
      <c r="BO143" s="233"/>
      <c r="BP143" s="233"/>
      <c r="BQ143" s="233"/>
      <c r="BR143" s="227"/>
      <c r="BS143" s="244"/>
      <c r="BT143" s="233"/>
      <c r="BU143" s="233"/>
      <c r="BV143" s="233"/>
      <c r="BW143" s="233"/>
      <c r="BX143" s="254"/>
    </row>
    <row r="144" spans="1:76" hidden="1" x14ac:dyDescent="0.2">
      <c r="A144" s="244"/>
      <c r="B144" s="244"/>
      <c r="C144" s="244"/>
      <c r="D144" s="254" t="s">
        <v>447</v>
      </c>
      <c r="E144" s="261"/>
      <c r="F144" s="244"/>
      <c r="G144" s="233">
        <v>0</v>
      </c>
      <c r="H144" s="233"/>
      <c r="I144" s="233"/>
      <c r="J144" s="227"/>
      <c r="K144" s="233"/>
      <c r="L144" s="233">
        <f>SUM(L145:L146)</f>
        <v>0</v>
      </c>
      <c r="M144" s="233"/>
      <c r="N144" s="233"/>
      <c r="O144" s="227"/>
      <c r="P144" s="233"/>
      <c r="Q144" s="233">
        <f>SUM(Q145:Q146)</f>
        <v>0</v>
      </c>
      <c r="R144" s="233"/>
      <c r="S144" s="233"/>
      <c r="T144" s="227"/>
      <c r="U144" s="233"/>
      <c r="V144" s="233">
        <f>SUM(V145:V146)</f>
        <v>0</v>
      </c>
      <c r="W144" s="233"/>
      <c r="X144" s="233"/>
      <c r="Y144" s="227"/>
      <c r="Z144" s="233"/>
      <c r="AA144" s="233">
        <f>SUM(AA145:AA146)</f>
        <v>0</v>
      </c>
      <c r="AB144" s="233"/>
      <c r="AC144" s="233"/>
      <c r="AD144" s="227"/>
      <c r="AE144" s="233"/>
      <c r="AF144" s="233">
        <f>SUM(AF145:AF146)</f>
        <v>0</v>
      </c>
      <c r="AG144" s="233"/>
      <c r="AH144" s="233"/>
      <c r="AI144" s="227"/>
      <c r="AJ144" s="233"/>
      <c r="AK144" s="233">
        <f>SUM(AK145:AK146)</f>
        <v>0</v>
      </c>
      <c r="AL144" s="233"/>
      <c r="AM144" s="233"/>
      <c r="AN144" s="227"/>
      <c r="AO144" s="233"/>
      <c r="AP144" s="233">
        <f>SUM(AP145:AP146)</f>
        <v>0</v>
      </c>
      <c r="AQ144" s="233"/>
      <c r="AR144" s="233"/>
      <c r="AS144" s="227"/>
      <c r="AT144" s="233"/>
      <c r="AU144" s="233">
        <f>SUM(AU145:AU146)</f>
        <v>0</v>
      </c>
      <c r="AV144" s="233"/>
      <c r="AW144" s="233"/>
      <c r="AX144" s="227"/>
      <c r="AY144" s="233"/>
      <c r="AZ144" s="233">
        <f>SUM(AZ145:AZ146)</f>
        <v>0</v>
      </c>
      <c r="BA144" s="233"/>
      <c r="BB144" s="233"/>
      <c r="BC144" s="227"/>
      <c r="BD144" s="233"/>
      <c r="BE144" s="233">
        <f>SUM(BE145:BE146)</f>
        <v>0</v>
      </c>
      <c r="BF144" s="233"/>
      <c r="BG144" s="233"/>
      <c r="BH144" s="227"/>
      <c r="BI144" s="233"/>
      <c r="BJ144" s="233">
        <f>SUM(BJ145:BJ146)</f>
        <v>0</v>
      </c>
      <c r="BK144" s="233"/>
      <c r="BL144" s="233"/>
      <c r="BM144" s="227"/>
      <c r="BN144" s="233"/>
      <c r="BO144" s="233">
        <f>SUM(BO145:BO146)</f>
        <v>0</v>
      </c>
      <c r="BP144" s="233"/>
      <c r="BQ144" s="233"/>
      <c r="BR144" s="227"/>
      <c r="BS144" s="233"/>
      <c r="BT144" s="233">
        <f>SUM(BT145:BT146)</f>
        <v>0</v>
      </c>
      <c r="BU144" s="233"/>
      <c r="BV144" s="233"/>
      <c r="BW144" s="233"/>
      <c r="BX144" s="254"/>
    </row>
    <row r="145" spans="1:79" hidden="1" x14ac:dyDescent="0.2">
      <c r="A145" s="244"/>
      <c r="B145" s="244"/>
      <c r="C145" s="244"/>
      <c r="D145" s="254" t="s">
        <v>437</v>
      </c>
      <c r="E145" s="261"/>
      <c r="F145" s="269"/>
      <c r="G145" s="343">
        <v>0</v>
      </c>
      <c r="H145" s="344"/>
      <c r="I145" s="233"/>
      <c r="J145" s="227"/>
      <c r="K145" s="269"/>
      <c r="L145" s="343">
        <v>0</v>
      </c>
      <c r="M145" s="344"/>
      <c r="N145" s="233"/>
      <c r="O145" s="227"/>
      <c r="P145" s="269"/>
      <c r="Q145" s="343">
        <v>0</v>
      </c>
      <c r="R145" s="344"/>
      <c r="S145" s="233"/>
      <c r="T145" s="227"/>
      <c r="U145" s="269"/>
      <c r="V145" s="343">
        <v>0</v>
      </c>
      <c r="W145" s="344"/>
      <c r="X145" s="233"/>
      <c r="Y145" s="227"/>
      <c r="Z145" s="269"/>
      <c r="AA145" s="343">
        <v>0</v>
      </c>
      <c r="AB145" s="344"/>
      <c r="AC145" s="233"/>
      <c r="AD145" s="227"/>
      <c r="AE145" s="269"/>
      <c r="AF145" s="343">
        <v>0</v>
      </c>
      <c r="AG145" s="344"/>
      <c r="AH145" s="233"/>
      <c r="AI145" s="227"/>
      <c r="AJ145" s="269"/>
      <c r="AK145" s="343">
        <v>0</v>
      </c>
      <c r="AL145" s="344"/>
      <c r="AM145" s="233"/>
      <c r="AN145" s="227"/>
      <c r="AO145" s="269"/>
      <c r="AP145" s="343">
        <v>0</v>
      </c>
      <c r="AQ145" s="344"/>
      <c r="AR145" s="233"/>
      <c r="AS145" s="227"/>
      <c r="AT145" s="269"/>
      <c r="AU145" s="343">
        <v>0</v>
      </c>
      <c r="AV145" s="344"/>
      <c r="AW145" s="233"/>
      <c r="AX145" s="227"/>
      <c r="AY145" s="269"/>
      <c r="AZ145" s="343">
        <v>0</v>
      </c>
      <c r="BA145" s="344"/>
      <c r="BB145" s="233"/>
      <c r="BC145" s="227"/>
      <c r="BD145" s="269"/>
      <c r="BE145" s="343">
        <v>0</v>
      </c>
      <c r="BF145" s="344"/>
      <c r="BG145" s="233"/>
      <c r="BH145" s="227"/>
      <c r="BI145" s="269"/>
      <c r="BJ145" s="343">
        <v>0</v>
      </c>
      <c r="BK145" s="344"/>
      <c r="BL145" s="233"/>
      <c r="BM145" s="227"/>
      <c r="BN145" s="269"/>
      <c r="BO145" s="343">
        <v>0</v>
      </c>
      <c r="BP145" s="344"/>
      <c r="BQ145" s="233"/>
      <c r="BR145" s="227"/>
      <c r="BS145" s="269"/>
      <c r="BT145" s="343">
        <f>SUM(L145:BO145)</f>
        <v>0</v>
      </c>
      <c r="BU145" s="344"/>
      <c r="BV145" s="233"/>
      <c r="BW145" s="233"/>
      <c r="BX145" s="254"/>
    </row>
    <row r="146" spans="1:79" hidden="1" x14ac:dyDescent="0.2">
      <c r="A146" s="244"/>
      <c r="B146" s="244"/>
      <c r="C146" s="244"/>
      <c r="D146" s="254" t="s">
        <v>438</v>
      </c>
      <c r="E146" s="261"/>
      <c r="F146" s="284"/>
      <c r="G146" s="355">
        <v>0</v>
      </c>
      <c r="H146" s="356"/>
      <c r="I146" s="233"/>
      <c r="J146" s="227"/>
      <c r="K146" s="284"/>
      <c r="L146" s="355">
        <v>0</v>
      </c>
      <c r="M146" s="356"/>
      <c r="N146" s="233"/>
      <c r="O146" s="227"/>
      <c r="P146" s="284"/>
      <c r="Q146" s="355">
        <v>0</v>
      </c>
      <c r="R146" s="356"/>
      <c r="S146" s="233"/>
      <c r="T146" s="227"/>
      <c r="U146" s="284"/>
      <c r="V146" s="355">
        <v>0</v>
      </c>
      <c r="W146" s="356"/>
      <c r="X146" s="233"/>
      <c r="Y146" s="227"/>
      <c r="Z146" s="284"/>
      <c r="AA146" s="355">
        <v>0</v>
      </c>
      <c r="AB146" s="356"/>
      <c r="AC146" s="233"/>
      <c r="AD146" s="227"/>
      <c r="AE146" s="284"/>
      <c r="AF146" s="355">
        <v>0</v>
      </c>
      <c r="AG146" s="356"/>
      <c r="AH146" s="233"/>
      <c r="AI146" s="227"/>
      <c r="AJ146" s="284"/>
      <c r="AK146" s="355">
        <v>0</v>
      </c>
      <c r="AL146" s="356"/>
      <c r="AM146" s="233"/>
      <c r="AN146" s="227"/>
      <c r="AO146" s="284"/>
      <c r="AP146" s="355">
        <v>0</v>
      </c>
      <c r="AQ146" s="356"/>
      <c r="AR146" s="233"/>
      <c r="AS146" s="227"/>
      <c r="AT146" s="284"/>
      <c r="AU146" s="355">
        <v>0</v>
      </c>
      <c r="AV146" s="356"/>
      <c r="AW146" s="233"/>
      <c r="AX146" s="227"/>
      <c r="AY146" s="284"/>
      <c r="AZ146" s="355">
        <v>0</v>
      </c>
      <c r="BA146" s="356"/>
      <c r="BB146" s="233"/>
      <c r="BC146" s="227"/>
      <c r="BD146" s="284"/>
      <c r="BE146" s="355">
        <v>0</v>
      </c>
      <c r="BF146" s="356"/>
      <c r="BG146" s="233"/>
      <c r="BH146" s="227"/>
      <c r="BI146" s="284"/>
      <c r="BJ146" s="355">
        <v>0</v>
      </c>
      <c r="BK146" s="356"/>
      <c r="BL146" s="233"/>
      <c r="BM146" s="227"/>
      <c r="BN146" s="284"/>
      <c r="BO146" s="355">
        <v>0</v>
      </c>
      <c r="BP146" s="356"/>
      <c r="BQ146" s="233"/>
      <c r="BR146" s="227"/>
      <c r="BS146" s="284"/>
      <c r="BT146" s="355">
        <f>SUM(L146:BO146)</f>
        <v>0</v>
      </c>
      <c r="BU146" s="356"/>
      <c r="BV146" s="233"/>
      <c r="BW146" s="233"/>
      <c r="BX146" s="254"/>
    </row>
    <row r="147" spans="1:79" ht="12.75" hidden="1" customHeight="1" x14ac:dyDescent="0.2">
      <c r="A147" s="244"/>
      <c r="B147" s="244"/>
      <c r="C147" s="244"/>
      <c r="D147" s="254"/>
      <c r="E147" s="261"/>
      <c r="F147" s="244"/>
      <c r="G147" s="233"/>
      <c r="H147" s="233"/>
      <c r="I147" s="233"/>
      <c r="J147" s="227"/>
      <c r="K147" s="233"/>
      <c r="L147" s="233"/>
      <c r="M147" s="233"/>
      <c r="N147" s="233"/>
      <c r="O147" s="227"/>
      <c r="P147" s="233"/>
      <c r="Q147" s="233"/>
      <c r="R147" s="233"/>
      <c r="S147" s="233"/>
      <c r="T147" s="227"/>
      <c r="U147" s="233"/>
      <c r="V147" s="233"/>
      <c r="W147" s="233"/>
      <c r="X147" s="233"/>
      <c r="Y147" s="227"/>
      <c r="Z147" s="233"/>
      <c r="AA147" s="233"/>
      <c r="AB147" s="233"/>
      <c r="AC147" s="233"/>
      <c r="AD147" s="227"/>
      <c r="AE147" s="233"/>
      <c r="AF147" s="233"/>
      <c r="AG147" s="233"/>
      <c r="AH147" s="233"/>
      <c r="AI147" s="227"/>
      <c r="AJ147" s="233"/>
      <c r="AK147" s="233"/>
      <c r="AL147" s="233"/>
      <c r="AM147" s="233"/>
      <c r="AN147" s="227"/>
      <c r="AO147" s="233"/>
      <c r="AP147" s="233"/>
      <c r="AQ147" s="233"/>
      <c r="AR147" s="233"/>
      <c r="AS147" s="227"/>
      <c r="AT147" s="233"/>
      <c r="AU147" s="233"/>
      <c r="AV147" s="233"/>
      <c r="AW147" s="233"/>
      <c r="AX147" s="227"/>
      <c r="AY147" s="233"/>
      <c r="AZ147" s="233"/>
      <c r="BA147" s="233"/>
      <c r="BB147" s="233"/>
      <c r="BC147" s="227"/>
      <c r="BD147" s="233"/>
      <c r="BE147" s="233"/>
      <c r="BF147" s="233"/>
      <c r="BG147" s="233"/>
      <c r="BH147" s="227"/>
      <c r="BI147" s="233"/>
      <c r="BJ147" s="233"/>
      <c r="BK147" s="233"/>
      <c r="BL147" s="233"/>
      <c r="BM147" s="227"/>
      <c r="BN147" s="233"/>
      <c r="BO147" s="233"/>
      <c r="BP147" s="233"/>
      <c r="BQ147" s="233"/>
      <c r="BR147" s="227"/>
      <c r="BS147" s="233"/>
      <c r="BT147" s="233"/>
      <c r="BU147" s="233"/>
      <c r="BV147" s="233"/>
      <c r="BW147" s="233"/>
      <c r="BX147" s="254"/>
    </row>
    <row r="148" spans="1:79" ht="12.75" hidden="1" customHeight="1" x14ac:dyDescent="0.2">
      <c r="A148" s="244"/>
      <c r="B148" s="244"/>
      <c r="C148" s="244"/>
      <c r="D148" s="254" t="s">
        <v>448</v>
      </c>
      <c r="E148" s="261"/>
      <c r="F148" s="244"/>
      <c r="G148" s="233">
        <v>0</v>
      </c>
      <c r="H148" s="233"/>
      <c r="I148" s="233"/>
      <c r="J148" s="227"/>
      <c r="K148" s="233"/>
      <c r="L148" s="233">
        <f>SUM(L149:L150)</f>
        <v>0</v>
      </c>
      <c r="M148" s="233"/>
      <c r="N148" s="233"/>
      <c r="O148" s="227"/>
      <c r="P148" s="233"/>
      <c r="Q148" s="233">
        <f>SUM(Q149:Q150)</f>
        <v>0</v>
      </c>
      <c r="R148" s="233"/>
      <c r="S148" s="233"/>
      <c r="T148" s="227"/>
      <c r="U148" s="233"/>
      <c r="V148" s="233">
        <f>SUM(V149:V150)</f>
        <v>0</v>
      </c>
      <c r="W148" s="233"/>
      <c r="X148" s="233"/>
      <c r="Y148" s="227"/>
      <c r="Z148" s="233"/>
      <c r="AA148" s="233">
        <f>SUM(AA149:AA150)</f>
        <v>0</v>
      </c>
      <c r="AB148" s="233"/>
      <c r="AC148" s="233"/>
      <c r="AD148" s="227"/>
      <c r="AE148" s="233"/>
      <c r="AF148" s="233">
        <f>SUM(AF149:AF150)</f>
        <v>0</v>
      </c>
      <c r="AG148" s="233"/>
      <c r="AH148" s="233"/>
      <c r="AI148" s="227"/>
      <c r="AJ148" s="233"/>
      <c r="AK148" s="233">
        <f>SUM(AK149:AK150)</f>
        <v>0</v>
      </c>
      <c r="AL148" s="233"/>
      <c r="AM148" s="233"/>
      <c r="AN148" s="227"/>
      <c r="AO148" s="233"/>
      <c r="AP148" s="233">
        <f>SUM(AP149:AP150)</f>
        <v>0</v>
      </c>
      <c r="AQ148" s="233"/>
      <c r="AR148" s="233"/>
      <c r="AS148" s="227"/>
      <c r="AT148" s="233"/>
      <c r="AU148" s="233">
        <f>SUM(AU149:AU150)</f>
        <v>0</v>
      </c>
      <c r="AV148" s="233"/>
      <c r="AW148" s="233"/>
      <c r="AX148" s="227"/>
      <c r="AY148" s="233"/>
      <c r="AZ148" s="233">
        <f>SUM(AZ149:AZ150)</f>
        <v>0</v>
      </c>
      <c r="BA148" s="233"/>
      <c r="BB148" s="233"/>
      <c r="BC148" s="227"/>
      <c r="BD148" s="233"/>
      <c r="BE148" s="233">
        <f>SUM(BE149:BE150)</f>
        <v>0</v>
      </c>
      <c r="BF148" s="233"/>
      <c r="BG148" s="233"/>
      <c r="BH148" s="227"/>
      <c r="BI148" s="233"/>
      <c r="BJ148" s="233">
        <f>SUM(BJ149:BJ150)</f>
        <v>0</v>
      </c>
      <c r="BK148" s="233"/>
      <c r="BL148" s="233"/>
      <c r="BM148" s="227"/>
      <c r="BN148" s="233"/>
      <c r="BO148" s="233">
        <f>SUM(BO149:BO150)</f>
        <v>0</v>
      </c>
      <c r="BP148" s="233"/>
      <c r="BQ148" s="233"/>
      <c r="BR148" s="227"/>
      <c r="BS148" s="233"/>
      <c r="BT148" s="233">
        <f>SUM(BT149:BT150)</f>
        <v>0</v>
      </c>
      <c r="BU148" s="233"/>
      <c r="BV148" s="233"/>
      <c r="BW148" s="233"/>
      <c r="BX148" s="254"/>
    </row>
    <row r="149" spans="1:79" ht="12.75" hidden="1" customHeight="1" x14ac:dyDescent="0.2">
      <c r="A149" s="244"/>
      <c r="B149" s="244"/>
      <c r="C149" s="244"/>
      <c r="D149" s="254" t="s">
        <v>437</v>
      </c>
      <c r="E149" s="261"/>
      <c r="F149" s="269"/>
      <c r="G149" s="343">
        <v>0</v>
      </c>
      <c r="H149" s="344"/>
      <c r="I149" s="233"/>
      <c r="J149" s="227"/>
      <c r="K149" s="345"/>
      <c r="L149" s="343">
        <v>0</v>
      </c>
      <c r="M149" s="344"/>
      <c r="N149" s="233"/>
      <c r="O149" s="227"/>
      <c r="P149" s="345"/>
      <c r="Q149" s="343">
        <v>0</v>
      </c>
      <c r="R149" s="344"/>
      <c r="S149" s="233"/>
      <c r="T149" s="227"/>
      <c r="U149" s="345"/>
      <c r="V149" s="343">
        <v>0</v>
      </c>
      <c r="W149" s="344"/>
      <c r="X149" s="233"/>
      <c r="Y149" s="227"/>
      <c r="Z149" s="345"/>
      <c r="AA149" s="343">
        <v>0</v>
      </c>
      <c r="AB149" s="344"/>
      <c r="AC149" s="233"/>
      <c r="AD149" s="227"/>
      <c r="AE149" s="345"/>
      <c r="AF149" s="343">
        <v>0</v>
      </c>
      <c r="AG149" s="344"/>
      <c r="AH149" s="233"/>
      <c r="AI149" s="227"/>
      <c r="AJ149" s="345"/>
      <c r="AK149" s="343">
        <v>0</v>
      </c>
      <c r="AL149" s="344"/>
      <c r="AM149" s="233"/>
      <c r="AN149" s="227"/>
      <c r="AO149" s="345"/>
      <c r="AP149" s="343">
        <v>0</v>
      </c>
      <c r="AQ149" s="344"/>
      <c r="AR149" s="233"/>
      <c r="AS149" s="227"/>
      <c r="AT149" s="345"/>
      <c r="AU149" s="343">
        <v>0</v>
      </c>
      <c r="AV149" s="344"/>
      <c r="AW149" s="233"/>
      <c r="AX149" s="227"/>
      <c r="AY149" s="345"/>
      <c r="AZ149" s="343">
        <v>0</v>
      </c>
      <c r="BA149" s="344"/>
      <c r="BB149" s="233"/>
      <c r="BC149" s="227"/>
      <c r="BD149" s="345"/>
      <c r="BE149" s="343">
        <v>0</v>
      </c>
      <c r="BF149" s="344"/>
      <c r="BG149" s="233"/>
      <c r="BH149" s="227"/>
      <c r="BI149" s="345"/>
      <c r="BJ149" s="343">
        <v>0</v>
      </c>
      <c r="BK149" s="344"/>
      <c r="BL149" s="233"/>
      <c r="BM149" s="227"/>
      <c r="BN149" s="345"/>
      <c r="BO149" s="343">
        <v>0</v>
      </c>
      <c r="BP149" s="344"/>
      <c r="BQ149" s="233"/>
      <c r="BR149" s="227"/>
      <c r="BS149" s="345"/>
      <c r="BT149" s="343">
        <f>SUM(L149:BO149)</f>
        <v>0</v>
      </c>
      <c r="BU149" s="344"/>
      <c r="BV149" s="233"/>
      <c r="BW149" s="233"/>
      <c r="BX149" s="254"/>
    </row>
    <row r="150" spans="1:79" ht="12.75" hidden="1" customHeight="1" x14ac:dyDescent="0.2">
      <c r="A150" s="244"/>
      <c r="B150" s="244"/>
      <c r="C150" s="244"/>
      <c r="D150" s="254" t="s">
        <v>438</v>
      </c>
      <c r="E150" s="261"/>
      <c r="F150" s="284"/>
      <c r="G150" s="355">
        <v>0</v>
      </c>
      <c r="H150" s="356"/>
      <c r="I150" s="233"/>
      <c r="J150" s="227"/>
      <c r="K150" s="357"/>
      <c r="L150" s="355">
        <v>0</v>
      </c>
      <c r="M150" s="356"/>
      <c r="N150" s="233"/>
      <c r="O150" s="227"/>
      <c r="P150" s="357"/>
      <c r="Q150" s="355">
        <v>0</v>
      </c>
      <c r="R150" s="356"/>
      <c r="S150" s="233"/>
      <c r="T150" s="227"/>
      <c r="U150" s="357"/>
      <c r="V150" s="355">
        <v>0</v>
      </c>
      <c r="W150" s="356"/>
      <c r="X150" s="233"/>
      <c r="Y150" s="227"/>
      <c r="Z150" s="357"/>
      <c r="AA150" s="355">
        <v>0</v>
      </c>
      <c r="AB150" s="356"/>
      <c r="AC150" s="233"/>
      <c r="AD150" s="227"/>
      <c r="AE150" s="357"/>
      <c r="AF150" s="355">
        <v>0</v>
      </c>
      <c r="AG150" s="356"/>
      <c r="AH150" s="233"/>
      <c r="AI150" s="227"/>
      <c r="AJ150" s="357"/>
      <c r="AK150" s="355">
        <v>0</v>
      </c>
      <c r="AL150" s="356"/>
      <c r="AM150" s="233"/>
      <c r="AN150" s="227"/>
      <c r="AO150" s="357"/>
      <c r="AP150" s="355">
        <v>0</v>
      </c>
      <c r="AQ150" s="356"/>
      <c r="AR150" s="233"/>
      <c r="AS150" s="227"/>
      <c r="AT150" s="357"/>
      <c r="AU150" s="355">
        <v>0</v>
      </c>
      <c r="AV150" s="356"/>
      <c r="AW150" s="233"/>
      <c r="AX150" s="227"/>
      <c r="AY150" s="357"/>
      <c r="AZ150" s="355">
        <v>0</v>
      </c>
      <c r="BA150" s="356"/>
      <c r="BB150" s="233"/>
      <c r="BC150" s="227"/>
      <c r="BD150" s="357"/>
      <c r="BE150" s="355">
        <v>0</v>
      </c>
      <c r="BF150" s="356"/>
      <c r="BG150" s="233"/>
      <c r="BH150" s="227"/>
      <c r="BI150" s="357"/>
      <c r="BJ150" s="355">
        <v>0</v>
      </c>
      <c r="BK150" s="356"/>
      <c r="BL150" s="233"/>
      <c r="BM150" s="227"/>
      <c r="BN150" s="357"/>
      <c r="BO150" s="355">
        <v>0</v>
      </c>
      <c r="BP150" s="356"/>
      <c r="BQ150" s="233"/>
      <c r="BR150" s="227"/>
      <c r="BS150" s="357"/>
      <c r="BT150" s="355">
        <f>SUM(L150:BO150)</f>
        <v>0</v>
      </c>
      <c r="BU150" s="356"/>
      <c r="BV150" s="233"/>
      <c r="BW150" s="233"/>
      <c r="BX150" s="254"/>
    </row>
    <row r="151" spans="1:79" ht="12.75" hidden="1" customHeight="1" x14ac:dyDescent="0.2">
      <c r="A151" s="244"/>
      <c r="B151" s="244"/>
      <c r="C151" s="244"/>
      <c r="D151" s="254"/>
      <c r="E151" s="261"/>
      <c r="F151" s="244"/>
      <c r="G151" s="233"/>
      <c r="H151" s="233"/>
      <c r="I151" s="233"/>
      <c r="J151" s="227"/>
      <c r="K151" s="233"/>
      <c r="L151" s="233"/>
      <c r="M151" s="233"/>
      <c r="N151" s="233"/>
      <c r="O151" s="227"/>
      <c r="P151" s="233"/>
      <c r="Q151" s="233"/>
      <c r="R151" s="233"/>
      <c r="S151" s="233"/>
      <c r="T151" s="227"/>
      <c r="U151" s="233"/>
      <c r="V151" s="233"/>
      <c r="W151" s="233"/>
      <c r="X151" s="233"/>
      <c r="Y151" s="227"/>
      <c r="Z151" s="233"/>
      <c r="AA151" s="233"/>
      <c r="AB151" s="233"/>
      <c r="AC151" s="233"/>
      <c r="AD151" s="227"/>
      <c r="AE151" s="233"/>
      <c r="AF151" s="233"/>
      <c r="AG151" s="233"/>
      <c r="AH151" s="233"/>
      <c r="AI151" s="227"/>
      <c r="AJ151" s="233"/>
      <c r="AK151" s="233"/>
      <c r="AL151" s="233"/>
      <c r="AM151" s="233"/>
      <c r="AN151" s="227"/>
      <c r="AO151" s="233"/>
      <c r="AP151" s="233"/>
      <c r="AQ151" s="233"/>
      <c r="AR151" s="233"/>
      <c r="AS151" s="227"/>
      <c r="AT151" s="233"/>
      <c r="AU151" s="233"/>
      <c r="AV151" s="233"/>
      <c r="AW151" s="233"/>
      <c r="AX151" s="227"/>
      <c r="AY151" s="233"/>
      <c r="AZ151" s="233"/>
      <c r="BA151" s="233"/>
      <c r="BB151" s="233"/>
      <c r="BC151" s="227"/>
      <c r="BD151" s="233"/>
      <c r="BE151" s="233"/>
      <c r="BF151" s="233"/>
      <c r="BG151" s="233"/>
      <c r="BH151" s="227"/>
      <c r="BI151" s="233"/>
      <c r="BJ151" s="233"/>
      <c r="BK151" s="233"/>
      <c r="BL151" s="233"/>
      <c r="BM151" s="227"/>
      <c r="BN151" s="233"/>
      <c r="BO151" s="233"/>
      <c r="BP151" s="233"/>
      <c r="BQ151" s="233"/>
      <c r="BR151" s="227"/>
      <c r="BS151" s="233"/>
      <c r="BT151" s="233"/>
      <c r="BU151" s="233"/>
      <c r="BV151" s="233"/>
      <c r="BW151" s="233"/>
      <c r="BX151" s="254"/>
    </row>
    <row r="152" spans="1:79" ht="12.75" hidden="1" customHeight="1" x14ac:dyDescent="0.2">
      <c r="A152" s="244"/>
      <c r="B152" s="244"/>
      <c r="C152" s="244"/>
      <c r="D152" s="254" t="s">
        <v>449</v>
      </c>
      <c r="E152" s="261"/>
      <c r="F152" s="244"/>
      <c r="G152" s="233">
        <v>0</v>
      </c>
      <c r="H152" s="233"/>
      <c r="I152" s="233"/>
      <c r="J152" s="227"/>
      <c r="K152" s="233"/>
      <c r="L152" s="233">
        <f>SUM(L153:L154)</f>
        <v>0</v>
      </c>
      <c r="M152" s="233"/>
      <c r="N152" s="233"/>
      <c r="O152" s="227"/>
      <c r="P152" s="233"/>
      <c r="Q152" s="233">
        <f>SUM(Q153:Q154)</f>
        <v>0</v>
      </c>
      <c r="R152" s="233"/>
      <c r="S152" s="233"/>
      <c r="T152" s="227"/>
      <c r="U152" s="233"/>
      <c r="V152" s="233">
        <f>SUM(V153:V154)</f>
        <v>0</v>
      </c>
      <c r="W152" s="233"/>
      <c r="X152" s="233"/>
      <c r="Y152" s="227"/>
      <c r="Z152" s="233"/>
      <c r="AA152" s="233">
        <f>SUM(AA153:AA154)</f>
        <v>0</v>
      </c>
      <c r="AB152" s="233"/>
      <c r="AC152" s="233"/>
      <c r="AD152" s="227"/>
      <c r="AE152" s="233"/>
      <c r="AF152" s="233">
        <f>SUM(AF153:AF154)</f>
        <v>0</v>
      </c>
      <c r="AG152" s="233"/>
      <c r="AH152" s="233"/>
      <c r="AI152" s="227"/>
      <c r="AJ152" s="233"/>
      <c r="AK152" s="233">
        <f>SUM(AK153:AK154)</f>
        <v>0</v>
      </c>
      <c r="AL152" s="233"/>
      <c r="AM152" s="233"/>
      <c r="AN152" s="227"/>
      <c r="AO152" s="233"/>
      <c r="AP152" s="233">
        <f>SUM(AP153:AP154)</f>
        <v>0</v>
      </c>
      <c r="AQ152" s="233"/>
      <c r="AR152" s="233"/>
      <c r="AS152" s="227"/>
      <c r="AT152" s="233"/>
      <c r="AU152" s="233">
        <f>SUM(AU153:AU154)</f>
        <v>0</v>
      </c>
      <c r="AV152" s="233"/>
      <c r="AW152" s="233"/>
      <c r="AX152" s="227"/>
      <c r="AY152" s="233"/>
      <c r="AZ152" s="233">
        <f>SUM(AZ153:AZ154)</f>
        <v>0</v>
      </c>
      <c r="BA152" s="233"/>
      <c r="BB152" s="233"/>
      <c r="BC152" s="227"/>
      <c r="BD152" s="233"/>
      <c r="BE152" s="233">
        <f>SUM(BE153:BE154)</f>
        <v>0</v>
      </c>
      <c r="BF152" s="233"/>
      <c r="BG152" s="233"/>
      <c r="BH152" s="227"/>
      <c r="BI152" s="233"/>
      <c r="BJ152" s="233">
        <f>SUM(BJ153:BJ154)</f>
        <v>0</v>
      </c>
      <c r="BK152" s="233"/>
      <c r="BL152" s="233"/>
      <c r="BM152" s="227"/>
      <c r="BN152" s="233"/>
      <c r="BO152" s="233">
        <f>SUM(BO153:BO154)</f>
        <v>0</v>
      </c>
      <c r="BP152" s="233"/>
      <c r="BQ152" s="233"/>
      <c r="BR152" s="227"/>
      <c r="BS152" s="233"/>
      <c r="BT152" s="233">
        <f>SUM(BT153:BT154)</f>
        <v>0</v>
      </c>
      <c r="BU152" s="233"/>
      <c r="BV152" s="233"/>
      <c r="BW152" s="233"/>
      <c r="BX152" s="254"/>
    </row>
    <row r="153" spans="1:79" ht="12.75" hidden="1" customHeight="1" x14ac:dyDescent="0.2">
      <c r="A153" s="244"/>
      <c r="B153" s="244"/>
      <c r="C153" s="244"/>
      <c r="D153" s="254" t="s">
        <v>437</v>
      </c>
      <c r="E153" s="261"/>
      <c r="F153" s="269"/>
      <c r="G153" s="343">
        <v>0</v>
      </c>
      <c r="H153" s="344"/>
      <c r="I153" s="233"/>
      <c r="J153" s="227"/>
      <c r="K153" s="345"/>
      <c r="L153" s="343">
        <v>0</v>
      </c>
      <c r="M153" s="344"/>
      <c r="N153" s="233"/>
      <c r="O153" s="227"/>
      <c r="P153" s="345"/>
      <c r="Q153" s="343">
        <v>0</v>
      </c>
      <c r="R153" s="344"/>
      <c r="S153" s="233"/>
      <c r="T153" s="227"/>
      <c r="U153" s="345"/>
      <c r="V153" s="343">
        <v>0</v>
      </c>
      <c r="W153" s="344"/>
      <c r="X153" s="233"/>
      <c r="Y153" s="227"/>
      <c r="Z153" s="345"/>
      <c r="AA153" s="343">
        <v>0</v>
      </c>
      <c r="AB153" s="344"/>
      <c r="AC153" s="233"/>
      <c r="AD153" s="227"/>
      <c r="AE153" s="345"/>
      <c r="AF153" s="343">
        <v>0</v>
      </c>
      <c r="AG153" s="344"/>
      <c r="AH153" s="233"/>
      <c r="AI153" s="227"/>
      <c r="AJ153" s="345"/>
      <c r="AK153" s="343">
        <v>0</v>
      </c>
      <c r="AL153" s="344"/>
      <c r="AM153" s="233"/>
      <c r="AN153" s="227"/>
      <c r="AO153" s="345"/>
      <c r="AP153" s="343">
        <v>0</v>
      </c>
      <c r="AQ153" s="344"/>
      <c r="AR153" s="233"/>
      <c r="AS153" s="227"/>
      <c r="AT153" s="345"/>
      <c r="AU153" s="343">
        <v>0</v>
      </c>
      <c r="AV153" s="344"/>
      <c r="AW153" s="233"/>
      <c r="AX153" s="227"/>
      <c r="AY153" s="345"/>
      <c r="AZ153" s="343">
        <v>0</v>
      </c>
      <c r="BA153" s="344"/>
      <c r="BB153" s="233"/>
      <c r="BC153" s="227"/>
      <c r="BD153" s="345"/>
      <c r="BE153" s="343">
        <v>0</v>
      </c>
      <c r="BF153" s="344"/>
      <c r="BG153" s="233"/>
      <c r="BH153" s="227"/>
      <c r="BI153" s="345"/>
      <c r="BJ153" s="343">
        <v>0</v>
      </c>
      <c r="BK153" s="344"/>
      <c r="BL153" s="233"/>
      <c r="BM153" s="227"/>
      <c r="BN153" s="345"/>
      <c r="BO153" s="343">
        <v>0</v>
      </c>
      <c r="BP153" s="344"/>
      <c r="BQ153" s="233"/>
      <c r="BR153" s="227"/>
      <c r="BS153" s="345"/>
      <c r="BT153" s="343">
        <f>SUM(L153:BO153)</f>
        <v>0</v>
      </c>
      <c r="BU153" s="344"/>
      <c r="BV153" s="233"/>
      <c r="BW153" s="233"/>
      <c r="BX153" s="254"/>
    </row>
    <row r="154" spans="1:79" ht="12.75" hidden="1" customHeight="1" x14ac:dyDescent="0.2">
      <c r="A154" s="244"/>
      <c r="B154" s="244"/>
      <c r="C154" s="244"/>
      <c r="D154" s="254" t="s">
        <v>438</v>
      </c>
      <c r="E154" s="261"/>
      <c r="F154" s="284"/>
      <c r="G154" s="355">
        <v>0</v>
      </c>
      <c r="H154" s="356"/>
      <c r="I154" s="233"/>
      <c r="J154" s="227"/>
      <c r="K154" s="357"/>
      <c r="L154" s="355">
        <v>0</v>
      </c>
      <c r="M154" s="356"/>
      <c r="N154" s="233"/>
      <c r="O154" s="227"/>
      <c r="P154" s="357"/>
      <c r="Q154" s="355">
        <v>0</v>
      </c>
      <c r="R154" s="356"/>
      <c r="S154" s="233"/>
      <c r="T154" s="227"/>
      <c r="U154" s="357"/>
      <c r="V154" s="355">
        <v>0</v>
      </c>
      <c r="W154" s="356"/>
      <c r="X154" s="233"/>
      <c r="Y154" s="227"/>
      <c r="Z154" s="357"/>
      <c r="AA154" s="355">
        <v>0</v>
      </c>
      <c r="AB154" s="356"/>
      <c r="AC154" s="233"/>
      <c r="AD154" s="227"/>
      <c r="AE154" s="357"/>
      <c r="AF154" s="355">
        <v>0</v>
      </c>
      <c r="AG154" s="356"/>
      <c r="AH154" s="233"/>
      <c r="AI154" s="227"/>
      <c r="AJ154" s="357"/>
      <c r="AK154" s="355">
        <v>0</v>
      </c>
      <c r="AL154" s="356"/>
      <c r="AM154" s="233"/>
      <c r="AN154" s="227"/>
      <c r="AO154" s="357"/>
      <c r="AP154" s="355">
        <v>0</v>
      </c>
      <c r="AQ154" s="356"/>
      <c r="AR154" s="233"/>
      <c r="AS154" s="227"/>
      <c r="AT154" s="357"/>
      <c r="AU154" s="355">
        <v>0</v>
      </c>
      <c r="AV154" s="356"/>
      <c r="AW154" s="233"/>
      <c r="AX154" s="227"/>
      <c r="AY154" s="357"/>
      <c r="AZ154" s="355">
        <v>0</v>
      </c>
      <c r="BA154" s="356"/>
      <c r="BB154" s="233"/>
      <c r="BC154" s="227"/>
      <c r="BD154" s="357"/>
      <c r="BE154" s="355">
        <v>0</v>
      </c>
      <c r="BF154" s="356"/>
      <c r="BG154" s="233"/>
      <c r="BH154" s="227"/>
      <c r="BI154" s="357"/>
      <c r="BJ154" s="355">
        <v>0</v>
      </c>
      <c r="BK154" s="356"/>
      <c r="BL154" s="233"/>
      <c r="BM154" s="227"/>
      <c r="BN154" s="357"/>
      <c r="BO154" s="355">
        <v>0</v>
      </c>
      <c r="BP154" s="356"/>
      <c r="BQ154" s="233"/>
      <c r="BR154" s="227"/>
      <c r="BS154" s="357"/>
      <c r="BT154" s="355">
        <f>SUM(L154:BO154)</f>
        <v>0</v>
      </c>
      <c r="BU154" s="356"/>
      <c r="BV154" s="233"/>
      <c r="BW154" s="233"/>
      <c r="BX154" s="254"/>
    </row>
    <row r="155" spans="1:79" ht="12.75" hidden="1" customHeight="1" x14ac:dyDescent="0.2">
      <c r="A155" s="244"/>
      <c r="B155" s="244"/>
      <c r="C155" s="244"/>
      <c r="D155" s="254"/>
      <c r="E155" s="261"/>
      <c r="F155" s="244"/>
      <c r="G155" s="233"/>
      <c r="H155" s="233"/>
      <c r="I155" s="233"/>
      <c r="J155" s="227"/>
      <c r="K155" s="233"/>
      <c r="L155" s="233"/>
      <c r="M155" s="233"/>
      <c r="N155" s="233"/>
      <c r="O155" s="227"/>
      <c r="P155" s="233"/>
      <c r="Q155" s="233"/>
      <c r="R155" s="233"/>
      <c r="S155" s="233"/>
      <c r="T155" s="227"/>
      <c r="U155" s="233"/>
      <c r="V155" s="233"/>
      <c r="W155" s="233"/>
      <c r="X155" s="233"/>
      <c r="Y155" s="227"/>
      <c r="Z155" s="233"/>
      <c r="AA155" s="233"/>
      <c r="AB155" s="233"/>
      <c r="AC155" s="233"/>
      <c r="AD155" s="227"/>
      <c r="AE155" s="233"/>
      <c r="AF155" s="233"/>
      <c r="AG155" s="233"/>
      <c r="AH155" s="233"/>
      <c r="AI155" s="227"/>
      <c r="AJ155" s="233"/>
      <c r="AK155" s="233"/>
      <c r="AL155" s="233"/>
      <c r="AM155" s="233"/>
      <c r="AN155" s="227"/>
      <c r="AO155" s="233"/>
      <c r="AP155" s="233"/>
      <c r="AQ155" s="233"/>
      <c r="AR155" s="233"/>
      <c r="AS155" s="227"/>
      <c r="AT155" s="233"/>
      <c r="AU155" s="233"/>
      <c r="AV155" s="233"/>
      <c r="AW155" s="233"/>
      <c r="AX155" s="227"/>
      <c r="AY155" s="233"/>
      <c r="AZ155" s="233"/>
      <c r="BA155" s="233"/>
      <c r="BB155" s="233"/>
      <c r="BC155" s="227"/>
      <c r="BD155" s="233"/>
      <c r="BE155" s="233"/>
      <c r="BF155" s="233"/>
      <c r="BG155" s="233"/>
      <c r="BH155" s="227"/>
      <c r="BI155" s="233"/>
      <c r="BJ155" s="233"/>
      <c r="BK155" s="233"/>
      <c r="BL155" s="233"/>
      <c r="BM155" s="227"/>
      <c r="BN155" s="233"/>
      <c r="BO155" s="233"/>
      <c r="BP155" s="233"/>
      <c r="BQ155" s="233"/>
      <c r="BR155" s="227"/>
      <c r="BS155" s="233"/>
      <c r="BT155" s="233"/>
      <c r="BU155" s="233"/>
      <c r="BV155" s="233"/>
      <c r="BW155" s="233"/>
      <c r="BX155" s="254"/>
    </row>
    <row r="156" spans="1:79" s="268" customFormat="1" ht="12.75" hidden="1" customHeight="1" x14ac:dyDescent="0.2">
      <c r="A156" s="245"/>
      <c r="B156" s="245"/>
      <c r="C156" s="245"/>
      <c r="D156" s="262" t="s">
        <v>450</v>
      </c>
      <c r="E156" s="264"/>
      <c r="F156" s="245"/>
      <c r="G156" s="340">
        <f>SUM(G157:G158)</f>
        <v>0</v>
      </c>
      <c r="H156" s="340"/>
      <c r="I156" s="340"/>
      <c r="J156" s="341"/>
      <c r="K156" s="340"/>
      <c r="L156" s="340">
        <f>SUM(L157:L158)</f>
        <v>0</v>
      </c>
      <c r="M156" s="340"/>
      <c r="N156" s="340"/>
      <c r="O156" s="341"/>
      <c r="P156" s="340"/>
      <c r="Q156" s="340">
        <f>SUM(Q157:Q158)</f>
        <v>0</v>
      </c>
      <c r="R156" s="340"/>
      <c r="S156" s="340"/>
      <c r="T156" s="341"/>
      <c r="U156" s="340"/>
      <c r="V156" s="340">
        <f>SUM(V157:V158)</f>
        <v>0</v>
      </c>
      <c r="W156" s="340"/>
      <c r="X156" s="340"/>
      <c r="Y156" s="341"/>
      <c r="Z156" s="340"/>
      <c r="AA156" s="340">
        <f>SUM(AA157:AA158)</f>
        <v>0</v>
      </c>
      <c r="AB156" s="340"/>
      <c r="AC156" s="340"/>
      <c r="AD156" s="341"/>
      <c r="AE156" s="340"/>
      <c r="AF156" s="340">
        <f>SUM(AF157:AF158)</f>
        <v>0</v>
      </c>
      <c r="AG156" s="340"/>
      <c r="AH156" s="340"/>
      <c r="AI156" s="341"/>
      <c r="AJ156" s="340"/>
      <c r="AK156" s="340">
        <f>SUM(AK157:AK158)</f>
        <v>0</v>
      </c>
      <c r="AL156" s="340"/>
      <c r="AM156" s="340"/>
      <c r="AN156" s="341"/>
      <c r="AO156" s="340"/>
      <c r="AP156" s="340">
        <f>SUM(AP157:AP158)</f>
        <v>0</v>
      </c>
      <c r="AQ156" s="340"/>
      <c r="AR156" s="340"/>
      <c r="AS156" s="341"/>
      <c r="AT156" s="340"/>
      <c r="AU156" s="340">
        <f>SUM(AU157:AU158)</f>
        <v>0</v>
      </c>
      <c r="AV156" s="340"/>
      <c r="AW156" s="340"/>
      <c r="AX156" s="341"/>
      <c r="AY156" s="340"/>
      <c r="AZ156" s="340">
        <f>SUM(AZ157:AZ158)</f>
        <v>0</v>
      </c>
      <c r="BA156" s="340"/>
      <c r="BB156" s="340"/>
      <c r="BC156" s="341"/>
      <c r="BD156" s="340"/>
      <c r="BE156" s="340">
        <f>SUM(BE157:BE158)</f>
        <v>0</v>
      </c>
      <c r="BF156" s="340"/>
      <c r="BG156" s="340"/>
      <c r="BH156" s="341"/>
      <c r="BI156" s="340"/>
      <c r="BJ156" s="340">
        <f>SUM(BJ157:BJ158)</f>
        <v>0</v>
      </c>
      <c r="BK156" s="340"/>
      <c r="BL156" s="340"/>
      <c r="BM156" s="341"/>
      <c r="BN156" s="340"/>
      <c r="BO156" s="340">
        <f>SUM(BO157:BO158)</f>
        <v>0</v>
      </c>
      <c r="BP156" s="340"/>
      <c r="BQ156" s="340"/>
      <c r="BR156" s="341"/>
      <c r="BS156" s="340"/>
      <c r="BT156" s="340">
        <f>SUM(BT157:BT158)</f>
        <v>0</v>
      </c>
      <c r="BU156" s="340"/>
      <c r="BV156" s="340"/>
      <c r="BW156" s="340"/>
      <c r="BX156" s="262"/>
      <c r="BZ156" s="243"/>
      <c r="CA156" s="243"/>
    </row>
    <row r="157" spans="1:79" ht="12.75" hidden="1" customHeight="1" x14ac:dyDescent="0.2">
      <c r="A157" s="244"/>
      <c r="B157" s="244"/>
      <c r="C157" s="244"/>
      <c r="D157" s="254" t="s">
        <v>437</v>
      </c>
      <c r="E157" s="261"/>
      <c r="F157" s="269"/>
      <c r="G157" s="343">
        <v>0</v>
      </c>
      <c r="H157" s="344"/>
      <c r="I157" s="233"/>
      <c r="J157" s="227"/>
      <c r="K157" s="345"/>
      <c r="L157" s="343">
        <f>L161+L165</f>
        <v>0</v>
      </c>
      <c r="M157" s="344"/>
      <c r="N157" s="233"/>
      <c r="O157" s="227"/>
      <c r="P157" s="345"/>
      <c r="Q157" s="343">
        <f>Q161+Q165</f>
        <v>0</v>
      </c>
      <c r="R157" s="344"/>
      <c r="S157" s="233"/>
      <c r="T157" s="227"/>
      <c r="U157" s="345"/>
      <c r="V157" s="343">
        <f>V161+V165</f>
        <v>0</v>
      </c>
      <c r="W157" s="344"/>
      <c r="X157" s="233"/>
      <c r="Y157" s="227"/>
      <c r="Z157" s="345"/>
      <c r="AA157" s="343">
        <f>AA161+AA165</f>
        <v>0</v>
      </c>
      <c r="AB157" s="344"/>
      <c r="AC157" s="233"/>
      <c r="AD157" s="227"/>
      <c r="AE157" s="345"/>
      <c r="AF157" s="343">
        <f>AF161+AF165</f>
        <v>0</v>
      </c>
      <c r="AG157" s="344"/>
      <c r="AH157" s="233"/>
      <c r="AI157" s="227"/>
      <c r="AJ157" s="345"/>
      <c r="AK157" s="343">
        <f>AK161+AK165</f>
        <v>0</v>
      </c>
      <c r="AL157" s="344"/>
      <c r="AM157" s="233"/>
      <c r="AN157" s="227"/>
      <c r="AO157" s="345"/>
      <c r="AP157" s="343">
        <v>0</v>
      </c>
      <c r="AQ157" s="344"/>
      <c r="AR157" s="233"/>
      <c r="AS157" s="227"/>
      <c r="AT157" s="345"/>
      <c r="AU157" s="343">
        <f>AU161+AU165</f>
        <v>0</v>
      </c>
      <c r="AV157" s="344"/>
      <c r="AW157" s="233"/>
      <c r="AX157" s="227"/>
      <c r="AY157" s="345"/>
      <c r="AZ157" s="343">
        <f>AZ161+AZ165</f>
        <v>0</v>
      </c>
      <c r="BA157" s="344"/>
      <c r="BB157" s="233"/>
      <c r="BC157" s="227"/>
      <c r="BD157" s="345"/>
      <c r="BE157" s="343">
        <f>BE161+BE165</f>
        <v>0</v>
      </c>
      <c r="BF157" s="344"/>
      <c r="BG157" s="233"/>
      <c r="BH157" s="227"/>
      <c r="BI157" s="345"/>
      <c r="BJ157" s="343">
        <f>BJ161+BJ165</f>
        <v>0</v>
      </c>
      <c r="BK157" s="344"/>
      <c r="BL157" s="233"/>
      <c r="BM157" s="227"/>
      <c r="BN157" s="345"/>
      <c r="BO157" s="343">
        <f>BO161+BO165</f>
        <v>0</v>
      </c>
      <c r="BP157" s="344"/>
      <c r="BQ157" s="233"/>
      <c r="BR157" s="227"/>
      <c r="BS157" s="345"/>
      <c r="BT157" s="343">
        <f>BT161+BT165</f>
        <v>0</v>
      </c>
      <c r="BU157" s="344"/>
      <c r="BV157" s="233"/>
      <c r="BW157" s="233"/>
      <c r="BX157" s="254"/>
    </row>
    <row r="158" spans="1:79" ht="12.75" hidden="1" customHeight="1" x14ac:dyDescent="0.2">
      <c r="A158" s="244"/>
      <c r="B158" s="244"/>
      <c r="C158" s="244"/>
      <c r="D158" s="254" t="s">
        <v>438</v>
      </c>
      <c r="E158" s="261"/>
      <c r="F158" s="284"/>
      <c r="G158" s="355">
        <v>0</v>
      </c>
      <c r="H158" s="356"/>
      <c r="I158" s="233"/>
      <c r="J158" s="227"/>
      <c r="K158" s="357"/>
      <c r="L158" s="355">
        <f>L162+L166</f>
        <v>0</v>
      </c>
      <c r="M158" s="356"/>
      <c r="N158" s="233"/>
      <c r="O158" s="227"/>
      <c r="P158" s="357"/>
      <c r="Q158" s="355">
        <f>Q162+Q166</f>
        <v>0</v>
      </c>
      <c r="R158" s="356"/>
      <c r="S158" s="233"/>
      <c r="T158" s="227"/>
      <c r="U158" s="357"/>
      <c r="V158" s="355">
        <f>V162+V166</f>
        <v>0</v>
      </c>
      <c r="W158" s="356"/>
      <c r="X158" s="233"/>
      <c r="Y158" s="227"/>
      <c r="Z158" s="357"/>
      <c r="AA158" s="355">
        <f>AA162+AA166</f>
        <v>0</v>
      </c>
      <c r="AB158" s="356"/>
      <c r="AC158" s="233"/>
      <c r="AD158" s="227"/>
      <c r="AE158" s="357"/>
      <c r="AF158" s="355">
        <f>AF162+AF166</f>
        <v>0</v>
      </c>
      <c r="AG158" s="356"/>
      <c r="AH158" s="233"/>
      <c r="AI158" s="227"/>
      <c r="AJ158" s="357"/>
      <c r="AK158" s="355">
        <f>AK162+AK166</f>
        <v>0</v>
      </c>
      <c r="AL158" s="356"/>
      <c r="AM158" s="233"/>
      <c r="AN158" s="227"/>
      <c r="AO158" s="357"/>
      <c r="AP158" s="355">
        <v>0</v>
      </c>
      <c r="AQ158" s="356"/>
      <c r="AR158" s="233"/>
      <c r="AS158" s="227"/>
      <c r="AT158" s="357"/>
      <c r="AU158" s="355">
        <f>AU162+AU166</f>
        <v>0</v>
      </c>
      <c r="AV158" s="356"/>
      <c r="AW158" s="233"/>
      <c r="AX158" s="227"/>
      <c r="AY158" s="357"/>
      <c r="AZ158" s="355">
        <f>AZ162+AZ166</f>
        <v>0</v>
      </c>
      <c r="BA158" s="356"/>
      <c r="BB158" s="233"/>
      <c r="BC158" s="227"/>
      <c r="BD158" s="357"/>
      <c r="BE158" s="355">
        <f>BE162+BE166</f>
        <v>0</v>
      </c>
      <c r="BF158" s="356"/>
      <c r="BG158" s="233"/>
      <c r="BH158" s="227"/>
      <c r="BI158" s="357"/>
      <c r="BJ158" s="355">
        <f>BJ162+BJ166</f>
        <v>0</v>
      </c>
      <c r="BK158" s="356"/>
      <c r="BL158" s="233"/>
      <c r="BM158" s="227"/>
      <c r="BN158" s="357"/>
      <c r="BO158" s="355">
        <f>BO162+BO166</f>
        <v>0</v>
      </c>
      <c r="BP158" s="356"/>
      <c r="BQ158" s="233"/>
      <c r="BR158" s="227"/>
      <c r="BS158" s="357"/>
      <c r="BT158" s="355">
        <f>BT162+BT166</f>
        <v>0</v>
      </c>
      <c r="BU158" s="356"/>
      <c r="BV158" s="233"/>
      <c r="BW158" s="233"/>
      <c r="BX158" s="254"/>
    </row>
    <row r="159" spans="1:79" ht="12.75" hidden="1" customHeight="1" x14ac:dyDescent="0.2">
      <c r="A159" s="244"/>
      <c r="B159" s="244"/>
      <c r="C159" s="244"/>
      <c r="D159" s="254"/>
      <c r="E159" s="261"/>
      <c r="F159" s="244"/>
      <c r="G159" s="233"/>
      <c r="H159" s="233"/>
      <c r="I159" s="233"/>
      <c r="J159" s="227"/>
      <c r="K159" s="233"/>
      <c r="L159" s="233"/>
      <c r="M159" s="233"/>
      <c r="N159" s="233"/>
      <c r="O159" s="227"/>
      <c r="P159" s="233"/>
      <c r="Q159" s="233"/>
      <c r="R159" s="233"/>
      <c r="S159" s="233"/>
      <c r="T159" s="227"/>
      <c r="U159" s="233"/>
      <c r="V159" s="233"/>
      <c r="W159" s="233"/>
      <c r="X159" s="233"/>
      <c r="Y159" s="227"/>
      <c r="Z159" s="233"/>
      <c r="AA159" s="233"/>
      <c r="AB159" s="233"/>
      <c r="AC159" s="233"/>
      <c r="AD159" s="227"/>
      <c r="AE159" s="233"/>
      <c r="AF159" s="233"/>
      <c r="AG159" s="233"/>
      <c r="AH159" s="233"/>
      <c r="AI159" s="227"/>
      <c r="AJ159" s="233"/>
      <c r="AK159" s="233"/>
      <c r="AL159" s="233"/>
      <c r="AM159" s="233"/>
      <c r="AN159" s="227"/>
      <c r="AO159" s="233"/>
      <c r="AP159" s="233"/>
      <c r="AQ159" s="233"/>
      <c r="AR159" s="233"/>
      <c r="AS159" s="227"/>
      <c r="AT159" s="233"/>
      <c r="AU159" s="233"/>
      <c r="AV159" s="233"/>
      <c r="AW159" s="233"/>
      <c r="AX159" s="227"/>
      <c r="AY159" s="233"/>
      <c r="AZ159" s="233"/>
      <c r="BA159" s="233"/>
      <c r="BB159" s="233"/>
      <c r="BC159" s="227"/>
      <c r="BD159" s="233"/>
      <c r="BE159" s="233"/>
      <c r="BF159" s="233"/>
      <c r="BG159" s="233"/>
      <c r="BH159" s="227"/>
      <c r="BI159" s="233"/>
      <c r="BJ159" s="233"/>
      <c r="BK159" s="233"/>
      <c r="BL159" s="233"/>
      <c r="BM159" s="227"/>
      <c r="BN159" s="233"/>
      <c r="BO159" s="233"/>
      <c r="BP159" s="233"/>
      <c r="BQ159" s="233"/>
      <c r="BR159" s="227"/>
      <c r="BS159" s="233"/>
      <c r="BT159" s="233"/>
      <c r="BU159" s="233"/>
      <c r="BV159" s="233"/>
      <c r="BW159" s="233"/>
      <c r="BX159" s="254"/>
    </row>
    <row r="160" spans="1:79" ht="12.75" hidden="1" customHeight="1" x14ac:dyDescent="0.2">
      <c r="A160" s="244"/>
      <c r="B160" s="244"/>
      <c r="C160" s="244"/>
      <c r="D160" s="254" t="s">
        <v>440</v>
      </c>
      <c r="E160" s="261"/>
      <c r="F160" s="244"/>
      <c r="G160" s="233">
        <v>0</v>
      </c>
      <c r="H160" s="233"/>
      <c r="I160" s="233"/>
      <c r="J160" s="227"/>
      <c r="K160" s="233"/>
      <c r="L160" s="233">
        <f>SUM(L161:L162)</f>
        <v>0</v>
      </c>
      <c r="M160" s="233"/>
      <c r="N160" s="233"/>
      <c r="O160" s="227"/>
      <c r="P160" s="233"/>
      <c r="Q160" s="233">
        <f>SUM(Q161:Q162)</f>
        <v>0</v>
      </c>
      <c r="R160" s="233"/>
      <c r="S160" s="233"/>
      <c r="T160" s="227"/>
      <c r="U160" s="233"/>
      <c r="V160" s="233">
        <f>SUM(V161:V162)</f>
        <v>0</v>
      </c>
      <c r="W160" s="233"/>
      <c r="X160" s="233"/>
      <c r="Y160" s="227"/>
      <c r="Z160" s="233"/>
      <c r="AA160" s="233">
        <f>SUM(AA161:AA162)</f>
        <v>0</v>
      </c>
      <c r="AB160" s="233"/>
      <c r="AC160" s="233"/>
      <c r="AD160" s="227"/>
      <c r="AE160" s="233"/>
      <c r="AF160" s="233">
        <f>SUM(AF161:AF162)</f>
        <v>0</v>
      </c>
      <c r="AG160" s="233"/>
      <c r="AH160" s="233"/>
      <c r="AI160" s="227"/>
      <c r="AJ160" s="233"/>
      <c r="AK160" s="233">
        <f>SUM(AK161:AK162)</f>
        <v>0</v>
      </c>
      <c r="AL160" s="233"/>
      <c r="AM160" s="233"/>
      <c r="AN160" s="227"/>
      <c r="AO160" s="233"/>
      <c r="AP160" s="233">
        <f>SUM(AP161:AP162)</f>
        <v>0</v>
      </c>
      <c r="AQ160" s="233"/>
      <c r="AR160" s="233"/>
      <c r="AS160" s="227"/>
      <c r="AT160" s="233"/>
      <c r="AU160" s="233">
        <f>SUM(AU161:AU162)</f>
        <v>0</v>
      </c>
      <c r="AV160" s="233"/>
      <c r="AW160" s="233"/>
      <c r="AX160" s="227"/>
      <c r="AY160" s="233"/>
      <c r="AZ160" s="233">
        <f>SUM(AZ161:AZ162)</f>
        <v>0</v>
      </c>
      <c r="BA160" s="233"/>
      <c r="BB160" s="233"/>
      <c r="BC160" s="227"/>
      <c r="BD160" s="233"/>
      <c r="BE160" s="233">
        <f>SUM(BE161:BE162)</f>
        <v>0</v>
      </c>
      <c r="BF160" s="233"/>
      <c r="BG160" s="233"/>
      <c r="BH160" s="227"/>
      <c r="BI160" s="233"/>
      <c r="BJ160" s="233">
        <f>SUM(BJ161:BJ162)</f>
        <v>0</v>
      </c>
      <c r="BK160" s="233"/>
      <c r="BL160" s="233"/>
      <c r="BM160" s="227"/>
      <c r="BN160" s="233"/>
      <c r="BO160" s="233">
        <f>SUM(BO161:BO162)</f>
        <v>0</v>
      </c>
      <c r="BP160" s="233"/>
      <c r="BQ160" s="233"/>
      <c r="BR160" s="227"/>
      <c r="BS160" s="233"/>
      <c r="BT160" s="233">
        <f>SUM(BT161:BT162)</f>
        <v>0</v>
      </c>
      <c r="BU160" s="233"/>
      <c r="BV160" s="233"/>
      <c r="BW160" s="233"/>
      <c r="BX160" s="254"/>
    </row>
    <row r="161" spans="1:79" ht="12.75" hidden="1" customHeight="1" x14ac:dyDescent="0.2">
      <c r="A161" s="244"/>
      <c r="B161" s="244"/>
      <c r="C161" s="244"/>
      <c r="D161" s="254" t="s">
        <v>437</v>
      </c>
      <c r="E161" s="261"/>
      <c r="F161" s="269"/>
      <c r="G161" s="343">
        <v>0</v>
      </c>
      <c r="H161" s="344"/>
      <c r="I161" s="233"/>
      <c r="J161" s="227"/>
      <c r="K161" s="345"/>
      <c r="L161" s="343">
        <v>0</v>
      </c>
      <c r="M161" s="344"/>
      <c r="N161" s="233"/>
      <c r="O161" s="227"/>
      <c r="P161" s="345"/>
      <c r="Q161" s="343">
        <v>0</v>
      </c>
      <c r="R161" s="344"/>
      <c r="S161" s="233"/>
      <c r="T161" s="227"/>
      <c r="U161" s="345"/>
      <c r="V161" s="343">
        <v>0</v>
      </c>
      <c r="W161" s="344"/>
      <c r="X161" s="233"/>
      <c r="Y161" s="227"/>
      <c r="Z161" s="345"/>
      <c r="AA161" s="343">
        <v>0</v>
      </c>
      <c r="AB161" s="344"/>
      <c r="AC161" s="233"/>
      <c r="AD161" s="227"/>
      <c r="AE161" s="345"/>
      <c r="AF161" s="343">
        <v>0</v>
      </c>
      <c r="AG161" s="344"/>
      <c r="AH161" s="233"/>
      <c r="AI161" s="227"/>
      <c r="AJ161" s="345"/>
      <c r="AK161" s="343">
        <v>0</v>
      </c>
      <c r="AL161" s="344"/>
      <c r="AM161" s="233"/>
      <c r="AN161" s="227"/>
      <c r="AO161" s="345"/>
      <c r="AP161" s="343">
        <v>0</v>
      </c>
      <c r="AQ161" s="344"/>
      <c r="AR161" s="233"/>
      <c r="AS161" s="227"/>
      <c r="AT161" s="345"/>
      <c r="AU161" s="343">
        <v>0</v>
      </c>
      <c r="AV161" s="344"/>
      <c r="AW161" s="233"/>
      <c r="AX161" s="227"/>
      <c r="AY161" s="345"/>
      <c r="AZ161" s="343">
        <v>0</v>
      </c>
      <c r="BA161" s="344"/>
      <c r="BB161" s="233"/>
      <c r="BC161" s="227"/>
      <c r="BD161" s="345"/>
      <c r="BE161" s="343">
        <v>0</v>
      </c>
      <c r="BF161" s="344"/>
      <c r="BG161" s="233"/>
      <c r="BH161" s="227"/>
      <c r="BI161" s="345"/>
      <c r="BJ161" s="343">
        <v>0</v>
      </c>
      <c r="BK161" s="344"/>
      <c r="BL161" s="233"/>
      <c r="BM161" s="227"/>
      <c r="BN161" s="345"/>
      <c r="BO161" s="343">
        <v>0</v>
      </c>
      <c r="BP161" s="344"/>
      <c r="BQ161" s="233"/>
      <c r="BR161" s="227"/>
      <c r="BS161" s="345"/>
      <c r="BT161" s="343">
        <f>SUM(L161:BO161)</f>
        <v>0</v>
      </c>
      <c r="BU161" s="344"/>
      <c r="BV161" s="233"/>
      <c r="BW161" s="233"/>
      <c r="BX161" s="254"/>
    </row>
    <row r="162" spans="1:79" ht="12.75" hidden="1" customHeight="1" x14ac:dyDescent="0.2">
      <c r="A162" s="244"/>
      <c r="B162" s="244"/>
      <c r="C162" s="244"/>
      <c r="D162" s="254" t="s">
        <v>438</v>
      </c>
      <c r="E162" s="261"/>
      <c r="F162" s="284"/>
      <c r="G162" s="355">
        <v>0</v>
      </c>
      <c r="H162" s="356"/>
      <c r="I162" s="233"/>
      <c r="J162" s="227"/>
      <c r="K162" s="357"/>
      <c r="L162" s="355">
        <v>0</v>
      </c>
      <c r="M162" s="356"/>
      <c r="N162" s="233"/>
      <c r="O162" s="227"/>
      <c r="P162" s="357"/>
      <c r="Q162" s="355">
        <v>0</v>
      </c>
      <c r="R162" s="356"/>
      <c r="S162" s="233"/>
      <c r="T162" s="227"/>
      <c r="U162" s="357"/>
      <c r="V162" s="355">
        <v>0</v>
      </c>
      <c r="W162" s="356"/>
      <c r="X162" s="233"/>
      <c r="Y162" s="227"/>
      <c r="Z162" s="357"/>
      <c r="AA162" s="355">
        <v>0</v>
      </c>
      <c r="AB162" s="356"/>
      <c r="AC162" s="233"/>
      <c r="AD162" s="227"/>
      <c r="AE162" s="357"/>
      <c r="AF162" s="355">
        <v>0</v>
      </c>
      <c r="AG162" s="356"/>
      <c r="AH162" s="233"/>
      <c r="AI162" s="227"/>
      <c r="AJ162" s="357"/>
      <c r="AK162" s="355">
        <v>0</v>
      </c>
      <c r="AL162" s="356"/>
      <c r="AM162" s="233"/>
      <c r="AN162" s="227"/>
      <c r="AO162" s="357"/>
      <c r="AP162" s="355">
        <v>0</v>
      </c>
      <c r="AQ162" s="356"/>
      <c r="AR162" s="233"/>
      <c r="AS162" s="227"/>
      <c r="AT162" s="357"/>
      <c r="AU162" s="355">
        <v>0</v>
      </c>
      <c r="AV162" s="356"/>
      <c r="AW162" s="233"/>
      <c r="AX162" s="227"/>
      <c r="AY162" s="357"/>
      <c r="AZ162" s="355">
        <v>0</v>
      </c>
      <c r="BA162" s="356"/>
      <c r="BB162" s="233"/>
      <c r="BC162" s="227"/>
      <c r="BD162" s="357"/>
      <c r="BE162" s="355">
        <v>0</v>
      </c>
      <c r="BF162" s="356"/>
      <c r="BG162" s="233"/>
      <c r="BH162" s="227"/>
      <c r="BI162" s="357"/>
      <c r="BJ162" s="355">
        <v>0</v>
      </c>
      <c r="BK162" s="356"/>
      <c r="BL162" s="233"/>
      <c r="BM162" s="227"/>
      <c r="BN162" s="357"/>
      <c r="BO162" s="355">
        <v>0</v>
      </c>
      <c r="BP162" s="356"/>
      <c r="BQ162" s="233"/>
      <c r="BR162" s="227"/>
      <c r="BS162" s="357"/>
      <c r="BT162" s="355">
        <f>SUM(L162:BO162)</f>
        <v>0</v>
      </c>
      <c r="BU162" s="356"/>
      <c r="BV162" s="233"/>
      <c r="BW162" s="233"/>
      <c r="BX162" s="254"/>
    </row>
    <row r="163" spans="1:79" ht="12.75" hidden="1" customHeight="1" x14ac:dyDescent="0.2">
      <c r="A163" s="244"/>
      <c r="B163" s="244"/>
      <c r="C163" s="244"/>
      <c r="D163" s="254"/>
      <c r="E163" s="261"/>
      <c r="F163" s="244"/>
      <c r="G163" s="233"/>
      <c r="H163" s="233"/>
      <c r="I163" s="233"/>
      <c r="J163" s="227"/>
      <c r="K163" s="233"/>
      <c r="L163" s="233"/>
      <c r="M163" s="233"/>
      <c r="N163" s="233"/>
      <c r="O163" s="227"/>
      <c r="P163" s="233"/>
      <c r="Q163" s="233"/>
      <c r="R163" s="233"/>
      <c r="S163" s="233"/>
      <c r="T163" s="227"/>
      <c r="U163" s="233"/>
      <c r="V163" s="233"/>
      <c r="W163" s="233"/>
      <c r="X163" s="233"/>
      <c r="Y163" s="227"/>
      <c r="Z163" s="233"/>
      <c r="AA163" s="233"/>
      <c r="AB163" s="233"/>
      <c r="AC163" s="233"/>
      <c r="AD163" s="227"/>
      <c r="AE163" s="233"/>
      <c r="AF163" s="233"/>
      <c r="AG163" s="233"/>
      <c r="AH163" s="233"/>
      <c r="AI163" s="227"/>
      <c r="AJ163" s="233"/>
      <c r="AK163" s="233"/>
      <c r="AL163" s="233"/>
      <c r="AM163" s="233"/>
      <c r="AN163" s="227"/>
      <c r="AO163" s="233"/>
      <c r="AP163" s="233"/>
      <c r="AQ163" s="233"/>
      <c r="AR163" s="233"/>
      <c r="AS163" s="227"/>
      <c r="AT163" s="233"/>
      <c r="AU163" s="233"/>
      <c r="AV163" s="233"/>
      <c r="AW163" s="233"/>
      <c r="AX163" s="227"/>
      <c r="AY163" s="233"/>
      <c r="AZ163" s="233"/>
      <c r="BA163" s="233"/>
      <c r="BB163" s="233"/>
      <c r="BC163" s="227"/>
      <c r="BD163" s="233"/>
      <c r="BE163" s="233"/>
      <c r="BF163" s="233"/>
      <c r="BG163" s="233"/>
      <c r="BH163" s="227"/>
      <c r="BI163" s="233"/>
      <c r="BJ163" s="233"/>
      <c r="BK163" s="233"/>
      <c r="BL163" s="233"/>
      <c r="BM163" s="227"/>
      <c r="BN163" s="233"/>
      <c r="BO163" s="233"/>
      <c r="BP163" s="233"/>
      <c r="BQ163" s="233"/>
      <c r="BR163" s="227"/>
      <c r="BS163" s="233"/>
      <c r="BT163" s="233"/>
      <c r="BU163" s="233"/>
      <c r="BV163" s="233"/>
      <c r="BW163" s="233"/>
      <c r="BX163" s="254"/>
    </row>
    <row r="164" spans="1:79" ht="12.75" hidden="1" customHeight="1" x14ac:dyDescent="0.2">
      <c r="A164" s="244"/>
      <c r="B164" s="244"/>
      <c r="C164" s="244"/>
      <c r="D164" s="254" t="s">
        <v>451</v>
      </c>
      <c r="E164" s="261"/>
      <c r="F164" s="244"/>
      <c r="G164" s="233">
        <v>0</v>
      </c>
      <c r="H164" s="233"/>
      <c r="I164" s="233"/>
      <c r="J164" s="227"/>
      <c r="K164" s="233"/>
      <c r="L164" s="233">
        <f>SUM(L165:L166)</f>
        <v>0</v>
      </c>
      <c r="M164" s="233"/>
      <c r="N164" s="233"/>
      <c r="O164" s="227"/>
      <c r="P164" s="233"/>
      <c r="Q164" s="233">
        <f>SUM(Q165:Q166)</f>
        <v>0</v>
      </c>
      <c r="R164" s="233"/>
      <c r="S164" s="233"/>
      <c r="T164" s="227"/>
      <c r="U164" s="233"/>
      <c r="V164" s="233">
        <f>SUM(V165:V166)</f>
        <v>0</v>
      </c>
      <c r="W164" s="233"/>
      <c r="X164" s="233"/>
      <c r="Y164" s="227"/>
      <c r="Z164" s="233"/>
      <c r="AA164" s="233">
        <f>SUM(AA165:AA166)</f>
        <v>0</v>
      </c>
      <c r="AB164" s="233"/>
      <c r="AC164" s="233"/>
      <c r="AD164" s="227"/>
      <c r="AE164" s="233"/>
      <c r="AF164" s="233">
        <f>SUM(AF165:AF166)</f>
        <v>0</v>
      </c>
      <c r="AG164" s="233"/>
      <c r="AH164" s="233"/>
      <c r="AI164" s="227"/>
      <c r="AJ164" s="233"/>
      <c r="AK164" s="233">
        <f>SUM(AK165:AK166)</f>
        <v>0</v>
      </c>
      <c r="AL164" s="233"/>
      <c r="AM164" s="233"/>
      <c r="AN164" s="227"/>
      <c r="AO164" s="233"/>
      <c r="AP164" s="233">
        <f>SUM(AP165:AP166)</f>
        <v>0</v>
      </c>
      <c r="AQ164" s="233"/>
      <c r="AR164" s="233"/>
      <c r="AS164" s="227"/>
      <c r="AT164" s="233"/>
      <c r="AU164" s="233">
        <f>SUM(AU165:AU166)</f>
        <v>0</v>
      </c>
      <c r="AV164" s="233"/>
      <c r="AW164" s="233"/>
      <c r="AX164" s="227"/>
      <c r="AY164" s="233"/>
      <c r="AZ164" s="233">
        <f>SUM(AZ165:AZ166)</f>
        <v>0</v>
      </c>
      <c r="BA164" s="233"/>
      <c r="BB164" s="233"/>
      <c r="BC164" s="227"/>
      <c r="BD164" s="233"/>
      <c r="BE164" s="233">
        <f>SUM(BE165:BE166)</f>
        <v>0</v>
      </c>
      <c r="BF164" s="233"/>
      <c r="BG164" s="233"/>
      <c r="BH164" s="227"/>
      <c r="BI164" s="233"/>
      <c r="BJ164" s="233">
        <f>SUM(BJ165:BJ166)</f>
        <v>0</v>
      </c>
      <c r="BK164" s="233"/>
      <c r="BL164" s="233"/>
      <c r="BM164" s="227"/>
      <c r="BN164" s="233"/>
      <c r="BO164" s="233">
        <f>SUM(BO165:BO166)</f>
        <v>0</v>
      </c>
      <c r="BP164" s="233"/>
      <c r="BQ164" s="233"/>
      <c r="BR164" s="227"/>
      <c r="BS164" s="233"/>
      <c r="BT164" s="233">
        <f>SUM(BT165:BT166)</f>
        <v>0</v>
      </c>
      <c r="BU164" s="233"/>
      <c r="BV164" s="233"/>
      <c r="BW164" s="233"/>
      <c r="BX164" s="254"/>
    </row>
    <row r="165" spans="1:79" ht="12.75" hidden="1" customHeight="1" x14ac:dyDescent="0.2">
      <c r="A165" s="244"/>
      <c r="B165" s="244"/>
      <c r="C165" s="244"/>
      <c r="D165" s="254" t="s">
        <v>437</v>
      </c>
      <c r="E165" s="261"/>
      <c r="F165" s="269"/>
      <c r="G165" s="343">
        <v>0</v>
      </c>
      <c r="H165" s="344"/>
      <c r="I165" s="233"/>
      <c r="J165" s="227"/>
      <c r="K165" s="345"/>
      <c r="L165" s="343">
        <v>0</v>
      </c>
      <c r="M165" s="344"/>
      <c r="N165" s="233"/>
      <c r="O165" s="227"/>
      <c r="P165" s="345"/>
      <c r="Q165" s="343">
        <v>0</v>
      </c>
      <c r="R165" s="344"/>
      <c r="S165" s="233"/>
      <c r="T165" s="227"/>
      <c r="U165" s="345"/>
      <c r="V165" s="343">
        <v>0</v>
      </c>
      <c r="W165" s="344"/>
      <c r="X165" s="233"/>
      <c r="Y165" s="227"/>
      <c r="Z165" s="345"/>
      <c r="AA165" s="343">
        <v>0</v>
      </c>
      <c r="AB165" s="344"/>
      <c r="AC165" s="233"/>
      <c r="AD165" s="227"/>
      <c r="AE165" s="345"/>
      <c r="AF165" s="343">
        <v>0</v>
      </c>
      <c r="AG165" s="344"/>
      <c r="AH165" s="233"/>
      <c r="AI165" s="227"/>
      <c r="AJ165" s="345"/>
      <c r="AK165" s="343">
        <v>0</v>
      </c>
      <c r="AL165" s="344"/>
      <c r="AM165" s="233"/>
      <c r="AN165" s="227"/>
      <c r="AO165" s="345"/>
      <c r="AP165" s="343">
        <v>0</v>
      </c>
      <c r="AQ165" s="344"/>
      <c r="AR165" s="233"/>
      <c r="AS165" s="227"/>
      <c r="AT165" s="345"/>
      <c r="AU165" s="343">
        <v>0</v>
      </c>
      <c r="AV165" s="344"/>
      <c r="AW165" s="233"/>
      <c r="AX165" s="227"/>
      <c r="AY165" s="345"/>
      <c r="AZ165" s="343">
        <v>0</v>
      </c>
      <c r="BA165" s="344"/>
      <c r="BB165" s="233"/>
      <c r="BC165" s="227"/>
      <c r="BD165" s="345"/>
      <c r="BE165" s="343">
        <v>0</v>
      </c>
      <c r="BF165" s="344"/>
      <c r="BG165" s="233"/>
      <c r="BH165" s="227"/>
      <c r="BI165" s="345"/>
      <c r="BJ165" s="343">
        <v>0</v>
      </c>
      <c r="BK165" s="344"/>
      <c r="BL165" s="233"/>
      <c r="BM165" s="227"/>
      <c r="BN165" s="345"/>
      <c r="BO165" s="343">
        <v>0</v>
      </c>
      <c r="BP165" s="344"/>
      <c r="BQ165" s="233"/>
      <c r="BR165" s="227"/>
      <c r="BS165" s="345"/>
      <c r="BT165" s="343">
        <f>SUM(L165:BO165)</f>
        <v>0</v>
      </c>
      <c r="BU165" s="344"/>
      <c r="BV165" s="233"/>
      <c r="BW165" s="233"/>
      <c r="BX165" s="254"/>
    </row>
    <row r="166" spans="1:79" ht="12.75" hidden="1" customHeight="1" x14ac:dyDescent="0.2">
      <c r="A166" s="244"/>
      <c r="B166" s="244"/>
      <c r="C166" s="244"/>
      <c r="D166" s="254" t="s">
        <v>438</v>
      </c>
      <c r="E166" s="261"/>
      <c r="F166" s="284"/>
      <c r="G166" s="355">
        <v>0</v>
      </c>
      <c r="H166" s="356"/>
      <c r="I166" s="233"/>
      <c r="J166" s="227"/>
      <c r="K166" s="357"/>
      <c r="L166" s="355">
        <v>0</v>
      </c>
      <c r="M166" s="356"/>
      <c r="N166" s="233"/>
      <c r="O166" s="227"/>
      <c r="P166" s="357"/>
      <c r="Q166" s="355">
        <v>0</v>
      </c>
      <c r="R166" s="356"/>
      <c r="S166" s="233"/>
      <c r="T166" s="227"/>
      <c r="U166" s="357"/>
      <c r="V166" s="355">
        <v>0</v>
      </c>
      <c r="W166" s="356"/>
      <c r="X166" s="233"/>
      <c r="Y166" s="227"/>
      <c r="Z166" s="357"/>
      <c r="AA166" s="355">
        <v>0</v>
      </c>
      <c r="AB166" s="356"/>
      <c r="AC166" s="233"/>
      <c r="AD166" s="227"/>
      <c r="AE166" s="357"/>
      <c r="AF166" s="355">
        <v>0</v>
      </c>
      <c r="AG166" s="356"/>
      <c r="AH166" s="233"/>
      <c r="AI166" s="227"/>
      <c r="AJ166" s="357"/>
      <c r="AK166" s="355">
        <v>0</v>
      </c>
      <c r="AL166" s="356"/>
      <c r="AM166" s="233"/>
      <c r="AN166" s="227"/>
      <c r="AO166" s="357"/>
      <c r="AP166" s="355">
        <v>0</v>
      </c>
      <c r="AQ166" s="356"/>
      <c r="AR166" s="233"/>
      <c r="AS166" s="227"/>
      <c r="AT166" s="357"/>
      <c r="AU166" s="355">
        <v>0</v>
      </c>
      <c r="AV166" s="356"/>
      <c r="AW166" s="233"/>
      <c r="AX166" s="227"/>
      <c r="AY166" s="357"/>
      <c r="AZ166" s="355">
        <v>0</v>
      </c>
      <c r="BA166" s="356"/>
      <c r="BB166" s="233"/>
      <c r="BC166" s="227"/>
      <c r="BD166" s="357"/>
      <c r="BE166" s="355">
        <v>0</v>
      </c>
      <c r="BF166" s="356"/>
      <c r="BG166" s="233"/>
      <c r="BH166" s="227"/>
      <c r="BI166" s="357"/>
      <c r="BJ166" s="355">
        <v>0</v>
      </c>
      <c r="BK166" s="356"/>
      <c r="BL166" s="233"/>
      <c r="BM166" s="227"/>
      <c r="BN166" s="357"/>
      <c r="BO166" s="355">
        <v>0</v>
      </c>
      <c r="BP166" s="356"/>
      <c r="BQ166" s="233"/>
      <c r="BR166" s="227"/>
      <c r="BS166" s="357"/>
      <c r="BT166" s="355">
        <f>SUM(L166:BO166)</f>
        <v>0</v>
      </c>
      <c r="BU166" s="356"/>
      <c r="BV166" s="233"/>
      <c r="BW166" s="233"/>
      <c r="BX166" s="254"/>
    </row>
    <row r="167" spans="1:79" hidden="1" x14ac:dyDescent="0.2">
      <c r="A167" s="244"/>
      <c r="B167" s="244"/>
      <c r="C167" s="244"/>
      <c r="D167" s="254"/>
      <c r="E167" s="261"/>
      <c r="F167" s="244"/>
      <c r="G167" s="233"/>
      <c r="H167" s="233"/>
      <c r="I167" s="233"/>
      <c r="J167" s="227"/>
      <c r="K167" s="233"/>
      <c r="L167" s="233"/>
      <c r="M167" s="233"/>
      <c r="N167" s="233"/>
      <c r="O167" s="227"/>
      <c r="P167" s="233"/>
      <c r="Q167" s="233"/>
      <c r="R167" s="233"/>
      <c r="S167" s="233"/>
      <c r="T167" s="227"/>
      <c r="U167" s="233"/>
      <c r="V167" s="233"/>
      <c r="W167" s="233"/>
      <c r="X167" s="233"/>
      <c r="Y167" s="227"/>
      <c r="Z167" s="233"/>
      <c r="AA167" s="233"/>
      <c r="AB167" s="233"/>
      <c r="AC167" s="233"/>
      <c r="AD167" s="227"/>
      <c r="AE167" s="233"/>
      <c r="AF167" s="233"/>
      <c r="AG167" s="233"/>
      <c r="AH167" s="233"/>
      <c r="AI167" s="227"/>
      <c r="AJ167" s="233"/>
      <c r="AK167" s="233"/>
      <c r="AL167" s="233"/>
      <c r="AM167" s="233"/>
      <c r="AN167" s="227"/>
      <c r="AO167" s="233"/>
      <c r="AP167" s="233"/>
      <c r="AQ167" s="233"/>
      <c r="AR167" s="233"/>
      <c r="AS167" s="227"/>
      <c r="AT167" s="233"/>
      <c r="AU167" s="233"/>
      <c r="AV167" s="233"/>
      <c r="AW167" s="233"/>
      <c r="AX167" s="227"/>
      <c r="AY167" s="233"/>
      <c r="AZ167" s="233"/>
      <c r="BA167" s="233"/>
      <c r="BB167" s="233"/>
      <c r="BC167" s="227"/>
      <c r="BD167" s="233"/>
      <c r="BE167" s="233"/>
      <c r="BF167" s="233"/>
      <c r="BG167" s="233"/>
      <c r="BH167" s="227"/>
      <c r="BI167" s="233"/>
      <c r="BJ167" s="233"/>
      <c r="BK167" s="233"/>
      <c r="BL167" s="233"/>
      <c r="BM167" s="227"/>
      <c r="BN167" s="233"/>
      <c r="BO167" s="233"/>
      <c r="BP167" s="233"/>
      <c r="BQ167" s="233"/>
      <c r="BR167" s="227"/>
      <c r="BS167" s="233"/>
      <c r="BT167" s="233"/>
      <c r="BU167" s="233"/>
      <c r="BV167" s="233"/>
      <c r="BW167" s="233"/>
      <c r="BX167" s="254"/>
    </row>
    <row r="168" spans="1:79" s="268" customFormat="1" hidden="1" x14ac:dyDescent="0.2">
      <c r="A168" s="245"/>
      <c r="B168" s="245"/>
      <c r="C168" s="245"/>
      <c r="D168" s="262" t="s">
        <v>452</v>
      </c>
      <c r="E168" s="264"/>
      <c r="F168" s="245"/>
      <c r="G168" s="340">
        <v>0</v>
      </c>
      <c r="H168" s="340"/>
      <c r="I168" s="340"/>
      <c r="J168" s="341"/>
      <c r="K168" s="340"/>
      <c r="L168" s="340">
        <f>SUM(L169:L170)</f>
        <v>0</v>
      </c>
      <c r="M168" s="340"/>
      <c r="N168" s="340"/>
      <c r="O168" s="341"/>
      <c r="P168" s="340"/>
      <c r="Q168" s="340">
        <f>SUM(Q169:Q170)</f>
        <v>0</v>
      </c>
      <c r="R168" s="340"/>
      <c r="S168" s="340"/>
      <c r="T168" s="341"/>
      <c r="U168" s="340"/>
      <c r="V168" s="340">
        <f>SUM(V169:V170)</f>
        <v>0</v>
      </c>
      <c r="W168" s="340"/>
      <c r="X168" s="340"/>
      <c r="Y168" s="341"/>
      <c r="Z168" s="340"/>
      <c r="AA168" s="340">
        <f>SUM(AA169:AA170)</f>
        <v>0</v>
      </c>
      <c r="AB168" s="340"/>
      <c r="AC168" s="340"/>
      <c r="AD168" s="341"/>
      <c r="AE168" s="340"/>
      <c r="AF168" s="340">
        <f>SUM(AF169:AF170)</f>
        <v>0</v>
      </c>
      <c r="AG168" s="340"/>
      <c r="AH168" s="340"/>
      <c r="AI168" s="341"/>
      <c r="AJ168" s="340"/>
      <c r="AK168" s="340">
        <f>SUM(AK169:AK170)</f>
        <v>0</v>
      </c>
      <c r="AL168" s="340"/>
      <c r="AM168" s="340"/>
      <c r="AN168" s="341"/>
      <c r="AO168" s="340"/>
      <c r="AP168" s="340">
        <f>SUM(AP169:AP170)</f>
        <v>0</v>
      </c>
      <c r="AQ168" s="340"/>
      <c r="AR168" s="340"/>
      <c r="AS168" s="341"/>
      <c r="AT168" s="340"/>
      <c r="AU168" s="340">
        <f>SUM(AU169:AU170)</f>
        <v>0</v>
      </c>
      <c r="AV168" s="340"/>
      <c r="AW168" s="340"/>
      <c r="AX168" s="341"/>
      <c r="AY168" s="340"/>
      <c r="AZ168" s="340">
        <f>SUM(AZ169:AZ170)</f>
        <v>0</v>
      </c>
      <c r="BA168" s="340"/>
      <c r="BB168" s="340"/>
      <c r="BC168" s="341"/>
      <c r="BD168" s="340"/>
      <c r="BE168" s="340">
        <f>SUM(BE169:BE170)</f>
        <v>0</v>
      </c>
      <c r="BF168" s="340"/>
      <c r="BG168" s="340"/>
      <c r="BH168" s="341"/>
      <c r="BI168" s="340"/>
      <c r="BJ168" s="340">
        <f>SUM(BJ169:BJ170)</f>
        <v>0</v>
      </c>
      <c r="BK168" s="340"/>
      <c r="BL168" s="340"/>
      <c r="BM168" s="341"/>
      <c r="BN168" s="340"/>
      <c r="BO168" s="340">
        <f>SUM(BO169:BO170)</f>
        <v>0</v>
      </c>
      <c r="BP168" s="340"/>
      <c r="BQ168" s="340"/>
      <c r="BR168" s="341"/>
      <c r="BS168" s="340"/>
      <c r="BT168" s="340">
        <f>SUM(BT169:BT170)</f>
        <v>0</v>
      </c>
      <c r="BU168" s="340"/>
      <c r="BV168" s="340"/>
      <c r="BW168" s="340"/>
      <c r="BX168" s="262"/>
      <c r="BZ168" s="243"/>
      <c r="CA168" s="243"/>
    </row>
    <row r="169" spans="1:79" hidden="1" x14ac:dyDescent="0.2">
      <c r="A169" s="244"/>
      <c r="B169" s="244"/>
      <c r="C169" s="244"/>
      <c r="D169" s="254" t="s">
        <v>437</v>
      </c>
      <c r="E169" s="261"/>
      <c r="F169" s="269"/>
      <c r="G169" s="343">
        <v>0</v>
      </c>
      <c r="H169" s="344"/>
      <c r="I169" s="233"/>
      <c r="J169" s="227"/>
      <c r="K169" s="345"/>
      <c r="L169" s="343">
        <f>L173+L177+L181+L185</f>
        <v>0</v>
      </c>
      <c r="M169" s="344"/>
      <c r="N169" s="233"/>
      <c r="O169" s="227"/>
      <c r="P169" s="345"/>
      <c r="Q169" s="343">
        <f>Q173+Q177+Q181+Q185</f>
        <v>0</v>
      </c>
      <c r="R169" s="344"/>
      <c r="S169" s="233"/>
      <c r="T169" s="227"/>
      <c r="U169" s="345"/>
      <c r="V169" s="343">
        <f>V173+V177+V181+V185</f>
        <v>0</v>
      </c>
      <c r="W169" s="344"/>
      <c r="X169" s="233"/>
      <c r="Y169" s="227"/>
      <c r="Z169" s="345"/>
      <c r="AA169" s="343">
        <f>AA173+AA177+AA181+AA185</f>
        <v>0</v>
      </c>
      <c r="AB169" s="344"/>
      <c r="AC169" s="233"/>
      <c r="AD169" s="227"/>
      <c r="AE169" s="345"/>
      <c r="AF169" s="343">
        <f>AF173+AF177+AF181+AF185</f>
        <v>0</v>
      </c>
      <c r="AG169" s="344"/>
      <c r="AH169" s="233"/>
      <c r="AI169" s="227"/>
      <c r="AJ169" s="345"/>
      <c r="AK169" s="343">
        <f>AK173+AK177+AK181+AK185</f>
        <v>0</v>
      </c>
      <c r="AL169" s="344"/>
      <c r="AM169" s="233"/>
      <c r="AN169" s="227"/>
      <c r="AO169" s="345"/>
      <c r="AP169" s="343">
        <f>AP173+AP177+AP181+AP185</f>
        <v>0</v>
      </c>
      <c r="AQ169" s="344"/>
      <c r="AR169" s="233"/>
      <c r="AS169" s="227"/>
      <c r="AT169" s="345"/>
      <c r="AU169" s="343">
        <f>AU173+AU177+AU181+AU185</f>
        <v>0</v>
      </c>
      <c r="AV169" s="344"/>
      <c r="AW169" s="233"/>
      <c r="AX169" s="227"/>
      <c r="AY169" s="345"/>
      <c r="AZ169" s="343">
        <f>AZ173+AZ177+AZ181+AZ185</f>
        <v>0</v>
      </c>
      <c r="BA169" s="344"/>
      <c r="BB169" s="233"/>
      <c r="BC169" s="227"/>
      <c r="BD169" s="345"/>
      <c r="BE169" s="343">
        <f>BE173+BE177+BE181+BE185</f>
        <v>0</v>
      </c>
      <c r="BF169" s="344"/>
      <c r="BG169" s="233"/>
      <c r="BH169" s="227"/>
      <c r="BI169" s="345"/>
      <c r="BJ169" s="343">
        <f>BJ173+BJ177+BJ181+BJ185</f>
        <v>0</v>
      </c>
      <c r="BK169" s="344"/>
      <c r="BL169" s="233"/>
      <c r="BM169" s="227"/>
      <c r="BN169" s="345"/>
      <c r="BO169" s="343">
        <f>BO173+BO177+BO181+BO185</f>
        <v>0</v>
      </c>
      <c r="BP169" s="344"/>
      <c r="BQ169" s="233"/>
      <c r="BR169" s="227"/>
      <c r="BS169" s="345"/>
      <c r="BT169" s="343">
        <f>BT173+BT177+BT181+BT185</f>
        <v>0</v>
      </c>
      <c r="BU169" s="344"/>
      <c r="BV169" s="233"/>
      <c r="BW169" s="233"/>
      <c r="BX169" s="254"/>
    </row>
    <row r="170" spans="1:79" hidden="1" x14ac:dyDescent="0.2">
      <c r="A170" s="244"/>
      <c r="B170" s="244"/>
      <c r="C170" s="244"/>
      <c r="D170" s="254" t="s">
        <v>438</v>
      </c>
      <c r="E170" s="261"/>
      <c r="F170" s="284"/>
      <c r="G170" s="355">
        <v>0</v>
      </c>
      <c r="H170" s="356"/>
      <c r="I170" s="233"/>
      <c r="J170" s="227"/>
      <c r="K170" s="357"/>
      <c r="L170" s="355">
        <f>L174+L178+L182+L186</f>
        <v>0</v>
      </c>
      <c r="M170" s="356"/>
      <c r="N170" s="233"/>
      <c r="O170" s="227"/>
      <c r="P170" s="357"/>
      <c r="Q170" s="355">
        <f>Q174+Q178+Q182+Q186</f>
        <v>0</v>
      </c>
      <c r="R170" s="356"/>
      <c r="S170" s="233"/>
      <c r="T170" s="227"/>
      <c r="U170" s="357"/>
      <c r="V170" s="355">
        <f>V174+V178+V182+V186</f>
        <v>0</v>
      </c>
      <c r="W170" s="356"/>
      <c r="X170" s="233"/>
      <c r="Y170" s="227"/>
      <c r="Z170" s="357"/>
      <c r="AA170" s="355">
        <f>AA174+AA178+AA182+AA186</f>
        <v>0</v>
      </c>
      <c r="AB170" s="356"/>
      <c r="AC170" s="233"/>
      <c r="AD170" s="227"/>
      <c r="AE170" s="357"/>
      <c r="AF170" s="355">
        <f>AF174+AF178+AF182+AF186</f>
        <v>0</v>
      </c>
      <c r="AG170" s="356"/>
      <c r="AH170" s="233"/>
      <c r="AI170" s="227"/>
      <c r="AJ170" s="357"/>
      <c r="AK170" s="355">
        <f>AK174+AK178+AK182+AK186</f>
        <v>0</v>
      </c>
      <c r="AL170" s="356"/>
      <c r="AM170" s="233"/>
      <c r="AN170" s="227"/>
      <c r="AO170" s="357"/>
      <c r="AP170" s="355">
        <f>AP174+AP178+AP182+AP186</f>
        <v>0</v>
      </c>
      <c r="AQ170" s="356"/>
      <c r="AR170" s="233"/>
      <c r="AS170" s="227"/>
      <c r="AT170" s="357"/>
      <c r="AU170" s="355">
        <f>AU174+AU178+AU182+AU186</f>
        <v>0</v>
      </c>
      <c r="AV170" s="356"/>
      <c r="AW170" s="233"/>
      <c r="AX170" s="227"/>
      <c r="AY170" s="357"/>
      <c r="AZ170" s="355">
        <f>AZ174+AZ178+AZ182+AZ186</f>
        <v>0</v>
      </c>
      <c r="BA170" s="356"/>
      <c r="BB170" s="233"/>
      <c r="BC170" s="227"/>
      <c r="BD170" s="357"/>
      <c r="BE170" s="355">
        <f>BE174+BE178+BE182+BE186</f>
        <v>0</v>
      </c>
      <c r="BF170" s="356"/>
      <c r="BG170" s="233"/>
      <c r="BH170" s="227"/>
      <c r="BI170" s="357"/>
      <c r="BJ170" s="355">
        <f>BJ174+BJ178+BJ182+BJ186</f>
        <v>0</v>
      </c>
      <c r="BK170" s="356"/>
      <c r="BL170" s="233"/>
      <c r="BM170" s="227"/>
      <c r="BN170" s="357"/>
      <c r="BO170" s="355">
        <f>BO174+BO178+BO182+BO186</f>
        <v>0</v>
      </c>
      <c r="BP170" s="356"/>
      <c r="BQ170" s="233"/>
      <c r="BR170" s="227"/>
      <c r="BS170" s="357"/>
      <c r="BT170" s="355">
        <f>BT174+BT178+BT182+BT186</f>
        <v>0</v>
      </c>
      <c r="BU170" s="356"/>
      <c r="BV170" s="233"/>
      <c r="BW170" s="233"/>
      <c r="BX170" s="254"/>
    </row>
    <row r="171" spans="1:79" hidden="1" x14ac:dyDescent="0.2">
      <c r="A171" s="244"/>
      <c r="B171" s="244"/>
      <c r="C171" s="244"/>
      <c r="D171" s="254"/>
      <c r="E171" s="261"/>
      <c r="F171" s="244"/>
      <c r="G171" s="233"/>
      <c r="H171" s="233"/>
      <c r="I171" s="233"/>
      <c r="J171" s="227"/>
      <c r="K171" s="233"/>
      <c r="L171" s="233"/>
      <c r="M171" s="233"/>
      <c r="N171" s="233"/>
      <c r="O171" s="227"/>
      <c r="P171" s="233"/>
      <c r="Q171" s="233"/>
      <c r="R171" s="233"/>
      <c r="S171" s="233"/>
      <c r="T171" s="227"/>
      <c r="U171" s="233"/>
      <c r="V171" s="233"/>
      <c r="W171" s="233"/>
      <c r="X171" s="233"/>
      <c r="Y171" s="227"/>
      <c r="Z171" s="233"/>
      <c r="AA171" s="233"/>
      <c r="AB171" s="233"/>
      <c r="AC171" s="233"/>
      <c r="AD171" s="227"/>
      <c r="AE171" s="233"/>
      <c r="AF171" s="233"/>
      <c r="AG171" s="233"/>
      <c r="AH171" s="233"/>
      <c r="AI171" s="227"/>
      <c r="AJ171" s="233"/>
      <c r="AK171" s="233"/>
      <c r="AL171" s="233"/>
      <c r="AM171" s="233"/>
      <c r="AN171" s="227"/>
      <c r="AO171" s="233"/>
      <c r="AP171" s="233"/>
      <c r="AQ171" s="233"/>
      <c r="AR171" s="233"/>
      <c r="AS171" s="227"/>
      <c r="AT171" s="233"/>
      <c r="AU171" s="233"/>
      <c r="AV171" s="233"/>
      <c r="AW171" s="233"/>
      <c r="AX171" s="227"/>
      <c r="AY171" s="233"/>
      <c r="AZ171" s="233"/>
      <c r="BA171" s="233"/>
      <c r="BB171" s="233"/>
      <c r="BC171" s="227"/>
      <c r="BD171" s="233"/>
      <c r="BE171" s="233"/>
      <c r="BF171" s="233"/>
      <c r="BG171" s="233"/>
      <c r="BH171" s="227"/>
      <c r="BI171" s="233"/>
      <c r="BJ171" s="233"/>
      <c r="BK171" s="233"/>
      <c r="BL171" s="233"/>
      <c r="BM171" s="227"/>
      <c r="BN171" s="233"/>
      <c r="BO171" s="233"/>
      <c r="BP171" s="233"/>
      <c r="BQ171" s="233"/>
      <c r="BR171" s="227"/>
      <c r="BS171" s="233"/>
      <c r="BT171" s="233"/>
      <c r="BU171" s="233"/>
      <c r="BV171" s="233"/>
      <c r="BW171" s="233"/>
      <c r="BX171" s="254"/>
    </row>
    <row r="172" spans="1:79" hidden="1" x14ac:dyDescent="0.2">
      <c r="A172" s="244"/>
      <c r="B172" s="244"/>
      <c r="C172" s="244"/>
      <c r="D172" s="254" t="s">
        <v>453</v>
      </c>
      <c r="E172" s="261"/>
      <c r="F172" s="244"/>
      <c r="G172" s="233">
        <v>0</v>
      </c>
      <c r="H172" s="233"/>
      <c r="I172" s="233"/>
      <c r="J172" s="227"/>
      <c r="K172" s="233"/>
      <c r="L172" s="233">
        <f>SUM(L173:L174)</f>
        <v>0</v>
      </c>
      <c r="M172" s="233"/>
      <c r="N172" s="233"/>
      <c r="O172" s="227"/>
      <c r="P172" s="233"/>
      <c r="Q172" s="233">
        <f>SUM(Q173:Q174)</f>
        <v>0</v>
      </c>
      <c r="R172" s="233"/>
      <c r="S172" s="233"/>
      <c r="T172" s="227"/>
      <c r="U172" s="233"/>
      <c r="V172" s="233">
        <f>SUM(V173:V174)</f>
        <v>0</v>
      </c>
      <c r="W172" s="233"/>
      <c r="X172" s="233"/>
      <c r="Y172" s="227"/>
      <c r="Z172" s="233"/>
      <c r="AA172" s="233">
        <f>SUM(AA173:AA174)</f>
        <v>0</v>
      </c>
      <c r="AB172" s="233"/>
      <c r="AC172" s="233"/>
      <c r="AD172" s="227"/>
      <c r="AE172" s="233"/>
      <c r="AF172" s="233">
        <f>SUM(AF173:AF174)</f>
        <v>0</v>
      </c>
      <c r="AG172" s="233"/>
      <c r="AH172" s="233"/>
      <c r="AI172" s="227"/>
      <c r="AJ172" s="233"/>
      <c r="AK172" s="233">
        <f>SUM(AK173:AK174)</f>
        <v>0</v>
      </c>
      <c r="AL172" s="233"/>
      <c r="AM172" s="233"/>
      <c r="AN172" s="227"/>
      <c r="AO172" s="233"/>
      <c r="AP172" s="233">
        <f>SUM(AP173:AP174)</f>
        <v>0</v>
      </c>
      <c r="AQ172" s="233"/>
      <c r="AR172" s="233"/>
      <c r="AS172" s="227"/>
      <c r="AT172" s="233"/>
      <c r="AU172" s="233">
        <f>SUM(AU173:AU174)</f>
        <v>0</v>
      </c>
      <c r="AV172" s="233"/>
      <c r="AW172" s="233"/>
      <c r="AX172" s="227"/>
      <c r="AY172" s="233"/>
      <c r="AZ172" s="233">
        <f>SUM(AZ173:AZ174)</f>
        <v>0</v>
      </c>
      <c r="BA172" s="233"/>
      <c r="BB172" s="233"/>
      <c r="BC172" s="227"/>
      <c r="BD172" s="233"/>
      <c r="BE172" s="233">
        <f>SUM(BE173:BE174)</f>
        <v>0</v>
      </c>
      <c r="BF172" s="233"/>
      <c r="BG172" s="233"/>
      <c r="BH172" s="227"/>
      <c r="BI172" s="233"/>
      <c r="BJ172" s="233">
        <f>SUM(BJ173:BJ174)</f>
        <v>0</v>
      </c>
      <c r="BK172" s="233"/>
      <c r="BL172" s="233"/>
      <c r="BM172" s="227"/>
      <c r="BN172" s="233"/>
      <c r="BO172" s="233">
        <f>SUM(BO173:BO174)</f>
        <v>0</v>
      </c>
      <c r="BP172" s="233"/>
      <c r="BQ172" s="233"/>
      <c r="BR172" s="227"/>
      <c r="BS172" s="233"/>
      <c r="BT172" s="233">
        <f>SUM(BT173:BT174)</f>
        <v>0</v>
      </c>
      <c r="BU172" s="233"/>
      <c r="BV172" s="233"/>
      <c r="BW172" s="233"/>
      <c r="BX172" s="254"/>
    </row>
    <row r="173" spans="1:79" hidden="1" x14ac:dyDescent="0.2">
      <c r="A173" s="244"/>
      <c r="B173" s="244"/>
      <c r="C173" s="244"/>
      <c r="D173" s="254" t="s">
        <v>437</v>
      </c>
      <c r="E173" s="261"/>
      <c r="F173" s="269"/>
      <c r="G173" s="343">
        <v>0</v>
      </c>
      <c r="H173" s="344"/>
      <c r="I173" s="233"/>
      <c r="J173" s="227"/>
      <c r="K173" s="345"/>
      <c r="L173" s="343">
        <v>0</v>
      </c>
      <c r="M173" s="344"/>
      <c r="N173" s="233"/>
      <c r="O173" s="227"/>
      <c r="P173" s="345"/>
      <c r="Q173" s="343">
        <v>0</v>
      </c>
      <c r="R173" s="344"/>
      <c r="S173" s="233"/>
      <c r="T173" s="227"/>
      <c r="U173" s="345"/>
      <c r="V173" s="343">
        <v>0</v>
      </c>
      <c r="W173" s="344"/>
      <c r="X173" s="233"/>
      <c r="Y173" s="227"/>
      <c r="Z173" s="345"/>
      <c r="AA173" s="343">
        <v>0</v>
      </c>
      <c r="AB173" s="344"/>
      <c r="AC173" s="233"/>
      <c r="AD173" s="227"/>
      <c r="AE173" s="345"/>
      <c r="AF173" s="343">
        <v>0</v>
      </c>
      <c r="AG173" s="344"/>
      <c r="AH173" s="233"/>
      <c r="AI173" s="227"/>
      <c r="AJ173" s="345"/>
      <c r="AK173" s="343">
        <v>0</v>
      </c>
      <c r="AL173" s="344"/>
      <c r="AM173" s="233"/>
      <c r="AN173" s="227"/>
      <c r="AO173" s="345"/>
      <c r="AP173" s="343">
        <v>0</v>
      </c>
      <c r="AQ173" s="344"/>
      <c r="AR173" s="233"/>
      <c r="AS173" s="227"/>
      <c r="AT173" s="345"/>
      <c r="AU173" s="343">
        <v>0</v>
      </c>
      <c r="AV173" s="344"/>
      <c r="AW173" s="233"/>
      <c r="AX173" s="227"/>
      <c r="AY173" s="345"/>
      <c r="AZ173" s="343">
        <v>0</v>
      </c>
      <c r="BA173" s="344"/>
      <c r="BB173" s="233"/>
      <c r="BC173" s="227"/>
      <c r="BD173" s="345"/>
      <c r="BE173" s="343">
        <v>0</v>
      </c>
      <c r="BF173" s="344"/>
      <c r="BG173" s="233"/>
      <c r="BH173" s="227"/>
      <c r="BI173" s="345"/>
      <c r="BJ173" s="343">
        <v>0</v>
      </c>
      <c r="BK173" s="344"/>
      <c r="BL173" s="233"/>
      <c r="BM173" s="227"/>
      <c r="BN173" s="345"/>
      <c r="BO173" s="343">
        <v>0</v>
      </c>
      <c r="BP173" s="344"/>
      <c r="BQ173" s="233"/>
      <c r="BR173" s="227"/>
      <c r="BS173" s="345"/>
      <c r="BT173" s="343">
        <f>SUM(L173:BO173)</f>
        <v>0</v>
      </c>
      <c r="BU173" s="344"/>
      <c r="BV173" s="233"/>
      <c r="BW173" s="233"/>
      <c r="BX173" s="254"/>
    </row>
    <row r="174" spans="1:79" hidden="1" x14ac:dyDescent="0.2">
      <c r="A174" s="244"/>
      <c r="B174" s="244"/>
      <c r="C174" s="244"/>
      <c r="D174" s="254" t="s">
        <v>438</v>
      </c>
      <c r="E174" s="261"/>
      <c r="F174" s="284"/>
      <c r="G174" s="355">
        <v>0</v>
      </c>
      <c r="H174" s="356"/>
      <c r="I174" s="233"/>
      <c r="J174" s="227"/>
      <c r="K174" s="357"/>
      <c r="L174" s="355">
        <v>0</v>
      </c>
      <c r="M174" s="356"/>
      <c r="N174" s="233"/>
      <c r="O174" s="227"/>
      <c r="P174" s="357"/>
      <c r="Q174" s="355">
        <v>0</v>
      </c>
      <c r="R174" s="356"/>
      <c r="S174" s="233"/>
      <c r="T174" s="227"/>
      <c r="U174" s="357"/>
      <c r="V174" s="355">
        <v>0</v>
      </c>
      <c r="W174" s="356"/>
      <c r="X174" s="233"/>
      <c r="Y174" s="227"/>
      <c r="Z174" s="357"/>
      <c r="AA174" s="355">
        <v>0</v>
      </c>
      <c r="AB174" s="356"/>
      <c r="AC174" s="233"/>
      <c r="AD174" s="227"/>
      <c r="AE174" s="357"/>
      <c r="AF174" s="355">
        <v>0</v>
      </c>
      <c r="AG174" s="356"/>
      <c r="AH174" s="233"/>
      <c r="AI174" s="227"/>
      <c r="AJ174" s="357"/>
      <c r="AK174" s="355">
        <v>0</v>
      </c>
      <c r="AL174" s="356"/>
      <c r="AM174" s="233"/>
      <c r="AN174" s="227"/>
      <c r="AO174" s="357"/>
      <c r="AP174" s="355">
        <v>0</v>
      </c>
      <c r="AQ174" s="356"/>
      <c r="AR174" s="233"/>
      <c r="AS174" s="227"/>
      <c r="AT174" s="357"/>
      <c r="AU174" s="355">
        <v>0</v>
      </c>
      <c r="AV174" s="356"/>
      <c r="AW174" s="233"/>
      <c r="AX174" s="227"/>
      <c r="AY174" s="357"/>
      <c r="AZ174" s="355">
        <v>0</v>
      </c>
      <c r="BA174" s="356"/>
      <c r="BB174" s="233"/>
      <c r="BC174" s="227"/>
      <c r="BD174" s="357"/>
      <c r="BE174" s="355">
        <v>0</v>
      </c>
      <c r="BF174" s="356"/>
      <c r="BG174" s="233"/>
      <c r="BH174" s="227"/>
      <c r="BI174" s="357"/>
      <c r="BJ174" s="355">
        <v>0</v>
      </c>
      <c r="BK174" s="356"/>
      <c r="BL174" s="233"/>
      <c r="BM174" s="227"/>
      <c r="BN174" s="357"/>
      <c r="BO174" s="355">
        <v>0</v>
      </c>
      <c r="BP174" s="356"/>
      <c r="BQ174" s="233"/>
      <c r="BR174" s="227"/>
      <c r="BS174" s="357"/>
      <c r="BT174" s="355">
        <f>SUM(L174:BO174)</f>
        <v>0</v>
      </c>
      <c r="BU174" s="356"/>
      <c r="BV174" s="233"/>
      <c r="BW174" s="233"/>
      <c r="BX174" s="254"/>
    </row>
    <row r="175" spans="1:79" hidden="1" x14ac:dyDescent="0.2">
      <c r="A175" s="244"/>
      <c r="B175" s="244"/>
      <c r="C175" s="244"/>
      <c r="D175" s="254"/>
      <c r="E175" s="261"/>
      <c r="F175" s="244"/>
      <c r="G175" s="233"/>
      <c r="H175" s="233"/>
      <c r="I175" s="233"/>
      <c r="J175" s="227"/>
      <c r="K175" s="233"/>
      <c r="L175" s="233"/>
      <c r="M175" s="233"/>
      <c r="N175" s="233"/>
      <c r="O175" s="227"/>
      <c r="P175" s="233"/>
      <c r="Q175" s="233"/>
      <c r="R175" s="233"/>
      <c r="S175" s="233"/>
      <c r="T175" s="227"/>
      <c r="U175" s="233"/>
      <c r="V175" s="233"/>
      <c r="W175" s="233"/>
      <c r="X175" s="233"/>
      <c r="Y175" s="227"/>
      <c r="Z175" s="233"/>
      <c r="AA175" s="233"/>
      <c r="AB175" s="233"/>
      <c r="AC175" s="233"/>
      <c r="AD175" s="227"/>
      <c r="AE175" s="233"/>
      <c r="AF175" s="233"/>
      <c r="AG175" s="233"/>
      <c r="AH175" s="233"/>
      <c r="AI175" s="227"/>
      <c r="AJ175" s="233"/>
      <c r="AK175" s="233"/>
      <c r="AL175" s="233"/>
      <c r="AM175" s="233"/>
      <c r="AN175" s="227"/>
      <c r="AO175" s="233"/>
      <c r="AP175" s="233"/>
      <c r="AQ175" s="233"/>
      <c r="AR175" s="233"/>
      <c r="AS175" s="227"/>
      <c r="AT175" s="233"/>
      <c r="AU175" s="233"/>
      <c r="AV175" s="233"/>
      <c r="AW175" s="233"/>
      <c r="AX175" s="227"/>
      <c r="AY175" s="233"/>
      <c r="AZ175" s="233"/>
      <c r="BA175" s="233"/>
      <c r="BB175" s="233"/>
      <c r="BC175" s="227"/>
      <c r="BD175" s="233"/>
      <c r="BE175" s="233"/>
      <c r="BF175" s="233"/>
      <c r="BG175" s="233"/>
      <c r="BH175" s="227"/>
      <c r="BI175" s="233"/>
      <c r="BJ175" s="233"/>
      <c r="BK175" s="233"/>
      <c r="BL175" s="233"/>
      <c r="BM175" s="227"/>
      <c r="BN175" s="233"/>
      <c r="BO175" s="233"/>
      <c r="BP175" s="233"/>
      <c r="BQ175" s="233"/>
      <c r="BR175" s="227"/>
      <c r="BS175" s="233"/>
      <c r="BT175" s="233"/>
      <c r="BU175" s="233"/>
      <c r="BV175" s="233"/>
      <c r="BW175" s="233"/>
      <c r="BX175" s="254"/>
    </row>
    <row r="176" spans="1:79" hidden="1" x14ac:dyDescent="0.2">
      <c r="A176" s="244"/>
      <c r="B176" s="244"/>
      <c r="C176" s="244"/>
      <c r="D176" s="254" t="s">
        <v>454</v>
      </c>
      <c r="E176" s="261"/>
      <c r="F176" s="244"/>
      <c r="G176" s="233">
        <f>SUM(G177:G178)</f>
        <v>0</v>
      </c>
      <c r="H176" s="233"/>
      <c r="I176" s="233"/>
      <c r="J176" s="227"/>
      <c r="K176" s="233"/>
      <c r="L176" s="233">
        <f>SUM(L177:L178)</f>
        <v>0</v>
      </c>
      <c r="M176" s="233"/>
      <c r="N176" s="233"/>
      <c r="O176" s="227"/>
      <c r="P176" s="233"/>
      <c r="Q176" s="233">
        <f>SUM(Q177:Q178)</f>
        <v>0</v>
      </c>
      <c r="R176" s="233"/>
      <c r="S176" s="233"/>
      <c r="T176" s="227"/>
      <c r="U176" s="233"/>
      <c r="V176" s="233">
        <f>SUM(V177:V178)</f>
        <v>0</v>
      </c>
      <c r="W176" s="233"/>
      <c r="X176" s="233"/>
      <c r="Y176" s="227"/>
      <c r="Z176" s="233"/>
      <c r="AA176" s="233">
        <f>SUM(AA177:AA178)</f>
        <v>0</v>
      </c>
      <c r="AB176" s="233"/>
      <c r="AC176" s="233"/>
      <c r="AD176" s="227"/>
      <c r="AE176" s="233"/>
      <c r="AF176" s="233">
        <f>SUM(AF177:AF178)</f>
        <v>0</v>
      </c>
      <c r="AG176" s="233"/>
      <c r="AH176" s="233"/>
      <c r="AI176" s="227"/>
      <c r="AJ176" s="233"/>
      <c r="AK176" s="233">
        <f>SUM(AK177:AK178)</f>
        <v>0</v>
      </c>
      <c r="AL176" s="233"/>
      <c r="AM176" s="233"/>
      <c r="AN176" s="227"/>
      <c r="AO176" s="233"/>
      <c r="AP176" s="233">
        <f>SUM(AP177:AP178)</f>
        <v>0</v>
      </c>
      <c r="AQ176" s="233"/>
      <c r="AR176" s="233"/>
      <c r="AS176" s="227"/>
      <c r="AT176" s="233"/>
      <c r="AU176" s="233">
        <f>SUM(AU177:AU178)</f>
        <v>0</v>
      </c>
      <c r="AV176" s="233"/>
      <c r="AW176" s="233"/>
      <c r="AX176" s="227"/>
      <c r="AY176" s="233"/>
      <c r="AZ176" s="233">
        <f>SUM(AZ177:AZ178)</f>
        <v>0</v>
      </c>
      <c r="BA176" s="233"/>
      <c r="BB176" s="233"/>
      <c r="BC176" s="227"/>
      <c r="BD176" s="233"/>
      <c r="BE176" s="233">
        <f>SUM(BE177:BE178)</f>
        <v>0</v>
      </c>
      <c r="BF176" s="233"/>
      <c r="BG176" s="233"/>
      <c r="BH176" s="227"/>
      <c r="BI176" s="233"/>
      <c r="BJ176" s="233">
        <f>SUM(BJ177:BJ178)</f>
        <v>0</v>
      </c>
      <c r="BK176" s="233"/>
      <c r="BL176" s="233"/>
      <c r="BM176" s="227"/>
      <c r="BN176" s="233"/>
      <c r="BO176" s="233">
        <f>SUM(BO177:BO178)</f>
        <v>0</v>
      </c>
      <c r="BP176" s="233"/>
      <c r="BQ176" s="233"/>
      <c r="BR176" s="227"/>
      <c r="BS176" s="233"/>
      <c r="BT176" s="233">
        <f>SUM(BT177:BT178)</f>
        <v>0</v>
      </c>
      <c r="BU176" s="233"/>
      <c r="BV176" s="233"/>
      <c r="BW176" s="233"/>
      <c r="BX176" s="254"/>
    </row>
    <row r="177" spans="1:76" hidden="1" x14ac:dyDescent="0.2">
      <c r="A177" s="244"/>
      <c r="B177" s="244"/>
      <c r="C177" s="244"/>
      <c r="D177" s="254" t="s">
        <v>437</v>
      </c>
      <c r="E177" s="261"/>
      <c r="F177" s="269"/>
      <c r="G177" s="343">
        <v>0</v>
      </c>
      <c r="H177" s="344"/>
      <c r="I177" s="233"/>
      <c r="J177" s="227"/>
      <c r="K177" s="345"/>
      <c r="L177" s="343">
        <v>0</v>
      </c>
      <c r="M177" s="344"/>
      <c r="N177" s="233"/>
      <c r="O177" s="227"/>
      <c r="P177" s="345"/>
      <c r="Q177" s="343">
        <v>0</v>
      </c>
      <c r="R177" s="344"/>
      <c r="S177" s="233"/>
      <c r="T177" s="227"/>
      <c r="U177" s="345"/>
      <c r="V177" s="343">
        <v>0</v>
      </c>
      <c r="W177" s="344"/>
      <c r="X177" s="233"/>
      <c r="Y177" s="227"/>
      <c r="Z177" s="345"/>
      <c r="AA177" s="343">
        <v>0</v>
      </c>
      <c r="AB177" s="344"/>
      <c r="AC177" s="233"/>
      <c r="AD177" s="227"/>
      <c r="AE177" s="345"/>
      <c r="AF177" s="343">
        <v>0</v>
      </c>
      <c r="AG177" s="344"/>
      <c r="AH177" s="233"/>
      <c r="AI177" s="227"/>
      <c r="AJ177" s="345"/>
      <c r="AK177" s="343">
        <v>0</v>
      </c>
      <c r="AL177" s="344"/>
      <c r="AM177" s="233"/>
      <c r="AN177" s="227"/>
      <c r="AO177" s="345"/>
      <c r="AP177" s="343">
        <v>0</v>
      </c>
      <c r="AQ177" s="344"/>
      <c r="AR177" s="233"/>
      <c r="AS177" s="227"/>
      <c r="AT177" s="345"/>
      <c r="AU177" s="343">
        <v>0</v>
      </c>
      <c r="AV177" s="344"/>
      <c r="AW177" s="233"/>
      <c r="AX177" s="227"/>
      <c r="AY177" s="345"/>
      <c r="AZ177" s="343">
        <v>0</v>
      </c>
      <c r="BA177" s="344"/>
      <c r="BB177" s="233"/>
      <c r="BC177" s="227"/>
      <c r="BD177" s="345"/>
      <c r="BE177" s="343">
        <v>0</v>
      </c>
      <c r="BF177" s="344"/>
      <c r="BG177" s="233"/>
      <c r="BH177" s="227"/>
      <c r="BI177" s="345"/>
      <c r="BJ177" s="343">
        <v>0</v>
      </c>
      <c r="BK177" s="344"/>
      <c r="BL177" s="233"/>
      <c r="BM177" s="227"/>
      <c r="BN177" s="345"/>
      <c r="BO177" s="343">
        <v>0</v>
      </c>
      <c r="BP177" s="344"/>
      <c r="BQ177" s="233"/>
      <c r="BR177" s="227"/>
      <c r="BS177" s="345"/>
      <c r="BT177" s="343">
        <f>SUM(L177:BO177)</f>
        <v>0</v>
      </c>
      <c r="BU177" s="344"/>
      <c r="BV177" s="233"/>
      <c r="BW177" s="233"/>
      <c r="BX177" s="254"/>
    </row>
    <row r="178" spans="1:76" hidden="1" x14ac:dyDescent="0.2">
      <c r="A178" s="244"/>
      <c r="B178" s="244"/>
      <c r="C178" s="244"/>
      <c r="D178" s="254" t="s">
        <v>438</v>
      </c>
      <c r="E178" s="261"/>
      <c r="F178" s="284"/>
      <c r="G178" s="355">
        <v>0</v>
      </c>
      <c r="H178" s="356"/>
      <c r="I178" s="233"/>
      <c r="J178" s="227"/>
      <c r="K178" s="357"/>
      <c r="L178" s="355">
        <v>0</v>
      </c>
      <c r="M178" s="356"/>
      <c r="N178" s="233"/>
      <c r="O178" s="227"/>
      <c r="P178" s="357"/>
      <c r="Q178" s="355">
        <v>0</v>
      </c>
      <c r="R178" s="356"/>
      <c r="S178" s="233"/>
      <c r="T178" s="227"/>
      <c r="U178" s="357"/>
      <c r="V178" s="355">
        <v>0</v>
      </c>
      <c r="W178" s="356"/>
      <c r="X178" s="233"/>
      <c r="Y178" s="227"/>
      <c r="Z178" s="357"/>
      <c r="AA178" s="355">
        <v>0</v>
      </c>
      <c r="AB178" s="356"/>
      <c r="AC178" s="233"/>
      <c r="AD178" s="227"/>
      <c r="AE178" s="357"/>
      <c r="AF178" s="355">
        <v>0</v>
      </c>
      <c r="AG178" s="356"/>
      <c r="AH178" s="233"/>
      <c r="AI178" s="227"/>
      <c r="AJ178" s="357"/>
      <c r="AK178" s="355">
        <v>0</v>
      </c>
      <c r="AL178" s="356"/>
      <c r="AM178" s="233"/>
      <c r="AN178" s="227"/>
      <c r="AO178" s="357"/>
      <c r="AP178" s="355">
        <v>0</v>
      </c>
      <c r="AQ178" s="356"/>
      <c r="AR178" s="233"/>
      <c r="AS178" s="227"/>
      <c r="AT178" s="357"/>
      <c r="AU178" s="355">
        <v>0</v>
      </c>
      <c r="AV178" s="356"/>
      <c r="AW178" s="233"/>
      <c r="AX178" s="227"/>
      <c r="AY178" s="357"/>
      <c r="AZ178" s="355">
        <v>0</v>
      </c>
      <c r="BA178" s="356"/>
      <c r="BB178" s="233"/>
      <c r="BC178" s="227"/>
      <c r="BD178" s="357"/>
      <c r="BE178" s="355">
        <v>0</v>
      </c>
      <c r="BF178" s="356"/>
      <c r="BG178" s="233"/>
      <c r="BH178" s="227"/>
      <c r="BI178" s="357"/>
      <c r="BJ178" s="355">
        <v>0</v>
      </c>
      <c r="BK178" s="356"/>
      <c r="BL178" s="233"/>
      <c r="BM178" s="227"/>
      <c r="BN178" s="357"/>
      <c r="BO178" s="355">
        <v>0</v>
      </c>
      <c r="BP178" s="356"/>
      <c r="BQ178" s="233"/>
      <c r="BR178" s="227"/>
      <c r="BS178" s="357"/>
      <c r="BT178" s="355">
        <f>SUM(L178:BO178)</f>
        <v>0</v>
      </c>
      <c r="BU178" s="356"/>
      <c r="BV178" s="233"/>
      <c r="BW178" s="233"/>
      <c r="BX178" s="254"/>
    </row>
    <row r="179" spans="1:76" hidden="1" x14ac:dyDescent="0.2">
      <c r="A179" s="244"/>
      <c r="B179" s="244"/>
      <c r="C179" s="244"/>
      <c r="D179" s="254"/>
      <c r="E179" s="261"/>
      <c r="F179" s="244"/>
      <c r="G179" s="233"/>
      <c r="H179" s="233"/>
      <c r="I179" s="233"/>
      <c r="J179" s="227"/>
      <c r="K179" s="233"/>
      <c r="L179" s="233"/>
      <c r="M179" s="233"/>
      <c r="N179" s="233"/>
      <c r="O179" s="227"/>
      <c r="P179" s="233"/>
      <c r="Q179" s="233"/>
      <c r="R179" s="233"/>
      <c r="S179" s="233"/>
      <c r="T179" s="227"/>
      <c r="U179" s="233"/>
      <c r="V179" s="233"/>
      <c r="W179" s="233"/>
      <c r="X179" s="233"/>
      <c r="Y179" s="227"/>
      <c r="Z179" s="233"/>
      <c r="AA179" s="233"/>
      <c r="AB179" s="233"/>
      <c r="AC179" s="233"/>
      <c r="AD179" s="227"/>
      <c r="AE179" s="233"/>
      <c r="AF179" s="233"/>
      <c r="AG179" s="233"/>
      <c r="AH179" s="233"/>
      <c r="AI179" s="227"/>
      <c r="AJ179" s="233"/>
      <c r="AK179" s="233"/>
      <c r="AL179" s="233"/>
      <c r="AM179" s="233"/>
      <c r="AN179" s="227"/>
      <c r="AO179" s="233"/>
      <c r="AP179" s="233"/>
      <c r="AQ179" s="233"/>
      <c r="AR179" s="233"/>
      <c r="AS179" s="227"/>
      <c r="AT179" s="233"/>
      <c r="AU179" s="233"/>
      <c r="AV179" s="233"/>
      <c r="AW179" s="233"/>
      <c r="AX179" s="227"/>
      <c r="AY179" s="233"/>
      <c r="AZ179" s="233"/>
      <c r="BA179" s="233"/>
      <c r="BB179" s="233"/>
      <c r="BC179" s="227"/>
      <c r="BD179" s="233"/>
      <c r="BE179" s="233"/>
      <c r="BF179" s="233"/>
      <c r="BG179" s="233"/>
      <c r="BH179" s="227"/>
      <c r="BI179" s="233"/>
      <c r="BJ179" s="233"/>
      <c r="BK179" s="233"/>
      <c r="BL179" s="233"/>
      <c r="BM179" s="227"/>
      <c r="BN179" s="233"/>
      <c r="BO179" s="233"/>
      <c r="BP179" s="233"/>
      <c r="BQ179" s="233"/>
      <c r="BR179" s="227"/>
      <c r="BS179" s="233"/>
      <c r="BT179" s="233"/>
      <c r="BU179" s="233"/>
      <c r="BV179" s="233"/>
      <c r="BW179" s="233"/>
      <c r="BX179" s="254"/>
    </row>
    <row r="180" spans="1:76" hidden="1" x14ac:dyDescent="0.2">
      <c r="A180" s="244"/>
      <c r="B180" s="244"/>
      <c r="C180" s="244"/>
      <c r="D180" s="254" t="s">
        <v>455</v>
      </c>
      <c r="E180" s="261"/>
      <c r="F180" s="244"/>
      <c r="G180" s="233">
        <f>SUM(G181:G182)</f>
        <v>0</v>
      </c>
      <c r="H180" s="233"/>
      <c r="I180" s="233"/>
      <c r="J180" s="227"/>
      <c r="K180" s="233"/>
      <c r="L180" s="233">
        <f>SUM(L181:L182)</f>
        <v>0</v>
      </c>
      <c r="M180" s="233"/>
      <c r="N180" s="233"/>
      <c r="O180" s="227"/>
      <c r="P180" s="233"/>
      <c r="Q180" s="233">
        <f>SUM(Q181:Q182)</f>
        <v>0</v>
      </c>
      <c r="R180" s="233"/>
      <c r="S180" s="233"/>
      <c r="T180" s="227"/>
      <c r="U180" s="233"/>
      <c r="V180" s="233">
        <f>SUM(V181:V182)</f>
        <v>0</v>
      </c>
      <c r="W180" s="233"/>
      <c r="X180" s="233"/>
      <c r="Y180" s="227"/>
      <c r="Z180" s="233"/>
      <c r="AA180" s="233">
        <f>SUM(AA181:AA182)</f>
        <v>0</v>
      </c>
      <c r="AB180" s="233"/>
      <c r="AC180" s="233"/>
      <c r="AD180" s="227"/>
      <c r="AE180" s="233"/>
      <c r="AF180" s="233">
        <f>SUM(AF181:AF182)</f>
        <v>0</v>
      </c>
      <c r="AG180" s="233"/>
      <c r="AH180" s="233"/>
      <c r="AI180" s="227"/>
      <c r="AJ180" s="233"/>
      <c r="AK180" s="233">
        <f>SUM(AK181:AK182)</f>
        <v>0</v>
      </c>
      <c r="AL180" s="233"/>
      <c r="AM180" s="233"/>
      <c r="AN180" s="227"/>
      <c r="AO180" s="233"/>
      <c r="AP180" s="233">
        <f>SUM(AP181:AP182)</f>
        <v>0</v>
      </c>
      <c r="AQ180" s="233"/>
      <c r="AR180" s="233"/>
      <c r="AS180" s="227"/>
      <c r="AT180" s="233"/>
      <c r="AU180" s="233">
        <f>SUM(AU181:AU182)</f>
        <v>0</v>
      </c>
      <c r="AV180" s="233"/>
      <c r="AW180" s="233"/>
      <c r="AX180" s="227"/>
      <c r="AY180" s="233"/>
      <c r="AZ180" s="233">
        <f>SUM(AZ181:AZ182)</f>
        <v>0</v>
      </c>
      <c r="BA180" s="233"/>
      <c r="BB180" s="233"/>
      <c r="BC180" s="227"/>
      <c r="BD180" s="233"/>
      <c r="BE180" s="233">
        <f>SUM(BE181:BE182)</f>
        <v>0</v>
      </c>
      <c r="BF180" s="233"/>
      <c r="BG180" s="233"/>
      <c r="BH180" s="227"/>
      <c r="BI180" s="233"/>
      <c r="BJ180" s="233">
        <f>SUM(BJ181:BJ182)</f>
        <v>0</v>
      </c>
      <c r="BK180" s="233"/>
      <c r="BL180" s="233"/>
      <c r="BM180" s="227"/>
      <c r="BN180" s="233"/>
      <c r="BO180" s="233">
        <f>SUM(BO181:BO182)</f>
        <v>0</v>
      </c>
      <c r="BP180" s="233"/>
      <c r="BQ180" s="233"/>
      <c r="BR180" s="227"/>
      <c r="BS180" s="233"/>
      <c r="BT180" s="233">
        <f>SUM(BT181:BT182)</f>
        <v>0</v>
      </c>
      <c r="BU180" s="233"/>
      <c r="BV180" s="233"/>
      <c r="BW180" s="233"/>
      <c r="BX180" s="254"/>
    </row>
    <row r="181" spans="1:76" hidden="1" x14ac:dyDescent="0.2">
      <c r="A181" s="244"/>
      <c r="B181" s="244"/>
      <c r="C181" s="244"/>
      <c r="D181" s="254" t="s">
        <v>437</v>
      </c>
      <c r="E181" s="261"/>
      <c r="F181" s="269"/>
      <c r="G181" s="343">
        <v>0</v>
      </c>
      <c r="H181" s="344"/>
      <c r="I181" s="233"/>
      <c r="J181" s="227"/>
      <c r="K181" s="345"/>
      <c r="L181" s="343">
        <v>0</v>
      </c>
      <c r="M181" s="344"/>
      <c r="N181" s="233"/>
      <c r="O181" s="227"/>
      <c r="P181" s="345"/>
      <c r="Q181" s="343">
        <v>0</v>
      </c>
      <c r="R181" s="344"/>
      <c r="S181" s="233"/>
      <c r="T181" s="227"/>
      <c r="U181" s="345"/>
      <c r="V181" s="343">
        <v>0</v>
      </c>
      <c r="W181" s="344"/>
      <c r="X181" s="233"/>
      <c r="Y181" s="227"/>
      <c r="Z181" s="345"/>
      <c r="AA181" s="343">
        <v>0</v>
      </c>
      <c r="AB181" s="344"/>
      <c r="AC181" s="233"/>
      <c r="AD181" s="227"/>
      <c r="AE181" s="345"/>
      <c r="AF181" s="343">
        <v>0</v>
      </c>
      <c r="AG181" s="344"/>
      <c r="AH181" s="233"/>
      <c r="AI181" s="227"/>
      <c r="AJ181" s="345"/>
      <c r="AK181" s="343">
        <v>0</v>
      </c>
      <c r="AL181" s="344"/>
      <c r="AM181" s="233"/>
      <c r="AN181" s="227"/>
      <c r="AO181" s="345"/>
      <c r="AP181" s="343">
        <v>0</v>
      </c>
      <c r="AQ181" s="344"/>
      <c r="AR181" s="233"/>
      <c r="AS181" s="227"/>
      <c r="AT181" s="345"/>
      <c r="AU181" s="343">
        <v>0</v>
      </c>
      <c r="AV181" s="344"/>
      <c r="AW181" s="233"/>
      <c r="AX181" s="227"/>
      <c r="AY181" s="345"/>
      <c r="AZ181" s="343">
        <v>0</v>
      </c>
      <c r="BA181" s="344"/>
      <c r="BB181" s="233"/>
      <c r="BC181" s="227"/>
      <c r="BD181" s="345"/>
      <c r="BE181" s="343">
        <v>0</v>
      </c>
      <c r="BF181" s="344"/>
      <c r="BG181" s="233"/>
      <c r="BH181" s="227"/>
      <c r="BI181" s="345"/>
      <c r="BJ181" s="343">
        <v>0</v>
      </c>
      <c r="BK181" s="344"/>
      <c r="BL181" s="233"/>
      <c r="BM181" s="227"/>
      <c r="BN181" s="345"/>
      <c r="BO181" s="343">
        <v>0</v>
      </c>
      <c r="BP181" s="344"/>
      <c r="BQ181" s="233"/>
      <c r="BR181" s="227"/>
      <c r="BS181" s="345"/>
      <c r="BT181" s="343">
        <f>SUM(L181:BO181)</f>
        <v>0</v>
      </c>
      <c r="BU181" s="344"/>
      <c r="BV181" s="233"/>
      <c r="BW181" s="233"/>
      <c r="BX181" s="254"/>
    </row>
    <row r="182" spans="1:76" hidden="1" x14ac:dyDescent="0.2">
      <c r="A182" s="244"/>
      <c r="B182" s="244"/>
      <c r="C182" s="244"/>
      <c r="D182" s="254" t="s">
        <v>438</v>
      </c>
      <c r="E182" s="261"/>
      <c r="F182" s="284"/>
      <c r="G182" s="355">
        <v>0</v>
      </c>
      <c r="H182" s="356"/>
      <c r="I182" s="233"/>
      <c r="J182" s="227"/>
      <c r="K182" s="357"/>
      <c r="L182" s="355">
        <v>0</v>
      </c>
      <c r="M182" s="356"/>
      <c r="N182" s="233"/>
      <c r="O182" s="227"/>
      <c r="P182" s="357"/>
      <c r="Q182" s="355">
        <v>0</v>
      </c>
      <c r="R182" s="356"/>
      <c r="S182" s="233"/>
      <c r="T182" s="227"/>
      <c r="U182" s="357"/>
      <c r="V182" s="355">
        <v>0</v>
      </c>
      <c r="W182" s="356"/>
      <c r="X182" s="233"/>
      <c r="Y182" s="227"/>
      <c r="Z182" s="357"/>
      <c r="AA182" s="355">
        <v>0</v>
      </c>
      <c r="AB182" s="356"/>
      <c r="AC182" s="233"/>
      <c r="AD182" s="227"/>
      <c r="AE182" s="357"/>
      <c r="AF182" s="355">
        <v>0</v>
      </c>
      <c r="AG182" s="356"/>
      <c r="AH182" s="233"/>
      <c r="AI182" s="227"/>
      <c r="AJ182" s="357"/>
      <c r="AK182" s="355">
        <v>0</v>
      </c>
      <c r="AL182" s="356"/>
      <c r="AM182" s="233"/>
      <c r="AN182" s="227"/>
      <c r="AO182" s="357"/>
      <c r="AP182" s="355">
        <v>0</v>
      </c>
      <c r="AQ182" s="356"/>
      <c r="AR182" s="233"/>
      <c r="AS182" s="227"/>
      <c r="AT182" s="357"/>
      <c r="AU182" s="355">
        <v>0</v>
      </c>
      <c r="AV182" s="356"/>
      <c r="AW182" s="233"/>
      <c r="AX182" s="227"/>
      <c r="AY182" s="357"/>
      <c r="AZ182" s="355">
        <v>0</v>
      </c>
      <c r="BA182" s="356"/>
      <c r="BB182" s="233"/>
      <c r="BC182" s="227"/>
      <c r="BD182" s="357"/>
      <c r="BE182" s="355">
        <v>0</v>
      </c>
      <c r="BF182" s="356"/>
      <c r="BG182" s="233"/>
      <c r="BH182" s="227"/>
      <c r="BI182" s="357"/>
      <c r="BJ182" s="355">
        <v>0</v>
      </c>
      <c r="BK182" s="356"/>
      <c r="BL182" s="233"/>
      <c r="BM182" s="227"/>
      <c r="BN182" s="357"/>
      <c r="BO182" s="355">
        <v>0</v>
      </c>
      <c r="BP182" s="356"/>
      <c r="BQ182" s="233"/>
      <c r="BR182" s="227"/>
      <c r="BS182" s="357"/>
      <c r="BT182" s="355">
        <f>SUM(L182:BO182)</f>
        <v>0</v>
      </c>
      <c r="BU182" s="356"/>
      <c r="BV182" s="233"/>
      <c r="BW182" s="233"/>
      <c r="BX182" s="254"/>
    </row>
    <row r="183" spans="1:76" hidden="1" x14ac:dyDescent="0.2">
      <c r="A183" s="244"/>
      <c r="B183" s="244"/>
      <c r="C183" s="244"/>
      <c r="D183" s="254"/>
      <c r="E183" s="261"/>
      <c r="F183" s="244"/>
      <c r="G183" s="233"/>
      <c r="H183" s="233"/>
      <c r="I183" s="233"/>
      <c r="J183" s="227"/>
      <c r="K183" s="233"/>
      <c r="L183" s="233"/>
      <c r="M183" s="233"/>
      <c r="N183" s="233"/>
      <c r="O183" s="227"/>
      <c r="P183" s="233"/>
      <c r="Q183" s="233"/>
      <c r="R183" s="233"/>
      <c r="S183" s="233"/>
      <c r="T183" s="227"/>
      <c r="U183" s="233"/>
      <c r="V183" s="233"/>
      <c r="W183" s="233"/>
      <c r="X183" s="233"/>
      <c r="Y183" s="227"/>
      <c r="Z183" s="233"/>
      <c r="AA183" s="233"/>
      <c r="AB183" s="233"/>
      <c r="AC183" s="233"/>
      <c r="AD183" s="227"/>
      <c r="AE183" s="233"/>
      <c r="AF183" s="233"/>
      <c r="AG183" s="233"/>
      <c r="AH183" s="233"/>
      <c r="AI183" s="227"/>
      <c r="AJ183" s="233"/>
      <c r="AK183" s="233"/>
      <c r="AL183" s="233"/>
      <c r="AM183" s="233"/>
      <c r="AN183" s="227"/>
      <c r="AO183" s="233"/>
      <c r="AP183" s="233"/>
      <c r="AQ183" s="233"/>
      <c r="AR183" s="233"/>
      <c r="AS183" s="227"/>
      <c r="AT183" s="233"/>
      <c r="AU183" s="233"/>
      <c r="AV183" s="233"/>
      <c r="AW183" s="233"/>
      <c r="AX183" s="227"/>
      <c r="AY183" s="233"/>
      <c r="AZ183" s="233"/>
      <c r="BA183" s="233"/>
      <c r="BB183" s="233"/>
      <c r="BC183" s="227"/>
      <c r="BD183" s="233"/>
      <c r="BE183" s="233"/>
      <c r="BF183" s="233"/>
      <c r="BG183" s="233"/>
      <c r="BH183" s="227"/>
      <c r="BI183" s="233"/>
      <c r="BJ183" s="233"/>
      <c r="BK183" s="233"/>
      <c r="BL183" s="233"/>
      <c r="BM183" s="227"/>
      <c r="BN183" s="233"/>
      <c r="BO183" s="233"/>
      <c r="BP183" s="233"/>
      <c r="BQ183" s="233"/>
      <c r="BR183" s="227"/>
      <c r="BS183" s="233"/>
      <c r="BT183" s="233"/>
      <c r="BU183" s="233"/>
      <c r="BV183" s="233"/>
      <c r="BW183" s="233"/>
      <c r="BX183" s="254"/>
    </row>
    <row r="184" spans="1:76" hidden="1" x14ac:dyDescent="0.2">
      <c r="A184" s="244"/>
      <c r="B184" s="244"/>
      <c r="C184" s="244"/>
      <c r="D184" s="254" t="s">
        <v>456</v>
      </c>
      <c r="E184" s="261"/>
      <c r="F184" s="244"/>
      <c r="G184" s="233">
        <f>SUM(G185:G186)</f>
        <v>0</v>
      </c>
      <c r="H184" s="233"/>
      <c r="I184" s="233"/>
      <c r="J184" s="227"/>
      <c r="K184" s="233"/>
      <c r="L184" s="233">
        <f>SUM(L185:L186)</f>
        <v>0</v>
      </c>
      <c r="M184" s="233"/>
      <c r="N184" s="233"/>
      <c r="O184" s="227"/>
      <c r="P184" s="233"/>
      <c r="Q184" s="233">
        <f>SUM(Q185:Q186)</f>
        <v>0</v>
      </c>
      <c r="R184" s="233"/>
      <c r="S184" s="233"/>
      <c r="T184" s="227"/>
      <c r="U184" s="233"/>
      <c r="V184" s="233">
        <f>SUM(V185:V186)</f>
        <v>0</v>
      </c>
      <c r="W184" s="233"/>
      <c r="X184" s="233"/>
      <c r="Y184" s="227"/>
      <c r="Z184" s="233"/>
      <c r="AA184" s="233">
        <f>SUM(AA185:AA186)</f>
        <v>0</v>
      </c>
      <c r="AB184" s="233"/>
      <c r="AC184" s="233"/>
      <c r="AD184" s="227"/>
      <c r="AE184" s="233"/>
      <c r="AF184" s="233">
        <f>SUM(AF185:AF186)</f>
        <v>0</v>
      </c>
      <c r="AG184" s="233"/>
      <c r="AH184" s="233"/>
      <c r="AI184" s="227"/>
      <c r="AJ184" s="233"/>
      <c r="AK184" s="233">
        <f>SUM(AK185:AK186)</f>
        <v>0</v>
      </c>
      <c r="AL184" s="233"/>
      <c r="AM184" s="233"/>
      <c r="AN184" s="227"/>
      <c r="AO184" s="233"/>
      <c r="AP184" s="233">
        <f>SUM(AP185:AP186)</f>
        <v>0</v>
      </c>
      <c r="AQ184" s="233"/>
      <c r="AR184" s="233"/>
      <c r="AS184" s="227"/>
      <c r="AT184" s="233"/>
      <c r="AU184" s="233">
        <f>SUM(AU185:AU186)</f>
        <v>0</v>
      </c>
      <c r="AV184" s="233"/>
      <c r="AW184" s="233"/>
      <c r="AX184" s="227"/>
      <c r="AY184" s="233"/>
      <c r="AZ184" s="233">
        <f>SUM(AZ185:AZ186)</f>
        <v>0</v>
      </c>
      <c r="BA184" s="233"/>
      <c r="BB184" s="233"/>
      <c r="BC184" s="227"/>
      <c r="BD184" s="233"/>
      <c r="BE184" s="233">
        <f>SUM(BE185:BE186)</f>
        <v>0</v>
      </c>
      <c r="BF184" s="233"/>
      <c r="BG184" s="233"/>
      <c r="BH184" s="227"/>
      <c r="BI184" s="233"/>
      <c r="BJ184" s="233">
        <f>SUM(BJ185:BJ186)</f>
        <v>0</v>
      </c>
      <c r="BK184" s="233"/>
      <c r="BL184" s="233"/>
      <c r="BM184" s="227"/>
      <c r="BN184" s="233"/>
      <c r="BO184" s="233">
        <f>SUM(BO185:BO186)</f>
        <v>0</v>
      </c>
      <c r="BP184" s="233"/>
      <c r="BQ184" s="233"/>
      <c r="BR184" s="227"/>
      <c r="BS184" s="233"/>
      <c r="BT184" s="233">
        <f>SUM(BT185:BT186)</f>
        <v>0</v>
      </c>
      <c r="BU184" s="233"/>
      <c r="BV184" s="233"/>
      <c r="BW184" s="233"/>
      <c r="BX184" s="254"/>
    </row>
    <row r="185" spans="1:76" hidden="1" x14ac:dyDescent="0.2">
      <c r="A185" s="244"/>
      <c r="B185" s="244"/>
      <c r="C185" s="244"/>
      <c r="D185" s="254" t="s">
        <v>437</v>
      </c>
      <c r="E185" s="261"/>
      <c r="F185" s="269"/>
      <c r="G185" s="343">
        <v>0</v>
      </c>
      <c r="H185" s="344"/>
      <c r="I185" s="233"/>
      <c r="J185" s="227"/>
      <c r="K185" s="345"/>
      <c r="L185" s="343">
        <v>0</v>
      </c>
      <c r="M185" s="344"/>
      <c r="N185" s="233"/>
      <c r="O185" s="227"/>
      <c r="P185" s="345"/>
      <c r="Q185" s="343">
        <v>0</v>
      </c>
      <c r="R185" s="344"/>
      <c r="S185" s="233"/>
      <c r="T185" s="227"/>
      <c r="U185" s="345"/>
      <c r="V185" s="343">
        <v>0</v>
      </c>
      <c r="W185" s="344"/>
      <c r="X185" s="233"/>
      <c r="Y185" s="227"/>
      <c r="Z185" s="345"/>
      <c r="AA185" s="343">
        <v>0</v>
      </c>
      <c r="AB185" s="344"/>
      <c r="AC185" s="233"/>
      <c r="AD185" s="227"/>
      <c r="AE185" s="345"/>
      <c r="AF185" s="343">
        <v>0</v>
      </c>
      <c r="AG185" s="344"/>
      <c r="AH185" s="233"/>
      <c r="AI185" s="227"/>
      <c r="AJ185" s="345"/>
      <c r="AK185" s="343">
        <v>0</v>
      </c>
      <c r="AL185" s="344"/>
      <c r="AM185" s="233"/>
      <c r="AN185" s="227"/>
      <c r="AO185" s="345"/>
      <c r="AP185" s="343">
        <v>0</v>
      </c>
      <c r="AQ185" s="344"/>
      <c r="AR185" s="233"/>
      <c r="AS185" s="227"/>
      <c r="AT185" s="345"/>
      <c r="AU185" s="343">
        <v>0</v>
      </c>
      <c r="AV185" s="344"/>
      <c r="AW185" s="233"/>
      <c r="AX185" s="227"/>
      <c r="AY185" s="345"/>
      <c r="AZ185" s="343">
        <v>0</v>
      </c>
      <c r="BA185" s="344"/>
      <c r="BB185" s="233"/>
      <c r="BC185" s="227"/>
      <c r="BD185" s="345"/>
      <c r="BE185" s="343">
        <v>0</v>
      </c>
      <c r="BF185" s="344"/>
      <c r="BG185" s="233"/>
      <c r="BH185" s="227"/>
      <c r="BI185" s="345"/>
      <c r="BJ185" s="343">
        <v>0</v>
      </c>
      <c r="BK185" s="344"/>
      <c r="BL185" s="233"/>
      <c r="BM185" s="227"/>
      <c r="BN185" s="345"/>
      <c r="BO185" s="343">
        <v>0</v>
      </c>
      <c r="BP185" s="344"/>
      <c r="BQ185" s="233"/>
      <c r="BR185" s="227"/>
      <c r="BS185" s="345"/>
      <c r="BT185" s="343">
        <f>SUM(L185:BO185)</f>
        <v>0</v>
      </c>
      <c r="BU185" s="344"/>
      <c r="BV185" s="233"/>
      <c r="BW185" s="233"/>
      <c r="BX185" s="254"/>
    </row>
    <row r="186" spans="1:76" hidden="1" x14ac:dyDescent="0.2">
      <c r="A186" s="244"/>
      <c r="B186" s="244"/>
      <c r="C186" s="244"/>
      <c r="D186" s="254" t="s">
        <v>438</v>
      </c>
      <c r="E186" s="261"/>
      <c r="F186" s="284"/>
      <c r="G186" s="355">
        <v>0</v>
      </c>
      <c r="H186" s="356"/>
      <c r="I186" s="233"/>
      <c r="J186" s="227"/>
      <c r="K186" s="357"/>
      <c r="L186" s="355">
        <v>0</v>
      </c>
      <c r="M186" s="356"/>
      <c r="N186" s="233"/>
      <c r="O186" s="227"/>
      <c r="P186" s="357"/>
      <c r="Q186" s="355">
        <v>0</v>
      </c>
      <c r="R186" s="356"/>
      <c r="S186" s="233"/>
      <c r="T186" s="227"/>
      <c r="U186" s="357"/>
      <c r="V186" s="355">
        <v>0</v>
      </c>
      <c r="W186" s="356"/>
      <c r="X186" s="233"/>
      <c r="Y186" s="227"/>
      <c r="Z186" s="357"/>
      <c r="AA186" s="355">
        <v>0</v>
      </c>
      <c r="AB186" s="356"/>
      <c r="AC186" s="233"/>
      <c r="AD186" s="227"/>
      <c r="AE186" s="357"/>
      <c r="AF186" s="355">
        <v>0</v>
      </c>
      <c r="AG186" s="356"/>
      <c r="AH186" s="233"/>
      <c r="AI186" s="227"/>
      <c r="AJ186" s="357"/>
      <c r="AK186" s="355">
        <v>0</v>
      </c>
      <c r="AL186" s="356"/>
      <c r="AM186" s="233"/>
      <c r="AN186" s="227"/>
      <c r="AO186" s="357"/>
      <c r="AP186" s="355">
        <v>0</v>
      </c>
      <c r="AQ186" s="356"/>
      <c r="AR186" s="233"/>
      <c r="AS186" s="227"/>
      <c r="AT186" s="357"/>
      <c r="AU186" s="355">
        <v>0</v>
      </c>
      <c r="AV186" s="356"/>
      <c r="AW186" s="233"/>
      <c r="AX186" s="227"/>
      <c r="AY186" s="357"/>
      <c r="AZ186" s="355">
        <v>0</v>
      </c>
      <c r="BA186" s="356"/>
      <c r="BB186" s="233"/>
      <c r="BC186" s="227"/>
      <c r="BD186" s="357"/>
      <c r="BE186" s="355">
        <v>0</v>
      </c>
      <c r="BF186" s="356"/>
      <c r="BG186" s="233"/>
      <c r="BH186" s="227"/>
      <c r="BI186" s="357"/>
      <c r="BJ186" s="355">
        <v>0</v>
      </c>
      <c r="BK186" s="356"/>
      <c r="BL186" s="233"/>
      <c r="BM186" s="227"/>
      <c r="BN186" s="357"/>
      <c r="BO186" s="355">
        <v>0</v>
      </c>
      <c r="BP186" s="356"/>
      <c r="BQ186" s="233"/>
      <c r="BR186" s="227"/>
      <c r="BS186" s="357"/>
      <c r="BT186" s="355">
        <f>SUM(L186:BO186)</f>
        <v>0</v>
      </c>
      <c r="BU186" s="356"/>
      <c r="BV186" s="233"/>
      <c r="BW186" s="233"/>
      <c r="BX186" s="254"/>
    </row>
    <row r="187" spans="1:76" x14ac:dyDescent="0.2">
      <c r="A187" s="244"/>
      <c r="B187" s="244"/>
      <c r="C187" s="244"/>
      <c r="D187" s="254"/>
      <c r="E187" s="261"/>
      <c r="F187" s="244"/>
      <c r="G187" s="233"/>
      <c r="H187" s="233"/>
      <c r="I187" s="233"/>
      <c r="J187" s="227"/>
      <c r="K187" s="233"/>
      <c r="L187" s="233"/>
      <c r="M187" s="233"/>
      <c r="N187" s="233"/>
      <c r="O187" s="227"/>
      <c r="P187" s="233"/>
      <c r="Q187" s="233"/>
      <c r="R187" s="233"/>
      <c r="S187" s="233"/>
      <c r="T187" s="227"/>
      <c r="U187" s="233"/>
      <c r="V187" s="233"/>
      <c r="W187" s="233"/>
      <c r="X187" s="233"/>
      <c r="Y187" s="227"/>
      <c r="Z187" s="233"/>
      <c r="AA187" s="233"/>
      <c r="AB187" s="233"/>
      <c r="AC187" s="233"/>
      <c r="AD187" s="227"/>
      <c r="AE187" s="233"/>
      <c r="AF187" s="233"/>
      <c r="AG187" s="233"/>
      <c r="AH187" s="233"/>
      <c r="AI187" s="227"/>
      <c r="AJ187" s="233"/>
      <c r="AK187" s="233"/>
      <c r="AL187" s="233"/>
      <c r="AM187" s="233"/>
      <c r="AN187" s="227"/>
      <c r="AO187" s="233"/>
      <c r="AP187" s="233"/>
      <c r="AQ187" s="233"/>
      <c r="AR187" s="233"/>
      <c r="AS187" s="227"/>
      <c r="AT187" s="233"/>
      <c r="AU187" s="233"/>
      <c r="AV187" s="233"/>
      <c r="AW187" s="233"/>
      <c r="AX187" s="227"/>
      <c r="AY187" s="233"/>
      <c r="AZ187" s="233"/>
      <c r="BA187" s="233"/>
      <c r="BB187" s="233"/>
      <c r="BC187" s="227"/>
      <c r="BD187" s="233"/>
      <c r="BE187" s="233"/>
      <c r="BF187" s="233"/>
      <c r="BG187" s="233"/>
      <c r="BH187" s="227"/>
      <c r="BI187" s="233"/>
      <c r="BJ187" s="233"/>
      <c r="BK187" s="233"/>
      <c r="BL187" s="233"/>
      <c r="BM187" s="227"/>
      <c r="BN187" s="233"/>
      <c r="BO187" s="233"/>
      <c r="BP187" s="233"/>
      <c r="BQ187" s="233"/>
      <c r="BR187" s="227"/>
      <c r="BS187" s="233"/>
      <c r="BT187" s="233"/>
      <c r="BU187" s="233"/>
      <c r="BV187" s="233"/>
      <c r="BW187" s="233"/>
      <c r="BX187" s="254"/>
    </row>
    <row r="188" spans="1:76" x14ac:dyDescent="0.2">
      <c r="A188" s="244"/>
      <c r="B188" s="244"/>
      <c r="C188" s="244"/>
      <c r="D188" s="386"/>
      <c r="E188" s="361"/>
      <c r="F188" s="247"/>
      <c r="G188" s="362"/>
      <c r="H188" s="362"/>
      <c r="I188" s="362"/>
      <c r="J188" s="363"/>
      <c r="K188" s="362"/>
      <c r="L188" s="362"/>
      <c r="M188" s="362"/>
      <c r="N188" s="362"/>
      <c r="O188" s="363"/>
      <c r="P188" s="362"/>
      <c r="Q188" s="362"/>
      <c r="R188" s="362"/>
      <c r="S188" s="362"/>
      <c r="T188" s="363"/>
      <c r="U188" s="362"/>
      <c r="V188" s="362"/>
      <c r="W188" s="362"/>
      <c r="X188" s="362"/>
      <c r="Y188" s="363"/>
      <c r="Z188" s="362"/>
      <c r="AA188" s="362"/>
      <c r="AB188" s="362"/>
      <c r="AC188" s="362"/>
      <c r="AD188" s="363"/>
      <c r="AE188" s="362"/>
      <c r="AF188" s="362"/>
      <c r="AG188" s="362"/>
      <c r="AH188" s="362"/>
      <c r="AI188" s="363"/>
      <c r="AJ188" s="362"/>
      <c r="AK188" s="362"/>
      <c r="AL188" s="362"/>
      <c r="AM188" s="362"/>
      <c r="AN188" s="363"/>
      <c r="AO188" s="362"/>
      <c r="AP188" s="362"/>
      <c r="AQ188" s="362"/>
      <c r="AR188" s="362"/>
      <c r="AS188" s="363"/>
      <c r="AT188" s="362"/>
      <c r="AU188" s="362"/>
      <c r="AV188" s="362"/>
      <c r="AW188" s="362"/>
      <c r="AX188" s="363"/>
      <c r="AY188" s="362"/>
      <c r="AZ188" s="362"/>
      <c r="BA188" s="362"/>
      <c r="BB188" s="362"/>
      <c r="BC188" s="363"/>
      <c r="BD188" s="362"/>
      <c r="BE188" s="362"/>
      <c r="BF188" s="362"/>
      <c r="BG188" s="362"/>
      <c r="BH188" s="363"/>
      <c r="BI188" s="362"/>
      <c r="BJ188" s="362"/>
      <c r="BK188" s="362"/>
      <c r="BL188" s="362"/>
      <c r="BM188" s="363"/>
      <c r="BN188" s="362"/>
      <c r="BO188" s="362"/>
      <c r="BP188" s="362"/>
      <c r="BQ188" s="362"/>
      <c r="BR188" s="363"/>
      <c r="BS188" s="362"/>
      <c r="BT188" s="362"/>
      <c r="BU188" s="362"/>
      <c r="BV188" s="362"/>
      <c r="BW188" s="364"/>
      <c r="BX188" s="254"/>
    </row>
    <row r="189" spans="1:76" x14ac:dyDescent="0.2">
      <c r="A189" s="244"/>
      <c r="B189" s="244"/>
      <c r="C189" s="244"/>
      <c r="D189" s="244"/>
      <c r="E189" s="244"/>
      <c r="F189" s="244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44"/>
    </row>
    <row r="190" spans="1:76" ht="6" customHeight="1" x14ac:dyDescent="0.2">
      <c r="A190" s="244"/>
      <c r="B190" s="244"/>
      <c r="C190" s="244"/>
      <c r="D190" s="244"/>
      <c r="E190" s="244"/>
      <c r="F190" s="244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44"/>
    </row>
    <row r="191" spans="1:76" x14ac:dyDescent="0.2">
      <c r="A191" s="244"/>
      <c r="B191" s="244"/>
      <c r="C191" s="244"/>
      <c r="D191" s="244"/>
      <c r="E191" s="244"/>
      <c r="F191" s="244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</row>
    <row r="192" spans="1:76" x14ac:dyDescent="0.2">
      <c r="A192" s="244"/>
      <c r="B192" s="244"/>
      <c r="C192" s="244"/>
      <c r="D192" s="394"/>
      <c r="E192" s="394"/>
      <c r="F192" s="394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</row>
    <row r="193" spans="1:75" x14ac:dyDescent="0.2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B193" s="244"/>
      <c r="BC193" s="244"/>
      <c r="BD193" s="244"/>
      <c r="BE193" s="244"/>
      <c r="BF193" s="244"/>
      <c r="BG193" s="244"/>
      <c r="BH193" s="244"/>
      <c r="BI193" s="244"/>
      <c r="BJ193" s="244"/>
      <c r="BK193" s="244"/>
      <c r="BL193" s="244"/>
      <c r="BM193" s="244"/>
      <c r="BN193" s="244"/>
      <c r="BO193" s="244"/>
      <c r="BP193" s="244"/>
      <c r="BQ193" s="244"/>
      <c r="BR193" s="244"/>
      <c r="BS193" s="244"/>
      <c r="BT193" s="244"/>
      <c r="BU193" s="244"/>
      <c r="BV193" s="244"/>
      <c r="BW193" s="244"/>
    </row>
  </sheetData>
  <mergeCells count="1">
    <mergeCell ref="G8:BT8"/>
  </mergeCells>
  <pageMargins left="0.7" right="0.7" top="0.75" bottom="0.75" header="0.3" footer="0.3"/>
  <pageSetup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04"/>
  <sheetViews>
    <sheetView view="pageBreakPreview" topLeftCell="AT1" zoomScaleNormal="100" zoomScaleSheetLayoutView="100" workbookViewId="0">
      <selection activeCell="C28" sqref="C28"/>
    </sheetView>
  </sheetViews>
  <sheetFormatPr defaultColWidth="10" defaultRowHeight="12.75" x14ac:dyDescent="0.2"/>
  <cols>
    <col min="1" max="1" width="1.85546875" style="243" hidden="1" customWidth="1"/>
    <col min="2" max="3" width="0.85546875" style="243" hidden="1" customWidth="1"/>
    <col min="4" max="4" width="64.85546875" style="243" customWidth="1"/>
    <col min="5" max="5" width="7" style="395" customWidth="1"/>
    <col min="6" max="7" width="1" style="243" customWidth="1"/>
    <col min="8" max="8" width="17.85546875" style="243" customWidth="1"/>
    <col min="9" max="10" width="1" style="243" customWidth="1"/>
    <col min="11" max="11" width="0.85546875" style="243" customWidth="1"/>
    <col min="12" max="12" width="1" style="243" customWidth="1"/>
    <col min="13" max="13" width="17.85546875" style="243" customWidth="1"/>
    <col min="14" max="17" width="1" style="243" customWidth="1"/>
    <col min="18" max="18" width="17.85546875" style="243" customWidth="1"/>
    <col min="19" max="22" width="1" style="243" customWidth="1"/>
    <col min="23" max="23" width="17.85546875" style="243" customWidth="1"/>
    <col min="24" max="27" width="1" style="243" customWidth="1"/>
    <col min="28" max="28" width="17.85546875" style="243" customWidth="1"/>
    <col min="29" max="32" width="1" style="243" customWidth="1"/>
    <col min="33" max="33" width="17.85546875" style="243" customWidth="1"/>
    <col min="34" max="37" width="1" style="243" customWidth="1"/>
    <col min="38" max="38" width="17.85546875" style="243" customWidth="1"/>
    <col min="39" max="40" width="1" style="243" customWidth="1"/>
    <col min="41" max="41" width="1.28515625" style="243" customWidth="1"/>
    <col min="42" max="42" width="1" style="243" customWidth="1"/>
    <col min="43" max="43" width="17.85546875" style="243" customWidth="1"/>
    <col min="44" max="47" width="1" style="243" customWidth="1"/>
    <col min="48" max="48" width="14.7109375" style="243" customWidth="1"/>
    <col min="49" max="52" width="1" style="243" customWidth="1"/>
    <col min="53" max="53" width="17.85546875" style="243" customWidth="1"/>
    <col min="54" max="57" width="1" style="243" customWidth="1"/>
    <col min="58" max="58" width="17.85546875" style="243" customWidth="1"/>
    <col min="59" max="62" width="1" style="243" customWidth="1"/>
    <col min="63" max="63" width="17.85546875" style="243" customWidth="1"/>
    <col min="64" max="67" width="1" style="243" customWidth="1"/>
    <col min="68" max="68" width="17.85546875" style="243" customWidth="1"/>
    <col min="69" max="72" width="1" style="243" customWidth="1"/>
    <col min="73" max="73" width="17.85546875" style="243" customWidth="1"/>
    <col min="74" max="77" width="1" style="243" customWidth="1"/>
    <col min="78" max="78" width="1.85546875" style="243" customWidth="1"/>
    <col min="79" max="79" width="10.7109375" style="243" hidden="1" customWidth="1"/>
    <col min="80" max="82" width="0" style="243" hidden="1" customWidth="1"/>
    <col min="83" max="84" width="10" style="243"/>
    <col min="85" max="85" width="13.42578125" style="243" bestFit="1" customWidth="1"/>
    <col min="86" max="187" width="10" style="243"/>
    <col min="188" max="190" width="0" style="243" hidden="1" customWidth="1"/>
    <col min="191" max="191" width="64.85546875" style="243" customWidth="1"/>
    <col min="192" max="192" width="7" style="243" customWidth="1"/>
    <col min="193" max="194" width="1" style="243" customWidth="1"/>
    <col min="195" max="195" width="15.140625" style="243" customWidth="1"/>
    <col min="196" max="197" width="1" style="243" customWidth="1"/>
    <col min="198" max="252" width="0" style="243" hidden="1" customWidth="1"/>
    <col min="253" max="254" width="1" style="243" customWidth="1"/>
    <col min="255" max="255" width="17.85546875" style="243" customWidth="1"/>
    <col min="256" max="259" width="1" style="243" customWidth="1"/>
    <col min="260" max="260" width="16.5703125" style="243" customWidth="1"/>
    <col min="261" max="264" width="1" style="243" customWidth="1"/>
    <col min="265" max="265" width="14.7109375" style="243" customWidth="1"/>
    <col min="266" max="267" width="1" style="243" customWidth="1"/>
    <col min="268" max="322" width="0" style="243" hidden="1" customWidth="1"/>
    <col min="323" max="324" width="1" style="243" customWidth="1"/>
    <col min="325" max="325" width="17.85546875" style="243" customWidth="1"/>
    <col min="326" max="329" width="1" style="243" customWidth="1"/>
    <col min="330" max="330" width="17.85546875" style="243" customWidth="1"/>
    <col min="331" max="333" width="1" style="243" customWidth="1"/>
    <col min="334" max="334" width="1.85546875" style="243" customWidth="1"/>
    <col min="335" max="338" width="0" style="243" hidden="1" customWidth="1"/>
    <col min="339" max="340" width="10" style="243"/>
    <col min="341" max="341" width="13.42578125" style="243" bestFit="1" customWidth="1"/>
    <col min="342" max="443" width="10" style="243"/>
    <col min="444" max="446" width="0" style="243" hidden="1" customWidth="1"/>
    <col min="447" max="447" width="64.85546875" style="243" customWidth="1"/>
    <col min="448" max="448" width="7" style="243" customWidth="1"/>
    <col min="449" max="450" width="1" style="243" customWidth="1"/>
    <col min="451" max="451" width="15.140625" style="243" customWidth="1"/>
    <col min="452" max="453" width="1" style="243" customWidth="1"/>
    <col min="454" max="508" width="0" style="243" hidden="1" customWidth="1"/>
    <col min="509" max="510" width="1" style="243" customWidth="1"/>
    <col min="511" max="511" width="17.85546875" style="243" customWidth="1"/>
    <col min="512" max="515" width="1" style="243" customWidth="1"/>
    <col min="516" max="516" width="16.5703125" style="243" customWidth="1"/>
    <col min="517" max="520" width="1" style="243" customWidth="1"/>
    <col min="521" max="521" width="14.7109375" style="243" customWidth="1"/>
    <col min="522" max="523" width="1" style="243" customWidth="1"/>
    <col min="524" max="578" width="0" style="243" hidden="1" customWidth="1"/>
    <col min="579" max="580" width="1" style="243" customWidth="1"/>
    <col min="581" max="581" width="17.85546875" style="243" customWidth="1"/>
    <col min="582" max="585" width="1" style="243" customWidth="1"/>
    <col min="586" max="586" width="17.85546875" style="243" customWidth="1"/>
    <col min="587" max="589" width="1" style="243" customWidth="1"/>
    <col min="590" max="590" width="1.85546875" style="243" customWidth="1"/>
    <col min="591" max="594" width="0" style="243" hidden="1" customWidth="1"/>
    <col min="595" max="596" width="10" style="243"/>
    <col min="597" max="597" width="13.42578125" style="243" bestFit="1" customWidth="1"/>
    <col min="598" max="699" width="10" style="243"/>
    <col min="700" max="702" width="0" style="243" hidden="1" customWidth="1"/>
    <col min="703" max="703" width="64.85546875" style="243" customWidth="1"/>
    <col min="704" max="704" width="7" style="243" customWidth="1"/>
    <col min="705" max="706" width="1" style="243" customWidth="1"/>
    <col min="707" max="707" width="15.140625" style="243" customWidth="1"/>
    <col min="708" max="709" width="1" style="243" customWidth="1"/>
    <col min="710" max="764" width="0" style="243" hidden="1" customWidth="1"/>
    <col min="765" max="766" width="1" style="243" customWidth="1"/>
    <col min="767" max="767" width="17.85546875" style="243" customWidth="1"/>
    <col min="768" max="771" width="1" style="243" customWidth="1"/>
    <col min="772" max="772" width="16.5703125" style="243" customWidth="1"/>
    <col min="773" max="776" width="1" style="243" customWidth="1"/>
    <col min="777" max="777" width="14.7109375" style="243" customWidth="1"/>
    <col min="778" max="779" width="1" style="243" customWidth="1"/>
    <col min="780" max="834" width="0" style="243" hidden="1" customWidth="1"/>
    <col min="835" max="836" width="1" style="243" customWidth="1"/>
    <col min="837" max="837" width="17.85546875" style="243" customWidth="1"/>
    <col min="838" max="841" width="1" style="243" customWidth="1"/>
    <col min="842" max="842" width="17.85546875" style="243" customWidth="1"/>
    <col min="843" max="845" width="1" style="243" customWidth="1"/>
    <col min="846" max="846" width="1.85546875" style="243" customWidth="1"/>
    <col min="847" max="850" width="0" style="243" hidden="1" customWidth="1"/>
    <col min="851" max="852" width="10" style="243"/>
    <col min="853" max="853" width="13.42578125" style="243" bestFit="1" customWidth="1"/>
    <col min="854" max="955" width="10" style="243"/>
    <col min="956" max="958" width="0" style="243" hidden="1" customWidth="1"/>
    <col min="959" max="959" width="64.85546875" style="243" customWidth="1"/>
    <col min="960" max="960" width="7" style="243" customWidth="1"/>
    <col min="961" max="962" width="1" style="243" customWidth="1"/>
    <col min="963" max="963" width="15.140625" style="243" customWidth="1"/>
    <col min="964" max="965" width="1" style="243" customWidth="1"/>
    <col min="966" max="1020" width="0" style="243" hidden="1" customWidth="1"/>
    <col min="1021" max="1022" width="1" style="243" customWidth="1"/>
    <col min="1023" max="1023" width="17.85546875" style="243" customWidth="1"/>
    <col min="1024" max="1027" width="1" style="243" customWidth="1"/>
    <col min="1028" max="1028" width="16.5703125" style="243" customWidth="1"/>
    <col min="1029" max="1032" width="1" style="243" customWidth="1"/>
    <col min="1033" max="1033" width="14.7109375" style="243" customWidth="1"/>
    <col min="1034" max="1035" width="1" style="243" customWidth="1"/>
    <col min="1036" max="1090" width="0" style="243" hidden="1" customWidth="1"/>
    <col min="1091" max="1092" width="1" style="243" customWidth="1"/>
    <col min="1093" max="1093" width="17.85546875" style="243" customWidth="1"/>
    <col min="1094" max="1097" width="1" style="243" customWidth="1"/>
    <col min="1098" max="1098" width="17.85546875" style="243" customWidth="1"/>
    <col min="1099" max="1101" width="1" style="243" customWidth="1"/>
    <col min="1102" max="1102" width="1.85546875" style="243" customWidth="1"/>
    <col min="1103" max="1106" width="0" style="243" hidden="1" customWidth="1"/>
    <col min="1107" max="1108" width="10" style="243"/>
    <col min="1109" max="1109" width="13.42578125" style="243" bestFit="1" customWidth="1"/>
    <col min="1110" max="1211" width="10" style="243"/>
    <col min="1212" max="1214" width="0" style="243" hidden="1" customWidth="1"/>
    <col min="1215" max="1215" width="64.85546875" style="243" customWidth="1"/>
    <col min="1216" max="1216" width="7" style="243" customWidth="1"/>
    <col min="1217" max="1218" width="1" style="243" customWidth="1"/>
    <col min="1219" max="1219" width="15.140625" style="243" customWidth="1"/>
    <col min="1220" max="1221" width="1" style="243" customWidth="1"/>
    <col min="1222" max="1276" width="0" style="243" hidden="1" customWidth="1"/>
    <col min="1277" max="1278" width="1" style="243" customWidth="1"/>
    <col min="1279" max="1279" width="17.85546875" style="243" customWidth="1"/>
    <col min="1280" max="1283" width="1" style="243" customWidth="1"/>
    <col min="1284" max="1284" width="16.5703125" style="243" customWidth="1"/>
    <col min="1285" max="1288" width="1" style="243" customWidth="1"/>
    <col min="1289" max="1289" width="14.7109375" style="243" customWidth="1"/>
    <col min="1290" max="1291" width="1" style="243" customWidth="1"/>
    <col min="1292" max="1346" width="0" style="243" hidden="1" customWidth="1"/>
    <col min="1347" max="1348" width="1" style="243" customWidth="1"/>
    <col min="1349" max="1349" width="17.85546875" style="243" customWidth="1"/>
    <col min="1350" max="1353" width="1" style="243" customWidth="1"/>
    <col min="1354" max="1354" width="17.85546875" style="243" customWidth="1"/>
    <col min="1355" max="1357" width="1" style="243" customWidth="1"/>
    <col min="1358" max="1358" width="1.85546875" style="243" customWidth="1"/>
    <col min="1359" max="1362" width="0" style="243" hidden="1" customWidth="1"/>
    <col min="1363" max="1364" width="10" style="243"/>
    <col min="1365" max="1365" width="13.42578125" style="243" bestFit="1" customWidth="1"/>
    <col min="1366" max="1467" width="10" style="243"/>
    <col min="1468" max="1470" width="0" style="243" hidden="1" customWidth="1"/>
    <col min="1471" max="1471" width="64.85546875" style="243" customWidth="1"/>
    <col min="1472" max="1472" width="7" style="243" customWidth="1"/>
    <col min="1473" max="1474" width="1" style="243" customWidth="1"/>
    <col min="1475" max="1475" width="15.140625" style="243" customWidth="1"/>
    <col min="1476" max="1477" width="1" style="243" customWidth="1"/>
    <col min="1478" max="1532" width="0" style="243" hidden="1" customWidth="1"/>
    <col min="1533" max="1534" width="1" style="243" customWidth="1"/>
    <col min="1535" max="1535" width="17.85546875" style="243" customWidth="1"/>
    <col min="1536" max="1539" width="1" style="243" customWidth="1"/>
    <col min="1540" max="1540" width="16.5703125" style="243" customWidth="1"/>
    <col min="1541" max="1544" width="1" style="243" customWidth="1"/>
    <col min="1545" max="1545" width="14.7109375" style="243" customWidth="1"/>
    <col min="1546" max="1547" width="1" style="243" customWidth="1"/>
    <col min="1548" max="1602" width="0" style="243" hidden="1" customWidth="1"/>
    <col min="1603" max="1604" width="1" style="243" customWidth="1"/>
    <col min="1605" max="1605" width="17.85546875" style="243" customWidth="1"/>
    <col min="1606" max="1609" width="1" style="243" customWidth="1"/>
    <col min="1610" max="1610" width="17.85546875" style="243" customWidth="1"/>
    <col min="1611" max="1613" width="1" style="243" customWidth="1"/>
    <col min="1614" max="1614" width="1.85546875" style="243" customWidth="1"/>
    <col min="1615" max="1618" width="0" style="243" hidden="1" customWidth="1"/>
    <col min="1619" max="1620" width="10" style="243"/>
    <col min="1621" max="1621" width="13.42578125" style="243" bestFit="1" customWidth="1"/>
    <col min="1622" max="1723" width="10" style="243"/>
    <col min="1724" max="1726" width="0" style="243" hidden="1" customWidth="1"/>
    <col min="1727" max="1727" width="64.85546875" style="243" customWidth="1"/>
    <col min="1728" max="1728" width="7" style="243" customWidth="1"/>
    <col min="1729" max="1730" width="1" style="243" customWidth="1"/>
    <col min="1731" max="1731" width="15.140625" style="243" customWidth="1"/>
    <col min="1732" max="1733" width="1" style="243" customWidth="1"/>
    <col min="1734" max="1788" width="0" style="243" hidden="1" customWidth="1"/>
    <col min="1789" max="1790" width="1" style="243" customWidth="1"/>
    <col min="1791" max="1791" width="17.85546875" style="243" customWidth="1"/>
    <col min="1792" max="1795" width="1" style="243" customWidth="1"/>
    <col min="1796" max="1796" width="16.5703125" style="243" customWidth="1"/>
    <col min="1797" max="1800" width="1" style="243" customWidth="1"/>
    <col min="1801" max="1801" width="14.7109375" style="243" customWidth="1"/>
    <col min="1802" max="1803" width="1" style="243" customWidth="1"/>
    <col min="1804" max="1858" width="0" style="243" hidden="1" customWidth="1"/>
    <col min="1859" max="1860" width="1" style="243" customWidth="1"/>
    <col min="1861" max="1861" width="17.85546875" style="243" customWidth="1"/>
    <col min="1862" max="1865" width="1" style="243" customWidth="1"/>
    <col min="1866" max="1866" width="17.85546875" style="243" customWidth="1"/>
    <col min="1867" max="1869" width="1" style="243" customWidth="1"/>
    <col min="1870" max="1870" width="1.85546875" style="243" customWidth="1"/>
    <col min="1871" max="1874" width="0" style="243" hidden="1" customWidth="1"/>
    <col min="1875" max="1876" width="10" style="243"/>
    <col min="1877" max="1877" width="13.42578125" style="243" bestFit="1" customWidth="1"/>
    <col min="1878" max="1979" width="10" style="243"/>
    <col min="1980" max="1982" width="0" style="243" hidden="1" customWidth="1"/>
    <col min="1983" max="1983" width="64.85546875" style="243" customWidth="1"/>
    <col min="1984" max="1984" width="7" style="243" customWidth="1"/>
    <col min="1985" max="1986" width="1" style="243" customWidth="1"/>
    <col min="1987" max="1987" width="15.140625" style="243" customWidth="1"/>
    <col min="1988" max="1989" width="1" style="243" customWidth="1"/>
    <col min="1990" max="2044" width="0" style="243" hidden="1" customWidth="1"/>
    <col min="2045" max="2046" width="1" style="243" customWidth="1"/>
    <col min="2047" max="2047" width="17.85546875" style="243" customWidth="1"/>
    <col min="2048" max="2051" width="1" style="243" customWidth="1"/>
    <col min="2052" max="2052" width="16.5703125" style="243" customWidth="1"/>
    <col min="2053" max="2056" width="1" style="243" customWidth="1"/>
    <col min="2057" max="2057" width="14.7109375" style="243" customWidth="1"/>
    <col min="2058" max="2059" width="1" style="243" customWidth="1"/>
    <col min="2060" max="2114" width="0" style="243" hidden="1" customWidth="1"/>
    <col min="2115" max="2116" width="1" style="243" customWidth="1"/>
    <col min="2117" max="2117" width="17.85546875" style="243" customWidth="1"/>
    <col min="2118" max="2121" width="1" style="243" customWidth="1"/>
    <col min="2122" max="2122" width="17.85546875" style="243" customWidth="1"/>
    <col min="2123" max="2125" width="1" style="243" customWidth="1"/>
    <col min="2126" max="2126" width="1.85546875" style="243" customWidth="1"/>
    <col min="2127" max="2130" width="0" style="243" hidden="1" customWidth="1"/>
    <col min="2131" max="2132" width="10" style="243"/>
    <col min="2133" max="2133" width="13.42578125" style="243" bestFit="1" customWidth="1"/>
    <col min="2134" max="2235" width="10" style="243"/>
    <col min="2236" max="2238" width="0" style="243" hidden="1" customWidth="1"/>
    <col min="2239" max="2239" width="64.85546875" style="243" customWidth="1"/>
    <col min="2240" max="2240" width="7" style="243" customWidth="1"/>
    <col min="2241" max="2242" width="1" style="243" customWidth="1"/>
    <col min="2243" max="2243" width="15.140625" style="243" customWidth="1"/>
    <col min="2244" max="2245" width="1" style="243" customWidth="1"/>
    <col min="2246" max="2300" width="0" style="243" hidden="1" customWidth="1"/>
    <col min="2301" max="2302" width="1" style="243" customWidth="1"/>
    <col min="2303" max="2303" width="17.85546875" style="243" customWidth="1"/>
    <col min="2304" max="2307" width="1" style="243" customWidth="1"/>
    <col min="2308" max="2308" width="16.5703125" style="243" customWidth="1"/>
    <col min="2309" max="2312" width="1" style="243" customWidth="1"/>
    <col min="2313" max="2313" width="14.7109375" style="243" customWidth="1"/>
    <col min="2314" max="2315" width="1" style="243" customWidth="1"/>
    <col min="2316" max="2370" width="0" style="243" hidden="1" customWidth="1"/>
    <col min="2371" max="2372" width="1" style="243" customWidth="1"/>
    <col min="2373" max="2373" width="17.85546875" style="243" customWidth="1"/>
    <col min="2374" max="2377" width="1" style="243" customWidth="1"/>
    <col min="2378" max="2378" width="17.85546875" style="243" customWidth="1"/>
    <col min="2379" max="2381" width="1" style="243" customWidth="1"/>
    <col min="2382" max="2382" width="1.85546875" style="243" customWidth="1"/>
    <col min="2383" max="2386" width="0" style="243" hidden="1" customWidth="1"/>
    <col min="2387" max="2388" width="10" style="243"/>
    <col min="2389" max="2389" width="13.42578125" style="243" bestFit="1" customWidth="1"/>
    <col min="2390" max="2491" width="10" style="243"/>
    <col min="2492" max="2494" width="0" style="243" hidden="1" customWidth="1"/>
    <col min="2495" max="2495" width="64.85546875" style="243" customWidth="1"/>
    <col min="2496" max="2496" width="7" style="243" customWidth="1"/>
    <col min="2497" max="2498" width="1" style="243" customWidth="1"/>
    <col min="2499" max="2499" width="15.140625" style="243" customWidth="1"/>
    <col min="2500" max="2501" width="1" style="243" customWidth="1"/>
    <col min="2502" max="2556" width="0" style="243" hidden="1" customWidth="1"/>
    <col min="2557" max="2558" width="1" style="243" customWidth="1"/>
    <col min="2559" max="2559" width="17.85546875" style="243" customWidth="1"/>
    <col min="2560" max="2563" width="1" style="243" customWidth="1"/>
    <col min="2564" max="2564" width="16.5703125" style="243" customWidth="1"/>
    <col min="2565" max="2568" width="1" style="243" customWidth="1"/>
    <col min="2569" max="2569" width="14.7109375" style="243" customWidth="1"/>
    <col min="2570" max="2571" width="1" style="243" customWidth="1"/>
    <col min="2572" max="2626" width="0" style="243" hidden="1" customWidth="1"/>
    <col min="2627" max="2628" width="1" style="243" customWidth="1"/>
    <col min="2629" max="2629" width="17.85546875" style="243" customWidth="1"/>
    <col min="2630" max="2633" width="1" style="243" customWidth="1"/>
    <col min="2634" max="2634" width="17.85546875" style="243" customWidth="1"/>
    <col min="2635" max="2637" width="1" style="243" customWidth="1"/>
    <col min="2638" max="2638" width="1.85546875" style="243" customWidth="1"/>
    <col min="2639" max="2642" width="0" style="243" hidden="1" customWidth="1"/>
    <col min="2643" max="2644" width="10" style="243"/>
    <col min="2645" max="2645" width="13.42578125" style="243" bestFit="1" customWidth="1"/>
    <col min="2646" max="2747" width="10" style="243"/>
    <col min="2748" max="2750" width="0" style="243" hidden="1" customWidth="1"/>
    <col min="2751" max="2751" width="64.85546875" style="243" customWidth="1"/>
    <col min="2752" max="2752" width="7" style="243" customWidth="1"/>
    <col min="2753" max="2754" width="1" style="243" customWidth="1"/>
    <col min="2755" max="2755" width="15.140625" style="243" customWidth="1"/>
    <col min="2756" max="2757" width="1" style="243" customWidth="1"/>
    <col min="2758" max="2812" width="0" style="243" hidden="1" customWidth="1"/>
    <col min="2813" max="2814" width="1" style="243" customWidth="1"/>
    <col min="2815" max="2815" width="17.85546875" style="243" customWidth="1"/>
    <col min="2816" max="2819" width="1" style="243" customWidth="1"/>
    <col min="2820" max="2820" width="16.5703125" style="243" customWidth="1"/>
    <col min="2821" max="2824" width="1" style="243" customWidth="1"/>
    <col min="2825" max="2825" width="14.7109375" style="243" customWidth="1"/>
    <col min="2826" max="2827" width="1" style="243" customWidth="1"/>
    <col min="2828" max="2882" width="0" style="243" hidden="1" customWidth="1"/>
    <col min="2883" max="2884" width="1" style="243" customWidth="1"/>
    <col min="2885" max="2885" width="17.85546875" style="243" customWidth="1"/>
    <col min="2886" max="2889" width="1" style="243" customWidth="1"/>
    <col min="2890" max="2890" width="17.85546875" style="243" customWidth="1"/>
    <col min="2891" max="2893" width="1" style="243" customWidth="1"/>
    <col min="2894" max="2894" width="1.85546875" style="243" customWidth="1"/>
    <col min="2895" max="2898" width="0" style="243" hidden="1" customWidth="1"/>
    <col min="2899" max="2900" width="10" style="243"/>
    <col min="2901" max="2901" width="13.42578125" style="243" bestFit="1" customWidth="1"/>
    <col min="2902" max="3003" width="10" style="243"/>
    <col min="3004" max="3006" width="0" style="243" hidden="1" customWidth="1"/>
    <col min="3007" max="3007" width="64.85546875" style="243" customWidth="1"/>
    <col min="3008" max="3008" width="7" style="243" customWidth="1"/>
    <col min="3009" max="3010" width="1" style="243" customWidth="1"/>
    <col min="3011" max="3011" width="15.140625" style="243" customWidth="1"/>
    <col min="3012" max="3013" width="1" style="243" customWidth="1"/>
    <col min="3014" max="3068" width="0" style="243" hidden="1" customWidth="1"/>
    <col min="3069" max="3070" width="1" style="243" customWidth="1"/>
    <col min="3071" max="3071" width="17.85546875" style="243" customWidth="1"/>
    <col min="3072" max="3075" width="1" style="243" customWidth="1"/>
    <col min="3076" max="3076" width="16.5703125" style="243" customWidth="1"/>
    <col min="3077" max="3080" width="1" style="243" customWidth="1"/>
    <col min="3081" max="3081" width="14.7109375" style="243" customWidth="1"/>
    <col min="3082" max="3083" width="1" style="243" customWidth="1"/>
    <col min="3084" max="3138" width="0" style="243" hidden="1" customWidth="1"/>
    <col min="3139" max="3140" width="1" style="243" customWidth="1"/>
    <col min="3141" max="3141" width="17.85546875" style="243" customWidth="1"/>
    <col min="3142" max="3145" width="1" style="243" customWidth="1"/>
    <col min="3146" max="3146" width="17.85546875" style="243" customWidth="1"/>
    <col min="3147" max="3149" width="1" style="243" customWidth="1"/>
    <col min="3150" max="3150" width="1.85546875" style="243" customWidth="1"/>
    <col min="3151" max="3154" width="0" style="243" hidden="1" customWidth="1"/>
    <col min="3155" max="3156" width="10" style="243"/>
    <col min="3157" max="3157" width="13.42578125" style="243" bestFit="1" customWidth="1"/>
    <col min="3158" max="3259" width="10" style="243"/>
    <col min="3260" max="3262" width="0" style="243" hidden="1" customWidth="1"/>
    <col min="3263" max="3263" width="64.85546875" style="243" customWidth="1"/>
    <col min="3264" max="3264" width="7" style="243" customWidth="1"/>
    <col min="3265" max="3266" width="1" style="243" customWidth="1"/>
    <col min="3267" max="3267" width="15.140625" style="243" customWidth="1"/>
    <col min="3268" max="3269" width="1" style="243" customWidth="1"/>
    <col min="3270" max="3324" width="0" style="243" hidden="1" customWidth="1"/>
    <col min="3325" max="3326" width="1" style="243" customWidth="1"/>
    <col min="3327" max="3327" width="17.85546875" style="243" customWidth="1"/>
    <col min="3328" max="3331" width="1" style="243" customWidth="1"/>
    <col min="3332" max="3332" width="16.5703125" style="243" customWidth="1"/>
    <col min="3333" max="3336" width="1" style="243" customWidth="1"/>
    <col min="3337" max="3337" width="14.7109375" style="243" customWidth="1"/>
    <col min="3338" max="3339" width="1" style="243" customWidth="1"/>
    <col min="3340" max="3394" width="0" style="243" hidden="1" customWidth="1"/>
    <col min="3395" max="3396" width="1" style="243" customWidth="1"/>
    <col min="3397" max="3397" width="17.85546875" style="243" customWidth="1"/>
    <col min="3398" max="3401" width="1" style="243" customWidth="1"/>
    <col min="3402" max="3402" width="17.85546875" style="243" customWidth="1"/>
    <col min="3403" max="3405" width="1" style="243" customWidth="1"/>
    <col min="3406" max="3406" width="1.85546875" style="243" customWidth="1"/>
    <col min="3407" max="3410" width="0" style="243" hidden="1" customWidth="1"/>
    <col min="3411" max="3412" width="10" style="243"/>
    <col min="3413" max="3413" width="13.42578125" style="243" bestFit="1" customWidth="1"/>
    <col min="3414" max="3515" width="10" style="243"/>
    <col min="3516" max="3518" width="0" style="243" hidden="1" customWidth="1"/>
    <col min="3519" max="3519" width="64.85546875" style="243" customWidth="1"/>
    <col min="3520" max="3520" width="7" style="243" customWidth="1"/>
    <col min="3521" max="3522" width="1" style="243" customWidth="1"/>
    <col min="3523" max="3523" width="15.140625" style="243" customWidth="1"/>
    <col min="3524" max="3525" width="1" style="243" customWidth="1"/>
    <col min="3526" max="3580" width="0" style="243" hidden="1" customWidth="1"/>
    <col min="3581" max="3582" width="1" style="243" customWidth="1"/>
    <col min="3583" max="3583" width="17.85546875" style="243" customWidth="1"/>
    <col min="3584" max="3587" width="1" style="243" customWidth="1"/>
    <col min="3588" max="3588" width="16.5703125" style="243" customWidth="1"/>
    <col min="3589" max="3592" width="1" style="243" customWidth="1"/>
    <col min="3593" max="3593" width="14.7109375" style="243" customWidth="1"/>
    <col min="3594" max="3595" width="1" style="243" customWidth="1"/>
    <col min="3596" max="3650" width="0" style="243" hidden="1" customWidth="1"/>
    <col min="3651" max="3652" width="1" style="243" customWidth="1"/>
    <col min="3653" max="3653" width="17.85546875" style="243" customWidth="1"/>
    <col min="3654" max="3657" width="1" style="243" customWidth="1"/>
    <col min="3658" max="3658" width="17.85546875" style="243" customWidth="1"/>
    <col min="3659" max="3661" width="1" style="243" customWidth="1"/>
    <col min="3662" max="3662" width="1.85546875" style="243" customWidth="1"/>
    <col min="3663" max="3666" width="0" style="243" hidden="1" customWidth="1"/>
    <col min="3667" max="3668" width="10" style="243"/>
    <col min="3669" max="3669" width="13.42578125" style="243" bestFit="1" customWidth="1"/>
    <col min="3670" max="3771" width="10" style="243"/>
    <col min="3772" max="3774" width="0" style="243" hidden="1" customWidth="1"/>
    <col min="3775" max="3775" width="64.85546875" style="243" customWidth="1"/>
    <col min="3776" max="3776" width="7" style="243" customWidth="1"/>
    <col min="3777" max="3778" width="1" style="243" customWidth="1"/>
    <col min="3779" max="3779" width="15.140625" style="243" customWidth="1"/>
    <col min="3780" max="3781" width="1" style="243" customWidth="1"/>
    <col min="3782" max="3836" width="0" style="243" hidden="1" customWidth="1"/>
    <col min="3837" max="3838" width="1" style="243" customWidth="1"/>
    <col min="3839" max="3839" width="17.85546875" style="243" customWidth="1"/>
    <col min="3840" max="3843" width="1" style="243" customWidth="1"/>
    <col min="3844" max="3844" width="16.5703125" style="243" customWidth="1"/>
    <col min="3845" max="3848" width="1" style="243" customWidth="1"/>
    <col min="3849" max="3849" width="14.7109375" style="243" customWidth="1"/>
    <col min="3850" max="3851" width="1" style="243" customWidth="1"/>
    <col min="3852" max="3906" width="0" style="243" hidden="1" customWidth="1"/>
    <col min="3907" max="3908" width="1" style="243" customWidth="1"/>
    <col min="3909" max="3909" width="17.85546875" style="243" customWidth="1"/>
    <col min="3910" max="3913" width="1" style="243" customWidth="1"/>
    <col min="3914" max="3914" width="17.85546875" style="243" customWidth="1"/>
    <col min="3915" max="3917" width="1" style="243" customWidth="1"/>
    <col min="3918" max="3918" width="1.85546875" style="243" customWidth="1"/>
    <col min="3919" max="3922" width="0" style="243" hidden="1" customWidth="1"/>
    <col min="3923" max="3924" width="10" style="243"/>
    <col min="3925" max="3925" width="13.42578125" style="243" bestFit="1" customWidth="1"/>
    <col min="3926" max="4027" width="10" style="243"/>
    <col min="4028" max="4030" width="0" style="243" hidden="1" customWidth="1"/>
    <col min="4031" max="4031" width="64.85546875" style="243" customWidth="1"/>
    <col min="4032" max="4032" width="7" style="243" customWidth="1"/>
    <col min="4033" max="4034" width="1" style="243" customWidth="1"/>
    <col min="4035" max="4035" width="15.140625" style="243" customWidth="1"/>
    <col min="4036" max="4037" width="1" style="243" customWidth="1"/>
    <col min="4038" max="4092" width="0" style="243" hidden="1" customWidth="1"/>
    <col min="4093" max="4094" width="1" style="243" customWidth="1"/>
    <col min="4095" max="4095" width="17.85546875" style="243" customWidth="1"/>
    <col min="4096" max="4099" width="1" style="243" customWidth="1"/>
    <col min="4100" max="4100" width="16.5703125" style="243" customWidth="1"/>
    <col min="4101" max="4104" width="1" style="243" customWidth="1"/>
    <col min="4105" max="4105" width="14.7109375" style="243" customWidth="1"/>
    <col min="4106" max="4107" width="1" style="243" customWidth="1"/>
    <col min="4108" max="4162" width="0" style="243" hidden="1" customWidth="1"/>
    <col min="4163" max="4164" width="1" style="243" customWidth="1"/>
    <col min="4165" max="4165" width="17.85546875" style="243" customWidth="1"/>
    <col min="4166" max="4169" width="1" style="243" customWidth="1"/>
    <col min="4170" max="4170" width="17.85546875" style="243" customWidth="1"/>
    <col min="4171" max="4173" width="1" style="243" customWidth="1"/>
    <col min="4174" max="4174" width="1.85546875" style="243" customWidth="1"/>
    <col min="4175" max="4178" width="0" style="243" hidden="1" customWidth="1"/>
    <col min="4179" max="4180" width="10" style="243"/>
    <col min="4181" max="4181" width="13.42578125" style="243" bestFit="1" customWidth="1"/>
    <col min="4182" max="4283" width="10" style="243"/>
    <col min="4284" max="4286" width="0" style="243" hidden="1" customWidth="1"/>
    <col min="4287" max="4287" width="64.85546875" style="243" customWidth="1"/>
    <col min="4288" max="4288" width="7" style="243" customWidth="1"/>
    <col min="4289" max="4290" width="1" style="243" customWidth="1"/>
    <col min="4291" max="4291" width="15.140625" style="243" customWidth="1"/>
    <col min="4292" max="4293" width="1" style="243" customWidth="1"/>
    <col min="4294" max="4348" width="0" style="243" hidden="1" customWidth="1"/>
    <col min="4349" max="4350" width="1" style="243" customWidth="1"/>
    <col min="4351" max="4351" width="17.85546875" style="243" customWidth="1"/>
    <col min="4352" max="4355" width="1" style="243" customWidth="1"/>
    <col min="4356" max="4356" width="16.5703125" style="243" customWidth="1"/>
    <col min="4357" max="4360" width="1" style="243" customWidth="1"/>
    <col min="4361" max="4361" width="14.7109375" style="243" customWidth="1"/>
    <col min="4362" max="4363" width="1" style="243" customWidth="1"/>
    <col min="4364" max="4418" width="0" style="243" hidden="1" customWidth="1"/>
    <col min="4419" max="4420" width="1" style="243" customWidth="1"/>
    <col min="4421" max="4421" width="17.85546875" style="243" customWidth="1"/>
    <col min="4422" max="4425" width="1" style="243" customWidth="1"/>
    <col min="4426" max="4426" width="17.85546875" style="243" customWidth="1"/>
    <col min="4427" max="4429" width="1" style="243" customWidth="1"/>
    <col min="4430" max="4430" width="1.85546875" style="243" customWidth="1"/>
    <col min="4431" max="4434" width="0" style="243" hidden="1" customWidth="1"/>
    <col min="4435" max="4436" width="10" style="243"/>
    <col min="4437" max="4437" width="13.42578125" style="243" bestFit="1" customWidth="1"/>
    <col min="4438" max="4539" width="10" style="243"/>
    <col min="4540" max="4542" width="0" style="243" hidden="1" customWidth="1"/>
    <col min="4543" max="4543" width="64.85546875" style="243" customWidth="1"/>
    <col min="4544" max="4544" width="7" style="243" customWidth="1"/>
    <col min="4545" max="4546" width="1" style="243" customWidth="1"/>
    <col min="4547" max="4547" width="15.140625" style="243" customWidth="1"/>
    <col min="4548" max="4549" width="1" style="243" customWidth="1"/>
    <col min="4550" max="4604" width="0" style="243" hidden="1" customWidth="1"/>
    <col min="4605" max="4606" width="1" style="243" customWidth="1"/>
    <col min="4607" max="4607" width="17.85546875" style="243" customWidth="1"/>
    <col min="4608" max="4611" width="1" style="243" customWidth="1"/>
    <col min="4612" max="4612" width="16.5703125" style="243" customWidth="1"/>
    <col min="4613" max="4616" width="1" style="243" customWidth="1"/>
    <col min="4617" max="4617" width="14.7109375" style="243" customWidth="1"/>
    <col min="4618" max="4619" width="1" style="243" customWidth="1"/>
    <col min="4620" max="4674" width="0" style="243" hidden="1" customWidth="1"/>
    <col min="4675" max="4676" width="1" style="243" customWidth="1"/>
    <col min="4677" max="4677" width="17.85546875" style="243" customWidth="1"/>
    <col min="4678" max="4681" width="1" style="243" customWidth="1"/>
    <col min="4682" max="4682" width="17.85546875" style="243" customWidth="1"/>
    <col min="4683" max="4685" width="1" style="243" customWidth="1"/>
    <col min="4686" max="4686" width="1.85546875" style="243" customWidth="1"/>
    <col min="4687" max="4690" width="0" style="243" hidden="1" customWidth="1"/>
    <col min="4691" max="4692" width="10" style="243"/>
    <col min="4693" max="4693" width="13.42578125" style="243" bestFit="1" customWidth="1"/>
    <col min="4694" max="4795" width="10" style="243"/>
    <col min="4796" max="4798" width="0" style="243" hidden="1" customWidth="1"/>
    <col min="4799" max="4799" width="64.85546875" style="243" customWidth="1"/>
    <col min="4800" max="4800" width="7" style="243" customWidth="1"/>
    <col min="4801" max="4802" width="1" style="243" customWidth="1"/>
    <col min="4803" max="4803" width="15.140625" style="243" customWidth="1"/>
    <col min="4804" max="4805" width="1" style="243" customWidth="1"/>
    <col min="4806" max="4860" width="0" style="243" hidden="1" customWidth="1"/>
    <col min="4861" max="4862" width="1" style="243" customWidth="1"/>
    <col min="4863" max="4863" width="17.85546875" style="243" customWidth="1"/>
    <col min="4864" max="4867" width="1" style="243" customWidth="1"/>
    <col min="4868" max="4868" width="16.5703125" style="243" customWidth="1"/>
    <col min="4869" max="4872" width="1" style="243" customWidth="1"/>
    <col min="4873" max="4873" width="14.7109375" style="243" customWidth="1"/>
    <col min="4874" max="4875" width="1" style="243" customWidth="1"/>
    <col min="4876" max="4930" width="0" style="243" hidden="1" customWidth="1"/>
    <col min="4931" max="4932" width="1" style="243" customWidth="1"/>
    <col min="4933" max="4933" width="17.85546875" style="243" customWidth="1"/>
    <col min="4934" max="4937" width="1" style="243" customWidth="1"/>
    <col min="4938" max="4938" width="17.85546875" style="243" customWidth="1"/>
    <col min="4939" max="4941" width="1" style="243" customWidth="1"/>
    <col min="4942" max="4942" width="1.85546875" style="243" customWidth="1"/>
    <col min="4943" max="4946" width="0" style="243" hidden="1" customWidth="1"/>
    <col min="4947" max="4948" width="10" style="243"/>
    <col min="4949" max="4949" width="13.42578125" style="243" bestFit="1" customWidth="1"/>
    <col min="4950" max="5051" width="10" style="243"/>
    <col min="5052" max="5054" width="0" style="243" hidden="1" customWidth="1"/>
    <col min="5055" max="5055" width="64.85546875" style="243" customWidth="1"/>
    <col min="5056" max="5056" width="7" style="243" customWidth="1"/>
    <col min="5057" max="5058" width="1" style="243" customWidth="1"/>
    <col min="5059" max="5059" width="15.140625" style="243" customWidth="1"/>
    <col min="5060" max="5061" width="1" style="243" customWidth="1"/>
    <col min="5062" max="5116" width="0" style="243" hidden="1" customWidth="1"/>
    <col min="5117" max="5118" width="1" style="243" customWidth="1"/>
    <col min="5119" max="5119" width="17.85546875" style="243" customWidth="1"/>
    <col min="5120" max="5123" width="1" style="243" customWidth="1"/>
    <col min="5124" max="5124" width="16.5703125" style="243" customWidth="1"/>
    <col min="5125" max="5128" width="1" style="243" customWidth="1"/>
    <col min="5129" max="5129" width="14.7109375" style="243" customWidth="1"/>
    <col min="5130" max="5131" width="1" style="243" customWidth="1"/>
    <col min="5132" max="5186" width="0" style="243" hidden="1" customWidth="1"/>
    <col min="5187" max="5188" width="1" style="243" customWidth="1"/>
    <col min="5189" max="5189" width="17.85546875" style="243" customWidth="1"/>
    <col min="5190" max="5193" width="1" style="243" customWidth="1"/>
    <col min="5194" max="5194" width="17.85546875" style="243" customWidth="1"/>
    <col min="5195" max="5197" width="1" style="243" customWidth="1"/>
    <col min="5198" max="5198" width="1.85546875" style="243" customWidth="1"/>
    <col min="5199" max="5202" width="0" style="243" hidden="1" customWidth="1"/>
    <col min="5203" max="5204" width="10" style="243"/>
    <col min="5205" max="5205" width="13.42578125" style="243" bestFit="1" customWidth="1"/>
    <col min="5206" max="5307" width="10" style="243"/>
    <col min="5308" max="5310" width="0" style="243" hidden="1" customWidth="1"/>
    <col min="5311" max="5311" width="64.85546875" style="243" customWidth="1"/>
    <col min="5312" max="5312" width="7" style="243" customWidth="1"/>
    <col min="5313" max="5314" width="1" style="243" customWidth="1"/>
    <col min="5315" max="5315" width="15.140625" style="243" customWidth="1"/>
    <col min="5316" max="5317" width="1" style="243" customWidth="1"/>
    <col min="5318" max="5372" width="0" style="243" hidden="1" customWidth="1"/>
    <col min="5373" max="5374" width="1" style="243" customWidth="1"/>
    <col min="5375" max="5375" width="17.85546875" style="243" customWidth="1"/>
    <col min="5376" max="5379" width="1" style="243" customWidth="1"/>
    <col min="5380" max="5380" width="16.5703125" style="243" customWidth="1"/>
    <col min="5381" max="5384" width="1" style="243" customWidth="1"/>
    <col min="5385" max="5385" width="14.7109375" style="243" customWidth="1"/>
    <col min="5386" max="5387" width="1" style="243" customWidth="1"/>
    <col min="5388" max="5442" width="0" style="243" hidden="1" customWidth="1"/>
    <col min="5443" max="5444" width="1" style="243" customWidth="1"/>
    <col min="5445" max="5445" width="17.85546875" style="243" customWidth="1"/>
    <col min="5446" max="5449" width="1" style="243" customWidth="1"/>
    <col min="5450" max="5450" width="17.85546875" style="243" customWidth="1"/>
    <col min="5451" max="5453" width="1" style="243" customWidth="1"/>
    <col min="5454" max="5454" width="1.85546875" style="243" customWidth="1"/>
    <col min="5455" max="5458" width="0" style="243" hidden="1" customWidth="1"/>
    <col min="5459" max="5460" width="10" style="243"/>
    <col min="5461" max="5461" width="13.42578125" style="243" bestFit="1" customWidth="1"/>
    <col min="5462" max="5563" width="10" style="243"/>
    <col min="5564" max="5566" width="0" style="243" hidden="1" customWidth="1"/>
    <col min="5567" max="5567" width="64.85546875" style="243" customWidth="1"/>
    <col min="5568" max="5568" width="7" style="243" customWidth="1"/>
    <col min="5569" max="5570" width="1" style="243" customWidth="1"/>
    <col min="5571" max="5571" width="15.140625" style="243" customWidth="1"/>
    <col min="5572" max="5573" width="1" style="243" customWidth="1"/>
    <col min="5574" max="5628" width="0" style="243" hidden="1" customWidth="1"/>
    <col min="5629" max="5630" width="1" style="243" customWidth="1"/>
    <col min="5631" max="5631" width="17.85546875" style="243" customWidth="1"/>
    <col min="5632" max="5635" width="1" style="243" customWidth="1"/>
    <col min="5636" max="5636" width="16.5703125" style="243" customWidth="1"/>
    <col min="5637" max="5640" width="1" style="243" customWidth="1"/>
    <col min="5641" max="5641" width="14.7109375" style="243" customWidth="1"/>
    <col min="5642" max="5643" width="1" style="243" customWidth="1"/>
    <col min="5644" max="5698" width="0" style="243" hidden="1" customWidth="1"/>
    <col min="5699" max="5700" width="1" style="243" customWidth="1"/>
    <col min="5701" max="5701" width="17.85546875" style="243" customWidth="1"/>
    <col min="5702" max="5705" width="1" style="243" customWidth="1"/>
    <col min="5706" max="5706" width="17.85546875" style="243" customWidth="1"/>
    <col min="5707" max="5709" width="1" style="243" customWidth="1"/>
    <col min="5710" max="5710" width="1.85546875" style="243" customWidth="1"/>
    <col min="5711" max="5714" width="0" style="243" hidden="1" customWidth="1"/>
    <col min="5715" max="5716" width="10" style="243"/>
    <col min="5717" max="5717" width="13.42578125" style="243" bestFit="1" customWidth="1"/>
    <col min="5718" max="5819" width="10" style="243"/>
    <col min="5820" max="5822" width="0" style="243" hidden="1" customWidth="1"/>
    <col min="5823" max="5823" width="64.85546875" style="243" customWidth="1"/>
    <col min="5824" max="5824" width="7" style="243" customWidth="1"/>
    <col min="5825" max="5826" width="1" style="243" customWidth="1"/>
    <col min="5827" max="5827" width="15.140625" style="243" customWidth="1"/>
    <col min="5828" max="5829" width="1" style="243" customWidth="1"/>
    <col min="5830" max="5884" width="0" style="243" hidden="1" customWidth="1"/>
    <col min="5885" max="5886" width="1" style="243" customWidth="1"/>
    <col min="5887" max="5887" width="17.85546875" style="243" customWidth="1"/>
    <col min="5888" max="5891" width="1" style="243" customWidth="1"/>
    <col min="5892" max="5892" width="16.5703125" style="243" customWidth="1"/>
    <col min="5893" max="5896" width="1" style="243" customWidth="1"/>
    <col min="5897" max="5897" width="14.7109375" style="243" customWidth="1"/>
    <col min="5898" max="5899" width="1" style="243" customWidth="1"/>
    <col min="5900" max="5954" width="0" style="243" hidden="1" customWidth="1"/>
    <col min="5955" max="5956" width="1" style="243" customWidth="1"/>
    <col min="5957" max="5957" width="17.85546875" style="243" customWidth="1"/>
    <col min="5958" max="5961" width="1" style="243" customWidth="1"/>
    <col min="5962" max="5962" width="17.85546875" style="243" customWidth="1"/>
    <col min="5963" max="5965" width="1" style="243" customWidth="1"/>
    <col min="5966" max="5966" width="1.85546875" style="243" customWidth="1"/>
    <col min="5967" max="5970" width="0" style="243" hidden="1" customWidth="1"/>
    <col min="5971" max="5972" width="10" style="243"/>
    <col min="5973" max="5973" width="13.42578125" style="243" bestFit="1" customWidth="1"/>
    <col min="5974" max="6075" width="10" style="243"/>
    <col min="6076" max="6078" width="0" style="243" hidden="1" customWidth="1"/>
    <col min="6079" max="6079" width="64.85546875" style="243" customWidth="1"/>
    <col min="6080" max="6080" width="7" style="243" customWidth="1"/>
    <col min="6081" max="6082" width="1" style="243" customWidth="1"/>
    <col min="6083" max="6083" width="15.140625" style="243" customWidth="1"/>
    <col min="6084" max="6085" width="1" style="243" customWidth="1"/>
    <col min="6086" max="6140" width="0" style="243" hidden="1" customWidth="1"/>
    <col min="6141" max="6142" width="1" style="243" customWidth="1"/>
    <col min="6143" max="6143" width="17.85546875" style="243" customWidth="1"/>
    <col min="6144" max="6147" width="1" style="243" customWidth="1"/>
    <col min="6148" max="6148" width="16.5703125" style="243" customWidth="1"/>
    <col min="6149" max="6152" width="1" style="243" customWidth="1"/>
    <col min="6153" max="6153" width="14.7109375" style="243" customWidth="1"/>
    <col min="6154" max="6155" width="1" style="243" customWidth="1"/>
    <col min="6156" max="6210" width="0" style="243" hidden="1" customWidth="1"/>
    <col min="6211" max="6212" width="1" style="243" customWidth="1"/>
    <col min="6213" max="6213" width="17.85546875" style="243" customWidth="1"/>
    <col min="6214" max="6217" width="1" style="243" customWidth="1"/>
    <col min="6218" max="6218" width="17.85546875" style="243" customWidth="1"/>
    <col min="6219" max="6221" width="1" style="243" customWidth="1"/>
    <col min="6222" max="6222" width="1.85546875" style="243" customWidth="1"/>
    <col min="6223" max="6226" width="0" style="243" hidden="1" customWidth="1"/>
    <col min="6227" max="6228" width="10" style="243"/>
    <col min="6229" max="6229" width="13.42578125" style="243" bestFit="1" customWidth="1"/>
    <col min="6230" max="6331" width="10" style="243"/>
    <col min="6332" max="6334" width="0" style="243" hidden="1" customWidth="1"/>
    <col min="6335" max="6335" width="64.85546875" style="243" customWidth="1"/>
    <col min="6336" max="6336" width="7" style="243" customWidth="1"/>
    <col min="6337" max="6338" width="1" style="243" customWidth="1"/>
    <col min="6339" max="6339" width="15.140625" style="243" customWidth="1"/>
    <col min="6340" max="6341" width="1" style="243" customWidth="1"/>
    <col min="6342" max="6396" width="0" style="243" hidden="1" customWidth="1"/>
    <col min="6397" max="6398" width="1" style="243" customWidth="1"/>
    <col min="6399" max="6399" width="17.85546875" style="243" customWidth="1"/>
    <col min="6400" max="6403" width="1" style="243" customWidth="1"/>
    <col min="6404" max="6404" width="16.5703125" style="243" customWidth="1"/>
    <col min="6405" max="6408" width="1" style="243" customWidth="1"/>
    <col min="6409" max="6409" width="14.7109375" style="243" customWidth="1"/>
    <col min="6410" max="6411" width="1" style="243" customWidth="1"/>
    <col min="6412" max="6466" width="0" style="243" hidden="1" customWidth="1"/>
    <col min="6467" max="6468" width="1" style="243" customWidth="1"/>
    <col min="6469" max="6469" width="17.85546875" style="243" customWidth="1"/>
    <col min="6470" max="6473" width="1" style="243" customWidth="1"/>
    <col min="6474" max="6474" width="17.85546875" style="243" customWidth="1"/>
    <col min="6475" max="6477" width="1" style="243" customWidth="1"/>
    <col min="6478" max="6478" width="1.85546875" style="243" customWidth="1"/>
    <col min="6479" max="6482" width="0" style="243" hidden="1" customWidth="1"/>
    <col min="6483" max="6484" width="10" style="243"/>
    <col min="6485" max="6485" width="13.42578125" style="243" bestFit="1" customWidth="1"/>
    <col min="6486" max="6587" width="10" style="243"/>
    <col min="6588" max="6590" width="0" style="243" hidden="1" customWidth="1"/>
    <col min="6591" max="6591" width="64.85546875" style="243" customWidth="1"/>
    <col min="6592" max="6592" width="7" style="243" customWidth="1"/>
    <col min="6593" max="6594" width="1" style="243" customWidth="1"/>
    <col min="6595" max="6595" width="15.140625" style="243" customWidth="1"/>
    <col min="6596" max="6597" width="1" style="243" customWidth="1"/>
    <col min="6598" max="6652" width="0" style="243" hidden="1" customWidth="1"/>
    <col min="6653" max="6654" width="1" style="243" customWidth="1"/>
    <col min="6655" max="6655" width="17.85546875" style="243" customWidth="1"/>
    <col min="6656" max="6659" width="1" style="243" customWidth="1"/>
    <col min="6660" max="6660" width="16.5703125" style="243" customWidth="1"/>
    <col min="6661" max="6664" width="1" style="243" customWidth="1"/>
    <col min="6665" max="6665" width="14.7109375" style="243" customWidth="1"/>
    <col min="6666" max="6667" width="1" style="243" customWidth="1"/>
    <col min="6668" max="6722" width="0" style="243" hidden="1" customWidth="1"/>
    <col min="6723" max="6724" width="1" style="243" customWidth="1"/>
    <col min="6725" max="6725" width="17.85546875" style="243" customWidth="1"/>
    <col min="6726" max="6729" width="1" style="243" customWidth="1"/>
    <col min="6730" max="6730" width="17.85546875" style="243" customWidth="1"/>
    <col min="6731" max="6733" width="1" style="243" customWidth="1"/>
    <col min="6734" max="6734" width="1.85546875" style="243" customWidth="1"/>
    <col min="6735" max="6738" width="0" style="243" hidden="1" customWidth="1"/>
    <col min="6739" max="6740" width="10" style="243"/>
    <col min="6741" max="6741" width="13.42578125" style="243" bestFit="1" customWidth="1"/>
    <col min="6742" max="6843" width="10" style="243"/>
    <col min="6844" max="6846" width="0" style="243" hidden="1" customWidth="1"/>
    <col min="6847" max="6847" width="64.85546875" style="243" customWidth="1"/>
    <col min="6848" max="6848" width="7" style="243" customWidth="1"/>
    <col min="6849" max="6850" width="1" style="243" customWidth="1"/>
    <col min="6851" max="6851" width="15.140625" style="243" customWidth="1"/>
    <col min="6852" max="6853" width="1" style="243" customWidth="1"/>
    <col min="6854" max="6908" width="0" style="243" hidden="1" customWidth="1"/>
    <col min="6909" max="6910" width="1" style="243" customWidth="1"/>
    <col min="6911" max="6911" width="17.85546875" style="243" customWidth="1"/>
    <col min="6912" max="6915" width="1" style="243" customWidth="1"/>
    <col min="6916" max="6916" width="16.5703125" style="243" customWidth="1"/>
    <col min="6917" max="6920" width="1" style="243" customWidth="1"/>
    <col min="6921" max="6921" width="14.7109375" style="243" customWidth="1"/>
    <col min="6922" max="6923" width="1" style="243" customWidth="1"/>
    <col min="6924" max="6978" width="0" style="243" hidden="1" customWidth="1"/>
    <col min="6979" max="6980" width="1" style="243" customWidth="1"/>
    <col min="6981" max="6981" width="17.85546875" style="243" customWidth="1"/>
    <col min="6982" max="6985" width="1" style="243" customWidth="1"/>
    <col min="6986" max="6986" width="17.85546875" style="243" customWidth="1"/>
    <col min="6987" max="6989" width="1" style="243" customWidth="1"/>
    <col min="6990" max="6990" width="1.85546875" style="243" customWidth="1"/>
    <col min="6991" max="6994" width="0" style="243" hidden="1" customWidth="1"/>
    <col min="6995" max="6996" width="10" style="243"/>
    <col min="6997" max="6997" width="13.42578125" style="243" bestFit="1" customWidth="1"/>
    <col min="6998" max="7099" width="10" style="243"/>
    <col min="7100" max="7102" width="0" style="243" hidden="1" customWidth="1"/>
    <col min="7103" max="7103" width="64.85546875" style="243" customWidth="1"/>
    <col min="7104" max="7104" width="7" style="243" customWidth="1"/>
    <col min="7105" max="7106" width="1" style="243" customWidth="1"/>
    <col min="7107" max="7107" width="15.140625" style="243" customWidth="1"/>
    <col min="7108" max="7109" width="1" style="243" customWidth="1"/>
    <col min="7110" max="7164" width="0" style="243" hidden="1" customWidth="1"/>
    <col min="7165" max="7166" width="1" style="243" customWidth="1"/>
    <col min="7167" max="7167" width="17.85546875" style="243" customWidth="1"/>
    <col min="7168" max="7171" width="1" style="243" customWidth="1"/>
    <col min="7172" max="7172" width="16.5703125" style="243" customWidth="1"/>
    <col min="7173" max="7176" width="1" style="243" customWidth="1"/>
    <col min="7177" max="7177" width="14.7109375" style="243" customWidth="1"/>
    <col min="7178" max="7179" width="1" style="243" customWidth="1"/>
    <col min="7180" max="7234" width="0" style="243" hidden="1" customWidth="1"/>
    <col min="7235" max="7236" width="1" style="243" customWidth="1"/>
    <col min="7237" max="7237" width="17.85546875" style="243" customWidth="1"/>
    <col min="7238" max="7241" width="1" style="243" customWidth="1"/>
    <col min="7242" max="7242" width="17.85546875" style="243" customWidth="1"/>
    <col min="7243" max="7245" width="1" style="243" customWidth="1"/>
    <col min="7246" max="7246" width="1.85546875" style="243" customWidth="1"/>
    <col min="7247" max="7250" width="0" style="243" hidden="1" customWidth="1"/>
    <col min="7251" max="7252" width="10" style="243"/>
    <col min="7253" max="7253" width="13.42578125" style="243" bestFit="1" customWidth="1"/>
    <col min="7254" max="7355" width="10" style="243"/>
    <col min="7356" max="7358" width="0" style="243" hidden="1" customWidth="1"/>
    <col min="7359" max="7359" width="64.85546875" style="243" customWidth="1"/>
    <col min="7360" max="7360" width="7" style="243" customWidth="1"/>
    <col min="7361" max="7362" width="1" style="243" customWidth="1"/>
    <col min="7363" max="7363" width="15.140625" style="243" customWidth="1"/>
    <col min="7364" max="7365" width="1" style="243" customWidth="1"/>
    <col min="7366" max="7420" width="0" style="243" hidden="1" customWidth="1"/>
    <col min="7421" max="7422" width="1" style="243" customWidth="1"/>
    <col min="7423" max="7423" width="17.85546875" style="243" customWidth="1"/>
    <col min="7424" max="7427" width="1" style="243" customWidth="1"/>
    <col min="7428" max="7428" width="16.5703125" style="243" customWidth="1"/>
    <col min="7429" max="7432" width="1" style="243" customWidth="1"/>
    <col min="7433" max="7433" width="14.7109375" style="243" customWidth="1"/>
    <col min="7434" max="7435" width="1" style="243" customWidth="1"/>
    <col min="7436" max="7490" width="0" style="243" hidden="1" customWidth="1"/>
    <col min="7491" max="7492" width="1" style="243" customWidth="1"/>
    <col min="7493" max="7493" width="17.85546875" style="243" customWidth="1"/>
    <col min="7494" max="7497" width="1" style="243" customWidth="1"/>
    <col min="7498" max="7498" width="17.85546875" style="243" customWidth="1"/>
    <col min="7499" max="7501" width="1" style="243" customWidth="1"/>
    <col min="7502" max="7502" width="1.85546875" style="243" customWidth="1"/>
    <col min="7503" max="7506" width="0" style="243" hidden="1" customWidth="1"/>
    <col min="7507" max="7508" width="10" style="243"/>
    <col min="7509" max="7509" width="13.42578125" style="243" bestFit="1" customWidth="1"/>
    <col min="7510" max="7611" width="10" style="243"/>
    <col min="7612" max="7614" width="0" style="243" hidden="1" customWidth="1"/>
    <col min="7615" max="7615" width="64.85546875" style="243" customWidth="1"/>
    <col min="7616" max="7616" width="7" style="243" customWidth="1"/>
    <col min="7617" max="7618" width="1" style="243" customWidth="1"/>
    <col min="7619" max="7619" width="15.140625" style="243" customWidth="1"/>
    <col min="7620" max="7621" width="1" style="243" customWidth="1"/>
    <col min="7622" max="7676" width="0" style="243" hidden="1" customWidth="1"/>
    <col min="7677" max="7678" width="1" style="243" customWidth="1"/>
    <col min="7679" max="7679" width="17.85546875" style="243" customWidth="1"/>
    <col min="7680" max="7683" width="1" style="243" customWidth="1"/>
    <col min="7684" max="7684" width="16.5703125" style="243" customWidth="1"/>
    <col min="7685" max="7688" width="1" style="243" customWidth="1"/>
    <col min="7689" max="7689" width="14.7109375" style="243" customWidth="1"/>
    <col min="7690" max="7691" width="1" style="243" customWidth="1"/>
    <col min="7692" max="7746" width="0" style="243" hidden="1" customWidth="1"/>
    <col min="7747" max="7748" width="1" style="243" customWidth="1"/>
    <col min="7749" max="7749" width="17.85546875" style="243" customWidth="1"/>
    <col min="7750" max="7753" width="1" style="243" customWidth="1"/>
    <col min="7754" max="7754" width="17.85546875" style="243" customWidth="1"/>
    <col min="7755" max="7757" width="1" style="243" customWidth="1"/>
    <col min="7758" max="7758" width="1.85546875" style="243" customWidth="1"/>
    <col min="7759" max="7762" width="0" style="243" hidden="1" customWidth="1"/>
    <col min="7763" max="7764" width="10" style="243"/>
    <col min="7765" max="7765" width="13.42578125" style="243" bestFit="1" customWidth="1"/>
    <col min="7766" max="7867" width="10" style="243"/>
    <col min="7868" max="7870" width="0" style="243" hidden="1" customWidth="1"/>
    <col min="7871" max="7871" width="64.85546875" style="243" customWidth="1"/>
    <col min="7872" max="7872" width="7" style="243" customWidth="1"/>
    <col min="7873" max="7874" width="1" style="243" customWidth="1"/>
    <col min="7875" max="7875" width="15.140625" style="243" customWidth="1"/>
    <col min="7876" max="7877" width="1" style="243" customWidth="1"/>
    <col min="7878" max="7932" width="0" style="243" hidden="1" customWidth="1"/>
    <col min="7933" max="7934" width="1" style="243" customWidth="1"/>
    <col min="7935" max="7935" width="17.85546875" style="243" customWidth="1"/>
    <col min="7936" max="7939" width="1" style="243" customWidth="1"/>
    <col min="7940" max="7940" width="16.5703125" style="243" customWidth="1"/>
    <col min="7941" max="7944" width="1" style="243" customWidth="1"/>
    <col min="7945" max="7945" width="14.7109375" style="243" customWidth="1"/>
    <col min="7946" max="7947" width="1" style="243" customWidth="1"/>
    <col min="7948" max="8002" width="0" style="243" hidden="1" customWidth="1"/>
    <col min="8003" max="8004" width="1" style="243" customWidth="1"/>
    <col min="8005" max="8005" width="17.85546875" style="243" customWidth="1"/>
    <col min="8006" max="8009" width="1" style="243" customWidth="1"/>
    <col min="8010" max="8010" width="17.85546875" style="243" customWidth="1"/>
    <col min="8011" max="8013" width="1" style="243" customWidth="1"/>
    <col min="8014" max="8014" width="1.85546875" style="243" customWidth="1"/>
    <col min="8015" max="8018" width="0" style="243" hidden="1" customWidth="1"/>
    <col min="8019" max="8020" width="10" style="243"/>
    <col min="8021" max="8021" width="13.42578125" style="243" bestFit="1" customWidth="1"/>
    <col min="8022" max="8123" width="10" style="243"/>
    <col min="8124" max="8126" width="0" style="243" hidden="1" customWidth="1"/>
    <col min="8127" max="8127" width="64.85546875" style="243" customWidth="1"/>
    <col min="8128" max="8128" width="7" style="243" customWidth="1"/>
    <col min="8129" max="8130" width="1" style="243" customWidth="1"/>
    <col min="8131" max="8131" width="15.140625" style="243" customWidth="1"/>
    <col min="8132" max="8133" width="1" style="243" customWidth="1"/>
    <col min="8134" max="8188" width="0" style="243" hidden="1" customWidth="1"/>
    <col min="8189" max="8190" width="1" style="243" customWidth="1"/>
    <col min="8191" max="8191" width="17.85546875" style="243" customWidth="1"/>
    <col min="8192" max="8195" width="1" style="243" customWidth="1"/>
    <col min="8196" max="8196" width="16.5703125" style="243" customWidth="1"/>
    <col min="8197" max="8200" width="1" style="243" customWidth="1"/>
    <col min="8201" max="8201" width="14.7109375" style="243" customWidth="1"/>
    <col min="8202" max="8203" width="1" style="243" customWidth="1"/>
    <col min="8204" max="8258" width="0" style="243" hidden="1" customWidth="1"/>
    <col min="8259" max="8260" width="1" style="243" customWidth="1"/>
    <col min="8261" max="8261" width="17.85546875" style="243" customWidth="1"/>
    <col min="8262" max="8265" width="1" style="243" customWidth="1"/>
    <col min="8266" max="8266" width="17.85546875" style="243" customWidth="1"/>
    <col min="8267" max="8269" width="1" style="243" customWidth="1"/>
    <col min="8270" max="8270" width="1.85546875" style="243" customWidth="1"/>
    <col min="8271" max="8274" width="0" style="243" hidden="1" customWidth="1"/>
    <col min="8275" max="8276" width="10" style="243"/>
    <col min="8277" max="8277" width="13.42578125" style="243" bestFit="1" customWidth="1"/>
    <col min="8278" max="8379" width="10" style="243"/>
    <col min="8380" max="8382" width="0" style="243" hidden="1" customWidth="1"/>
    <col min="8383" max="8383" width="64.85546875" style="243" customWidth="1"/>
    <col min="8384" max="8384" width="7" style="243" customWidth="1"/>
    <col min="8385" max="8386" width="1" style="243" customWidth="1"/>
    <col min="8387" max="8387" width="15.140625" style="243" customWidth="1"/>
    <col min="8388" max="8389" width="1" style="243" customWidth="1"/>
    <col min="8390" max="8444" width="0" style="243" hidden="1" customWidth="1"/>
    <col min="8445" max="8446" width="1" style="243" customWidth="1"/>
    <col min="8447" max="8447" width="17.85546875" style="243" customWidth="1"/>
    <col min="8448" max="8451" width="1" style="243" customWidth="1"/>
    <col min="8452" max="8452" width="16.5703125" style="243" customWidth="1"/>
    <col min="8453" max="8456" width="1" style="243" customWidth="1"/>
    <col min="8457" max="8457" width="14.7109375" style="243" customWidth="1"/>
    <col min="8458" max="8459" width="1" style="243" customWidth="1"/>
    <col min="8460" max="8514" width="0" style="243" hidden="1" customWidth="1"/>
    <col min="8515" max="8516" width="1" style="243" customWidth="1"/>
    <col min="8517" max="8517" width="17.85546875" style="243" customWidth="1"/>
    <col min="8518" max="8521" width="1" style="243" customWidth="1"/>
    <col min="8522" max="8522" width="17.85546875" style="243" customWidth="1"/>
    <col min="8523" max="8525" width="1" style="243" customWidth="1"/>
    <col min="8526" max="8526" width="1.85546875" style="243" customWidth="1"/>
    <col min="8527" max="8530" width="0" style="243" hidden="1" customWidth="1"/>
    <col min="8531" max="8532" width="10" style="243"/>
    <col min="8533" max="8533" width="13.42578125" style="243" bestFit="1" customWidth="1"/>
    <col min="8534" max="8635" width="10" style="243"/>
    <col min="8636" max="8638" width="0" style="243" hidden="1" customWidth="1"/>
    <col min="8639" max="8639" width="64.85546875" style="243" customWidth="1"/>
    <col min="8640" max="8640" width="7" style="243" customWidth="1"/>
    <col min="8641" max="8642" width="1" style="243" customWidth="1"/>
    <col min="8643" max="8643" width="15.140625" style="243" customWidth="1"/>
    <col min="8644" max="8645" width="1" style="243" customWidth="1"/>
    <col min="8646" max="8700" width="0" style="243" hidden="1" customWidth="1"/>
    <col min="8701" max="8702" width="1" style="243" customWidth="1"/>
    <col min="8703" max="8703" width="17.85546875" style="243" customWidth="1"/>
    <col min="8704" max="8707" width="1" style="243" customWidth="1"/>
    <col min="8708" max="8708" width="16.5703125" style="243" customWidth="1"/>
    <col min="8709" max="8712" width="1" style="243" customWidth="1"/>
    <col min="8713" max="8713" width="14.7109375" style="243" customWidth="1"/>
    <col min="8714" max="8715" width="1" style="243" customWidth="1"/>
    <col min="8716" max="8770" width="0" style="243" hidden="1" customWidth="1"/>
    <col min="8771" max="8772" width="1" style="243" customWidth="1"/>
    <col min="8773" max="8773" width="17.85546875" style="243" customWidth="1"/>
    <col min="8774" max="8777" width="1" style="243" customWidth="1"/>
    <col min="8778" max="8778" width="17.85546875" style="243" customWidth="1"/>
    <col min="8779" max="8781" width="1" style="243" customWidth="1"/>
    <col min="8782" max="8782" width="1.85546875" style="243" customWidth="1"/>
    <col min="8783" max="8786" width="0" style="243" hidden="1" customWidth="1"/>
    <col min="8787" max="8788" width="10" style="243"/>
    <col min="8789" max="8789" width="13.42578125" style="243" bestFit="1" customWidth="1"/>
    <col min="8790" max="8891" width="10" style="243"/>
    <col min="8892" max="8894" width="0" style="243" hidden="1" customWidth="1"/>
    <col min="8895" max="8895" width="64.85546875" style="243" customWidth="1"/>
    <col min="8896" max="8896" width="7" style="243" customWidth="1"/>
    <col min="8897" max="8898" width="1" style="243" customWidth="1"/>
    <col min="8899" max="8899" width="15.140625" style="243" customWidth="1"/>
    <col min="8900" max="8901" width="1" style="243" customWidth="1"/>
    <col min="8902" max="8956" width="0" style="243" hidden="1" customWidth="1"/>
    <col min="8957" max="8958" width="1" style="243" customWidth="1"/>
    <col min="8959" max="8959" width="17.85546875" style="243" customWidth="1"/>
    <col min="8960" max="8963" width="1" style="243" customWidth="1"/>
    <col min="8964" max="8964" width="16.5703125" style="243" customWidth="1"/>
    <col min="8965" max="8968" width="1" style="243" customWidth="1"/>
    <col min="8969" max="8969" width="14.7109375" style="243" customWidth="1"/>
    <col min="8970" max="8971" width="1" style="243" customWidth="1"/>
    <col min="8972" max="9026" width="0" style="243" hidden="1" customWidth="1"/>
    <col min="9027" max="9028" width="1" style="243" customWidth="1"/>
    <col min="9029" max="9029" width="17.85546875" style="243" customWidth="1"/>
    <col min="9030" max="9033" width="1" style="243" customWidth="1"/>
    <col min="9034" max="9034" width="17.85546875" style="243" customWidth="1"/>
    <col min="9035" max="9037" width="1" style="243" customWidth="1"/>
    <col min="9038" max="9038" width="1.85546875" style="243" customWidth="1"/>
    <col min="9039" max="9042" width="0" style="243" hidden="1" customWidth="1"/>
    <col min="9043" max="9044" width="10" style="243"/>
    <col min="9045" max="9045" width="13.42578125" style="243" bestFit="1" customWidth="1"/>
    <col min="9046" max="9147" width="10" style="243"/>
    <col min="9148" max="9150" width="0" style="243" hidden="1" customWidth="1"/>
    <col min="9151" max="9151" width="64.85546875" style="243" customWidth="1"/>
    <col min="9152" max="9152" width="7" style="243" customWidth="1"/>
    <col min="9153" max="9154" width="1" style="243" customWidth="1"/>
    <col min="9155" max="9155" width="15.140625" style="243" customWidth="1"/>
    <col min="9156" max="9157" width="1" style="243" customWidth="1"/>
    <col min="9158" max="9212" width="0" style="243" hidden="1" customWidth="1"/>
    <col min="9213" max="9214" width="1" style="243" customWidth="1"/>
    <col min="9215" max="9215" width="17.85546875" style="243" customWidth="1"/>
    <col min="9216" max="9219" width="1" style="243" customWidth="1"/>
    <col min="9220" max="9220" width="16.5703125" style="243" customWidth="1"/>
    <col min="9221" max="9224" width="1" style="243" customWidth="1"/>
    <col min="9225" max="9225" width="14.7109375" style="243" customWidth="1"/>
    <col min="9226" max="9227" width="1" style="243" customWidth="1"/>
    <col min="9228" max="9282" width="0" style="243" hidden="1" customWidth="1"/>
    <col min="9283" max="9284" width="1" style="243" customWidth="1"/>
    <col min="9285" max="9285" width="17.85546875" style="243" customWidth="1"/>
    <col min="9286" max="9289" width="1" style="243" customWidth="1"/>
    <col min="9290" max="9290" width="17.85546875" style="243" customWidth="1"/>
    <col min="9291" max="9293" width="1" style="243" customWidth="1"/>
    <col min="9294" max="9294" width="1.85546875" style="243" customWidth="1"/>
    <col min="9295" max="9298" width="0" style="243" hidden="1" customWidth="1"/>
    <col min="9299" max="9300" width="10" style="243"/>
    <col min="9301" max="9301" width="13.42578125" style="243" bestFit="1" customWidth="1"/>
    <col min="9302" max="9403" width="10" style="243"/>
    <col min="9404" max="9406" width="0" style="243" hidden="1" customWidth="1"/>
    <col min="9407" max="9407" width="64.85546875" style="243" customWidth="1"/>
    <col min="9408" max="9408" width="7" style="243" customWidth="1"/>
    <col min="9409" max="9410" width="1" style="243" customWidth="1"/>
    <col min="9411" max="9411" width="15.140625" style="243" customWidth="1"/>
    <col min="9412" max="9413" width="1" style="243" customWidth="1"/>
    <col min="9414" max="9468" width="0" style="243" hidden="1" customWidth="1"/>
    <col min="9469" max="9470" width="1" style="243" customWidth="1"/>
    <col min="9471" max="9471" width="17.85546875" style="243" customWidth="1"/>
    <col min="9472" max="9475" width="1" style="243" customWidth="1"/>
    <col min="9476" max="9476" width="16.5703125" style="243" customWidth="1"/>
    <col min="9477" max="9480" width="1" style="243" customWidth="1"/>
    <col min="9481" max="9481" width="14.7109375" style="243" customWidth="1"/>
    <col min="9482" max="9483" width="1" style="243" customWidth="1"/>
    <col min="9484" max="9538" width="0" style="243" hidden="1" customWidth="1"/>
    <col min="9539" max="9540" width="1" style="243" customWidth="1"/>
    <col min="9541" max="9541" width="17.85546875" style="243" customWidth="1"/>
    <col min="9542" max="9545" width="1" style="243" customWidth="1"/>
    <col min="9546" max="9546" width="17.85546875" style="243" customWidth="1"/>
    <col min="9547" max="9549" width="1" style="243" customWidth="1"/>
    <col min="9550" max="9550" width="1.85546875" style="243" customWidth="1"/>
    <col min="9551" max="9554" width="0" style="243" hidden="1" customWidth="1"/>
    <col min="9555" max="9556" width="10" style="243"/>
    <col min="9557" max="9557" width="13.42578125" style="243" bestFit="1" customWidth="1"/>
    <col min="9558" max="9659" width="10" style="243"/>
    <col min="9660" max="9662" width="0" style="243" hidden="1" customWidth="1"/>
    <col min="9663" max="9663" width="64.85546875" style="243" customWidth="1"/>
    <col min="9664" max="9664" width="7" style="243" customWidth="1"/>
    <col min="9665" max="9666" width="1" style="243" customWidth="1"/>
    <col min="9667" max="9667" width="15.140625" style="243" customWidth="1"/>
    <col min="9668" max="9669" width="1" style="243" customWidth="1"/>
    <col min="9670" max="9724" width="0" style="243" hidden="1" customWidth="1"/>
    <col min="9725" max="9726" width="1" style="243" customWidth="1"/>
    <col min="9727" max="9727" width="17.85546875" style="243" customWidth="1"/>
    <col min="9728" max="9731" width="1" style="243" customWidth="1"/>
    <col min="9732" max="9732" width="16.5703125" style="243" customWidth="1"/>
    <col min="9733" max="9736" width="1" style="243" customWidth="1"/>
    <col min="9737" max="9737" width="14.7109375" style="243" customWidth="1"/>
    <col min="9738" max="9739" width="1" style="243" customWidth="1"/>
    <col min="9740" max="9794" width="0" style="243" hidden="1" customWidth="1"/>
    <col min="9795" max="9796" width="1" style="243" customWidth="1"/>
    <col min="9797" max="9797" width="17.85546875" style="243" customWidth="1"/>
    <col min="9798" max="9801" width="1" style="243" customWidth="1"/>
    <col min="9802" max="9802" width="17.85546875" style="243" customWidth="1"/>
    <col min="9803" max="9805" width="1" style="243" customWidth="1"/>
    <col min="9806" max="9806" width="1.85546875" style="243" customWidth="1"/>
    <col min="9807" max="9810" width="0" style="243" hidden="1" customWidth="1"/>
    <col min="9811" max="9812" width="10" style="243"/>
    <col min="9813" max="9813" width="13.42578125" style="243" bestFit="1" customWidth="1"/>
    <col min="9814" max="9915" width="10" style="243"/>
    <col min="9916" max="9918" width="0" style="243" hidden="1" customWidth="1"/>
    <col min="9919" max="9919" width="64.85546875" style="243" customWidth="1"/>
    <col min="9920" max="9920" width="7" style="243" customWidth="1"/>
    <col min="9921" max="9922" width="1" style="243" customWidth="1"/>
    <col min="9923" max="9923" width="15.140625" style="243" customWidth="1"/>
    <col min="9924" max="9925" width="1" style="243" customWidth="1"/>
    <col min="9926" max="9980" width="0" style="243" hidden="1" customWidth="1"/>
    <col min="9981" max="9982" width="1" style="243" customWidth="1"/>
    <col min="9983" max="9983" width="17.85546875" style="243" customWidth="1"/>
    <col min="9984" max="9987" width="1" style="243" customWidth="1"/>
    <col min="9988" max="9988" width="16.5703125" style="243" customWidth="1"/>
    <col min="9989" max="9992" width="1" style="243" customWidth="1"/>
    <col min="9993" max="9993" width="14.7109375" style="243" customWidth="1"/>
    <col min="9994" max="9995" width="1" style="243" customWidth="1"/>
    <col min="9996" max="10050" width="0" style="243" hidden="1" customWidth="1"/>
    <col min="10051" max="10052" width="1" style="243" customWidth="1"/>
    <col min="10053" max="10053" width="17.85546875" style="243" customWidth="1"/>
    <col min="10054" max="10057" width="1" style="243" customWidth="1"/>
    <col min="10058" max="10058" width="17.85546875" style="243" customWidth="1"/>
    <col min="10059" max="10061" width="1" style="243" customWidth="1"/>
    <col min="10062" max="10062" width="1.85546875" style="243" customWidth="1"/>
    <col min="10063" max="10066" width="0" style="243" hidden="1" customWidth="1"/>
    <col min="10067" max="10068" width="10" style="243"/>
    <col min="10069" max="10069" width="13.42578125" style="243" bestFit="1" customWidth="1"/>
    <col min="10070" max="10171" width="10" style="243"/>
    <col min="10172" max="10174" width="0" style="243" hidden="1" customWidth="1"/>
    <col min="10175" max="10175" width="64.85546875" style="243" customWidth="1"/>
    <col min="10176" max="10176" width="7" style="243" customWidth="1"/>
    <col min="10177" max="10178" width="1" style="243" customWidth="1"/>
    <col min="10179" max="10179" width="15.140625" style="243" customWidth="1"/>
    <col min="10180" max="10181" width="1" style="243" customWidth="1"/>
    <col min="10182" max="10236" width="0" style="243" hidden="1" customWidth="1"/>
    <col min="10237" max="10238" width="1" style="243" customWidth="1"/>
    <col min="10239" max="10239" width="17.85546875" style="243" customWidth="1"/>
    <col min="10240" max="10243" width="1" style="243" customWidth="1"/>
    <col min="10244" max="10244" width="16.5703125" style="243" customWidth="1"/>
    <col min="10245" max="10248" width="1" style="243" customWidth="1"/>
    <col min="10249" max="10249" width="14.7109375" style="243" customWidth="1"/>
    <col min="10250" max="10251" width="1" style="243" customWidth="1"/>
    <col min="10252" max="10306" width="0" style="243" hidden="1" customWidth="1"/>
    <col min="10307" max="10308" width="1" style="243" customWidth="1"/>
    <col min="10309" max="10309" width="17.85546875" style="243" customWidth="1"/>
    <col min="10310" max="10313" width="1" style="243" customWidth="1"/>
    <col min="10314" max="10314" width="17.85546875" style="243" customWidth="1"/>
    <col min="10315" max="10317" width="1" style="243" customWidth="1"/>
    <col min="10318" max="10318" width="1.85546875" style="243" customWidth="1"/>
    <col min="10319" max="10322" width="0" style="243" hidden="1" customWidth="1"/>
    <col min="10323" max="10324" width="10" style="243"/>
    <col min="10325" max="10325" width="13.42578125" style="243" bestFit="1" customWidth="1"/>
    <col min="10326" max="10427" width="10" style="243"/>
    <col min="10428" max="10430" width="0" style="243" hidden="1" customWidth="1"/>
    <col min="10431" max="10431" width="64.85546875" style="243" customWidth="1"/>
    <col min="10432" max="10432" width="7" style="243" customWidth="1"/>
    <col min="10433" max="10434" width="1" style="243" customWidth="1"/>
    <col min="10435" max="10435" width="15.140625" style="243" customWidth="1"/>
    <col min="10436" max="10437" width="1" style="243" customWidth="1"/>
    <col min="10438" max="10492" width="0" style="243" hidden="1" customWidth="1"/>
    <col min="10493" max="10494" width="1" style="243" customWidth="1"/>
    <col min="10495" max="10495" width="17.85546875" style="243" customWidth="1"/>
    <col min="10496" max="10499" width="1" style="243" customWidth="1"/>
    <col min="10500" max="10500" width="16.5703125" style="243" customWidth="1"/>
    <col min="10501" max="10504" width="1" style="243" customWidth="1"/>
    <col min="10505" max="10505" width="14.7109375" style="243" customWidth="1"/>
    <col min="10506" max="10507" width="1" style="243" customWidth="1"/>
    <col min="10508" max="10562" width="0" style="243" hidden="1" customWidth="1"/>
    <col min="10563" max="10564" width="1" style="243" customWidth="1"/>
    <col min="10565" max="10565" width="17.85546875" style="243" customWidth="1"/>
    <col min="10566" max="10569" width="1" style="243" customWidth="1"/>
    <col min="10570" max="10570" width="17.85546875" style="243" customWidth="1"/>
    <col min="10571" max="10573" width="1" style="243" customWidth="1"/>
    <col min="10574" max="10574" width="1.85546875" style="243" customWidth="1"/>
    <col min="10575" max="10578" width="0" style="243" hidden="1" customWidth="1"/>
    <col min="10579" max="10580" width="10" style="243"/>
    <col min="10581" max="10581" width="13.42578125" style="243" bestFit="1" customWidth="1"/>
    <col min="10582" max="10683" width="10" style="243"/>
    <col min="10684" max="10686" width="0" style="243" hidden="1" customWidth="1"/>
    <col min="10687" max="10687" width="64.85546875" style="243" customWidth="1"/>
    <col min="10688" max="10688" width="7" style="243" customWidth="1"/>
    <col min="10689" max="10690" width="1" style="243" customWidth="1"/>
    <col min="10691" max="10691" width="15.140625" style="243" customWidth="1"/>
    <col min="10692" max="10693" width="1" style="243" customWidth="1"/>
    <col min="10694" max="10748" width="0" style="243" hidden="1" customWidth="1"/>
    <col min="10749" max="10750" width="1" style="243" customWidth="1"/>
    <col min="10751" max="10751" width="17.85546875" style="243" customWidth="1"/>
    <col min="10752" max="10755" width="1" style="243" customWidth="1"/>
    <col min="10756" max="10756" width="16.5703125" style="243" customWidth="1"/>
    <col min="10757" max="10760" width="1" style="243" customWidth="1"/>
    <col min="10761" max="10761" width="14.7109375" style="243" customWidth="1"/>
    <col min="10762" max="10763" width="1" style="243" customWidth="1"/>
    <col min="10764" max="10818" width="0" style="243" hidden="1" customWidth="1"/>
    <col min="10819" max="10820" width="1" style="243" customWidth="1"/>
    <col min="10821" max="10821" width="17.85546875" style="243" customWidth="1"/>
    <col min="10822" max="10825" width="1" style="243" customWidth="1"/>
    <col min="10826" max="10826" width="17.85546875" style="243" customWidth="1"/>
    <col min="10827" max="10829" width="1" style="243" customWidth="1"/>
    <col min="10830" max="10830" width="1.85546875" style="243" customWidth="1"/>
    <col min="10831" max="10834" width="0" style="243" hidden="1" customWidth="1"/>
    <col min="10835" max="10836" width="10" style="243"/>
    <col min="10837" max="10837" width="13.42578125" style="243" bestFit="1" customWidth="1"/>
    <col min="10838" max="10939" width="10" style="243"/>
    <col min="10940" max="10942" width="0" style="243" hidden="1" customWidth="1"/>
    <col min="10943" max="10943" width="64.85546875" style="243" customWidth="1"/>
    <col min="10944" max="10944" width="7" style="243" customWidth="1"/>
    <col min="10945" max="10946" width="1" style="243" customWidth="1"/>
    <col min="10947" max="10947" width="15.140625" style="243" customWidth="1"/>
    <col min="10948" max="10949" width="1" style="243" customWidth="1"/>
    <col min="10950" max="11004" width="0" style="243" hidden="1" customWidth="1"/>
    <col min="11005" max="11006" width="1" style="243" customWidth="1"/>
    <col min="11007" max="11007" width="17.85546875" style="243" customWidth="1"/>
    <col min="11008" max="11011" width="1" style="243" customWidth="1"/>
    <col min="11012" max="11012" width="16.5703125" style="243" customWidth="1"/>
    <col min="11013" max="11016" width="1" style="243" customWidth="1"/>
    <col min="11017" max="11017" width="14.7109375" style="243" customWidth="1"/>
    <col min="11018" max="11019" width="1" style="243" customWidth="1"/>
    <col min="11020" max="11074" width="0" style="243" hidden="1" customWidth="1"/>
    <col min="11075" max="11076" width="1" style="243" customWidth="1"/>
    <col min="11077" max="11077" width="17.85546875" style="243" customWidth="1"/>
    <col min="11078" max="11081" width="1" style="243" customWidth="1"/>
    <col min="11082" max="11082" width="17.85546875" style="243" customWidth="1"/>
    <col min="11083" max="11085" width="1" style="243" customWidth="1"/>
    <col min="11086" max="11086" width="1.85546875" style="243" customWidth="1"/>
    <col min="11087" max="11090" width="0" style="243" hidden="1" customWidth="1"/>
    <col min="11091" max="11092" width="10" style="243"/>
    <col min="11093" max="11093" width="13.42578125" style="243" bestFit="1" customWidth="1"/>
    <col min="11094" max="11195" width="10" style="243"/>
    <col min="11196" max="11198" width="0" style="243" hidden="1" customWidth="1"/>
    <col min="11199" max="11199" width="64.85546875" style="243" customWidth="1"/>
    <col min="11200" max="11200" width="7" style="243" customWidth="1"/>
    <col min="11201" max="11202" width="1" style="243" customWidth="1"/>
    <col min="11203" max="11203" width="15.140625" style="243" customWidth="1"/>
    <col min="11204" max="11205" width="1" style="243" customWidth="1"/>
    <col min="11206" max="11260" width="0" style="243" hidden="1" customWidth="1"/>
    <col min="11261" max="11262" width="1" style="243" customWidth="1"/>
    <col min="11263" max="11263" width="17.85546875" style="243" customWidth="1"/>
    <col min="11264" max="11267" width="1" style="243" customWidth="1"/>
    <col min="11268" max="11268" width="16.5703125" style="243" customWidth="1"/>
    <col min="11269" max="11272" width="1" style="243" customWidth="1"/>
    <col min="11273" max="11273" width="14.7109375" style="243" customWidth="1"/>
    <col min="11274" max="11275" width="1" style="243" customWidth="1"/>
    <col min="11276" max="11330" width="0" style="243" hidden="1" customWidth="1"/>
    <col min="11331" max="11332" width="1" style="243" customWidth="1"/>
    <col min="11333" max="11333" width="17.85546875" style="243" customWidth="1"/>
    <col min="11334" max="11337" width="1" style="243" customWidth="1"/>
    <col min="11338" max="11338" width="17.85546875" style="243" customWidth="1"/>
    <col min="11339" max="11341" width="1" style="243" customWidth="1"/>
    <col min="11342" max="11342" width="1.85546875" style="243" customWidth="1"/>
    <col min="11343" max="11346" width="0" style="243" hidden="1" customWidth="1"/>
    <col min="11347" max="11348" width="10" style="243"/>
    <col min="11349" max="11349" width="13.42578125" style="243" bestFit="1" customWidth="1"/>
    <col min="11350" max="11451" width="10" style="243"/>
    <col min="11452" max="11454" width="0" style="243" hidden="1" customWidth="1"/>
    <col min="11455" max="11455" width="64.85546875" style="243" customWidth="1"/>
    <col min="11456" max="11456" width="7" style="243" customWidth="1"/>
    <col min="11457" max="11458" width="1" style="243" customWidth="1"/>
    <col min="11459" max="11459" width="15.140625" style="243" customWidth="1"/>
    <col min="11460" max="11461" width="1" style="243" customWidth="1"/>
    <col min="11462" max="11516" width="0" style="243" hidden="1" customWidth="1"/>
    <col min="11517" max="11518" width="1" style="243" customWidth="1"/>
    <col min="11519" max="11519" width="17.85546875" style="243" customWidth="1"/>
    <col min="11520" max="11523" width="1" style="243" customWidth="1"/>
    <col min="11524" max="11524" width="16.5703125" style="243" customWidth="1"/>
    <col min="11525" max="11528" width="1" style="243" customWidth="1"/>
    <col min="11529" max="11529" width="14.7109375" style="243" customWidth="1"/>
    <col min="11530" max="11531" width="1" style="243" customWidth="1"/>
    <col min="11532" max="11586" width="0" style="243" hidden="1" customWidth="1"/>
    <col min="11587" max="11588" width="1" style="243" customWidth="1"/>
    <col min="11589" max="11589" width="17.85546875" style="243" customWidth="1"/>
    <col min="11590" max="11593" width="1" style="243" customWidth="1"/>
    <col min="11594" max="11594" width="17.85546875" style="243" customWidth="1"/>
    <col min="11595" max="11597" width="1" style="243" customWidth="1"/>
    <col min="11598" max="11598" width="1.85546875" style="243" customWidth="1"/>
    <col min="11599" max="11602" width="0" style="243" hidden="1" customWidth="1"/>
    <col min="11603" max="11604" width="10" style="243"/>
    <col min="11605" max="11605" width="13.42578125" style="243" bestFit="1" customWidth="1"/>
    <col min="11606" max="11707" width="10" style="243"/>
    <col min="11708" max="11710" width="0" style="243" hidden="1" customWidth="1"/>
    <col min="11711" max="11711" width="64.85546875" style="243" customWidth="1"/>
    <col min="11712" max="11712" width="7" style="243" customWidth="1"/>
    <col min="11713" max="11714" width="1" style="243" customWidth="1"/>
    <col min="11715" max="11715" width="15.140625" style="243" customWidth="1"/>
    <col min="11716" max="11717" width="1" style="243" customWidth="1"/>
    <col min="11718" max="11772" width="0" style="243" hidden="1" customWidth="1"/>
    <col min="11773" max="11774" width="1" style="243" customWidth="1"/>
    <col min="11775" max="11775" width="17.85546875" style="243" customWidth="1"/>
    <col min="11776" max="11779" width="1" style="243" customWidth="1"/>
    <col min="11780" max="11780" width="16.5703125" style="243" customWidth="1"/>
    <col min="11781" max="11784" width="1" style="243" customWidth="1"/>
    <col min="11785" max="11785" width="14.7109375" style="243" customWidth="1"/>
    <col min="11786" max="11787" width="1" style="243" customWidth="1"/>
    <col min="11788" max="11842" width="0" style="243" hidden="1" customWidth="1"/>
    <col min="11843" max="11844" width="1" style="243" customWidth="1"/>
    <col min="11845" max="11845" width="17.85546875" style="243" customWidth="1"/>
    <col min="11846" max="11849" width="1" style="243" customWidth="1"/>
    <col min="11850" max="11850" width="17.85546875" style="243" customWidth="1"/>
    <col min="11851" max="11853" width="1" style="243" customWidth="1"/>
    <col min="11854" max="11854" width="1.85546875" style="243" customWidth="1"/>
    <col min="11855" max="11858" width="0" style="243" hidden="1" customWidth="1"/>
    <col min="11859" max="11860" width="10" style="243"/>
    <col min="11861" max="11861" width="13.42578125" style="243" bestFit="1" customWidth="1"/>
    <col min="11862" max="11963" width="10" style="243"/>
    <col min="11964" max="11966" width="0" style="243" hidden="1" customWidth="1"/>
    <col min="11967" max="11967" width="64.85546875" style="243" customWidth="1"/>
    <col min="11968" max="11968" width="7" style="243" customWidth="1"/>
    <col min="11969" max="11970" width="1" style="243" customWidth="1"/>
    <col min="11971" max="11971" width="15.140625" style="243" customWidth="1"/>
    <col min="11972" max="11973" width="1" style="243" customWidth="1"/>
    <col min="11974" max="12028" width="0" style="243" hidden="1" customWidth="1"/>
    <col min="12029" max="12030" width="1" style="243" customWidth="1"/>
    <col min="12031" max="12031" width="17.85546875" style="243" customWidth="1"/>
    <col min="12032" max="12035" width="1" style="243" customWidth="1"/>
    <col min="12036" max="12036" width="16.5703125" style="243" customWidth="1"/>
    <col min="12037" max="12040" width="1" style="243" customWidth="1"/>
    <col min="12041" max="12041" width="14.7109375" style="243" customWidth="1"/>
    <col min="12042" max="12043" width="1" style="243" customWidth="1"/>
    <col min="12044" max="12098" width="0" style="243" hidden="1" customWidth="1"/>
    <col min="12099" max="12100" width="1" style="243" customWidth="1"/>
    <col min="12101" max="12101" width="17.85546875" style="243" customWidth="1"/>
    <col min="12102" max="12105" width="1" style="243" customWidth="1"/>
    <col min="12106" max="12106" width="17.85546875" style="243" customWidth="1"/>
    <col min="12107" max="12109" width="1" style="243" customWidth="1"/>
    <col min="12110" max="12110" width="1.85546875" style="243" customWidth="1"/>
    <col min="12111" max="12114" width="0" style="243" hidden="1" customWidth="1"/>
    <col min="12115" max="12116" width="10" style="243"/>
    <col min="12117" max="12117" width="13.42578125" style="243" bestFit="1" customWidth="1"/>
    <col min="12118" max="12219" width="10" style="243"/>
    <col min="12220" max="12222" width="0" style="243" hidden="1" customWidth="1"/>
    <col min="12223" max="12223" width="64.85546875" style="243" customWidth="1"/>
    <col min="12224" max="12224" width="7" style="243" customWidth="1"/>
    <col min="12225" max="12226" width="1" style="243" customWidth="1"/>
    <col min="12227" max="12227" width="15.140625" style="243" customWidth="1"/>
    <col min="12228" max="12229" width="1" style="243" customWidth="1"/>
    <col min="12230" max="12284" width="0" style="243" hidden="1" customWidth="1"/>
    <col min="12285" max="12286" width="1" style="243" customWidth="1"/>
    <col min="12287" max="12287" width="17.85546875" style="243" customWidth="1"/>
    <col min="12288" max="12291" width="1" style="243" customWidth="1"/>
    <col min="12292" max="12292" width="16.5703125" style="243" customWidth="1"/>
    <col min="12293" max="12296" width="1" style="243" customWidth="1"/>
    <col min="12297" max="12297" width="14.7109375" style="243" customWidth="1"/>
    <col min="12298" max="12299" width="1" style="243" customWidth="1"/>
    <col min="12300" max="12354" width="0" style="243" hidden="1" customWidth="1"/>
    <col min="12355" max="12356" width="1" style="243" customWidth="1"/>
    <col min="12357" max="12357" width="17.85546875" style="243" customWidth="1"/>
    <col min="12358" max="12361" width="1" style="243" customWidth="1"/>
    <col min="12362" max="12362" width="17.85546875" style="243" customWidth="1"/>
    <col min="12363" max="12365" width="1" style="243" customWidth="1"/>
    <col min="12366" max="12366" width="1.85546875" style="243" customWidth="1"/>
    <col min="12367" max="12370" width="0" style="243" hidden="1" customWidth="1"/>
    <col min="12371" max="12372" width="10" style="243"/>
    <col min="12373" max="12373" width="13.42578125" style="243" bestFit="1" customWidth="1"/>
    <col min="12374" max="12475" width="10" style="243"/>
    <col min="12476" max="12478" width="0" style="243" hidden="1" customWidth="1"/>
    <col min="12479" max="12479" width="64.85546875" style="243" customWidth="1"/>
    <col min="12480" max="12480" width="7" style="243" customWidth="1"/>
    <col min="12481" max="12482" width="1" style="243" customWidth="1"/>
    <col min="12483" max="12483" width="15.140625" style="243" customWidth="1"/>
    <col min="12484" max="12485" width="1" style="243" customWidth="1"/>
    <col min="12486" max="12540" width="0" style="243" hidden="1" customWidth="1"/>
    <col min="12541" max="12542" width="1" style="243" customWidth="1"/>
    <col min="12543" max="12543" width="17.85546875" style="243" customWidth="1"/>
    <col min="12544" max="12547" width="1" style="243" customWidth="1"/>
    <col min="12548" max="12548" width="16.5703125" style="243" customWidth="1"/>
    <col min="12549" max="12552" width="1" style="243" customWidth="1"/>
    <col min="12553" max="12553" width="14.7109375" style="243" customWidth="1"/>
    <col min="12554" max="12555" width="1" style="243" customWidth="1"/>
    <col min="12556" max="12610" width="0" style="243" hidden="1" customWidth="1"/>
    <col min="12611" max="12612" width="1" style="243" customWidth="1"/>
    <col min="12613" max="12613" width="17.85546875" style="243" customWidth="1"/>
    <col min="12614" max="12617" width="1" style="243" customWidth="1"/>
    <col min="12618" max="12618" width="17.85546875" style="243" customWidth="1"/>
    <col min="12619" max="12621" width="1" style="243" customWidth="1"/>
    <col min="12622" max="12622" width="1.85546875" style="243" customWidth="1"/>
    <col min="12623" max="12626" width="0" style="243" hidden="1" customWidth="1"/>
    <col min="12627" max="12628" width="10" style="243"/>
    <col min="12629" max="12629" width="13.42578125" style="243" bestFit="1" customWidth="1"/>
    <col min="12630" max="12731" width="10" style="243"/>
    <col min="12732" max="12734" width="0" style="243" hidden="1" customWidth="1"/>
    <col min="12735" max="12735" width="64.85546875" style="243" customWidth="1"/>
    <col min="12736" max="12736" width="7" style="243" customWidth="1"/>
    <col min="12737" max="12738" width="1" style="243" customWidth="1"/>
    <col min="12739" max="12739" width="15.140625" style="243" customWidth="1"/>
    <col min="12740" max="12741" width="1" style="243" customWidth="1"/>
    <col min="12742" max="12796" width="0" style="243" hidden="1" customWidth="1"/>
    <col min="12797" max="12798" width="1" style="243" customWidth="1"/>
    <col min="12799" max="12799" width="17.85546875" style="243" customWidth="1"/>
    <col min="12800" max="12803" width="1" style="243" customWidth="1"/>
    <col min="12804" max="12804" width="16.5703125" style="243" customWidth="1"/>
    <col min="12805" max="12808" width="1" style="243" customWidth="1"/>
    <col min="12809" max="12809" width="14.7109375" style="243" customWidth="1"/>
    <col min="12810" max="12811" width="1" style="243" customWidth="1"/>
    <col min="12812" max="12866" width="0" style="243" hidden="1" customWidth="1"/>
    <col min="12867" max="12868" width="1" style="243" customWidth="1"/>
    <col min="12869" max="12869" width="17.85546875" style="243" customWidth="1"/>
    <col min="12870" max="12873" width="1" style="243" customWidth="1"/>
    <col min="12874" max="12874" width="17.85546875" style="243" customWidth="1"/>
    <col min="12875" max="12877" width="1" style="243" customWidth="1"/>
    <col min="12878" max="12878" width="1.85546875" style="243" customWidth="1"/>
    <col min="12879" max="12882" width="0" style="243" hidden="1" customWidth="1"/>
    <col min="12883" max="12884" width="10" style="243"/>
    <col min="12885" max="12885" width="13.42578125" style="243" bestFit="1" customWidth="1"/>
    <col min="12886" max="12987" width="10" style="243"/>
    <col min="12988" max="12990" width="0" style="243" hidden="1" customWidth="1"/>
    <col min="12991" max="12991" width="64.85546875" style="243" customWidth="1"/>
    <col min="12992" max="12992" width="7" style="243" customWidth="1"/>
    <col min="12993" max="12994" width="1" style="243" customWidth="1"/>
    <col min="12995" max="12995" width="15.140625" style="243" customWidth="1"/>
    <col min="12996" max="12997" width="1" style="243" customWidth="1"/>
    <col min="12998" max="13052" width="0" style="243" hidden="1" customWidth="1"/>
    <col min="13053" max="13054" width="1" style="243" customWidth="1"/>
    <col min="13055" max="13055" width="17.85546875" style="243" customWidth="1"/>
    <col min="13056" max="13059" width="1" style="243" customWidth="1"/>
    <col min="13060" max="13060" width="16.5703125" style="243" customWidth="1"/>
    <col min="13061" max="13064" width="1" style="243" customWidth="1"/>
    <col min="13065" max="13065" width="14.7109375" style="243" customWidth="1"/>
    <col min="13066" max="13067" width="1" style="243" customWidth="1"/>
    <col min="13068" max="13122" width="0" style="243" hidden="1" customWidth="1"/>
    <col min="13123" max="13124" width="1" style="243" customWidth="1"/>
    <col min="13125" max="13125" width="17.85546875" style="243" customWidth="1"/>
    <col min="13126" max="13129" width="1" style="243" customWidth="1"/>
    <col min="13130" max="13130" width="17.85546875" style="243" customWidth="1"/>
    <col min="13131" max="13133" width="1" style="243" customWidth="1"/>
    <col min="13134" max="13134" width="1.85546875" style="243" customWidth="1"/>
    <col min="13135" max="13138" width="0" style="243" hidden="1" customWidth="1"/>
    <col min="13139" max="13140" width="10" style="243"/>
    <col min="13141" max="13141" width="13.42578125" style="243" bestFit="1" customWidth="1"/>
    <col min="13142" max="13243" width="10" style="243"/>
    <col min="13244" max="13246" width="0" style="243" hidden="1" customWidth="1"/>
    <col min="13247" max="13247" width="64.85546875" style="243" customWidth="1"/>
    <col min="13248" max="13248" width="7" style="243" customWidth="1"/>
    <col min="13249" max="13250" width="1" style="243" customWidth="1"/>
    <col min="13251" max="13251" width="15.140625" style="243" customWidth="1"/>
    <col min="13252" max="13253" width="1" style="243" customWidth="1"/>
    <col min="13254" max="13308" width="0" style="243" hidden="1" customWidth="1"/>
    <col min="13309" max="13310" width="1" style="243" customWidth="1"/>
    <col min="13311" max="13311" width="17.85546875" style="243" customWidth="1"/>
    <col min="13312" max="13315" width="1" style="243" customWidth="1"/>
    <col min="13316" max="13316" width="16.5703125" style="243" customWidth="1"/>
    <col min="13317" max="13320" width="1" style="243" customWidth="1"/>
    <col min="13321" max="13321" width="14.7109375" style="243" customWidth="1"/>
    <col min="13322" max="13323" width="1" style="243" customWidth="1"/>
    <col min="13324" max="13378" width="0" style="243" hidden="1" customWidth="1"/>
    <col min="13379" max="13380" width="1" style="243" customWidth="1"/>
    <col min="13381" max="13381" width="17.85546875" style="243" customWidth="1"/>
    <col min="13382" max="13385" width="1" style="243" customWidth="1"/>
    <col min="13386" max="13386" width="17.85546875" style="243" customWidth="1"/>
    <col min="13387" max="13389" width="1" style="243" customWidth="1"/>
    <col min="13390" max="13390" width="1.85546875" style="243" customWidth="1"/>
    <col min="13391" max="13394" width="0" style="243" hidden="1" customWidth="1"/>
    <col min="13395" max="13396" width="10" style="243"/>
    <col min="13397" max="13397" width="13.42578125" style="243" bestFit="1" customWidth="1"/>
    <col min="13398" max="13499" width="10" style="243"/>
    <col min="13500" max="13502" width="0" style="243" hidden="1" customWidth="1"/>
    <col min="13503" max="13503" width="64.85546875" style="243" customWidth="1"/>
    <col min="13504" max="13504" width="7" style="243" customWidth="1"/>
    <col min="13505" max="13506" width="1" style="243" customWidth="1"/>
    <col min="13507" max="13507" width="15.140625" style="243" customWidth="1"/>
    <col min="13508" max="13509" width="1" style="243" customWidth="1"/>
    <col min="13510" max="13564" width="0" style="243" hidden="1" customWidth="1"/>
    <col min="13565" max="13566" width="1" style="243" customWidth="1"/>
    <col min="13567" max="13567" width="17.85546875" style="243" customWidth="1"/>
    <col min="13568" max="13571" width="1" style="243" customWidth="1"/>
    <col min="13572" max="13572" width="16.5703125" style="243" customWidth="1"/>
    <col min="13573" max="13576" width="1" style="243" customWidth="1"/>
    <col min="13577" max="13577" width="14.7109375" style="243" customWidth="1"/>
    <col min="13578" max="13579" width="1" style="243" customWidth="1"/>
    <col min="13580" max="13634" width="0" style="243" hidden="1" customWidth="1"/>
    <col min="13635" max="13636" width="1" style="243" customWidth="1"/>
    <col min="13637" max="13637" width="17.85546875" style="243" customWidth="1"/>
    <col min="13638" max="13641" width="1" style="243" customWidth="1"/>
    <col min="13642" max="13642" width="17.85546875" style="243" customWidth="1"/>
    <col min="13643" max="13645" width="1" style="243" customWidth="1"/>
    <col min="13646" max="13646" width="1.85546875" style="243" customWidth="1"/>
    <col min="13647" max="13650" width="0" style="243" hidden="1" customWidth="1"/>
    <col min="13651" max="13652" width="10" style="243"/>
    <col min="13653" max="13653" width="13.42578125" style="243" bestFit="1" customWidth="1"/>
    <col min="13654" max="13755" width="10" style="243"/>
    <col min="13756" max="13758" width="0" style="243" hidden="1" customWidth="1"/>
    <col min="13759" max="13759" width="64.85546875" style="243" customWidth="1"/>
    <col min="13760" max="13760" width="7" style="243" customWidth="1"/>
    <col min="13761" max="13762" width="1" style="243" customWidth="1"/>
    <col min="13763" max="13763" width="15.140625" style="243" customWidth="1"/>
    <col min="13764" max="13765" width="1" style="243" customWidth="1"/>
    <col min="13766" max="13820" width="0" style="243" hidden="1" customWidth="1"/>
    <col min="13821" max="13822" width="1" style="243" customWidth="1"/>
    <col min="13823" max="13823" width="17.85546875" style="243" customWidth="1"/>
    <col min="13824" max="13827" width="1" style="243" customWidth="1"/>
    <col min="13828" max="13828" width="16.5703125" style="243" customWidth="1"/>
    <col min="13829" max="13832" width="1" style="243" customWidth="1"/>
    <col min="13833" max="13833" width="14.7109375" style="243" customWidth="1"/>
    <col min="13834" max="13835" width="1" style="243" customWidth="1"/>
    <col min="13836" max="13890" width="0" style="243" hidden="1" customWidth="1"/>
    <col min="13891" max="13892" width="1" style="243" customWidth="1"/>
    <col min="13893" max="13893" width="17.85546875" style="243" customWidth="1"/>
    <col min="13894" max="13897" width="1" style="243" customWidth="1"/>
    <col min="13898" max="13898" width="17.85546875" style="243" customWidth="1"/>
    <col min="13899" max="13901" width="1" style="243" customWidth="1"/>
    <col min="13902" max="13902" width="1.85546875" style="243" customWidth="1"/>
    <col min="13903" max="13906" width="0" style="243" hidden="1" customWidth="1"/>
    <col min="13907" max="13908" width="10" style="243"/>
    <col min="13909" max="13909" width="13.42578125" style="243" bestFit="1" customWidth="1"/>
    <col min="13910" max="14011" width="10" style="243"/>
    <col min="14012" max="14014" width="0" style="243" hidden="1" customWidth="1"/>
    <col min="14015" max="14015" width="64.85546875" style="243" customWidth="1"/>
    <col min="14016" max="14016" width="7" style="243" customWidth="1"/>
    <col min="14017" max="14018" width="1" style="243" customWidth="1"/>
    <col min="14019" max="14019" width="15.140625" style="243" customWidth="1"/>
    <col min="14020" max="14021" width="1" style="243" customWidth="1"/>
    <col min="14022" max="14076" width="0" style="243" hidden="1" customWidth="1"/>
    <col min="14077" max="14078" width="1" style="243" customWidth="1"/>
    <col min="14079" max="14079" width="17.85546875" style="243" customWidth="1"/>
    <col min="14080" max="14083" width="1" style="243" customWidth="1"/>
    <col min="14084" max="14084" width="16.5703125" style="243" customWidth="1"/>
    <col min="14085" max="14088" width="1" style="243" customWidth="1"/>
    <col min="14089" max="14089" width="14.7109375" style="243" customWidth="1"/>
    <col min="14090" max="14091" width="1" style="243" customWidth="1"/>
    <col min="14092" max="14146" width="0" style="243" hidden="1" customWidth="1"/>
    <col min="14147" max="14148" width="1" style="243" customWidth="1"/>
    <col min="14149" max="14149" width="17.85546875" style="243" customWidth="1"/>
    <col min="14150" max="14153" width="1" style="243" customWidth="1"/>
    <col min="14154" max="14154" width="17.85546875" style="243" customWidth="1"/>
    <col min="14155" max="14157" width="1" style="243" customWidth="1"/>
    <col min="14158" max="14158" width="1.85546875" style="243" customWidth="1"/>
    <col min="14159" max="14162" width="0" style="243" hidden="1" customWidth="1"/>
    <col min="14163" max="14164" width="10" style="243"/>
    <col min="14165" max="14165" width="13.42578125" style="243" bestFit="1" customWidth="1"/>
    <col min="14166" max="14267" width="10" style="243"/>
    <col min="14268" max="14270" width="0" style="243" hidden="1" customWidth="1"/>
    <col min="14271" max="14271" width="64.85546875" style="243" customWidth="1"/>
    <col min="14272" max="14272" width="7" style="243" customWidth="1"/>
    <col min="14273" max="14274" width="1" style="243" customWidth="1"/>
    <col min="14275" max="14275" width="15.140625" style="243" customWidth="1"/>
    <col min="14276" max="14277" width="1" style="243" customWidth="1"/>
    <col min="14278" max="14332" width="0" style="243" hidden="1" customWidth="1"/>
    <col min="14333" max="14334" width="1" style="243" customWidth="1"/>
    <col min="14335" max="14335" width="17.85546875" style="243" customWidth="1"/>
    <col min="14336" max="14339" width="1" style="243" customWidth="1"/>
    <col min="14340" max="14340" width="16.5703125" style="243" customWidth="1"/>
    <col min="14341" max="14344" width="1" style="243" customWidth="1"/>
    <col min="14345" max="14345" width="14.7109375" style="243" customWidth="1"/>
    <col min="14346" max="14347" width="1" style="243" customWidth="1"/>
    <col min="14348" max="14402" width="0" style="243" hidden="1" customWidth="1"/>
    <col min="14403" max="14404" width="1" style="243" customWidth="1"/>
    <col min="14405" max="14405" width="17.85546875" style="243" customWidth="1"/>
    <col min="14406" max="14409" width="1" style="243" customWidth="1"/>
    <col min="14410" max="14410" width="17.85546875" style="243" customWidth="1"/>
    <col min="14411" max="14413" width="1" style="243" customWidth="1"/>
    <col min="14414" max="14414" width="1.85546875" style="243" customWidth="1"/>
    <col min="14415" max="14418" width="0" style="243" hidden="1" customWidth="1"/>
    <col min="14419" max="14420" width="10" style="243"/>
    <col min="14421" max="14421" width="13.42578125" style="243" bestFit="1" customWidth="1"/>
    <col min="14422" max="14523" width="10" style="243"/>
    <col min="14524" max="14526" width="0" style="243" hidden="1" customWidth="1"/>
    <col min="14527" max="14527" width="64.85546875" style="243" customWidth="1"/>
    <col min="14528" max="14528" width="7" style="243" customWidth="1"/>
    <col min="14529" max="14530" width="1" style="243" customWidth="1"/>
    <col min="14531" max="14531" width="15.140625" style="243" customWidth="1"/>
    <col min="14532" max="14533" width="1" style="243" customWidth="1"/>
    <col min="14534" max="14588" width="0" style="243" hidden="1" customWidth="1"/>
    <col min="14589" max="14590" width="1" style="243" customWidth="1"/>
    <col min="14591" max="14591" width="17.85546875" style="243" customWidth="1"/>
    <col min="14592" max="14595" width="1" style="243" customWidth="1"/>
    <col min="14596" max="14596" width="16.5703125" style="243" customWidth="1"/>
    <col min="14597" max="14600" width="1" style="243" customWidth="1"/>
    <col min="14601" max="14601" width="14.7109375" style="243" customWidth="1"/>
    <col min="14602" max="14603" width="1" style="243" customWidth="1"/>
    <col min="14604" max="14658" width="0" style="243" hidden="1" customWidth="1"/>
    <col min="14659" max="14660" width="1" style="243" customWidth="1"/>
    <col min="14661" max="14661" width="17.85546875" style="243" customWidth="1"/>
    <col min="14662" max="14665" width="1" style="243" customWidth="1"/>
    <col min="14666" max="14666" width="17.85546875" style="243" customWidth="1"/>
    <col min="14667" max="14669" width="1" style="243" customWidth="1"/>
    <col min="14670" max="14670" width="1.85546875" style="243" customWidth="1"/>
    <col min="14671" max="14674" width="0" style="243" hidden="1" customWidth="1"/>
    <col min="14675" max="14676" width="10" style="243"/>
    <col min="14677" max="14677" width="13.42578125" style="243" bestFit="1" customWidth="1"/>
    <col min="14678" max="14779" width="10" style="243"/>
    <col min="14780" max="14782" width="0" style="243" hidden="1" customWidth="1"/>
    <col min="14783" max="14783" width="64.85546875" style="243" customWidth="1"/>
    <col min="14784" max="14784" width="7" style="243" customWidth="1"/>
    <col min="14785" max="14786" width="1" style="243" customWidth="1"/>
    <col min="14787" max="14787" width="15.140625" style="243" customWidth="1"/>
    <col min="14788" max="14789" width="1" style="243" customWidth="1"/>
    <col min="14790" max="14844" width="0" style="243" hidden="1" customWidth="1"/>
    <col min="14845" max="14846" width="1" style="243" customWidth="1"/>
    <col min="14847" max="14847" width="17.85546875" style="243" customWidth="1"/>
    <col min="14848" max="14851" width="1" style="243" customWidth="1"/>
    <col min="14852" max="14852" width="16.5703125" style="243" customWidth="1"/>
    <col min="14853" max="14856" width="1" style="243" customWidth="1"/>
    <col min="14857" max="14857" width="14.7109375" style="243" customWidth="1"/>
    <col min="14858" max="14859" width="1" style="243" customWidth="1"/>
    <col min="14860" max="14914" width="0" style="243" hidden="1" customWidth="1"/>
    <col min="14915" max="14916" width="1" style="243" customWidth="1"/>
    <col min="14917" max="14917" width="17.85546875" style="243" customWidth="1"/>
    <col min="14918" max="14921" width="1" style="243" customWidth="1"/>
    <col min="14922" max="14922" width="17.85546875" style="243" customWidth="1"/>
    <col min="14923" max="14925" width="1" style="243" customWidth="1"/>
    <col min="14926" max="14926" width="1.85546875" style="243" customWidth="1"/>
    <col min="14927" max="14930" width="0" style="243" hidden="1" customWidth="1"/>
    <col min="14931" max="14932" width="10" style="243"/>
    <col min="14933" max="14933" width="13.42578125" style="243" bestFit="1" customWidth="1"/>
    <col min="14934" max="15035" width="10" style="243"/>
    <col min="15036" max="15038" width="0" style="243" hidden="1" customWidth="1"/>
    <col min="15039" max="15039" width="64.85546875" style="243" customWidth="1"/>
    <col min="15040" max="15040" width="7" style="243" customWidth="1"/>
    <col min="15041" max="15042" width="1" style="243" customWidth="1"/>
    <col min="15043" max="15043" width="15.140625" style="243" customWidth="1"/>
    <col min="15044" max="15045" width="1" style="243" customWidth="1"/>
    <col min="15046" max="15100" width="0" style="243" hidden="1" customWidth="1"/>
    <col min="15101" max="15102" width="1" style="243" customWidth="1"/>
    <col min="15103" max="15103" width="17.85546875" style="243" customWidth="1"/>
    <col min="15104" max="15107" width="1" style="243" customWidth="1"/>
    <col min="15108" max="15108" width="16.5703125" style="243" customWidth="1"/>
    <col min="15109" max="15112" width="1" style="243" customWidth="1"/>
    <col min="15113" max="15113" width="14.7109375" style="243" customWidth="1"/>
    <col min="15114" max="15115" width="1" style="243" customWidth="1"/>
    <col min="15116" max="15170" width="0" style="243" hidden="1" customWidth="1"/>
    <col min="15171" max="15172" width="1" style="243" customWidth="1"/>
    <col min="15173" max="15173" width="17.85546875" style="243" customWidth="1"/>
    <col min="15174" max="15177" width="1" style="243" customWidth="1"/>
    <col min="15178" max="15178" width="17.85546875" style="243" customWidth="1"/>
    <col min="15179" max="15181" width="1" style="243" customWidth="1"/>
    <col min="15182" max="15182" width="1.85546875" style="243" customWidth="1"/>
    <col min="15183" max="15186" width="0" style="243" hidden="1" customWidth="1"/>
    <col min="15187" max="15188" width="10" style="243"/>
    <col min="15189" max="15189" width="13.42578125" style="243" bestFit="1" customWidth="1"/>
    <col min="15190" max="15291" width="10" style="243"/>
    <col min="15292" max="15294" width="0" style="243" hidden="1" customWidth="1"/>
    <col min="15295" max="15295" width="64.85546875" style="243" customWidth="1"/>
    <col min="15296" max="15296" width="7" style="243" customWidth="1"/>
    <col min="15297" max="15298" width="1" style="243" customWidth="1"/>
    <col min="15299" max="15299" width="15.140625" style="243" customWidth="1"/>
    <col min="15300" max="15301" width="1" style="243" customWidth="1"/>
    <col min="15302" max="15356" width="0" style="243" hidden="1" customWidth="1"/>
    <col min="15357" max="15358" width="1" style="243" customWidth="1"/>
    <col min="15359" max="15359" width="17.85546875" style="243" customWidth="1"/>
    <col min="15360" max="15363" width="1" style="243" customWidth="1"/>
    <col min="15364" max="15364" width="16.5703125" style="243" customWidth="1"/>
    <col min="15365" max="15368" width="1" style="243" customWidth="1"/>
    <col min="15369" max="15369" width="14.7109375" style="243" customWidth="1"/>
    <col min="15370" max="15371" width="1" style="243" customWidth="1"/>
    <col min="15372" max="15426" width="0" style="243" hidden="1" customWidth="1"/>
    <col min="15427" max="15428" width="1" style="243" customWidth="1"/>
    <col min="15429" max="15429" width="17.85546875" style="243" customWidth="1"/>
    <col min="15430" max="15433" width="1" style="243" customWidth="1"/>
    <col min="15434" max="15434" width="17.85546875" style="243" customWidth="1"/>
    <col min="15435" max="15437" width="1" style="243" customWidth="1"/>
    <col min="15438" max="15438" width="1.85546875" style="243" customWidth="1"/>
    <col min="15439" max="15442" width="0" style="243" hidden="1" customWidth="1"/>
    <col min="15443" max="15444" width="10" style="243"/>
    <col min="15445" max="15445" width="13.42578125" style="243" bestFit="1" customWidth="1"/>
    <col min="15446" max="15547" width="10" style="243"/>
    <col min="15548" max="15550" width="0" style="243" hidden="1" customWidth="1"/>
    <col min="15551" max="15551" width="64.85546875" style="243" customWidth="1"/>
    <col min="15552" max="15552" width="7" style="243" customWidth="1"/>
    <col min="15553" max="15554" width="1" style="243" customWidth="1"/>
    <col min="15555" max="15555" width="15.140625" style="243" customWidth="1"/>
    <col min="15556" max="15557" width="1" style="243" customWidth="1"/>
    <col min="15558" max="15612" width="0" style="243" hidden="1" customWidth="1"/>
    <col min="15613" max="15614" width="1" style="243" customWidth="1"/>
    <col min="15615" max="15615" width="17.85546875" style="243" customWidth="1"/>
    <col min="15616" max="15619" width="1" style="243" customWidth="1"/>
    <col min="15620" max="15620" width="16.5703125" style="243" customWidth="1"/>
    <col min="15621" max="15624" width="1" style="243" customWidth="1"/>
    <col min="15625" max="15625" width="14.7109375" style="243" customWidth="1"/>
    <col min="15626" max="15627" width="1" style="243" customWidth="1"/>
    <col min="15628" max="15682" width="0" style="243" hidden="1" customWidth="1"/>
    <col min="15683" max="15684" width="1" style="243" customWidth="1"/>
    <col min="15685" max="15685" width="17.85546875" style="243" customWidth="1"/>
    <col min="15686" max="15689" width="1" style="243" customWidth="1"/>
    <col min="15690" max="15690" width="17.85546875" style="243" customWidth="1"/>
    <col min="15691" max="15693" width="1" style="243" customWidth="1"/>
    <col min="15694" max="15694" width="1.85546875" style="243" customWidth="1"/>
    <col min="15695" max="15698" width="0" style="243" hidden="1" customWidth="1"/>
    <col min="15699" max="15700" width="10" style="243"/>
    <col min="15701" max="15701" width="13.42578125" style="243" bestFit="1" customWidth="1"/>
    <col min="15702" max="15803" width="10" style="243"/>
    <col min="15804" max="15806" width="0" style="243" hidden="1" customWidth="1"/>
    <col min="15807" max="15807" width="64.85546875" style="243" customWidth="1"/>
    <col min="15808" max="15808" width="7" style="243" customWidth="1"/>
    <col min="15809" max="15810" width="1" style="243" customWidth="1"/>
    <col min="15811" max="15811" width="15.140625" style="243" customWidth="1"/>
    <col min="15812" max="15813" width="1" style="243" customWidth="1"/>
    <col min="15814" max="15868" width="0" style="243" hidden="1" customWidth="1"/>
    <col min="15869" max="15870" width="1" style="243" customWidth="1"/>
    <col min="15871" max="15871" width="17.85546875" style="243" customWidth="1"/>
    <col min="15872" max="15875" width="1" style="243" customWidth="1"/>
    <col min="15876" max="15876" width="16.5703125" style="243" customWidth="1"/>
    <col min="15877" max="15880" width="1" style="243" customWidth="1"/>
    <col min="15881" max="15881" width="14.7109375" style="243" customWidth="1"/>
    <col min="15882" max="15883" width="1" style="243" customWidth="1"/>
    <col min="15884" max="15938" width="0" style="243" hidden="1" customWidth="1"/>
    <col min="15939" max="15940" width="1" style="243" customWidth="1"/>
    <col min="15941" max="15941" width="17.85546875" style="243" customWidth="1"/>
    <col min="15942" max="15945" width="1" style="243" customWidth="1"/>
    <col min="15946" max="15946" width="17.85546875" style="243" customWidth="1"/>
    <col min="15947" max="15949" width="1" style="243" customWidth="1"/>
    <col min="15950" max="15950" width="1.85546875" style="243" customWidth="1"/>
    <col min="15951" max="15954" width="0" style="243" hidden="1" customWidth="1"/>
    <col min="15955" max="15956" width="10" style="243"/>
    <col min="15957" max="15957" width="13.42578125" style="243" bestFit="1" customWidth="1"/>
    <col min="15958" max="16059" width="10" style="243"/>
    <col min="16060" max="16062" width="0" style="243" hidden="1" customWidth="1"/>
    <col min="16063" max="16063" width="64.85546875" style="243" customWidth="1"/>
    <col min="16064" max="16064" width="7" style="243" customWidth="1"/>
    <col min="16065" max="16066" width="1" style="243" customWidth="1"/>
    <col min="16067" max="16067" width="15.140625" style="243" customWidth="1"/>
    <col min="16068" max="16069" width="1" style="243" customWidth="1"/>
    <col min="16070" max="16124" width="0" style="243" hidden="1" customWidth="1"/>
    <col min="16125" max="16126" width="1" style="243" customWidth="1"/>
    <col min="16127" max="16127" width="17.85546875" style="243" customWidth="1"/>
    <col min="16128" max="16131" width="1" style="243" customWidth="1"/>
    <col min="16132" max="16132" width="16.5703125" style="243" customWidth="1"/>
    <col min="16133" max="16136" width="1" style="243" customWidth="1"/>
    <col min="16137" max="16137" width="14.7109375" style="243" customWidth="1"/>
    <col min="16138" max="16139" width="1" style="243" customWidth="1"/>
    <col min="16140" max="16194" width="0" style="243" hidden="1" customWidth="1"/>
    <col min="16195" max="16196" width="1" style="243" customWidth="1"/>
    <col min="16197" max="16197" width="17.85546875" style="243" customWidth="1"/>
    <col min="16198" max="16201" width="1" style="243" customWidth="1"/>
    <col min="16202" max="16202" width="17.85546875" style="243" customWidth="1"/>
    <col min="16203" max="16205" width="1" style="243" customWidth="1"/>
    <col min="16206" max="16206" width="1.85546875" style="243" customWidth="1"/>
    <col min="16207" max="16210" width="0" style="243" hidden="1" customWidth="1"/>
    <col min="16211" max="16212" width="10" style="243"/>
    <col min="16213" max="16213" width="13.42578125" style="243" bestFit="1" customWidth="1"/>
    <col min="16214" max="16384" width="10" style="243"/>
  </cols>
  <sheetData>
    <row r="1" spans="1:79" x14ac:dyDescent="0.2">
      <c r="B1" s="244"/>
      <c r="C1" s="244"/>
      <c r="D1" s="244"/>
      <c r="E1" s="62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</row>
    <row r="2" spans="1:79" ht="3" customHeight="1" x14ac:dyDescent="0.2">
      <c r="A2" s="244"/>
      <c r="B2" s="244"/>
      <c r="C2" s="244"/>
      <c r="D2" s="244"/>
      <c r="E2" s="62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</row>
    <row r="3" spans="1:79" x14ac:dyDescent="0.2">
      <c r="A3" s="244"/>
      <c r="B3" s="244"/>
      <c r="D3" s="244"/>
    </row>
    <row r="4" spans="1:79" x14ac:dyDescent="0.2">
      <c r="A4" s="244"/>
      <c r="B4" s="244"/>
      <c r="D4" s="245"/>
      <c r="E4" s="96"/>
      <c r="F4" s="268"/>
      <c r="G4" s="268"/>
    </row>
    <row r="5" spans="1:79" x14ac:dyDescent="0.2">
      <c r="A5" s="244"/>
      <c r="B5" s="244"/>
      <c r="D5" s="244"/>
      <c r="E5" s="396"/>
      <c r="F5" s="245"/>
      <c r="G5" s="245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</row>
    <row r="6" spans="1:79" x14ac:dyDescent="0.2">
      <c r="A6" s="244"/>
      <c r="B6" s="244"/>
      <c r="D6" s="244"/>
      <c r="E6" s="62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</row>
    <row r="7" spans="1:79" ht="15.75" customHeight="1" x14ac:dyDescent="0.25">
      <c r="A7" s="244"/>
      <c r="B7" s="244"/>
      <c r="D7" s="319" t="s">
        <v>457</v>
      </c>
      <c r="E7" s="396"/>
      <c r="F7" s="245"/>
      <c r="G7" s="245"/>
      <c r="H7" s="244"/>
      <c r="I7" s="244"/>
      <c r="J7" s="244"/>
      <c r="K7" s="244"/>
      <c r="L7" s="244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</row>
    <row r="8" spans="1:79" ht="12.75" customHeight="1" x14ac:dyDescent="0.2">
      <c r="A8" s="244"/>
      <c r="B8" s="244"/>
      <c r="D8" s="397"/>
      <c r="E8" s="398"/>
      <c r="F8" s="399"/>
      <c r="G8" s="400"/>
      <c r="H8" s="696" t="str">
        <f>[65]summary!H8</f>
        <v>2019/20</v>
      </c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97"/>
      <c r="BT8" s="697"/>
      <c r="BU8" s="697"/>
      <c r="BV8" s="401"/>
      <c r="BW8" s="401"/>
      <c r="BX8" s="402"/>
      <c r="BY8" s="358"/>
      <c r="BZ8" s="244"/>
    </row>
    <row r="9" spans="1:79" ht="12.75" customHeight="1" x14ac:dyDescent="0.2">
      <c r="A9" s="244"/>
      <c r="B9" s="244"/>
      <c r="D9" s="262"/>
      <c r="E9" s="396"/>
      <c r="F9" s="309"/>
      <c r="G9" s="308"/>
      <c r="H9" s="31" t="str">
        <f>[65]foreigndebt!G9</f>
        <v>Revised</v>
      </c>
      <c r="I9" s="31"/>
      <c r="J9" s="31"/>
      <c r="K9" s="306"/>
      <c r="L9" s="31"/>
      <c r="M9" s="31" t="s">
        <v>2</v>
      </c>
      <c r="N9" s="31"/>
      <c r="O9" s="31"/>
      <c r="P9" s="14"/>
      <c r="Q9" s="31"/>
      <c r="R9" s="31" t="s">
        <v>3</v>
      </c>
      <c r="S9" s="31"/>
      <c r="T9" s="31"/>
      <c r="U9" s="14"/>
      <c r="V9" s="31"/>
      <c r="W9" s="31" t="s">
        <v>167</v>
      </c>
      <c r="X9" s="31"/>
      <c r="Y9" s="31"/>
      <c r="Z9" s="14"/>
      <c r="AA9" s="31"/>
      <c r="AB9" s="31" t="s">
        <v>5</v>
      </c>
      <c r="AC9" s="31"/>
      <c r="AD9" s="31"/>
      <c r="AE9" s="14"/>
      <c r="AF9" s="31"/>
      <c r="AG9" s="31" t="s">
        <v>6</v>
      </c>
      <c r="AH9" s="31"/>
      <c r="AI9" s="31"/>
      <c r="AJ9" s="14"/>
      <c r="AK9" s="31"/>
      <c r="AL9" s="31" t="s">
        <v>7</v>
      </c>
      <c r="AM9" s="31"/>
      <c r="AN9" s="31"/>
      <c r="AO9" s="14"/>
      <c r="AP9" s="31"/>
      <c r="AQ9" s="31" t="s">
        <v>8</v>
      </c>
      <c r="AR9" s="31"/>
      <c r="AS9" s="31"/>
      <c r="AT9" s="14"/>
      <c r="AU9" s="31"/>
      <c r="AV9" s="31" t="s">
        <v>9</v>
      </c>
      <c r="AW9" s="31"/>
      <c r="AX9" s="31"/>
      <c r="AY9" s="14"/>
      <c r="AZ9" s="31"/>
      <c r="BA9" s="31" t="s">
        <v>10</v>
      </c>
      <c r="BB9" s="31"/>
      <c r="BC9" s="31"/>
      <c r="BD9" s="14"/>
      <c r="BE9" s="31"/>
      <c r="BF9" s="31" t="s">
        <v>11</v>
      </c>
      <c r="BG9" s="31"/>
      <c r="BH9" s="31"/>
      <c r="BI9" s="14"/>
      <c r="BJ9" s="31"/>
      <c r="BK9" s="31" t="s">
        <v>12</v>
      </c>
      <c r="BL9" s="31"/>
      <c r="BM9" s="31"/>
      <c r="BN9" s="14"/>
      <c r="BO9" s="31"/>
      <c r="BP9" s="31" t="s">
        <v>13</v>
      </c>
      <c r="BQ9" s="31"/>
      <c r="BR9" s="31"/>
      <c r="BS9" s="14"/>
      <c r="BT9" s="31"/>
      <c r="BU9" s="31" t="s">
        <v>14</v>
      </c>
      <c r="BV9" s="31"/>
      <c r="BW9" s="31"/>
      <c r="BX9" s="403"/>
      <c r="BY9" s="16"/>
      <c r="BZ9" s="244"/>
    </row>
    <row r="10" spans="1:79" ht="12.75" customHeight="1" x14ac:dyDescent="0.2">
      <c r="A10" s="244"/>
      <c r="B10" s="244"/>
      <c r="D10" s="256" t="s">
        <v>15</v>
      </c>
      <c r="E10" s="404"/>
      <c r="F10" s="326"/>
      <c r="G10" s="287"/>
      <c r="H10" s="79" t="s">
        <v>16</v>
      </c>
      <c r="I10" s="79"/>
      <c r="J10" s="20"/>
      <c r="K10" s="78"/>
      <c r="L10" s="79"/>
      <c r="M10" s="257"/>
      <c r="N10" s="257"/>
      <c r="O10" s="257"/>
      <c r="P10" s="326"/>
      <c r="Q10" s="257"/>
      <c r="R10" s="257"/>
      <c r="S10" s="257"/>
      <c r="T10" s="257"/>
      <c r="U10" s="326"/>
      <c r="V10" s="257"/>
      <c r="W10" s="257"/>
      <c r="X10" s="257"/>
      <c r="Y10" s="257"/>
      <c r="Z10" s="326"/>
      <c r="AA10" s="257"/>
      <c r="AB10" s="257"/>
      <c r="AC10" s="257"/>
      <c r="AD10" s="257"/>
      <c r="AE10" s="326"/>
      <c r="AF10" s="257"/>
      <c r="AG10" s="257"/>
      <c r="AH10" s="257"/>
      <c r="AI10" s="257"/>
      <c r="AJ10" s="326"/>
      <c r="AK10" s="257"/>
      <c r="AL10" s="257"/>
      <c r="AM10" s="257"/>
      <c r="AN10" s="257"/>
      <c r="AO10" s="326"/>
      <c r="AP10" s="257"/>
      <c r="AQ10" s="257"/>
      <c r="AR10" s="257"/>
      <c r="AS10" s="257"/>
      <c r="AT10" s="326"/>
      <c r="AU10" s="257"/>
      <c r="AV10" s="257"/>
      <c r="AW10" s="257"/>
      <c r="AX10" s="257"/>
      <c r="AY10" s="326"/>
      <c r="AZ10" s="257"/>
      <c r="BA10" s="257"/>
      <c r="BB10" s="257"/>
      <c r="BC10" s="257"/>
      <c r="BD10" s="326"/>
      <c r="BE10" s="257"/>
      <c r="BF10" s="257"/>
      <c r="BG10" s="257"/>
      <c r="BH10" s="257"/>
      <c r="BI10" s="326"/>
      <c r="BJ10" s="257"/>
      <c r="BK10" s="257"/>
      <c r="BL10" s="257"/>
      <c r="BM10" s="257"/>
      <c r="BN10" s="326"/>
      <c r="BO10" s="257"/>
      <c r="BP10" s="257"/>
      <c r="BQ10" s="257"/>
      <c r="BR10" s="257"/>
      <c r="BS10" s="326"/>
      <c r="BT10" s="257"/>
      <c r="BU10" s="257"/>
      <c r="BV10" s="257"/>
      <c r="BW10" s="257"/>
      <c r="BX10" s="391"/>
      <c r="BY10" s="358"/>
      <c r="BZ10" s="244"/>
    </row>
    <row r="11" spans="1:79" x14ac:dyDescent="0.2">
      <c r="A11" s="244"/>
      <c r="B11" s="244"/>
      <c r="D11" s="254"/>
      <c r="E11" s="62"/>
      <c r="F11" s="261"/>
      <c r="G11" s="244"/>
      <c r="H11" s="244"/>
      <c r="I11" s="244"/>
      <c r="J11" s="244"/>
      <c r="K11" s="261"/>
      <c r="L11" s="244"/>
      <c r="M11" s="244"/>
      <c r="N11" s="244"/>
      <c r="O11" s="244"/>
      <c r="P11" s="261"/>
      <c r="Q11" s="244"/>
      <c r="R11" s="244"/>
      <c r="S11" s="244"/>
      <c r="T11" s="244"/>
      <c r="U11" s="261"/>
      <c r="V11" s="244"/>
      <c r="W11" s="244"/>
      <c r="X11" s="244"/>
      <c r="Y11" s="244"/>
      <c r="Z11" s="261"/>
      <c r="AA11" s="244"/>
      <c r="AB11" s="244"/>
      <c r="AC11" s="244"/>
      <c r="AD11" s="244"/>
      <c r="AE11" s="261"/>
      <c r="AF11" s="244"/>
      <c r="AG11" s="244"/>
      <c r="AH11" s="244"/>
      <c r="AI11" s="244"/>
      <c r="AJ11" s="261"/>
      <c r="AK11" s="244"/>
      <c r="AL11" s="244"/>
      <c r="AM11" s="244"/>
      <c r="AN11" s="244"/>
      <c r="AO11" s="261"/>
      <c r="AP11" s="244"/>
      <c r="AQ11" s="244"/>
      <c r="AR11" s="244"/>
      <c r="AS11" s="244"/>
      <c r="AT11" s="261"/>
      <c r="AU11" s="244"/>
      <c r="AV11" s="244"/>
      <c r="AW11" s="244"/>
      <c r="AX11" s="244"/>
      <c r="AY11" s="261"/>
      <c r="AZ11" s="244"/>
      <c r="BA11" s="244"/>
      <c r="BB11" s="244"/>
      <c r="BC11" s="244"/>
      <c r="BD11" s="261"/>
      <c r="BE11" s="244"/>
      <c r="BF11" s="244"/>
      <c r="BG11" s="244"/>
      <c r="BH11" s="244"/>
      <c r="BI11" s="261"/>
      <c r="BJ11" s="244"/>
      <c r="BK11" s="244"/>
      <c r="BL11" s="244"/>
      <c r="BM11" s="244"/>
      <c r="BN11" s="261"/>
      <c r="BO11" s="244"/>
      <c r="BP11" s="244"/>
      <c r="BQ11" s="244"/>
      <c r="BR11" s="244"/>
      <c r="BS11" s="261"/>
      <c r="BT11" s="244"/>
      <c r="BU11" s="244"/>
      <c r="BV11" s="244"/>
      <c r="BW11" s="244"/>
      <c r="BX11" s="244"/>
      <c r="BY11" s="254"/>
      <c r="BZ11" s="244"/>
    </row>
    <row r="12" spans="1:79" s="268" customFormat="1" x14ac:dyDescent="0.2">
      <c r="A12" s="245"/>
      <c r="B12" s="245"/>
      <c r="C12" s="245"/>
      <c r="D12" s="262" t="s">
        <v>458</v>
      </c>
      <c r="E12" s="62" t="s">
        <v>55</v>
      </c>
      <c r="F12" s="261"/>
      <c r="G12" s="244"/>
      <c r="H12" s="182">
        <f>+H13-H17</f>
        <v>-724000</v>
      </c>
      <c r="I12" s="182"/>
      <c r="J12" s="182"/>
      <c r="K12" s="181"/>
      <c r="L12" s="182"/>
      <c r="M12" s="182">
        <f>+M13-M17</f>
        <v>39161985</v>
      </c>
      <c r="N12" s="182"/>
      <c r="O12" s="182"/>
      <c r="P12" s="181"/>
      <c r="Q12" s="182"/>
      <c r="R12" s="182">
        <f>+R13-R17</f>
        <v>6533576</v>
      </c>
      <c r="S12" s="182"/>
      <c r="T12" s="182"/>
      <c r="U12" s="181"/>
      <c r="V12" s="182"/>
      <c r="W12" s="182">
        <f>+W13-W17</f>
        <v>-80194837</v>
      </c>
      <c r="X12" s="182"/>
      <c r="Y12" s="182"/>
      <c r="Z12" s="181"/>
      <c r="AA12" s="182"/>
      <c r="AB12" s="182">
        <f>+AB13-AB17</f>
        <v>71485782</v>
      </c>
      <c r="AC12" s="182"/>
      <c r="AD12" s="182"/>
      <c r="AE12" s="181"/>
      <c r="AF12" s="182"/>
      <c r="AG12" s="182">
        <f>+AG13-AG17</f>
        <v>10515236</v>
      </c>
      <c r="AH12" s="182"/>
      <c r="AI12" s="182"/>
      <c r="AJ12" s="181"/>
      <c r="AK12" s="182"/>
      <c r="AL12" s="182">
        <f>+AL13-AL17</f>
        <v>-104528279</v>
      </c>
      <c r="AM12" s="182"/>
      <c r="AN12" s="182"/>
      <c r="AO12" s="181"/>
      <c r="AP12" s="182"/>
      <c r="AQ12" s="182">
        <f>+AQ13-AQ17</f>
        <v>2731873</v>
      </c>
      <c r="AR12" s="182"/>
      <c r="AS12" s="182"/>
      <c r="AT12" s="181"/>
      <c r="AU12" s="182"/>
      <c r="AV12" s="182">
        <f>+AV13-AV17</f>
        <v>-9369739</v>
      </c>
      <c r="AW12" s="182"/>
      <c r="AX12" s="182"/>
      <c r="AY12" s="181"/>
      <c r="AZ12" s="182"/>
      <c r="BA12" s="182">
        <f>+BA13-BA17</f>
        <v>-7896523</v>
      </c>
      <c r="BB12" s="182"/>
      <c r="BC12" s="182"/>
      <c r="BD12" s="181"/>
      <c r="BE12" s="182"/>
      <c r="BF12" s="182">
        <f>+BF13-BF17</f>
        <v>33364654</v>
      </c>
      <c r="BG12" s="182"/>
      <c r="BH12" s="182"/>
      <c r="BI12" s="181"/>
      <c r="BJ12" s="182"/>
      <c r="BK12" s="182">
        <f>+BK13-BK17</f>
        <v>-27939762</v>
      </c>
      <c r="BL12" s="182"/>
      <c r="BM12" s="182"/>
      <c r="BN12" s="181"/>
      <c r="BO12" s="182"/>
      <c r="BP12" s="182">
        <f>+BP13-BP17</f>
        <v>68610019</v>
      </c>
      <c r="BQ12" s="182"/>
      <c r="BR12" s="182"/>
      <c r="BS12" s="181"/>
      <c r="BT12" s="182"/>
      <c r="BU12" s="182">
        <f>+BU13-BU17</f>
        <v>2473985</v>
      </c>
      <c r="BV12" s="182"/>
      <c r="BW12" s="182"/>
      <c r="BX12" s="182"/>
      <c r="BY12" s="405"/>
      <c r="BZ12" s="245"/>
    </row>
    <row r="13" spans="1:79" x14ac:dyDescent="0.2">
      <c r="A13" s="244"/>
      <c r="B13" s="244"/>
      <c r="C13" s="244"/>
      <c r="D13" s="254" t="s">
        <v>459</v>
      </c>
      <c r="E13" s="62"/>
      <c r="F13" s="261"/>
      <c r="G13" s="269"/>
      <c r="H13" s="406">
        <f>SUM(H14:H15)</f>
        <v>238061000</v>
      </c>
      <c r="I13" s="407"/>
      <c r="J13" s="163"/>
      <c r="K13" s="162"/>
      <c r="L13" s="408"/>
      <c r="M13" s="406">
        <f>SUM(M14:M15)</f>
        <v>238135653</v>
      </c>
      <c r="N13" s="407"/>
      <c r="O13" s="163"/>
      <c r="P13" s="162"/>
      <c r="Q13" s="408"/>
      <c r="R13" s="406">
        <f>SUM(R14:R15)</f>
        <v>198973668</v>
      </c>
      <c r="S13" s="407"/>
      <c r="T13" s="163"/>
      <c r="U13" s="162"/>
      <c r="V13" s="408"/>
      <c r="W13" s="406">
        <f>SUM(W14:W15)</f>
        <v>192440092</v>
      </c>
      <c r="X13" s="407"/>
      <c r="Y13" s="163"/>
      <c r="Z13" s="162"/>
      <c r="AA13" s="408"/>
      <c r="AB13" s="406">
        <f>SUM(AB14:AB15)</f>
        <v>272634929</v>
      </c>
      <c r="AC13" s="407"/>
      <c r="AD13" s="163"/>
      <c r="AE13" s="162"/>
      <c r="AF13" s="408"/>
      <c r="AG13" s="406">
        <f>SUM(AG14:AG15)</f>
        <v>201149147</v>
      </c>
      <c r="AH13" s="407"/>
      <c r="AI13" s="163"/>
      <c r="AJ13" s="162"/>
      <c r="AK13" s="408"/>
      <c r="AL13" s="406">
        <f>SUM(AL14:AL15)</f>
        <v>190633911</v>
      </c>
      <c r="AM13" s="407"/>
      <c r="AN13" s="163"/>
      <c r="AO13" s="162"/>
      <c r="AP13" s="408"/>
      <c r="AQ13" s="406">
        <f>SUM(AQ14:AQ15)</f>
        <v>295162190</v>
      </c>
      <c r="AR13" s="407"/>
      <c r="AS13" s="163"/>
      <c r="AT13" s="162"/>
      <c r="AU13" s="408"/>
      <c r="AV13" s="406">
        <f>SUM(AV14:AV15)</f>
        <v>292430317</v>
      </c>
      <c r="AW13" s="407"/>
      <c r="AX13" s="163"/>
      <c r="AY13" s="162"/>
      <c r="AZ13" s="408"/>
      <c r="BA13" s="406">
        <f>SUM(BA14:BA15)</f>
        <v>301800056</v>
      </c>
      <c r="BB13" s="407"/>
      <c r="BC13" s="163"/>
      <c r="BD13" s="162"/>
      <c r="BE13" s="408"/>
      <c r="BF13" s="406">
        <f>SUM(BF14:BF15)</f>
        <v>309696579</v>
      </c>
      <c r="BG13" s="407"/>
      <c r="BH13" s="163"/>
      <c r="BI13" s="162"/>
      <c r="BJ13" s="408"/>
      <c r="BK13" s="406">
        <f>SUM(BK14:BK15)</f>
        <v>276331925</v>
      </c>
      <c r="BL13" s="407"/>
      <c r="BM13" s="163"/>
      <c r="BN13" s="162"/>
      <c r="BO13" s="408"/>
      <c r="BP13" s="406">
        <f>SUM(BP14:BP15)</f>
        <v>304271687</v>
      </c>
      <c r="BQ13" s="407"/>
      <c r="BR13" s="163"/>
      <c r="BS13" s="162"/>
      <c r="BT13" s="408"/>
      <c r="BU13" s="406">
        <f>SUM(BU14:BU15)</f>
        <v>238135653</v>
      </c>
      <c r="BV13" s="407"/>
      <c r="BW13" s="163"/>
      <c r="BX13" s="163"/>
      <c r="BY13" s="409"/>
      <c r="BZ13" s="244"/>
      <c r="CA13" s="268" t="e">
        <f>SUM(CA14:CA15)</f>
        <v>#REF!</v>
      </c>
    </row>
    <row r="14" spans="1:79" x14ac:dyDescent="0.2">
      <c r="A14" s="244"/>
      <c r="B14" s="244"/>
      <c r="C14" s="244"/>
      <c r="D14" s="254" t="s">
        <v>460</v>
      </c>
      <c r="E14" s="62"/>
      <c r="F14" s="261"/>
      <c r="G14" s="261"/>
      <c r="H14" s="410">
        <v>174643000</v>
      </c>
      <c r="I14" s="204"/>
      <c r="J14" s="163"/>
      <c r="K14" s="162"/>
      <c r="L14" s="162"/>
      <c r="M14" s="410">
        <v>174717635</v>
      </c>
      <c r="N14" s="204"/>
      <c r="O14" s="163"/>
      <c r="P14" s="162"/>
      <c r="Q14" s="162"/>
      <c r="R14" s="410">
        <f>M18</f>
        <v>171432024</v>
      </c>
      <c r="S14" s="204"/>
      <c r="T14" s="163"/>
      <c r="U14" s="162"/>
      <c r="V14" s="162"/>
      <c r="W14" s="410">
        <f>R18</f>
        <v>159100607</v>
      </c>
      <c r="X14" s="204"/>
      <c r="Y14" s="163"/>
      <c r="Z14" s="162"/>
      <c r="AA14" s="162"/>
      <c r="AB14" s="410">
        <f>W18</f>
        <v>157556488</v>
      </c>
      <c r="AC14" s="204"/>
      <c r="AD14" s="163"/>
      <c r="AE14" s="162"/>
      <c r="AF14" s="162"/>
      <c r="AG14" s="410">
        <f>AB18</f>
        <v>154393121</v>
      </c>
      <c r="AH14" s="204"/>
      <c r="AI14" s="163"/>
      <c r="AJ14" s="162"/>
      <c r="AK14" s="162"/>
      <c r="AL14" s="410">
        <f>AG18</f>
        <v>153790115</v>
      </c>
      <c r="AM14" s="204"/>
      <c r="AN14" s="163"/>
      <c r="AO14" s="162"/>
      <c r="AP14" s="162"/>
      <c r="AQ14" s="410">
        <f>AL18</f>
        <v>226475319</v>
      </c>
      <c r="AR14" s="204"/>
      <c r="AS14" s="163"/>
      <c r="AT14" s="162"/>
      <c r="AU14" s="162"/>
      <c r="AV14" s="410">
        <f>AQ18</f>
        <v>223710506</v>
      </c>
      <c r="AW14" s="204"/>
      <c r="AX14" s="163"/>
      <c r="AY14" s="162"/>
      <c r="AZ14" s="162"/>
      <c r="BA14" s="410">
        <f>AV18</f>
        <v>222808884</v>
      </c>
      <c r="BB14" s="204"/>
      <c r="BC14" s="163"/>
      <c r="BD14" s="162"/>
      <c r="BE14" s="162"/>
      <c r="BF14" s="410">
        <f>BA18</f>
        <v>216296990</v>
      </c>
      <c r="BG14" s="204"/>
      <c r="BH14" s="163"/>
      <c r="BI14" s="162"/>
      <c r="BJ14" s="162"/>
      <c r="BK14" s="410">
        <f>BF18</f>
        <v>214990489</v>
      </c>
      <c r="BL14" s="204"/>
      <c r="BM14" s="163"/>
      <c r="BN14" s="162"/>
      <c r="BO14" s="162"/>
      <c r="BP14" s="410">
        <f>BK18</f>
        <v>214239939</v>
      </c>
      <c r="BQ14" s="204"/>
      <c r="BR14" s="163"/>
      <c r="BS14" s="162"/>
      <c r="BT14" s="162"/>
      <c r="BU14" s="411">
        <f>M14</f>
        <v>174717635</v>
      </c>
      <c r="BV14" s="204"/>
      <c r="BW14" s="163"/>
      <c r="BX14" s="163"/>
      <c r="BY14" s="409"/>
      <c r="BZ14" s="244"/>
      <c r="CA14" s="243" t="e">
        <f>#REF!-#REF!</f>
        <v>#REF!</v>
      </c>
    </row>
    <row r="15" spans="1:79" x14ac:dyDescent="0.2">
      <c r="A15" s="244"/>
      <c r="B15" s="244"/>
      <c r="C15" s="244"/>
      <c r="D15" s="254" t="s">
        <v>461</v>
      </c>
      <c r="E15" s="62"/>
      <c r="F15" s="261"/>
      <c r="G15" s="261"/>
      <c r="H15" s="412">
        <v>63418000</v>
      </c>
      <c r="I15" s="204"/>
      <c r="J15" s="163"/>
      <c r="K15" s="162"/>
      <c r="L15" s="162"/>
      <c r="M15" s="412">
        <v>63418018</v>
      </c>
      <c r="N15" s="204"/>
      <c r="O15" s="163"/>
      <c r="P15" s="162"/>
      <c r="Q15" s="162"/>
      <c r="R15" s="412">
        <f>M19</f>
        <v>27541644</v>
      </c>
      <c r="S15" s="204"/>
      <c r="T15" s="163"/>
      <c r="U15" s="162"/>
      <c r="V15" s="162"/>
      <c r="W15" s="412">
        <f>R19</f>
        <v>33339485</v>
      </c>
      <c r="X15" s="204"/>
      <c r="Y15" s="163"/>
      <c r="Z15" s="162"/>
      <c r="AA15" s="162"/>
      <c r="AB15" s="412">
        <f>W19</f>
        <v>115078441</v>
      </c>
      <c r="AC15" s="204"/>
      <c r="AD15" s="163"/>
      <c r="AE15" s="162"/>
      <c r="AF15" s="162"/>
      <c r="AG15" s="412">
        <f>AB19</f>
        <v>46756026</v>
      </c>
      <c r="AH15" s="204"/>
      <c r="AI15" s="163"/>
      <c r="AJ15" s="162"/>
      <c r="AK15" s="162"/>
      <c r="AL15" s="412">
        <f>AG19</f>
        <v>36843796</v>
      </c>
      <c r="AM15" s="204"/>
      <c r="AN15" s="163"/>
      <c r="AO15" s="162"/>
      <c r="AP15" s="162"/>
      <c r="AQ15" s="412">
        <f>AL19</f>
        <v>68686871</v>
      </c>
      <c r="AR15" s="204"/>
      <c r="AS15" s="163"/>
      <c r="AT15" s="162"/>
      <c r="AU15" s="162"/>
      <c r="AV15" s="412">
        <f>AQ19</f>
        <v>68719811</v>
      </c>
      <c r="AW15" s="204"/>
      <c r="AX15" s="163"/>
      <c r="AY15" s="162"/>
      <c r="AZ15" s="162"/>
      <c r="BA15" s="412">
        <f>AV19</f>
        <v>78991172</v>
      </c>
      <c r="BB15" s="204"/>
      <c r="BC15" s="163"/>
      <c r="BD15" s="162"/>
      <c r="BE15" s="162"/>
      <c r="BF15" s="412">
        <f>BA19</f>
        <v>93399589</v>
      </c>
      <c r="BG15" s="204"/>
      <c r="BH15" s="163"/>
      <c r="BI15" s="162"/>
      <c r="BJ15" s="162"/>
      <c r="BK15" s="412">
        <f>BF19</f>
        <v>61341436</v>
      </c>
      <c r="BL15" s="204"/>
      <c r="BM15" s="163"/>
      <c r="BN15" s="162"/>
      <c r="BO15" s="162"/>
      <c r="BP15" s="412">
        <f>BK19</f>
        <v>90031748</v>
      </c>
      <c r="BQ15" s="204"/>
      <c r="BR15" s="163"/>
      <c r="BS15" s="162"/>
      <c r="BT15" s="162"/>
      <c r="BU15" s="413">
        <f>M15</f>
        <v>63418018</v>
      </c>
      <c r="BV15" s="204"/>
      <c r="BW15" s="163"/>
      <c r="BX15" s="163"/>
      <c r="BY15" s="409"/>
      <c r="BZ15" s="244"/>
      <c r="CA15" s="243" t="e">
        <f>#REF!-#REF!</f>
        <v>#REF!</v>
      </c>
    </row>
    <row r="16" spans="1:79" x14ac:dyDescent="0.2">
      <c r="A16" s="244"/>
      <c r="B16" s="244"/>
      <c r="C16" s="244"/>
      <c r="D16" s="254"/>
      <c r="E16" s="62"/>
      <c r="F16" s="261"/>
      <c r="G16" s="261"/>
      <c r="H16" s="163"/>
      <c r="I16" s="204"/>
      <c r="J16" s="163"/>
      <c r="K16" s="162"/>
      <c r="L16" s="162"/>
      <c r="M16" s="163"/>
      <c r="N16" s="204"/>
      <c r="O16" s="163"/>
      <c r="P16" s="162"/>
      <c r="Q16" s="162"/>
      <c r="R16" s="163"/>
      <c r="S16" s="204"/>
      <c r="T16" s="163"/>
      <c r="U16" s="162"/>
      <c r="V16" s="162"/>
      <c r="W16" s="163"/>
      <c r="X16" s="204"/>
      <c r="Y16" s="163"/>
      <c r="Z16" s="162"/>
      <c r="AA16" s="162"/>
      <c r="AB16" s="163"/>
      <c r="AC16" s="204"/>
      <c r="AD16" s="163"/>
      <c r="AE16" s="162"/>
      <c r="AF16" s="162"/>
      <c r="AG16" s="163"/>
      <c r="AH16" s="204"/>
      <c r="AI16" s="163"/>
      <c r="AJ16" s="162"/>
      <c r="AK16" s="162"/>
      <c r="AL16" s="163"/>
      <c r="AM16" s="204"/>
      <c r="AN16" s="163"/>
      <c r="AO16" s="162"/>
      <c r="AP16" s="162"/>
      <c r="AQ16" s="163"/>
      <c r="AR16" s="204"/>
      <c r="AS16" s="163"/>
      <c r="AT16" s="162"/>
      <c r="AU16" s="162"/>
      <c r="AV16" s="163"/>
      <c r="AW16" s="204"/>
      <c r="AX16" s="163"/>
      <c r="AY16" s="162"/>
      <c r="AZ16" s="162"/>
      <c r="BA16" s="163"/>
      <c r="BB16" s="204"/>
      <c r="BC16" s="163"/>
      <c r="BD16" s="162"/>
      <c r="BE16" s="162"/>
      <c r="BF16" s="163"/>
      <c r="BG16" s="204"/>
      <c r="BH16" s="163"/>
      <c r="BI16" s="162"/>
      <c r="BJ16" s="162"/>
      <c r="BK16" s="163"/>
      <c r="BL16" s="204"/>
      <c r="BM16" s="163"/>
      <c r="BN16" s="162"/>
      <c r="BO16" s="162"/>
      <c r="BP16" s="163"/>
      <c r="BQ16" s="204"/>
      <c r="BR16" s="163"/>
      <c r="BS16" s="162"/>
      <c r="BT16" s="162"/>
      <c r="BU16" s="163"/>
      <c r="BV16" s="204"/>
      <c r="BW16" s="163"/>
      <c r="BX16" s="163"/>
      <c r="BY16" s="409"/>
      <c r="BZ16" s="244"/>
      <c r="CA16" s="268"/>
    </row>
    <row r="17" spans="1:85" x14ac:dyDescent="0.2">
      <c r="A17" s="244"/>
      <c r="B17" s="244"/>
      <c r="C17" s="244"/>
      <c r="D17" s="254" t="s">
        <v>462</v>
      </c>
      <c r="E17" s="62"/>
      <c r="F17" s="261"/>
      <c r="G17" s="261"/>
      <c r="H17" s="163">
        <f>SUM(H18:H19)</f>
        <v>238785000</v>
      </c>
      <c r="I17" s="204"/>
      <c r="J17" s="163"/>
      <c r="K17" s="162"/>
      <c r="L17" s="162"/>
      <c r="M17" s="163">
        <f>SUM(M18:M19)</f>
        <v>198973668</v>
      </c>
      <c r="N17" s="204"/>
      <c r="O17" s="163"/>
      <c r="P17" s="162"/>
      <c r="Q17" s="162"/>
      <c r="R17" s="163">
        <f>SUM(R18:R19)</f>
        <v>192440092</v>
      </c>
      <c r="S17" s="204"/>
      <c r="T17" s="163"/>
      <c r="U17" s="162"/>
      <c r="V17" s="162"/>
      <c r="W17" s="163">
        <f>SUM(W18:W19)</f>
        <v>272634929</v>
      </c>
      <c r="X17" s="204"/>
      <c r="Y17" s="163"/>
      <c r="Z17" s="162"/>
      <c r="AA17" s="162"/>
      <c r="AB17" s="163">
        <f>SUM(AB18:AB19)</f>
        <v>201149147</v>
      </c>
      <c r="AC17" s="204"/>
      <c r="AD17" s="163"/>
      <c r="AE17" s="162"/>
      <c r="AF17" s="162"/>
      <c r="AG17" s="163">
        <f>SUM(AG18:AG19)</f>
        <v>190633911</v>
      </c>
      <c r="AH17" s="204"/>
      <c r="AI17" s="163"/>
      <c r="AJ17" s="162"/>
      <c r="AK17" s="162"/>
      <c r="AL17" s="163">
        <f>SUM(AL18:AL19)</f>
        <v>295162190</v>
      </c>
      <c r="AM17" s="204"/>
      <c r="AN17" s="163"/>
      <c r="AO17" s="162"/>
      <c r="AP17" s="162"/>
      <c r="AQ17" s="163">
        <f>SUM(AQ18:AQ19)</f>
        <v>292430317</v>
      </c>
      <c r="AR17" s="204"/>
      <c r="AS17" s="163"/>
      <c r="AT17" s="162"/>
      <c r="AU17" s="162"/>
      <c r="AV17" s="163">
        <f>SUM(AV18:AV19)</f>
        <v>301800056</v>
      </c>
      <c r="AW17" s="204"/>
      <c r="AX17" s="163"/>
      <c r="AY17" s="162"/>
      <c r="AZ17" s="162"/>
      <c r="BA17" s="163">
        <f>SUM(BA18:BA19)</f>
        <v>309696579</v>
      </c>
      <c r="BB17" s="204"/>
      <c r="BC17" s="163"/>
      <c r="BD17" s="162"/>
      <c r="BE17" s="162"/>
      <c r="BF17" s="163">
        <f>SUM(BF18:BF19)</f>
        <v>276331925</v>
      </c>
      <c r="BG17" s="204"/>
      <c r="BH17" s="163"/>
      <c r="BI17" s="162"/>
      <c r="BJ17" s="162"/>
      <c r="BK17" s="163">
        <f>SUM(BK18:BK19)</f>
        <v>304271687</v>
      </c>
      <c r="BL17" s="204"/>
      <c r="BM17" s="163"/>
      <c r="BN17" s="162"/>
      <c r="BO17" s="162"/>
      <c r="BP17" s="163">
        <f>SUM(BP18:BP19)</f>
        <v>235661668</v>
      </c>
      <c r="BQ17" s="204"/>
      <c r="BR17" s="163"/>
      <c r="BS17" s="162"/>
      <c r="BT17" s="162"/>
      <c r="BU17" s="163">
        <f>SUM(BU18:BU19)</f>
        <v>235661668</v>
      </c>
      <c r="BV17" s="204"/>
      <c r="BW17" s="163"/>
      <c r="BX17" s="163"/>
      <c r="BY17" s="409"/>
      <c r="BZ17" s="244"/>
      <c r="CA17" s="268"/>
    </row>
    <row r="18" spans="1:85" x14ac:dyDescent="0.2">
      <c r="A18" s="244"/>
      <c r="B18" s="244"/>
      <c r="C18" s="244"/>
      <c r="D18" s="254" t="s">
        <v>460</v>
      </c>
      <c r="E18" s="62"/>
      <c r="F18" s="261"/>
      <c r="G18" s="261"/>
      <c r="H18" s="410">
        <v>188785000</v>
      </c>
      <c r="I18" s="204"/>
      <c r="J18" s="163"/>
      <c r="K18" s="162"/>
      <c r="L18" s="162"/>
      <c r="M18" s="410">
        <v>171432024</v>
      </c>
      <c r="N18" s="204"/>
      <c r="O18" s="163"/>
      <c r="P18" s="162"/>
      <c r="Q18" s="162"/>
      <c r="R18" s="410">
        <v>159100607</v>
      </c>
      <c r="S18" s="204"/>
      <c r="T18" s="163"/>
      <c r="U18" s="162"/>
      <c r="V18" s="162"/>
      <c r="W18" s="410">
        <v>157556488</v>
      </c>
      <c r="X18" s="204"/>
      <c r="Y18" s="163"/>
      <c r="Z18" s="162"/>
      <c r="AA18" s="162"/>
      <c r="AB18" s="410">
        <v>154393121</v>
      </c>
      <c r="AC18" s="204"/>
      <c r="AD18" s="163"/>
      <c r="AE18" s="162"/>
      <c r="AF18" s="162"/>
      <c r="AG18" s="410">
        <v>153790115</v>
      </c>
      <c r="AH18" s="204"/>
      <c r="AI18" s="163"/>
      <c r="AJ18" s="162"/>
      <c r="AK18" s="162"/>
      <c r="AL18" s="410">
        <v>226475319</v>
      </c>
      <c r="AM18" s="204"/>
      <c r="AN18" s="163"/>
      <c r="AO18" s="162"/>
      <c r="AP18" s="162"/>
      <c r="AQ18" s="410">
        <v>223710506</v>
      </c>
      <c r="AR18" s="204"/>
      <c r="AS18" s="163"/>
      <c r="AT18" s="162"/>
      <c r="AU18" s="162"/>
      <c r="AV18" s="410">
        <v>222808884</v>
      </c>
      <c r="AW18" s="204"/>
      <c r="AX18" s="163"/>
      <c r="AY18" s="162"/>
      <c r="AZ18" s="162"/>
      <c r="BA18" s="410">
        <v>216296990</v>
      </c>
      <c r="BB18" s="204"/>
      <c r="BC18" s="163"/>
      <c r="BD18" s="162"/>
      <c r="BE18" s="162"/>
      <c r="BF18" s="410">
        <v>214990489</v>
      </c>
      <c r="BG18" s="204"/>
      <c r="BH18" s="163"/>
      <c r="BI18" s="162"/>
      <c r="BJ18" s="162"/>
      <c r="BK18" s="410">
        <v>214239939</v>
      </c>
      <c r="BL18" s="204"/>
      <c r="BM18" s="163"/>
      <c r="BN18" s="162"/>
      <c r="BO18" s="162"/>
      <c r="BP18" s="410">
        <v>191125443</v>
      </c>
      <c r="BQ18" s="204"/>
      <c r="BR18" s="163"/>
      <c r="BS18" s="162"/>
      <c r="BT18" s="162"/>
      <c r="BU18" s="410">
        <f>BP18</f>
        <v>191125443</v>
      </c>
      <c r="BV18" s="204"/>
      <c r="BW18" s="163"/>
      <c r="BX18" s="163"/>
      <c r="BY18" s="409"/>
      <c r="BZ18" s="244"/>
      <c r="CA18" s="268" t="e">
        <f>#REF!-#REF!</f>
        <v>#REF!</v>
      </c>
    </row>
    <row r="19" spans="1:85" x14ac:dyDescent="0.2">
      <c r="A19" s="244"/>
      <c r="B19" s="244"/>
      <c r="C19" s="244"/>
      <c r="D19" s="254" t="s">
        <v>461</v>
      </c>
      <c r="E19" s="62"/>
      <c r="F19" s="261"/>
      <c r="G19" s="261"/>
      <c r="H19" s="412">
        <v>50000000</v>
      </c>
      <c r="I19" s="204"/>
      <c r="J19" s="163"/>
      <c r="K19" s="162"/>
      <c r="L19" s="162"/>
      <c r="M19" s="412">
        <v>27541644</v>
      </c>
      <c r="N19" s="204"/>
      <c r="O19" s="163"/>
      <c r="P19" s="162"/>
      <c r="Q19" s="162"/>
      <c r="R19" s="412">
        <v>33339485</v>
      </c>
      <c r="S19" s="204"/>
      <c r="T19" s="163"/>
      <c r="U19" s="162"/>
      <c r="V19" s="162"/>
      <c r="W19" s="412">
        <v>115078441</v>
      </c>
      <c r="X19" s="204"/>
      <c r="Y19" s="163"/>
      <c r="Z19" s="162"/>
      <c r="AA19" s="162"/>
      <c r="AB19" s="412">
        <v>46756026</v>
      </c>
      <c r="AC19" s="204"/>
      <c r="AD19" s="163"/>
      <c r="AE19" s="162"/>
      <c r="AF19" s="162"/>
      <c r="AG19" s="412">
        <v>36843796</v>
      </c>
      <c r="AH19" s="204"/>
      <c r="AI19" s="163"/>
      <c r="AJ19" s="162"/>
      <c r="AK19" s="162"/>
      <c r="AL19" s="412">
        <v>68686871</v>
      </c>
      <c r="AM19" s="204"/>
      <c r="AN19" s="163"/>
      <c r="AO19" s="162"/>
      <c r="AP19" s="162"/>
      <c r="AQ19" s="412">
        <v>68719811</v>
      </c>
      <c r="AR19" s="204"/>
      <c r="AS19" s="163"/>
      <c r="AT19" s="162"/>
      <c r="AU19" s="162"/>
      <c r="AV19" s="412">
        <v>78991172</v>
      </c>
      <c r="AW19" s="204"/>
      <c r="AX19" s="163"/>
      <c r="AY19" s="162"/>
      <c r="AZ19" s="162"/>
      <c r="BA19" s="412">
        <v>93399589</v>
      </c>
      <c r="BB19" s="204"/>
      <c r="BC19" s="163"/>
      <c r="BD19" s="162"/>
      <c r="BE19" s="162"/>
      <c r="BF19" s="412">
        <v>61341436</v>
      </c>
      <c r="BG19" s="204"/>
      <c r="BH19" s="163"/>
      <c r="BI19" s="162"/>
      <c r="BJ19" s="162"/>
      <c r="BK19" s="412">
        <v>90031748</v>
      </c>
      <c r="BL19" s="204"/>
      <c r="BM19" s="163"/>
      <c r="BN19" s="162"/>
      <c r="BO19" s="162"/>
      <c r="BP19" s="412">
        <v>44536225</v>
      </c>
      <c r="BQ19" s="204"/>
      <c r="BR19" s="163"/>
      <c r="BS19" s="162"/>
      <c r="BT19" s="162"/>
      <c r="BU19" s="412">
        <f>BP19</f>
        <v>44536225</v>
      </c>
      <c r="BV19" s="204"/>
      <c r="BW19" s="163"/>
      <c r="BX19" s="163"/>
      <c r="BY19" s="409"/>
      <c r="BZ19" s="244"/>
      <c r="CA19" s="268" t="e">
        <f>#REF!-#REF!</f>
        <v>#REF!</v>
      </c>
    </row>
    <row r="20" spans="1:85" x14ac:dyDescent="0.2">
      <c r="A20" s="244"/>
      <c r="B20" s="244"/>
      <c r="C20" s="244"/>
      <c r="D20" s="254"/>
      <c r="E20" s="62"/>
      <c r="F20" s="261"/>
      <c r="G20" s="284"/>
      <c r="H20" s="414"/>
      <c r="I20" s="415"/>
      <c r="J20" s="163"/>
      <c r="K20" s="162"/>
      <c r="L20" s="416"/>
      <c r="M20" s="414"/>
      <c r="N20" s="415"/>
      <c r="O20" s="163"/>
      <c r="P20" s="162"/>
      <c r="Q20" s="416"/>
      <c r="R20" s="414"/>
      <c r="S20" s="415"/>
      <c r="T20" s="163"/>
      <c r="U20" s="162"/>
      <c r="V20" s="416"/>
      <c r="W20" s="414"/>
      <c r="X20" s="415"/>
      <c r="Y20" s="163"/>
      <c r="Z20" s="162"/>
      <c r="AA20" s="416"/>
      <c r="AB20" s="414"/>
      <c r="AC20" s="415"/>
      <c r="AD20" s="163"/>
      <c r="AE20" s="162"/>
      <c r="AF20" s="416"/>
      <c r="AG20" s="414"/>
      <c r="AH20" s="415"/>
      <c r="AI20" s="163"/>
      <c r="AJ20" s="162"/>
      <c r="AK20" s="416"/>
      <c r="AL20" s="414"/>
      <c r="AM20" s="415"/>
      <c r="AN20" s="163"/>
      <c r="AO20" s="162"/>
      <c r="AP20" s="416"/>
      <c r="AQ20" s="414"/>
      <c r="AR20" s="415"/>
      <c r="AS20" s="163"/>
      <c r="AT20" s="162"/>
      <c r="AU20" s="416"/>
      <c r="AV20" s="414"/>
      <c r="AW20" s="415"/>
      <c r="AX20" s="163"/>
      <c r="AY20" s="162"/>
      <c r="AZ20" s="416"/>
      <c r="BA20" s="414"/>
      <c r="BB20" s="415"/>
      <c r="BC20" s="163"/>
      <c r="BD20" s="162"/>
      <c r="BE20" s="416"/>
      <c r="BF20" s="414"/>
      <c r="BG20" s="415"/>
      <c r="BH20" s="163"/>
      <c r="BI20" s="162"/>
      <c r="BJ20" s="416"/>
      <c r="BK20" s="414"/>
      <c r="BL20" s="415"/>
      <c r="BM20" s="163"/>
      <c r="BN20" s="162"/>
      <c r="BO20" s="416"/>
      <c r="BP20" s="414"/>
      <c r="BQ20" s="415"/>
      <c r="BR20" s="163"/>
      <c r="BS20" s="162"/>
      <c r="BT20" s="416"/>
      <c r="BU20" s="414"/>
      <c r="BV20" s="415"/>
      <c r="BW20" s="163"/>
      <c r="BX20" s="163"/>
      <c r="BY20" s="409"/>
      <c r="BZ20" s="244"/>
      <c r="CA20" s="268"/>
    </row>
    <row r="21" spans="1:85" x14ac:dyDescent="0.2">
      <c r="A21" s="244"/>
      <c r="B21" s="244"/>
      <c r="C21" s="244"/>
      <c r="D21" s="254"/>
      <c r="E21" s="62"/>
      <c r="F21" s="261"/>
      <c r="G21" s="244"/>
      <c r="H21" s="289"/>
      <c r="I21" s="289"/>
      <c r="J21" s="289"/>
      <c r="K21" s="288"/>
      <c r="L21" s="289"/>
      <c r="M21" s="289"/>
      <c r="N21" s="289"/>
      <c r="O21" s="289"/>
      <c r="P21" s="288"/>
      <c r="Q21" s="289"/>
      <c r="R21" s="289"/>
      <c r="S21" s="289"/>
      <c r="T21" s="289"/>
      <c r="U21" s="288"/>
      <c r="V21" s="289"/>
      <c r="W21" s="289"/>
      <c r="X21" s="289"/>
      <c r="Y21" s="289"/>
      <c r="Z21" s="288"/>
      <c r="AA21" s="289"/>
      <c r="AB21" s="289"/>
      <c r="AC21" s="289"/>
      <c r="AD21" s="289"/>
      <c r="AE21" s="288"/>
      <c r="AF21" s="289"/>
      <c r="AG21" s="289"/>
      <c r="AH21" s="289"/>
      <c r="AI21" s="289"/>
      <c r="AJ21" s="288"/>
      <c r="AK21" s="289"/>
      <c r="AL21" s="289"/>
      <c r="AM21" s="289"/>
      <c r="AN21" s="289"/>
      <c r="AO21" s="288"/>
      <c r="AP21" s="289"/>
      <c r="AQ21" s="289"/>
      <c r="AR21" s="289"/>
      <c r="AS21" s="289"/>
      <c r="AT21" s="288"/>
      <c r="AU21" s="289"/>
      <c r="AV21" s="289"/>
      <c r="AW21" s="289"/>
      <c r="AX21" s="289"/>
      <c r="AY21" s="288"/>
      <c r="AZ21" s="289"/>
      <c r="BA21" s="289"/>
      <c r="BB21" s="289"/>
      <c r="BC21" s="289"/>
      <c r="BD21" s="288"/>
      <c r="BE21" s="289"/>
      <c r="BF21" s="289"/>
      <c r="BG21" s="289"/>
      <c r="BH21" s="289"/>
      <c r="BI21" s="288"/>
      <c r="BJ21" s="289"/>
      <c r="BK21" s="289"/>
      <c r="BL21" s="289"/>
      <c r="BM21" s="289"/>
      <c r="BN21" s="288"/>
      <c r="BO21" s="289"/>
      <c r="BP21" s="289"/>
      <c r="BQ21" s="289"/>
      <c r="BR21" s="289"/>
      <c r="BS21" s="288"/>
      <c r="BT21" s="289"/>
      <c r="BU21" s="289"/>
      <c r="BV21" s="289"/>
      <c r="BW21" s="289"/>
      <c r="BX21" s="289"/>
      <c r="BY21" s="327"/>
      <c r="BZ21" s="244"/>
      <c r="CA21" s="268"/>
    </row>
    <row r="22" spans="1:85" s="268" customFormat="1" x14ac:dyDescent="0.2">
      <c r="A22" s="245"/>
      <c r="B22" s="245"/>
      <c r="C22" s="245"/>
      <c r="D22" s="262"/>
      <c r="E22" s="396"/>
      <c r="F22" s="264"/>
      <c r="G22" s="245"/>
      <c r="H22" s="291"/>
      <c r="I22" s="291"/>
      <c r="J22" s="291"/>
      <c r="K22" s="290"/>
      <c r="L22" s="291"/>
      <c r="M22" s="291"/>
      <c r="N22" s="291"/>
      <c r="O22" s="291"/>
      <c r="P22" s="290"/>
      <c r="Q22" s="291"/>
      <c r="R22" s="291"/>
      <c r="S22" s="291"/>
      <c r="T22" s="291"/>
      <c r="U22" s="290"/>
      <c r="V22" s="291"/>
      <c r="W22" s="291"/>
      <c r="X22" s="291"/>
      <c r="Y22" s="291"/>
      <c r="Z22" s="290"/>
      <c r="AA22" s="291"/>
      <c r="AB22" s="291"/>
      <c r="AC22" s="291"/>
      <c r="AD22" s="291"/>
      <c r="AE22" s="290"/>
      <c r="AF22" s="291"/>
      <c r="AG22" s="291"/>
      <c r="AH22" s="291"/>
      <c r="AI22" s="291"/>
      <c r="AJ22" s="290"/>
      <c r="AK22" s="291"/>
      <c r="AL22" s="291"/>
      <c r="AM22" s="291"/>
      <c r="AN22" s="291"/>
      <c r="AO22" s="290"/>
      <c r="AP22" s="291"/>
      <c r="AQ22" s="291"/>
      <c r="AR22" s="291"/>
      <c r="AS22" s="291"/>
      <c r="AT22" s="290"/>
      <c r="AU22" s="291"/>
      <c r="AV22" s="291"/>
      <c r="AW22" s="291"/>
      <c r="AX22" s="291"/>
      <c r="AY22" s="290"/>
      <c r="AZ22" s="291"/>
      <c r="BA22" s="291"/>
      <c r="BB22" s="291"/>
      <c r="BC22" s="291"/>
      <c r="BD22" s="290"/>
      <c r="BE22" s="291"/>
      <c r="BF22" s="291"/>
      <c r="BG22" s="291"/>
      <c r="BH22" s="291"/>
      <c r="BI22" s="290"/>
      <c r="BJ22" s="291"/>
      <c r="BK22" s="291"/>
      <c r="BL22" s="291"/>
      <c r="BM22" s="291"/>
      <c r="BN22" s="290"/>
      <c r="BO22" s="291"/>
      <c r="BP22" s="291"/>
      <c r="BQ22" s="291"/>
      <c r="BR22" s="291"/>
      <c r="BS22" s="290"/>
      <c r="BT22" s="291"/>
      <c r="BU22" s="291"/>
      <c r="BV22" s="291"/>
      <c r="BW22" s="291"/>
      <c r="BX22" s="291"/>
      <c r="BY22" s="358"/>
      <c r="BZ22" s="245"/>
    </row>
    <row r="23" spans="1:85" s="268" customFormat="1" x14ac:dyDescent="0.2">
      <c r="A23" s="245"/>
      <c r="B23" s="245"/>
      <c r="C23" s="245"/>
      <c r="D23" s="114" t="s">
        <v>463</v>
      </c>
      <c r="E23" s="396"/>
      <c r="F23" s="264"/>
      <c r="G23" s="245"/>
      <c r="H23" s="182">
        <v>0</v>
      </c>
      <c r="I23" s="182"/>
      <c r="J23" s="182"/>
      <c r="K23" s="181"/>
      <c r="L23" s="182"/>
      <c r="M23" s="182">
        <v>-17895405</v>
      </c>
      <c r="N23" s="182"/>
      <c r="O23" s="182"/>
      <c r="P23" s="181"/>
      <c r="Q23" s="182"/>
      <c r="R23" s="182">
        <v>-2162772</v>
      </c>
      <c r="S23" s="182"/>
      <c r="T23" s="182"/>
      <c r="U23" s="181"/>
      <c r="V23" s="182"/>
      <c r="W23" s="182">
        <v>1746060</v>
      </c>
      <c r="X23" s="182"/>
      <c r="Y23" s="182"/>
      <c r="Z23" s="181"/>
      <c r="AA23" s="182"/>
      <c r="AB23" s="182">
        <v>9207825</v>
      </c>
      <c r="AC23" s="182"/>
      <c r="AD23" s="182"/>
      <c r="AE23" s="181"/>
      <c r="AF23" s="182"/>
      <c r="AG23" s="182">
        <f>-8222766</f>
        <v>-8222766</v>
      </c>
      <c r="AH23" s="182"/>
      <c r="AI23" s="182"/>
      <c r="AJ23" s="181"/>
      <c r="AK23" s="182"/>
      <c r="AL23" s="182">
        <v>21412052</v>
      </c>
      <c r="AM23" s="182"/>
      <c r="AN23" s="182"/>
      <c r="AO23" s="181"/>
      <c r="AP23" s="182"/>
      <c r="AQ23" s="182">
        <v>67094</v>
      </c>
      <c r="AR23" s="182"/>
      <c r="AS23" s="182"/>
      <c r="AT23" s="181"/>
      <c r="AU23" s="182"/>
      <c r="AV23" s="182">
        <v>5423083</v>
      </c>
      <c r="AW23" s="182"/>
      <c r="AX23" s="182"/>
      <c r="AY23" s="181"/>
      <c r="AZ23" s="182"/>
      <c r="BA23" s="182">
        <v>3006040</v>
      </c>
      <c r="BB23" s="182"/>
      <c r="BC23" s="182"/>
      <c r="BD23" s="181"/>
      <c r="BE23" s="182"/>
      <c r="BF23" s="182">
        <f>484408</f>
        <v>484408</v>
      </c>
      <c r="BG23" s="182"/>
      <c r="BH23" s="182"/>
      <c r="BI23" s="181"/>
      <c r="BJ23" s="182"/>
      <c r="BK23" s="182">
        <v>4553332</v>
      </c>
      <c r="BL23" s="182"/>
      <c r="BM23" s="182"/>
      <c r="BN23" s="181"/>
      <c r="BO23" s="182"/>
      <c r="BP23" s="182">
        <f>-34627078+1</f>
        <v>-34627077</v>
      </c>
      <c r="BQ23" s="182"/>
      <c r="BR23" s="182"/>
      <c r="BS23" s="181"/>
      <c r="BT23" s="182"/>
      <c r="BU23" s="182">
        <f>SUM(M23:BP23)</f>
        <v>-17008126</v>
      </c>
      <c r="BV23" s="182"/>
      <c r="BW23" s="182"/>
      <c r="BX23" s="182"/>
      <c r="BY23" s="405"/>
      <c r="BZ23" s="245"/>
      <c r="CA23" s="268" t="e">
        <f>#REF!-#REF!</f>
        <v>#REF!</v>
      </c>
    </row>
    <row r="24" spans="1:85" x14ac:dyDescent="0.2">
      <c r="A24" s="244"/>
      <c r="B24" s="244"/>
      <c r="C24" s="244"/>
      <c r="D24" s="254"/>
      <c r="E24" s="62"/>
      <c r="F24" s="261"/>
      <c r="G24" s="244"/>
      <c r="H24" s="289"/>
      <c r="I24" s="289"/>
      <c r="J24" s="289"/>
      <c r="K24" s="288"/>
      <c r="L24" s="289"/>
      <c r="M24" s="289"/>
      <c r="N24" s="289"/>
      <c r="O24" s="289"/>
      <c r="P24" s="288"/>
      <c r="Q24" s="289"/>
      <c r="R24" s="289"/>
      <c r="S24" s="289"/>
      <c r="T24" s="289"/>
      <c r="U24" s="288"/>
      <c r="V24" s="289"/>
      <c r="W24" s="289"/>
      <c r="X24" s="289"/>
      <c r="Y24" s="289"/>
      <c r="Z24" s="288"/>
      <c r="AA24" s="289"/>
      <c r="AB24" s="289"/>
      <c r="AC24" s="289"/>
      <c r="AD24" s="289"/>
      <c r="AE24" s="288"/>
      <c r="AF24" s="289"/>
      <c r="AG24" s="289"/>
      <c r="AH24" s="289"/>
      <c r="AI24" s="289"/>
      <c r="AJ24" s="288"/>
      <c r="AK24" s="289"/>
      <c r="AL24" s="289"/>
      <c r="AM24" s="289"/>
      <c r="AN24" s="289"/>
      <c r="AO24" s="288"/>
      <c r="AP24" s="289"/>
      <c r="AQ24" s="289"/>
      <c r="AR24" s="289"/>
      <c r="AS24" s="289"/>
      <c r="AT24" s="288"/>
      <c r="AU24" s="289"/>
      <c r="AV24" s="289"/>
      <c r="AW24" s="289"/>
      <c r="AX24" s="289"/>
      <c r="AY24" s="288"/>
      <c r="AZ24" s="289"/>
      <c r="BA24" s="289"/>
      <c r="BB24" s="289"/>
      <c r="BC24" s="289"/>
      <c r="BD24" s="288"/>
      <c r="BE24" s="289"/>
      <c r="BF24" s="289"/>
      <c r="BG24" s="289"/>
      <c r="BH24" s="289"/>
      <c r="BI24" s="288"/>
      <c r="BJ24" s="289"/>
      <c r="BK24" s="289"/>
      <c r="BL24" s="289"/>
      <c r="BM24" s="289"/>
      <c r="BN24" s="288"/>
      <c r="BO24" s="289"/>
      <c r="BP24" s="289"/>
      <c r="BQ24" s="289"/>
      <c r="BR24" s="289"/>
      <c r="BS24" s="288"/>
      <c r="BT24" s="289"/>
      <c r="BU24" s="244"/>
      <c r="BV24" s="244"/>
      <c r="BW24" s="244"/>
      <c r="BX24" s="244"/>
      <c r="BY24" s="254"/>
      <c r="BZ24" s="244"/>
      <c r="CA24" s="268" t="e">
        <f>#REF!-#REF!</f>
        <v>#REF!</v>
      </c>
    </row>
    <row r="25" spans="1:85" s="268" customFormat="1" x14ac:dyDescent="0.2">
      <c r="A25" s="245"/>
      <c r="B25" s="245"/>
      <c r="C25" s="245"/>
      <c r="D25" s="262" t="s">
        <v>464</v>
      </c>
      <c r="E25" s="396"/>
      <c r="F25" s="264"/>
      <c r="G25" s="245"/>
      <c r="H25" s="291">
        <v>0</v>
      </c>
      <c r="I25" s="291"/>
      <c r="J25" s="291"/>
      <c r="K25" s="290"/>
      <c r="L25" s="291"/>
      <c r="M25" s="291">
        <v>0</v>
      </c>
      <c r="N25" s="291"/>
      <c r="O25" s="291"/>
      <c r="P25" s="290"/>
      <c r="Q25" s="291"/>
      <c r="R25" s="291">
        <v>0</v>
      </c>
      <c r="S25" s="291"/>
      <c r="T25" s="291"/>
      <c r="U25" s="290"/>
      <c r="V25" s="291"/>
      <c r="W25" s="291">
        <v>0</v>
      </c>
      <c r="X25" s="291"/>
      <c r="Y25" s="291"/>
      <c r="Z25" s="290"/>
      <c r="AA25" s="291"/>
      <c r="AB25" s="291">
        <v>0</v>
      </c>
      <c r="AC25" s="291"/>
      <c r="AD25" s="291"/>
      <c r="AE25" s="290"/>
      <c r="AF25" s="291"/>
      <c r="AG25" s="291">
        <v>0</v>
      </c>
      <c r="AH25" s="291"/>
      <c r="AI25" s="291"/>
      <c r="AJ25" s="290"/>
      <c r="AK25" s="291"/>
      <c r="AL25" s="291">
        <v>0</v>
      </c>
      <c r="AM25" s="291"/>
      <c r="AN25" s="291"/>
      <c r="AO25" s="290"/>
      <c r="AP25" s="291"/>
      <c r="AQ25" s="291">
        <v>0</v>
      </c>
      <c r="AR25" s="291"/>
      <c r="AS25" s="291"/>
      <c r="AT25" s="290"/>
      <c r="AU25" s="291"/>
      <c r="AV25" s="291">
        <v>0</v>
      </c>
      <c r="AW25" s="291"/>
      <c r="AX25" s="291"/>
      <c r="AY25" s="290"/>
      <c r="AZ25" s="291"/>
      <c r="BA25" s="291">
        <v>0</v>
      </c>
      <c r="BB25" s="291"/>
      <c r="BC25" s="291"/>
      <c r="BD25" s="290"/>
      <c r="BE25" s="291"/>
      <c r="BF25" s="291">
        <v>0</v>
      </c>
      <c r="BG25" s="291"/>
      <c r="BH25" s="291"/>
      <c r="BI25" s="290"/>
      <c r="BJ25" s="291"/>
      <c r="BK25" s="291">
        <v>0</v>
      </c>
      <c r="BL25" s="291"/>
      <c r="BM25" s="291"/>
      <c r="BN25" s="290"/>
      <c r="BO25" s="291"/>
      <c r="BP25" s="291">
        <v>0</v>
      </c>
      <c r="BQ25" s="291"/>
      <c r="BR25" s="291"/>
      <c r="BS25" s="290"/>
      <c r="BT25" s="291"/>
      <c r="BU25" s="182">
        <f>SUM(M25:BP25)</f>
        <v>0</v>
      </c>
      <c r="BV25" s="245"/>
      <c r="BW25" s="245"/>
      <c r="BX25" s="245"/>
      <c r="BY25" s="262"/>
      <c r="BZ25" s="245"/>
      <c r="CA25" s="268" t="e">
        <f>#REF!-#REF!</f>
        <v>#REF!</v>
      </c>
      <c r="CG25" s="417"/>
    </row>
    <row r="26" spans="1:85" x14ac:dyDescent="0.2">
      <c r="A26" s="244"/>
      <c r="B26" s="244"/>
      <c r="C26" s="244"/>
      <c r="D26" s="254"/>
      <c r="E26" s="62"/>
      <c r="F26" s="261"/>
      <c r="G26" s="244"/>
      <c r="H26" s="289"/>
      <c r="I26" s="289"/>
      <c r="J26" s="289"/>
      <c r="K26" s="288"/>
      <c r="L26" s="289"/>
      <c r="M26" s="289"/>
      <c r="N26" s="289"/>
      <c r="O26" s="289"/>
      <c r="P26" s="288"/>
      <c r="Q26" s="289"/>
      <c r="R26" s="289"/>
      <c r="S26" s="289"/>
      <c r="T26" s="289"/>
      <c r="U26" s="288"/>
      <c r="V26" s="289"/>
      <c r="W26" s="289"/>
      <c r="X26" s="289"/>
      <c r="Y26" s="289"/>
      <c r="Z26" s="288"/>
      <c r="AA26" s="289"/>
      <c r="AB26" s="289"/>
      <c r="AC26" s="289"/>
      <c r="AD26" s="289"/>
      <c r="AE26" s="288"/>
      <c r="AF26" s="289"/>
      <c r="AG26" s="289"/>
      <c r="AH26" s="289"/>
      <c r="AI26" s="289"/>
      <c r="AJ26" s="288"/>
      <c r="AK26" s="289"/>
      <c r="AL26" s="289"/>
      <c r="AM26" s="289"/>
      <c r="AN26" s="289"/>
      <c r="AO26" s="288"/>
      <c r="AP26" s="289"/>
      <c r="AQ26" s="289"/>
      <c r="AR26" s="289"/>
      <c r="AS26" s="289"/>
      <c r="AT26" s="288"/>
      <c r="AU26" s="289"/>
      <c r="AV26" s="289"/>
      <c r="AW26" s="289"/>
      <c r="AX26" s="289"/>
      <c r="AY26" s="288"/>
      <c r="AZ26" s="289"/>
      <c r="BA26" s="289"/>
      <c r="BB26" s="289"/>
      <c r="BC26" s="289"/>
      <c r="BD26" s="288"/>
      <c r="BE26" s="289"/>
      <c r="BF26" s="289"/>
      <c r="BG26" s="289"/>
      <c r="BH26" s="289"/>
      <c r="BI26" s="288"/>
      <c r="BJ26" s="289"/>
      <c r="BK26" s="289"/>
      <c r="BL26" s="289"/>
      <c r="BM26" s="289"/>
      <c r="BN26" s="288"/>
      <c r="BO26" s="289"/>
      <c r="BP26" s="289"/>
      <c r="BQ26" s="289"/>
      <c r="BR26" s="289"/>
      <c r="BS26" s="288"/>
      <c r="BT26" s="289"/>
      <c r="BU26" s="289"/>
      <c r="BV26" s="289"/>
      <c r="BW26" s="289"/>
      <c r="BX26" s="289"/>
      <c r="BY26" s="327"/>
      <c r="BZ26" s="244"/>
      <c r="CA26" s="268" t="e">
        <f>#REF!-#REF!</f>
        <v>#REF!</v>
      </c>
    </row>
    <row r="27" spans="1:85" s="268" customFormat="1" x14ac:dyDescent="0.2">
      <c r="A27" s="245"/>
      <c r="B27" s="245"/>
      <c r="C27" s="245"/>
      <c r="D27" s="262" t="s">
        <v>465</v>
      </c>
      <c r="E27" s="62" t="s">
        <v>57</v>
      </c>
      <c r="F27" s="261"/>
      <c r="G27" s="244"/>
      <c r="H27" s="182">
        <f>SUM(H28:H29)</f>
        <v>-2977168.8205058575</v>
      </c>
      <c r="I27" s="182"/>
      <c r="J27" s="182"/>
      <c r="K27" s="181"/>
      <c r="L27" s="182"/>
      <c r="M27" s="182">
        <f>SUM(M28:M29)</f>
        <v>1285536</v>
      </c>
      <c r="N27" s="182"/>
      <c r="O27" s="182"/>
      <c r="P27" s="181"/>
      <c r="Q27" s="182"/>
      <c r="R27" s="182">
        <f>SUM(R28:R29)</f>
        <v>0</v>
      </c>
      <c r="S27" s="182"/>
      <c r="T27" s="182"/>
      <c r="U27" s="181"/>
      <c r="V27" s="182"/>
      <c r="W27" s="182">
        <f>SUM(W28:W29)</f>
        <v>12272</v>
      </c>
      <c r="X27" s="182"/>
      <c r="Y27" s="182"/>
      <c r="Z27" s="181"/>
      <c r="AA27" s="182"/>
      <c r="AB27" s="182">
        <f>SUM(AB28:AB29)</f>
        <v>0</v>
      </c>
      <c r="AC27" s="182"/>
      <c r="AD27" s="182"/>
      <c r="AE27" s="181"/>
      <c r="AF27" s="182"/>
      <c r="AG27" s="182">
        <f>SUM(AG28:AG29)</f>
        <v>1736919</v>
      </c>
      <c r="AH27" s="182"/>
      <c r="AI27" s="182"/>
      <c r="AJ27" s="181"/>
      <c r="AK27" s="182"/>
      <c r="AL27" s="182">
        <f>SUM(AL28:AL29)</f>
        <v>245929</v>
      </c>
      <c r="AM27" s="182"/>
      <c r="AN27" s="182"/>
      <c r="AO27" s="181"/>
      <c r="AP27" s="182"/>
      <c r="AQ27" s="182">
        <f>SUM(AQ28:AQ29)</f>
        <v>2261765</v>
      </c>
      <c r="AR27" s="182"/>
      <c r="AS27" s="182"/>
      <c r="AT27" s="181"/>
      <c r="AU27" s="182"/>
      <c r="AV27" s="182">
        <f>SUM(AV28:AV29)</f>
        <v>1146180</v>
      </c>
      <c r="AW27" s="182"/>
      <c r="AX27" s="182"/>
      <c r="AY27" s="181"/>
      <c r="AZ27" s="182"/>
      <c r="BA27" s="182">
        <f>SUM(BA28:BA29)</f>
        <v>1005353</v>
      </c>
      <c r="BB27" s="182"/>
      <c r="BC27" s="182"/>
      <c r="BD27" s="181"/>
      <c r="BE27" s="182"/>
      <c r="BF27" s="182">
        <f>SUM(BF28:BF29)</f>
        <v>41798</v>
      </c>
      <c r="BG27" s="182"/>
      <c r="BH27" s="182"/>
      <c r="BI27" s="181"/>
      <c r="BJ27" s="182"/>
      <c r="BK27" s="182">
        <f>SUM(BK28:BK29)</f>
        <v>360442</v>
      </c>
      <c r="BL27" s="182"/>
      <c r="BM27" s="182"/>
      <c r="BN27" s="181"/>
      <c r="BO27" s="182"/>
      <c r="BP27" s="182">
        <f>SUM(BP28:BP29)</f>
        <v>3730402</v>
      </c>
      <c r="BQ27" s="182"/>
      <c r="BR27" s="182"/>
      <c r="BS27" s="181"/>
      <c r="BT27" s="182"/>
      <c r="BU27" s="182">
        <f>SUM(BU28:BU29)</f>
        <v>11826596</v>
      </c>
      <c r="BV27" s="182"/>
      <c r="BW27" s="182"/>
      <c r="BX27" s="182"/>
      <c r="BY27" s="405"/>
      <c r="BZ27" s="245"/>
      <c r="CA27" s="268" t="e">
        <f>#REF!-#REF!</f>
        <v>#REF!</v>
      </c>
    </row>
    <row r="28" spans="1:85" s="268" customFormat="1" x14ac:dyDescent="0.2">
      <c r="A28" s="245"/>
      <c r="B28" s="245"/>
      <c r="C28" s="245"/>
      <c r="D28" s="418" t="s">
        <v>466</v>
      </c>
      <c r="E28" s="396"/>
      <c r="F28" s="419"/>
      <c r="G28" s="420"/>
      <c r="H28" s="421">
        <v>-2977168.8205058575</v>
      </c>
      <c r="I28" s="421"/>
      <c r="J28" s="422"/>
      <c r="K28" s="422"/>
      <c r="L28" s="421"/>
      <c r="M28" s="421">
        <v>1285536</v>
      </c>
      <c r="N28" s="421"/>
      <c r="O28" s="422"/>
      <c r="P28" s="422"/>
      <c r="Q28" s="421"/>
      <c r="R28" s="421">
        <v>0</v>
      </c>
      <c r="S28" s="421"/>
      <c r="T28" s="422"/>
      <c r="U28" s="422"/>
      <c r="V28" s="421"/>
      <c r="W28" s="421">
        <v>12272</v>
      </c>
      <c r="X28" s="421"/>
      <c r="Y28" s="422"/>
      <c r="Z28" s="422"/>
      <c r="AA28" s="421"/>
      <c r="AB28" s="421">
        <v>0</v>
      </c>
      <c r="AC28" s="421"/>
      <c r="AD28" s="422"/>
      <c r="AE28" s="422"/>
      <c r="AF28" s="421"/>
      <c r="AG28" s="421">
        <v>1736919</v>
      </c>
      <c r="AH28" s="421"/>
      <c r="AI28" s="422"/>
      <c r="AJ28" s="422"/>
      <c r="AK28" s="421"/>
      <c r="AL28" s="421">
        <v>245929</v>
      </c>
      <c r="AM28" s="421"/>
      <c r="AN28" s="422"/>
      <c r="AO28" s="422"/>
      <c r="AP28" s="421"/>
      <c r="AQ28" s="421">
        <v>2261765</v>
      </c>
      <c r="AR28" s="421"/>
      <c r="AS28" s="422"/>
      <c r="AT28" s="422"/>
      <c r="AU28" s="421"/>
      <c r="AV28" s="421">
        <v>1146180</v>
      </c>
      <c r="AW28" s="421"/>
      <c r="AX28" s="422"/>
      <c r="AY28" s="422"/>
      <c r="AZ28" s="421"/>
      <c r="BA28" s="421">
        <v>1005353</v>
      </c>
      <c r="BB28" s="349"/>
      <c r="BC28" s="422"/>
      <c r="BD28" s="422"/>
      <c r="BE28" s="349"/>
      <c r="BF28" s="421">
        <v>41798</v>
      </c>
      <c r="BG28" s="421"/>
      <c r="BH28" s="422"/>
      <c r="BI28" s="422"/>
      <c r="BJ28" s="421"/>
      <c r="BK28" s="421">
        <v>360442</v>
      </c>
      <c r="BL28" s="421"/>
      <c r="BM28" s="422"/>
      <c r="BN28" s="422"/>
      <c r="BO28" s="421"/>
      <c r="BP28" s="421">
        <v>3730402</v>
      </c>
      <c r="BQ28" s="421"/>
      <c r="BR28" s="422"/>
      <c r="BS28" s="422"/>
      <c r="BT28" s="421"/>
      <c r="BU28" s="421">
        <f>SUM(M28:BP28)</f>
        <v>11826596</v>
      </c>
      <c r="BV28" s="421"/>
      <c r="BW28" s="422"/>
      <c r="BX28" s="423"/>
      <c r="BY28" s="405"/>
      <c r="BZ28" s="245"/>
      <c r="CA28" s="268" t="e">
        <f>#REF!-#REF!</f>
        <v>#REF!</v>
      </c>
    </row>
    <row r="29" spans="1:85" hidden="1" x14ac:dyDescent="0.2">
      <c r="A29" s="244"/>
      <c r="B29" s="244"/>
      <c r="C29" s="244"/>
      <c r="D29" s="424" t="s">
        <v>467</v>
      </c>
      <c r="E29" s="62"/>
      <c r="F29" s="261"/>
      <c r="G29" s="284"/>
      <c r="H29" s="414">
        <v>0</v>
      </c>
      <c r="I29" s="415"/>
      <c r="J29" s="163"/>
      <c r="K29" s="162"/>
      <c r="L29" s="416"/>
      <c r="M29" s="414">
        <v>0</v>
      </c>
      <c r="N29" s="415"/>
      <c r="O29" s="163"/>
      <c r="P29" s="162"/>
      <c r="Q29" s="416"/>
      <c r="R29" s="414">
        <v>0</v>
      </c>
      <c r="S29" s="415"/>
      <c r="T29" s="163"/>
      <c r="U29" s="162"/>
      <c r="V29" s="416"/>
      <c r="W29" s="414">
        <v>0</v>
      </c>
      <c r="X29" s="415"/>
      <c r="Y29" s="163"/>
      <c r="Z29" s="162"/>
      <c r="AA29" s="416"/>
      <c r="AB29" s="414">
        <v>0</v>
      </c>
      <c r="AC29" s="415"/>
      <c r="AD29" s="163"/>
      <c r="AE29" s="162"/>
      <c r="AF29" s="416"/>
      <c r="AG29" s="414">
        <v>0</v>
      </c>
      <c r="AH29" s="415"/>
      <c r="AI29" s="163"/>
      <c r="AJ29" s="162"/>
      <c r="AK29" s="416"/>
      <c r="AL29" s="414">
        <v>0</v>
      </c>
      <c r="AM29" s="415"/>
      <c r="AN29" s="163"/>
      <c r="AO29" s="162"/>
      <c r="AP29" s="416"/>
      <c r="AQ29" s="414">
        <v>0</v>
      </c>
      <c r="AR29" s="415"/>
      <c r="AS29" s="163"/>
      <c r="AT29" s="162"/>
      <c r="AU29" s="416"/>
      <c r="AV29" s="414">
        <v>0</v>
      </c>
      <c r="AW29" s="415"/>
      <c r="AX29" s="163"/>
      <c r="AY29" s="162"/>
      <c r="AZ29" s="416"/>
      <c r="BA29" s="414">
        <v>0</v>
      </c>
      <c r="BB29" s="415"/>
      <c r="BC29" s="163"/>
      <c r="BD29" s="162"/>
      <c r="BE29" s="416"/>
      <c r="BF29" s="414">
        <v>0</v>
      </c>
      <c r="BG29" s="415"/>
      <c r="BH29" s="163"/>
      <c r="BI29" s="162"/>
      <c r="BJ29" s="416"/>
      <c r="BK29" s="414">
        <v>0</v>
      </c>
      <c r="BL29" s="415"/>
      <c r="BM29" s="163"/>
      <c r="BN29" s="162"/>
      <c r="BO29" s="416"/>
      <c r="BP29" s="414">
        <v>0</v>
      </c>
      <c r="BQ29" s="415"/>
      <c r="BR29" s="163"/>
      <c r="BS29" s="162"/>
      <c r="BT29" s="416"/>
      <c r="BU29" s="414">
        <f>SUM(M29:BP29)</f>
        <v>0</v>
      </c>
      <c r="BV29" s="415"/>
      <c r="BW29" s="163"/>
      <c r="BX29" s="163"/>
      <c r="BY29" s="409"/>
      <c r="BZ29" s="244"/>
      <c r="CA29" s="268" t="e">
        <f>#REF!-#REF!</f>
        <v>#REF!</v>
      </c>
    </row>
    <row r="30" spans="1:85" x14ac:dyDescent="0.2">
      <c r="A30" s="244"/>
      <c r="B30" s="244"/>
      <c r="C30" s="244"/>
      <c r="D30" s="254"/>
      <c r="E30" s="62"/>
      <c r="F30" s="261"/>
      <c r="G30" s="244"/>
      <c r="H30" s="244"/>
      <c r="I30" s="244"/>
      <c r="J30" s="244"/>
      <c r="K30" s="261"/>
      <c r="L30" s="244"/>
      <c r="M30" s="244"/>
      <c r="N30" s="244"/>
      <c r="O30" s="244"/>
      <c r="P30" s="261"/>
      <c r="Q30" s="244"/>
      <c r="R30" s="244"/>
      <c r="S30" s="244"/>
      <c r="T30" s="244"/>
      <c r="U30" s="261"/>
      <c r="V30" s="244"/>
      <c r="W30" s="244"/>
      <c r="X30" s="244"/>
      <c r="Y30" s="244"/>
      <c r="Z30" s="261"/>
      <c r="AA30" s="244"/>
      <c r="AB30" s="244"/>
      <c r="AC30" s="244"/>
      <c r="AD30" s="244"/>
      <c r="AE30" s="261"/>
      <c r="AF30" s="244"/>
      <c r="AG30" s="244"/>
      <c r="AH30" s="244"/>
      <c r="AI30" s="244"/>
      <c r="AJ30" s="261"/>
      <c r="AK30" s="244"/>
      <c r="AL30" s="244"/>
      <c r="AM30" s="244"/>
      <c r="AN30" s="244"/>
      <c r="AO30" s="261"/>
      <c r="AP30" s="244"/>
      <c r="AQ30" s="244"/>
      <c r="AR30" s="244"/>
      <c r="AS30" s="244"/>
      <c r="AT30" s="261"/>
      <c r="AU30" s="244"/>
      <c r="AV30" s="244"/>
      <c r="AW30" s="244"/>
      <c r="AX30" s="244"/>
      <c r="AY30" s="261"/>
      <c r="AZ30" s="244"/>
      <c r="BA30" s="244"/>
      <c r="BB30" s="244"/>
      <c r="BC30" s="244"/>
      <c r="BD30" s="261"/>
      <c r="BE30" s="244"/>
      <c r="BF30" s="244"/>
      <c r="BG30" s="244"/>
      <c r="BH30" s="244"/>
      <c r="BI30" s="261"/>
      <c r="BJ30" s="244"/>
      <c r="BK30" s="244"/>
      <c r="BL30" s="244"/>
      <c r="BM30" s="244"/>
      <c r="BN30" s="261"/>
      <c r="BO30" s="244"/>
      <c r="BP30" s="244"/>
      <c r="BQ30" s="244"/>
      <c r="BR30" s="244"/>
      <c r="BS30" s="261"/>
      <c r="BT30" s="244"/>
      <c r="BU30" s="244"/>
      <c r="BV30" s="244"/>
      <c r="BW30" s="163"/>
      <c r="BX30" s="163"/>
      <c r="BY30" s="409"/>
      <c r="BZ30" s="244"/>
      <c r="CA30" s="268" t="e">
        <f>#REF!-#REF!</f>
        <v>#REF!</v>
      </c>
    </row>
    <row r="31" spans="1:85" x14ac:dyDescent="0.2">
      <c r="A31" s="244"/>
      <c r="B31" s="244"/>
      <c r="C31" s="244"/>
      <c r="D31" s="254"/>
      <c r="E31" s="62"/>
      <c r="F31" s="261"/>
      <c r="G31" s="244"/>
      <c r="H31" s="289"/>
      <c r="I31" s="289"/>
      <c r="J31" s="289"/>
      <c r="K31" s="288"/>
      <c r="L31" s="289"/>
      <c r="M31" s="289"/>
      <c r="N31" s="289"/>
      <c r="O31" s="289"/>
      <c r="P31" s="288"/>
      <c r="Q31" s="289"/>
      <c r="R31" s="289"/>
      <c r="S31" s="289"/>
      <c r="T31" s="289"/>
      <c r="U31" s="288"/>
      <c r="V31" s="289"/>
      <c r="W31" s="289"/>
      <c r="X31" s="289"/>
      <c r="Y31" s="289"/>
      <c r="Z31" s="288"/>
      <c r="AA31" s="289"/>
      <c r="AB31" s="289"/>
      <c r="AC31" s="289"/>
      <c r="AD31" s="289"/>
      <c r="AE31" s="288"/>
      <c r="AF31" s="289"/>
      <c r="AG31" s="289"/>
      <c r="AH31" s="289"/>
      <c r="AI31" s="289"/>
      <c r="AJ31" s="288"/>
      <c r="AK31" s="289"/>
      <c r="AL31" s="289"/>
      <c r="AM31" s="289"/>
      <c r="AN31" s="289"/>
      <c r="AO31" s="288"/>
      <c r="AP31" s="289"/>
      <c r="AQ31" s="289"/>
      <c r="AR31" s="289"/>
      <c r="AS31" s="289"/>
      <c r="AT31" s="288"/>
      <c r="AU31" s="289"/>
      <c r="AV31" s="289"/>
      <c r="AW31" s="289"/>
      <c r="AX31" s="289"/>
      <c r="AY31" s="288"/>
      <c r="AZ31" s="289"/>
      <c r="BA31" s="289"/>
      <c r="BB31" s="289"/>
      <c r="BC31" s="289"/>
      <c r="BD31" s="288"/>
      <c r="BE31" s="289"/>
      <c r="BF31" s="289"/>
      <c r="BG31" s="289"/>
      <c r="BH31" s="289"/>
      <c r="BI31" s="288"/>
      <c r="BJ31" s="289"/>
      <c r="BK31" s="289"/>
      <c r="BL31" s="289"/>
      <c r="BM31" s="289"/>
      <c r="BN31" s="288"/>
      <c r="BO31" s="289"/>
      <c r="BP31" s="289"/>
      <c r="BQ31" s="289"/>
      <c r="BR31" s="289"/>
      <c r="BS31" s="288"/>
      <c r="BT31" s="289"/>
      <c r="BU31" s="289"/>
      <c r="BV31" s="289"/>
      <c r="BW31" s="289"/>
      <c r="BX31" s="289"/>
      <c r="BY31" s="327"/>
      <c r="BZ31" s="244"/>
      <c r="CA31" s="268" t="e">
        <f>#REF!-#REF!</f>
        <v>#REF!</v>
      </c>
      <c r="CG31" s="425"/>
    </row>
    <row r="32" spans="1:85" s="268" customFormat="1" x14ac:dyDescent="0.2">
      <c r="A32" s="245"/>
      <c r="B32" s="245"/>
      <c r="C32" s="245"/>
      <c r="D32" s="262" t="s">
        <v>468</v>
      </c>
      <c r="E32" s="62" t="s">
        <v>84</v>
      </c>
      <c r="F32" s="261"/>
      <c r="G32" s="182"/>
      <c r="H32" s="291">
        <f>SUM(H33:H34)</f>
        <v>0</v>
      </c>
      <c r="I32" s="182"/>
      <c r="J32" s="182"/>
      <c r="K32" s="181"/>
      <c r="L32" s="182"/>
      <c r="M32" s="182">
        <f>SUM(M33:M34)</f>
        <v>0</v>
      </c>
      <c r="N32" s="182"/>
      <c r="O32" s="182"/>
      <c r="P32" s="181"/>
      <c r="Q32" s="182"/>
      <c r="R32" s="182">
        <f>SUM(R33:R34)</f>
        <v>0</v>
      </c>
      <c r="S32" s="182"/>
      <c r="T32" s="182"/>
      <c r="U32" s="181"/>
      <c r="V32" s="182"/>
      <c r="W32" s="182">
        <f>SUM(W33:W34)</f>
        <v>0</v>
      </c>
      <c r="X32" s="182"/>
      <c r="Y32" s="182"/>
      <c r="Z32" s="181"/>
      <c r="AA32" s="182"/>
      <c r="AB32" s="182">
        <f>SUM(AB33:AB34)</f>
        <v>0</v>
      </c>
      <c r="AC32" s="182"/>
      <c r="AD32" s="182"/>
      <c r="AE32" s="181"/>
      <c r="AF32" s="182"/>
      <c r="AG32" s="182">
        <f>SUM(AG33:AG34)</f>
        <v>-98</v>
      </c>
      <c r="AH32" s="182"/>
      <c r="AI32" s="182"/>
      <c r="AJ32" s="181"/>
      <c r="AK32" s="182"/>
      <c r="AL32" s="182">
        <f>SUM(AL33:AL34)</f>
        <v>0</v>
      </c>
      <c r="AM32" s="182"/>
      <c r="AN32" s="182"/>
      <c r="AO32" s="181"/>
      <c r="AP32" s="182"/>
      <c r="AQ32" s="182">
        <f>SUM(AQ33:AQ34)</f>
        <v>-372528</v>
      </c>
      <c r="AR32" s="182"/>
      <c r="AS32" s="182"/>
      <c r="AT32" s="181"/>
      <c r="AU32" s="182"/>
      <c r="AV32" s="182">
        <f>SUM(AV33:AV34)</f>
        <v>0</v>
      </c>
      <c r="AW32" s="182"/>
      <c r="AX32" s="182"/>
      <c r="AY32" s="181"/>
      <c r="AZ32" s="182"/>
      <c r="BA32" s="182">
        <f>SUM(BA33:BA34)</f>
        <v>0</v>
      </c>
      <c r="BB32" s="182"/>
      <c r="BC32" s="182"/>
      <c r="BD32" s="181"/>
      <c r="BE32" s="182"/>
      <c r="BF32" s="182">
        <f>SUM(BF33:BF34)</f>
        <v>0</v>
      </c>
      <c r="BG32" s="182"/>
      <c r="BH32" s="182"/>
      <c r="BI32" s="181"/>
      <c r="BJ32" s="182"/>
      <c r="BK32" s="182">
        <f>SUM(BK33:BK34)</f>
        <v>0</v>
      </c>
      <c r="BL32" s="182"/>
      <c r="BM32" s="182"/>
      <c r="BN32" s="181"/>
      <c r="BO32" s="182"/>
      <c r="BP32" s="182">
        <f>SUM(BP33:BP34)</f>
        <v>-77</v>
      </c>
      <c r="BQ32" s="291"/>
      <c r="BR32" s="291"/>
      <c r="BS32" s="290"/>
      <c r="BT32" s="182"/>
      <c r="BU32" s="291">
        <f>SUM(BU33:BU34)</f>
        <v>-372703</v>
      </c>
      <c r="BV32" s="182"/>
      <c r="BW32" s="291"/>
      <c r="BX32" s="291"/>
      <c r="BY32" s="358"/>
      <c r="BZ32" s="245"/>
      <c r="CA32" s="268" t="e">
        <f>#REF!-#REF!</f>
        <v>#REF!</v>
      </c>
    </row>
    <row r="33" spans="1:81" s="268" customFormat="1" x14ac:dyDescent="0.2">
      <c r="A33" s="245"/>
      <c r="B33" s="245"/>
      <c r="C33" s="245"/>
      <c r="D33" s="418" t="s">
        <v>469</v>
      </c>
      <c r="E33" s="396"/>
      <c r="F33" s="419"/>
      <c r="G33" s="420"/>
      <c r="H33" s="421">
        <v>0</v>
      </c>
      <c r="I33" s="421"/>
      <c r="J33" s="422"/>
      <c r="K33" s="422"/>
      <c r="L33" s="421"/>
      <c r="M33" s="421">
        <v>0</v>
      </c>
      <c r="N33" s="421"/>
      <c r="O33" s="422"/>
      <c r="P33" s="422"/>
      <c r="Q33" s="421"/>
      <c r="R33" s="421">
        <v>0</v>
      </c>
      <c r="S33" s="421"/>
      <c r="T33" s="422"/>
      <c r="U33" s="422"/>
      <c r="V33" s="421"/>
      <c r="W33" s="421">
        <v>0</v>
      </c>
      <c r="X33" s="421"/>
      <c r="Y33" s="422"/>
      <c r="Z33" s="422"/>
      <c r="AA33" s="421"/>
      <c r="AB33" s="421">
        <v>0</v>
      </c>
      <c r="AC33" s="421"/>
      <c r="AD33" s="422"/>
      <c r="AE33" s="422"/>
      <c r="AF33" s="421"/>
      <c r="AG33" s="421">
        <v>-98</v>
      </c>
      <c r="AH33" s="421"/>
      <c r="AI33" s="422"/>
      <c r="AJ33" s="422"/>
      <c r="AK33" s="421"/>
      <c r="AL33" s="421">
        <v>0</v>
      </c>
      <c r="AM33" s="421"/>
      <c r="AN33" s="422"/>
      <c r="AO33" s="422"/>
      <c r="AP33" s="421"/>
      <c r="AQ33" s="421">
        <v>-372528</v>
      </c>
      <c r="AR33" s="421"/>
      <c r="AS33" s="422"/>
      <c r="AT33" s="422"/>
      <c r="AU33" s="421"/>
      <c r="AV33" s="421">
        <v>0</v>
      </c>
      <c r="AW33" s="421"/>
      <c r="AX33" s="422"/>
      <c r="AY33" s="422"/>
      <c r="AZ33" s="421"/>
      <c r="BA33" s="421">
        <v>0</v>
      </c>
      <c r="BB33" s="349"/>
      <c r="BC33" s="422"/>
      <c r="BD33" s="422"/>
      <c r="BE33" s="349"/>
      <c r="BF33" s="421">
        <v>0</v>
      </c>
      <c r="BG33" s="421"/>
      <c r="BH33" s="422"/>
      <c r="BI33" s="422"/>
      <c r="BJ33" s="421"/>
      <c r="BK33" s="421">
        <v>0</v>
      </c>
      <c r="BL33" s="421"/>
      <c r="BM33" s="422"/>
      <c r="BN33" s="422"/>
      <c r="BO33" s="421"/>
      <c r="BP33" s="421">
        <v>-77</v>
      </c>
      <c r="BQ33" s="421"/>
      <c r="BR33" s="422"/>
      <c r="BS33" s="422"/>
      <c r="BT33" s="421"/>
      <c r="BU33" s="421">
        <f>SUM(M33:BP33)</f>
        <v>-372703</v>
      </c>
      <c r="BV33" s="421"/>
      <c r="BW33" s="422"/>
      <c r="BX33" s="423"/>
      <c r="BY33" s="405"/>
      <c r="BZ33" s="245"/>
      <c r="CA33" s="268" t="e">
        <f>#REF!-#REF!</f>
        <v>#REF!</v>
      </c>
    </row>
    <row r="34" spans="1:81" hidden="1" x14ac:dyDescent="0.2">
      <c r="A34" s="244"/>
      <c r="B34" s="244"/>
      <c r="C34" s="244"/>
      <c r="D34" s="424" t="s">
        <v>467</v>
      </c>
      <c r="E34" s="62"/>
      <c r="F34" s="261"/>
      <c r="G34" s="284"/>
      <c r="H34" s="414">
        <v>0</v>
      </c>
      <c r="I34" s="415"/>
      <c r="J34" s="163"/>
      <c r="K34" s="162"/>
      <c r="L34" s="284"/>
      <c r="M34" s="414">
        <v>0</v>
      </c>
      <c r="N34" s="415"/>
      <c r="O34" s="163"/>
      <c r="P34" s="162"/>
      <c r="Q34" s="416"/>
      <c r="R34" s="414">
        <v>0</v>
      </c>
      <c r="S34" s="415"/>
      <c r="T34" s="163"/>
      <c r="U34" s="162"/>
      <c r="V34" s="416"/>
      <c r="W34" s="414">
        <v>0</v>
      </c>
      <c r="X34" s="415"/>
      <c r="Y34" s="163"/>
      <c r="Z34" s="162"/>
      <c r="AA34" s="416"/>
      <c r="AB34" s="414">
        <v>0</v>
      </c>
      <c r="AC34" s="415"/>
      <c r="AD34" s="163"/>
      <c r="AE34" s="162"/>
      <c r="AF34" s="416"/>
      <c r="AG34" s="414">
        <v>0</v>
      </c>
      <c r="AH34" s="415"/>
      <c r="AI34" s="163"/>
      <c r="AJ34" s="162"/>
      <c r="AK34" s="416"/>
      <c r="AL34" s="414">
        <v>0</v>
      </c>
      <c r="AM34" s="415"/>
      <c r="AN34" s="163"/>
      <c r="AO34" s="162"/>
      <c r="AP34" s="416"/>
      <c r="AQ34" s="414">
        <v>0</v>
      </c>
      <c r="AR34" s="415"/>
      <c r="AS34" s="163"/>
      <c r="AT34" s="162"/>
      <c r="AU34" s="416"/>
      <c r="AV34" s="414">
        <v>0</v>
      </c>
      <c r="AW34" s="415"/>
      <c r="AX34" s="163"/>
      <c r="AY34" s="162"/>
      <c r="AZ34" s="416"/>
      <c r="BA34" s="414">
        <v>0</v>
      </c>
      <c r="BB34" s="415"/>
      <c r="BC34" s="163"/>
      <c r="BD34" s="162"/>
      <c r="BE34" s="416"/>
      <c r="BF34" s="414">
        <v>0</v>
      </c>
      <c r="BG34" s="415"/>
      <c r="BH34" s="163"/>
      <c r="BI34" s="162"/>
      <c r="BJ34" s="416"/>
      <c r="BK34" s="414">
        <v>0</v>
      </c>
      <c r="BL34" s="415"/>
      <c r="BM34" s="163"/>
      <c r="BN34" s="162"/>
      <c r="BO34" s="416"/>
      <c r="BP34" s="414">
        <v>0</v>
      </c>
      <c r="BQ34" s="415"/>
      <c r="BR34" s="289"/>
      <c r="BS34" s="288"/>
      <c r="BT34" s="284"/>
      <c r="BU34" s="414">
        <f>SUM(M34:BP34)</f>
        <v>0</v>
      </c>
      <c r="BV34" s="415"/>
      <c r="BW34" s="289"/>
      <c r="BX34" s="289"/>
      <c r="BY34" s="327"/>
      <c r="BZ34" s="244"/>
      <c r="CA34" s="268" t="e">
        <f>#REF!-#REF!</f>
        <v>#REF!</v>
      </c>
    </row>
    <row r="35" spans="1:81" x14ac:dyDescent="0.2">
      <c r="A35" s="244"/>
      <c r="B35" s="244"/>
      <c r="C35" s="244"/>
      <c r="D35" s="254"/>
      <c r="E35" s="62"/>
      <c r="F35" s="261"/>
      <c r="G35" s="244"/>
      <c r="H35" s="163"/>
      <c r="I35" s="163"/>
      <c r="J35" s="163"/>
      <c r="K35" s="162"/>
      <c r="L35" s="163"/>
      <c r="M35" s="163"/>
      <c r="N35" s="163"/>
      <c r="O35" s="163"/>
      <c r="P35" s="162"/>
      <c r="Q35" s="163"/>
      <c r="R35" s="163"/>
      <c r="S35" s="163"/>
      <c r="T35" s="163"/>
      <c r="U35" s="162"/>
      <c r="V35" s="163"/>
      <c r="W35" s="163"/>
      <c r="X35" s="163"/>
      <c r="Y35" s="163"/>
      <c r="Z35" s="162"/>
      <c r="AA35" s="163"/>
      <c r="AB35" s="163"/>
      <c r="AC35" s="163"/>
      <c r="AD35" s="163"/>
      <c r="AE35" s="162"/>
      <c r="AF35" s="163"/>
      <c r="AG35" s="163"/>
      <c r="AH35" s="163"/>
      <c r="AI35" s="163"/>
      <c r="AJ35" s="162"/>
      <c r="AK35" s="163"/>
      <c r="AL35" s="163"/>
      <c r="AM35" s="163"/>
      <c r="AN35" s="163"/>
      <c r="AO35" s="162"/>
      <c r="AP35" s="163"/>
      <c r="AQ35" s="163"/>
      <c r="AR35" s="163"/>
      <c r="AS35" s="163"/>
      <c r="AT35" s="162"/>
      <c r="AU35" s="163"/>
      <c r="AV35" s="163"/>
      <c r="AW35" s="406"/>
      <c r="AX35" s="163"/>
      <c r="AY35" s="162"/>
      <c r="AZ35" s="163"/>
      <c r="BA35" s="163"/>
      <c r="BB35" s="163"/>
      <c r="BC35" s="163"/>
      <c r="BD35" s="162"/>
      <c r="BE35" s="163"/>
      <c r="BF35" s="163"/>
      <c r="BG35" s="163"/>
      <c r="BH35" s="163"/>
      <c r="BI35" s="162"/>
      <c r="BJ35" s="163"/>
      <c r="BK35" s="163"/>
      <c r="BL35" s="163"/>
      <c r="BM35" s="163"/>
      <c r="BN35" s="162"/>
      <c r="BO35" s="406"/>
      <c r="BP35" s="163"/>
      <c r="BQ35" s="406"/>
      <c r="BR35" s="163"/>
      <c r="BS35" s="162"/>
      <c r="BT35" s="163"/>
      <c r="BU35" s="163"/>
      <c r="BV35" s="163"/>
      <c r="BW35" s="163"/>
      <c r="BX35" s="163"/>
      <c r="BY35" s="409"/>
      <c r="BZ35" s="244"/>
      <c r="CA35" s="268" t="e">
        <f>#REF!-#REF!</f>
        <v>#REF!</v>
      </c>
    </row>
    <row r="36" spans="1:81" x14ac:dyDescent="0.2">
      <c r="A36" s="244"/>
      <c r="B36" s="244"/>
      <c r="C36" s="244"/>
      <c r="D36" s="254"/>
      <c r="E36" s="62"/>
      <c r="F36" s="261"/>
      <c r="G36" s="244"/>
      <c r="H36" s="289"/>
      <c r="I36" s="289"/>
      <c r="J36" s="289"/>
      <c r="K36" s="288"/>
      <c r="L36" s="289"/>
      <c r="M36" s="289"/>
      <c r="N36" s="289"/>
      <c r="O36" s="289"/>
      <c r="P36" s="288"/>
      <c r="Q36" s="289"/>
      <c r="R36" s="289"/>
      <c r="S36" s="289"/>
      <c r="T36" s="289"/>
      <c r="U36" s="288"/>
      <c r="V36" s="289"/>
      <c r="W36" s="289"/>
      <c r="X36" s="289"/>
      <c r="Y36" s="289"/>
      <c r="Z36" s="288"/>
      <c r="AA36" s="289"/>
      <c r="AB36" s="289"/>
      <c r="AC36" s="289"/>
      <c r="AD36" s="289"/>
      <c r="AE36" s="288"/>
      <c r="AF36" s="289"/>
      <c r="AG36" s="289"/>
      <c r="AH36" s="289"/>
      <c r="AI36" s="289"/>
      <c r="AJ36" s="288"/>
      <c r="AK36" s="289"/>
      <c r="AL36" s="289"/>
      <c r="AM36" s="289"/>
      <c r="AN36" s="289"/>
      <c r="AO36" s="288"/>
      <c r="AP36" s="289"/>
      <c r="AQ36" s="289"/>
      <c r="AR36" s="289"/>
      <c r="AS36" s="289"/>
      <c r="AT36" s="288"/>
      <c r="AU36" s="289"/>
      <c r="AV36" s="289"/>
      <c r="AW36" s="289"/>
      <c r="AX36" s="289"/>
      <c r="AY36" s="288"/>
      <c r="AZ36" s="289"/>
      <c r="BA36" s="289"/>
      <c r="BB36" s="289"/>
      <c r="BC36" s="289"/>
      <c r="BD36" s="288"/>
      <c r="BE36" s="289"/>
      <c r="BF36" s="289"/>
      <c r="BG36" s="289"/>
      <c r="BH36" s="289"/>
      <c r="BI36" s="288"/>
      <c r="BJ36" s="289"/>
      <c r="BK36" s="289"/>
      <c r="BL36" s="289"/>
      <c r="BM36" s="289"/>
      <c r="BN36" s="288"/>
      <c r="BO36" s="289"/>
      <c r="BP36" s="289"/>
      <c r="BQ36" s="289"/>
      <c r="BR36" s="289"/>
      <c r="BS36" s="288"/>
      <c r="BT36" s="289"/>
      <c r="BU36" s="289"/>
      <c r="BV36" s="289"/>
      <c r="BW36" s="289"/>
      <c r="BX36" s="289"/>
      <c r="BY36" s="327"/>
      <c r="BZ36" s="244"/>
      <c r="CA36" s="268" t="e">
        <f>#REF!-#REF!</f>
        <v>#REF!</v>
      </c>
    </row>
    <row r="37" spans="1:81" s="268" customFormat="1" hidden="1" x14ac:dyDescent="0.2">
      <c r="A37" s="245"/>
      <c r="B37" s="245"/>
      <c r="C37" s="245"/>
      <c r="D37" s="262"/>
      <c r="E37" s="396"/>
      <c r="F37" s="264"/>
      <c r="G37" s="245"/>
      <c r="H37" s="182"/>
      <c r="I37" s="182"/>
      <c r="J37" s="182"/>
      <c r="K37" s="181"/>
      <c r="L37" s="182"/>
      <c r="M37" s="182"/>
      <c r="N37" s="182"/>
      <c r="O37" s="182"/>
      <c r="P37" s="181"/>
      <c r="Q37" s="182"/>
      <c r="R37" s="182"/>
      <c r="S37" s="182"/>
      <c r="T37" s="182"/>
      <c r="U37" s="181"/>
      <c r="V37" s="182"/>
      <c r="W37" s="182"/>
      <c r="X37" s="182"/>
      <c r="Y37" s="182"/>
      <c r="Z37" s="181"/>
      <c r="AA37" s="182"/>
      <c r="AB37" s="182"/>
      <c r="AC37" s="182"/>
      <c r="AD37" s="182"/>
      <c r="AE37" s="181"/>
      <c r="AF37" s="182"/>
      <c r="AG37" s="182"/>
      <c r="AH37" s="182"/>
      <c r="AI37" s="182"/>
      <c r="AJ37" s="181"/>
      <c r="AK37" s="182"/>
      <c r="AL37" s="182"/>
      <c r="AM37" s="182"/>
      <c r="AN37" s="182"/>
      <c r="AO37" s="181"/>
      <c r="AP37" s="182"/>
      <c r="AQ37" s="182"/>
      <c r="AR37" s="182"/>
      <c r="AS37" s="182"/>
      <c r="AT37" s="181"/>
      <c r="AU37" s="182"/>
      <c r="AV37" s="182"/>
      <c r="AW37" s="182"/>
      <c r="AX37" s="182"/>
      <c r="AY37" s="181"/>
      <c r="AZ37" s="182"/>
      <c r="BA37" s="182"/>
      <c r="BB37" s="182"/>
      <c r="BC37" s="182"/>
      <c r="BD37" s="181"/>
      <c r="BE37" s="182"/>
      <c r="BF37" s="182"/>
      <c r="BG37" s="182"/>
      <c r="BH37" s="182"/>
      <c r="BI37" s="181"/>
      <c r="BJ37" s="182"/>
      <c r="BK37" s="182"/>
      <c r="BL37" s="182"/>
      <c r="BM37" s="182"/>
      <c r="BN37" s="181"/>
      <c r="BO37" s="182"/>
      <c r="BP37" s="182"/>
      <c r="BQ37" s="182"/>
      <c r="BR37" s="182"/>
      <c r="BS37" s="181"/>
      <c r="BT37" s="182"/>
      <c r="BU37" s="182"/>
      <c r="BV37" s="182"/>
      <c r="BW37" s="182"/>
      <c r="BX37" s="182"/>
      <c r="BY37" s="405"/>
      <c r="BZ37" s="245"/>
      <c r="CA37" s="268" t="e">
        <f>#REF!-#REF!</f>
        <v>#REF!</v>
      </c>
    </row>
    <row r="38" spans="1:81" s="268" customFormat="1" x14ac:dyDescent="0.2">
      <c r="A38" s="245"/>
      <c r="B38" s="245"/>
      <c r="C38" s="245"/>
      <c r="D38" s="262" t="s">
        <v>470</v>
      </c>
      <c r="E38" s="396"/>
      <c r="F38" s="419"/>
      <c r="G38" s="420"/>
      <c r="H38" s="426">
        <v>0</v>
      </c>
      <c r="I38" s="426"/>
      <c r="J38" s="427"/>
      <c r="K38" s="427"/>
      <c r="L38" s="426"/>
      <c r="M38" s="426">
        <f>-[66]original!$F$83</f>
        <v>-9617047.0857300311</v>
      </c>
      <c r="N38" s="426"/>
      <c r="O38" s="427"/>
      <c r="P38" s="427"/>
      <c r="Q38" s="426"/>
      <c r="R38" s="426">
        <f>-[67]original!$G$83</f>
        <v>1658010.930979982</v>
      </c>
      <c r="S38" s="426"/>
      <c r="T38" s="427"/>
      <c r="U38" s="427"/>
      <c r="V38" s="426"/>
      <c r="W38" s="426">
        <f>-[68]original!$H$83</f>
        <v>13980252.002719998</v>
      </c>
      <c r="X38" s="426"/>
      <c r="Y38" s="427"/>
      <c r="Z38" s="427"/>
      <c r="AA38" s="426"/>
      <c r="AB38" s="426">
        <f>-[67]original!$I$83</f>
        <v>-8777405.5292999893</v>
      </c>
      <c r="AC38" s="426"/>
      <c r="AD38" s="427"/>
      <c r="AE38" s="427"/>
      <c r="AF38" s="426"/>
      <c r="AG38" s="426">
        <f>-[69]original!$J$83</f>
        <v>-9967884.6452499926</v>
      </c>
      <c r="AH38" s="426"/>
      <c r="AI38" s="427"/>
      <c r="AJ38" s="427"/>
      <c r="AK38" s="426"/>
      <c r="AL38" s="426">
        <f>-[70]original!$K$83</f>
        <v>-4315544.2743200064</v>
      </c>
      <c r="AM38" s="426"/>
      <c r="AN38" s="427"/>
      <c r="AO38" s="427"/>
      <c r="AP38" s="426"/>
      <c r="AQ38" s="426">
        <f>-[71]original!$L$84</f>
        <v>-395955.73492997885</v>
      </c>
      <c r="AR38" s="426"/>
      <c r="AS38" s="427"/>
      <c r="AT38" s="427"/>
      <c r="AU38" s="426"/>
      <c r="AV38" s="426">
        <f>-[72]original!$M$84</f>
        <v>-18897629.034100011</v>
      </c>
      <c r="AW38" s="426"/>
      <c r="AX38" s="427"/>
      <c r="AY38" s="427"/>
      <c r="AZ38" s="426"/>
      <c r="BA38" s="426">
        <f>-[73]original!$N$82</f>
        <v>-1291051.425060004</v>
      </c>
      <c r="BB38" s="428"/>
      <c r="BC38" s="427"/>
      <c r="BD38" s="427"/>
      <c r="BE38" s="428"/>
      <c r="BF38" s="426">
        <f>-[74]original!$O$82</f>
        <v>-2746121.6662400216</v>
      </c>
      <c r="BG38" s="426"/>
      <c r="BH38" s="427"/>
      <c r="BI38" s="427"/>
      <c r="BJ38" s="426"/>
      <c r="BK38" s="426">
        <f>-[75]original!$P$82</f>
        <v>-5785998.0916399956</v>
      </c>
      <c r="BL38" s="426"/>
      <c r="BM38" s="427"/>
      <c r="BN38" s="427"/>
      <c r="BO38" s="426"/>
      <c r="BP38" s="426">
        <f>-[76]original!$Q$82</f>
        <v>48587728.50752002</v>
      </c>
      <c r="BQ38" s="426"/>
      <c r="BR38" s="427"/>
      <c r="BS38" s="427"/>
      <c r="BT38" s="426"/>
      <c r="BU38" s="426">
        <f>SUM(M38:BP38)</f>
        <v>2431353.9546499699</v>
      </c>
      <c r="BV38" s="426"/>
      <c r="BW38" s="427"/>
      <c r="BX38" s="423"/>
      <c r="BY38" s="405"/>
      <c r="BZ38" s="245"/>
      <c r="CA38" s="268" t="e">
        <f>#REF!-#REF!</f>
        <v>#REF!</v>
      </c>
      <c r="CC38" s="268" t="e">
        <f>CA38-CA40</f>
        <v>#REF!</v>
      </c>
    </row>
    <row r="39" spans="1:81" x14ac:dyDescent="0.2">
      <c r="A39" s="244"/>
      <c r="B39" s="244"/>
      <c r="C39" s="244"/>
      <c r="D39" s="254"/>
      <c r="E39" s="106"/>
      <c r="F39" s="261"/>
      <c r="G39" s="244"/>
      <c r="H39" s="163"/>
      <c r="I39" s="163"/>
      <c r="J39" s="163"/>
      <c r="K39" s="162"/>
      <c r="L39" s="163"/>
      <c r="M39" s="163"/>
      <c r="N39" s="163"/>
      <c r="O39" s="163"/>
      <c r="P39" s="162"/>
      <c r="Q39" s="163"/>
      <c r="R39" s="163"/>
      <c r="S39" s="163"/>
      <c r="T39" s="163"/>
      <c r="U39" s="162"/>
      <c r="V39" s="163"/>
      <c r="W39" s="163"/>
      <c r="X39" s="163"/>
      <c r="Y39" s="163"/>
      <c r="Z39" s="162"/>
      <c r="AA39" s="163"/>
      <c r="AB39" s="163"/>
      <c r="AC39" s="163"/>
      <c r="AD39" s="163"/>
      <c r="AE39" s="162"/>
      <c r="AF39" s="163"/>
      <c r="AG39" s="163"/>
      <c r="AH39" s="163"/>
      <c r="AI39" s="163"/>
      <c r="AJ39" s="162"/>
      <c r="AK39" s="163"/>
      <c r="AL39" s="163"/>
      <c r="AM39" s="163"/>
      <c r="AN39" s="163"/>
      <c r="AO39" s="162"/>
      <c r="AP39" s="163"/>
      <c r="AQ39" s="163"/>
      <c r="AR39" s="163"/>
      <c r="AS39" s="163"/>
      <c r="AT39" s="162"/>
      <c r="AU39" s="163"/>
      <c r="AV39" s="163"/>
      <c r="AW39" s="163"/>
      <c r="AX39" s="163"/>
      <c r="AY39" s="162"/>
      <c r="AZ39" s="163"/>
      <c r="BA39" s="163"/>
      <c r="BB39" s="163"/>
      <c r="BC39" s="163"/>
      <c r="BD39" s="162"/>
      <c r="BE39" s="163"/>
      <c r="BF39" s="163"/>
      <c r="BG39" s="163"/>
      <c r="BH39" s="163"/>
      <c r="BI39" s="162"/>
      <c r="BJ39" s="163"/>
      <c r="BK39" s="163"/>
      <c r="BL39" s="163"/>
      <c r="BM39" s="163"/>
      <c r="BN39" s="162"/>
      <c r="BO39" s="163"/>
      <c r="BP39" s="163"/>
      <c r="BQ39" s="163"/>
      <c r="BR39" s="163"/>
      <c r="BS39" s="162"/>
      <c r="BT39" s="163"/>
      <c r="BU39" s="163"/>
      <c r="BV39" s="163"/>
      <c r="BW39" s="163"/>
      <c r="BX39" s="163"/>
      <c r="BY39" s="409"/>
      <c r="BZ39" s="244"/>
      <c r="CA39" s="268" t="e">
        <f>#REF!-#REF!</f>
        <v>#REF!</v>
      </c>
    </row>
    <row r="40" spans="1:81" s="268" customFormat="1" x14ac:dyDescent="0.2">
      <c r="A40" s="245"/>
      <c r="B40" s="245"/>
      <c r="C40" s="245"/>
      <c r="D40" s="429" t="s">
        <v>471</v>
      </c>
      <c r="E40" s="430" t="s">
        <v>55</v>
      </c>
      <c r="F40" s="431"/>
      <c r="G40" s="432"/>
      <c r="H40" s="201">
        <f>+H12+H38+H32+H27+H23</f>
        <v>-3701168.8205058575</v>
      </c>
      <c r="I40" s="201"/>
      <c r="J40" s="201"/>
      <c r="K40" s="200"/>
      <c r="L40" s="201"/>
      <c r="M40" s="201">
        <f>+M12+M38+M32+M27+M23</f>
        <v>12935068.914269969</v>
      </c>
      <c r="N40" s="201"/>
      <c r="O40" s="201"/>
      <c r="P40" s="200"/>
      <c r="Q40" s="201"/>
      <c r="R40" s="201">
        <f>+R12+R38+R32+R27+R23</f>
        <v>6028814.930979982</v>
      </c>
      <c r="S40" s="201"/>
      <c r="T40" s="201"/>
      <c r="U40" s="200"/>
      <c r="V40" s="201"/>
      <c r="W40" s="201">
        <f>+W12+W38+W32+W27+W23</f>
        <v>-64456252.997280002</v>
      </c>
      <c r="X40" s="201"/>
      <c r="Y40" s="201"/>
      <c r="Z40" s="200"/>
      <c r="AA40" s="201"/>
      <c r="AB40" s="201">
        <f>+AB12+AB38+AB32+AB27+AB23</f>
        <v>71916201.470700011</v>
      </c>
      <c r="AC40" s="201"/>
      <c r="AD40" s="201"/>
      <c r="AE40" s="200"/>
      <c r="AF40" s="201"/>
      <c r="AG40" s="201">
        <f>+AG12+AG38+AG32+AG27+AG23</f>
        <v>-5938593.6452499926</v>
      </c>
      <c r="AH40" s="201"/>
      <c r="AI40" s="201"/>
      <c r="AJ40" s="200"/>
      <c r="AK40" s="201"/>
      <c r="AL40" s="201">
        <f>+AL12+AL38+AL32+AL27+AL23</f>
        <v>-87185842.274320006</v>
      </c>
      <c r="AM40" s="201"/>
      <c r="AN40" s="201"/>
      <c r="AO40" s="200"/>
      <c r="AP40" s="201"/>
      <c r="AQ40" s="201">
        <f>+AQ12+AQ38+AQ32+AQ27+AQ23</f>
        <v>4292248.2650700212</v>
      </c>
      <c r="AR40" s="201"/>
      <c r="AS40" s="201"/>
      <c r="AT40" s="200"/>
      <c r="AU40" s="201"/>
      <c r="AV40" s="201">
        <f>+AV12+AV38+AV32+AV27+AV23</f>
        <v>-21698105.034100011</v>
      </c>
      <c r="AW40" s="201"/>
      <c r="AX40" s="201"/>
      <c r="AY40" s="200"/>
      <c r="AZ40" s="201"/>
      <c r="BA40" s="201">
        <f>+BA12+BA38+BA32+BA27+BA23</f>
        <v>-5176181.425060004</v>
      </c>
      <c r="BB40" s="201"/>
      <c r="BC40" s="201"/>
      <c r="BD40" s="200"/>
      <c r="BE40" s="201"/>
      <c r="BF40" s="201">
        <f>+BF12+BF23+BF25+BF27+BF32+BF38</f>
        <v>31144738.333759978</v>
      </c>
      <c r="BG40" s="201"/>
      <c r="BH40" s="201"/>
      <c r="BI40" s="200"/>
      <c r="BJ40" s="201"/>
      <c r="BK40" s="201">
        <f>+BK12+BK38+BK32+BK27+BK23</f>
        <v>-28811986.091639996</v>
      </c>
      <c r="BL40" s="201"/>
      <c r="BM40" s="201"/>
      <c r="BN40" s="200"/>
      <c r="BO40" s="201"/>
      <c r="BP40" s="201">
        <f>+BP12+BP38+BP32+BP27+BP23</f>
        <v>86300995.50752002</v>
      </c>
      <c r="BQ40" s="201"/>
      <c r="BR40" s="201"/>
      <c r="BS40" s="200"/>
      <c r="BT40" s="201"/>
      <c r="BU40" s="201">
        <f>+BU12+BU23+BU25+BU27+BU32+BU38</f>
        <v>-648894.04535003006</v>
      </c>
      <c r="BV40" s="201"/>
      <c r="BW40" s="201"/>
      <c r="BX40" s="182"/>
      <c r="BY40" s="405"/>
      <c r="BZ40" s="245"/>
      <c r="CA40" s="268" t="e">
        <f>#REF!-#REF!</f>
        <v>#REF!</v>
      </c>
    </row>
    <row r="41" spans="1:81" x14ac:dyDescent="0.2">
      <c r="A41" s="244"/>
      <c r="B41" s="244"/>
      <c r="C41" s="244"/>
      <c r="D41" s="698" t="s">
        <v>472</v>
      </c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698"/>
      <c r="Z41" s="698"/>
      <c r="AA41" s="698"/>
      <c r="AB41" s="698"/>
      <c r="AC41" s="698"/>
      <c r="AD41" s="698"/>
      <c r="AE41" s="698"/>
      <c r="AF41" s="698"/>
      <c r="AG41" s="698"/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8"/>
      <c r="BM41" s="698"/>
      <c r="BN41" s="698"/>
      <c r="BO41" s="698"/>
      <c r="BP41" s="698"/>
      <c r="BQ41" s="698"/>
      <c r="BR41" s="698"/>
      <c r="BS41" s="698"/>
      <c r="BT41" s="698"/>
      <c r="BU41" s="698"/>
      <c r="BV41" s="311"/>
      <c r="BW41" s="311"/>
      <c r="BX41" s="311"/>
      <c r="BY41" s="244"/>
    </row>
    <row r="42" spans="1:81" hidden="1" x14ac:dyDescent="0.2">
      <c r="A42" s="244"/>
      <c r="B42" s="244"/>
      <c r="C42" s="244"/>
      <c r="D42" s="433" t="s">
        <v>473</v>
      </c>
      <c r="E42" s="62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</row>
    <row r="43" spans="1:81" hidden="1" x14ac:dyDescent="0.2">
      <c r="A43" s="244"/>
      <c r="B43" s="244"/>
      <c r="C43" s="244"/>
      <c r="D43" s="433" t="s">
        <v>474</v>
      </c>
      <c r="E43" s="62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</row>
    <row r="44" spans="1:81" hidden="1" x14ac:dyDescent="0.2">
      <c r="A44" s="244"/>
      <c r="B44" s="244"/>
      <c r="C44" s="244"/>
      <c r="D44" s="433" t="s">
        <v>475</v>
      </c>
      <c r="E44" s="62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</row>
    <row r="45" spans="1:81" hidden="1" x14ac:dyDescent="0.2">
      <c r="A45" s="244"/>
      <c r="B45" s="244"/>
      <c r="C45" s="244"/>
      <c r="D45" s="433" t="s">
        <v>476</v>
      </c>
      <c r="E45" s="62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</row>
    <row r="46" spans="1:81" x14ac:dyDescent="0.2">
      <c r="D46" s="433" t="s">
        <v>477</v>
      </c>
    </row>
    <row r="47" spans="1:81" x14ac:dyDescent="0.2">
      <c r="D47" s="433" t="s">
        <v>478</v>
      </c>
      <c r="E47" s="434"/>
      <c r="F47" s="433"/>
      <c r="G47" s="433"/>
    </row>
    <row r="48" spans="1:81" x14ac:dyDescent="0.2">
      <c r="E48" s="434"/>
      <c r="F48" s="433"/>
      <c r="G48" s="433"/>
    </row>
    <row r="49" spans="4:73" x14ac:dyDescent="0.2">
      <c r="E49" s="434"/>
      <c r="F49" s="433"/>
      <c r="G49" s="433"/>
    </row>
    <row r="50" spans="4:73" hidden="1" x14ac:dyDescent="0.2"/>
    <row r="51" spans="4:73" hidden="1" x14ac:dyDescent="0.2"/>
    <row r="52" spans="4:73" hidden="1" x14ac:dyDescent="0.2"/>
    <row r="53" spans="4:73" hidden="1" x14ac:dyDescent="0.2">
      <c r="D53" s="435"/>
      <c r="M53" s="243" t="e">
        <f>M12-#REF!</f>
        <v>#REF!</v>
      </c>
      <c r="N53" s="243" t="e">
        <f>N12-#REF!</f>
        <v>#REF!</v>
      </c>
      <c r="O53" s="243" t="e">
        <f>O12-#REF!</f>
        <v>#REF!</v>
      </c>
      <c r="P53" s="243" t="e">
        <f>P12-#REF!</f>
        <v>#REF!</v>
      </c>
      <c r="Q53" s="243" t="e">
        <f>Q12-#REF!</f>
        <v>#REF!</v>
      </c>
      <c r="R53" s="243" t="e">
        <f>R12-#REF!</f>
        <v>#REF!</v>
      </c>
      <c r="S53" s="243" t="e">
        <f>S12-#REF!</f>
        <v>#REF!</v>
      </c>
      <c r="T53" s="243" t="e">
        <f>T12-#REF!</f>
        <v>#REF!</v>
      </c>
      <c r="U53" s="243" t="e">
        <f>U12-#REF!</f>
        <v>#REF!</v>
      </c>
      <c r="V53" s="243" t="e">
        <f>V12-#REF!</f>
        <v>#REF!</v>
      </c>
      <c r="W53" s="243" t="e">
        <f>W12-#REF!</f>
        <v>#REF!</v>
      </c>
      <c r="X53" s="243" t="e">
        <f>X12-#REF!</f>
        <v>#REF!</v>
      </c>
      <c r="Y53" s="243" t="e">
        <f>Y12-#REF!</f>
        <v>#REF!</v>
      </c>
      <c r="Z53" s="243" t="e">
        <f>Z12-#REF!</f>
        <v>#REF!</v>
      </c>
      <c r="AA53" s="243" t="e">
        <f>AA12-#REF!</f>
        <v>#REF!</v>
      </c>
      <c r="AB53" s="243" t="e">
        <f>AB12-#REF!</f>
        <v>#REF!</v>
      </c>
      <c r="AC53" s="243" t="e">
        <f>AC12-#REF!</f>
        <v>#REF!</v>
      </c>
      <c r="AD53" s="243" t="e">
        <f>AD12-#REF!</f>
        <v>#REF!</v>
      </c>
      <c r="AE53" s="243" t="e">
        <f>AE12-#REF!</f>
        <v>#REF!</v>
      </c>
      <c r="AF53" s="243" t="e">
        <f>AF12-#REF!</f>
        <v>#REF!</v>
      </c>
      <c r="AG53" s="243" t="e">
        <f>AG12-#REF!</f>
        <v>#REF!</v>
      </c>
      <c r="AH53" s="243" t="e">
        <f>AH12-#REF!</f>
        <v>#REF!</v>
      </c>
      <c r="AI53" s="243" t="e">
        <f>AI12-#REF!</f>
        <v>#REF!</v>
      </c>
      <c r="AJ53" s="243" t="e">
        <f>AJ12-#REF!</f>
        <v>#REF!</v>
      </c>
      <c r="AK53" s="243" t="e">
        <f>AK12-#REF!</f>
        <v>#REF!</v>
      </c>
      <c r="AL53" s="243" t="e">
        <f>AL12-#REF!</f>
        <v>#REF!</v>
      </c>
      <c r="AM53" s="243" t="e">
        <f>AM12-#REF!</f>
        <v>#REF!</v>
      </c>
      <c r="AN53" s="243" t="e">
        <f>AN12-#REF!</f>
        <v>#REF!</v>
      </c>
      <c r="AO53" s="243" t="e">
        <f>AO12-#REF!</f>
        <v>#REF!</v>
      </c>
      <c r="AP53" s="243" t="e">
        <f>AP12-#REF!</f>
        <v>#REF!</v>
      </c>
      <c r="AQ53" s="243" t="e">
        <f>AQ12-#REF!</f>
        <v>#REF!</v>
      </c>
      <c r="AR53" s="243" t="e">
        <f>AR12-#REF!</f>
        <v>#REF!</v>
      </c>
      <c r="AS53" s="243" t="e">
        <f>AS12-#REF!</f>
        <v>#REF!</v>
      </c>
      <c r="AT53" s="243" t="e">
        <f>AT12-#REF!</f>
        <v>#REF!</v>
      </c>
      <c r="AU53" s="243" t="e">
        <f>AU12-#REF!</f>
        <v>#REF!</v>
      </c>
      <c r="AV53" s="243" t="e">
        <f>AV12-#REF!</f>
        <v>#REF!</v>
      </c>
      <c r="AW53" s="243" t="e">
        <f>AW12-#REF!</f>
        <v>#REF!</v>
      </c>
      <c r="AX53" s="243" t="e">
        <f>AX12-#REF!</f>
        <v>#REF!</v>
      </c>
      <c r="AY53" s="243" t="e">
        <f>AY12-#REF!</f>
        <v>#REF!</v>
      </c>
      <c r="AZ53" s="243" t="e">
        <f>AZ12-#REF!</f>
        <v>#REF!</v>
      </c>
      <c r="BA53" s="243" t="e">
        <f>BA12-#REF!</f>
        <v>#REF!</v>
      </c>
      <c r="BB53" s="243" t="e">
        <f>BB12-#REF!</f>
        <v>#REF!</v>
      </c>
      <c r="BC53" s="243" t="e">
        <f>BC12-#REF!</f>
        <v>#REF!</v>
      </c>
      <c r="BD53" s="243" t="e">
        <f>BD12-#REF!</f>
        <v>#REF!</v>
      </c>
      <c r="BE53" s="243" t="e">
        <f>BE12-#REF!</f>
        <v>#REF!</v>
      </c>
      <c r="BF53" s="243" t="e">
        <f>BF12-#REF!</f>
        <v>#REF!</v>
      </c>
      <c r="BG53" s="243" t="e">
        <f>BG12-#REF!</f>
        <v>#REF!</v>
      </c>
      <c r="BH53" s="243" t="e">
        <f>BH12-#REF!</f>
        <v>#REF!</v>
      </c>
      <c r="BI53" s="243" t="e">
        <f>BI12-#REF!</f>
        <v>#REF!</v>
      </c>
      <c r="BJ53" s="243" t="e">
        <f>BJ12-#REF!</f>
        <v>#REF!</v>
      </c>
      <c r="BK53" s="243" t="e">
        <f>BK12-#REF!</f>
        <v>#REF!</v>
      </c>
      <c r="BL53" s="243" t="e">
        <f>BL12-#REF!</f>
        <v>#REF!</v>
      </c>
      <c r="BM53" s="243" t="e">
        <f>BM12-#REF!</f>
        <v>#REF!</v>
      </c>
      <c r="BN53" s="243" t="e">
        <f>BN12-#REF!</f>
        <v>#REF!</v>
      </c>
      <c r="BO53" s="243" t="e">
        <f>BO12-#REF!</f>
        <v>#REF!</v>
      </c>
      <c r="BP53" s="243" t="e">
        <f>BP12-#REF!</f>
        <v>#REF!</v>
      </c>
      <c r="BQ53" s="243" t="e">
        <f>BQ12-#REF!</f>
        <v>#REF!</v>
      </c>
      <c r="BR53" s="243" t="e">
        <f>BR12-#REF!</f>
        <v>#REF!</v>
      </c>
      <c r="BS53" s="243" t="e">
        <f>BS12-#REF!</f>
        <v>#REF!</v>
      </c>
      <c r="BT53" s="243" t="e">
        <f>BT12-#REF!</f>
        <v>#REF!</v>
      </c>
      <c r="BU53" s="243" t="e">
        <f>BU12-#REF!</f>
        <v>#REF!</v>
      </c>
    </row>
    <row r="54" spans="4:73" hidden="1" x14ac:dyDescent="0.2">
      <c r="M54" s="243" t="e">
        <f>M13-#REF!</f>
        <v>#REF!</v>
      </c>
      <c r="N54" s="243" t="e">
        <f>N13-#REF!</f>
        <v>#REF!</v>
      </c>
      <c r="O54" s="243" t="e">
        <f>O13-#REF!</f>
        <v>#REF!</v>
      </c>
      <c r="P54" s="243" t="e">
        <f>P13-#REF!</f>
        <v>#REF!</v>
      </c>
      <c r="Q54" s="243" t="e">
        <f>Q13-#REF!</f>
        <v>#REF!</v>
      </c>
      <c r="R54" s="243" t="e">
        <f>R13-#REF!</f>
        <v>#REF!</v>
      </c>
      <c r="S54" s="243" t="e">
        <f>S13-#REF!</f>
        <v>#REF!</v>
      </c>
      <c r="T54" s="243" t="e">
        <f>T13-#REF!</f>
        <v>#REF!</v>
      </c>
      <c r="U54" s="243" t="e">
        <f>U13-#REF!</f>
        <v>#REF!</v>
      </c>
      <c r="V54" s="243" t="e">
        <f>V13-#REF!</f>
        <v>#REF!</v>
      </c>
      <c r="W54" s="243" t="e">
        <f>W13-#REF!</f>
        <v>#REF!</v>
      </c>
      <c r="X54" s="243" t="e">
        <f>X13-#REF!</f>
        <v>#REF!</v>
      </c>
      <c r="Y54" s="243" t="e">
        <f>Y13-#REF!</f>
        <v>#REF!</v>
      </c>
      <c r="Z54" s="243" t="e">
        <f>Z13-#REF!</f>
        <v>#REF!</v>
      </c>
      <c r="AA54" s="243" t="e">
        <f>AA13-#REF!</f>
        <v>#REF!</v>
      </c>
      <c r="AB54" s="243" t="e">
        <f>AB13-#REF!</f>
        <v>#REF!</v>
      </c>
      <c r="AC54" s="243" t="e">
        <f>AC13-#REF!</f>
        <v>#REF!</v>
      </c>
      <c r="AD54" s="243" t="e">
        <f>AD13-#REF!</f>
        <v>#REF!</v>
      </c>
      <c r="AE54" s="243" t="e">
        <f>AE13-#REF!</f>
        <v>#REF!</v>
      </c>
      <c r="AF54" s="243" t="e">
        <f>AF13-#REF!</f>
        <v>#REF!</v>
      </c>
      <c r="AG54" s="243" t="e">
        <f>AG13-#REF!</f>
        <v>#REF!</v>
      </c>
      <c r="AH54" s="243" t="e">
        <f>AH13-#REF!</f>
        <v>#REF!</v>
      </c>
      <c r="AI54" s="243" t="e">
        <f>AI13-#REF!</f>
        <v>#REF!</v>
      </c>
      <c r="AJ54" s="243" t="e">
        <f>AJ13-#REF!</f>
        <v>#REF!</v>
      </c>
      <c r="AK54" s="243" t="e">
        <f>AK13-#REF!</f>
        <v>#REF!</v>
      </c>
      <c r="AL54" s="243" t="e">
        <f>AL13-#REF!</f>
        <v>#REF!</v>
      </c>
      <c r="AM54" s="243" t="e">
        <f>AM13-#REF!</f>
        <v>#REF!</v>
      </c>
      <c r="AN54" s="243" t="e">
        <f>AN13-#REF!</f>
        <v>#REF!</v>
      </c>
      <c r="AO54" s="243" t="e">
        <f>AO13-#REF!</f>
        <v>#REF!</v>
      </c>
      <c r="AP54" s="243" t="e">
        <f>AP13-#REF!</f>
        <v>#REF!</v>
      </c>
      <c r="AQ54" s="243" t="e">
        <f>AQ13-#REF!</f>
        <v>#REF!</v>
      </c>
      <c r="AR54" s="243" t="e">
        <f>AR13-#REF!</f>
        <v>#REF!</v>
      </c>
      <c r="AS54" s="243" t="e">
        <f>AS13-#REF!</f>
        <v>#REF!</v>
      </c>
      <c r="AT54" s="243" t="e">
        <f>AT13-#REF!</f>
        <v>#REF!</v>
      </c>
      <c r="AU54" s="243" t="e">
        <f>AU13-#REF!</f>
        <v>#REF!</v>
      </c>
      <c r="AV54" s="243" t="e">
        <f>AV13-#REF!</f>
        <v>#REF!</v>
      </c>
      <c r="AW54" s="243" t="e">
        <f>AW13-#REF!</f>
        <v>#REF!</v>
      </c>
      <c r="AX54" s="243" t="e">
        <f>AX13-#REF!</f>
        <v>#REF!</v>
      </c>
      <c r="AY54" s="243" t="e">
        <f>AY13-#REF!</f>
        <v>#REF!</v>
      </c>
      <c r="AZ54" s="243" t="e">
        <f>AZ13-#REF!</f>
        <v>#REF!</v>
      </c>
      <c r="BA54" s="243" t="e">
        <f>BA13-#REF!</f>
        <v>#REF!</v>
      </c>
      <c r="BB54" s="243" t="e">
        <f>BB13-#REF!</f>
        <v>#REF!</v>
      </c>
      <c r="BC54" s="243" t="e">
        <f>BC13-#REF!</f>
        <v>#REF!</v>
      </c>
      <c r="BD54" s="243" t="e">
        <f>BD13-#REF!</f>
        <v>#REF!</v>
      </c>
      <c r="BE54" s="243" t="e">
        <f>BE13-#REF!</f>
        <v>#REF!</v>
      </c>
      <c r="BF54" s="243" t="e">
        <f>BF13-#REF!</f>
        <v>#REF!</v>
      </c>
      <c r="BG54" s="243" t="e">
        <f>BG13-#REF!</f>
        <v>#REF!</v>
      </c>
      <c r="BH54" s="243" t="e">
        <f>BH13-#REF!</f>
        <v>#REF!</v>
      </c>
      <c r="BI54" s="243" t="e">
        <f>BI13-#REF!</f>
        <v>#REF!</v>
      </c>
      <c r="BJ54" s="243" t="e">
        <f>BJ13-#REF!</f>
        <v>#REF!</v>
      </c>
      <c r="BK54" s="243" t="e">
        <f>BK13-#REF!</f>
        <v>#REF!</v>
      </c>
      <c r="BL54" s="243" t="e">
        <f>BL13-#REF!</f>
        <v>#REF!</v>
      </c>
      <c r="BM54" s="243" t="e">
        <f>BM13-#REF!</f>
        <v>#REF!</v>
      </c>
      <c r="BN54" s="243" t="e">
        <f>BN13-#REF!</f>
        <v>#REF!</v>
      </c>
      <c r="BO54" s="243" t="e">
        <f>BO13-#REF!</f>
        <v>#REF!</v>
      </c>
      <c r="BP54" s="243" t="e">
        <f>BP13-#REF!</f>
        <v>#REF!</v>
      </c>
      <c r="BQ54" s="243" t="e">
        <f>BQ13-#REF!</f>
        <v>#REF!</v>
      </c>
      <c r="BR54" s="243" t="e">
        <f>BR13-#REF!</f>
        <v>#REF!</v>
      </c>
      <c r="BS54" s="243" t="e">
        <f>BS13-#REF!</f>
        <v>#REF!</v>
      </c>
      <c r="BT54" s="243" t="e">
        <f>BT13-#REF!</f>
        <v>#REF!</v>
      </c>
      <c r="BU54" s="243" t="e">
        <f>BU13-#REF!</f>
        <v>#REF!</v>
      </c>
    </row>
    <row r="55" spans="4:73" hidden="1" x14ac:dyDescent="0.2">
      <c r="D55" s="436"/>
      <c r="M55" s="243" t="e">
        <f>M14-#REF!</f>
        <v>#REF!</v>
      </c>
      <c r="N55" s="243" t="e">
        <f>N14-#REF!</f>
        <v>#REF!</v>
      </c>
      <c r="O55" s="243" t="e">
        <f>O14-#REF!</f>
        <v>#REF!</v>
      </c>
      <c r="P55" s="243" t="e">
        <f>P14-#REF!</f>
        <v>#REF!</v>
      </c>
      <c r="Q55" s="243" t="e">
        <f>Q14-#REF!</f>
        <v>#REF!</v>
      </c>
      <c r="R55" s="243" t="e">
        <f>R14-#REF!</f>
        <v>#REF!</v>
      </c>
      <c r="S55" s="243" t="e">
        <f>S14-#REF!</f>
        <v>#REF!</v>
      </c>
      <c r="T55" s="243" t="e">
        <f>T14-#REF!</f>
        <v>#REF!</v>
      </c>
      <c r="U55" s="243" t="e">
        <f>U14-#REF!</f>
        <v>#REF!</v>
      </c>
      <c r="V55" s="243" t="e">
        <f>V14-#REF!</f>
        <v>#REF!</v>
      </c>
      <c r="W55" s="243" t="e">
        <f>W14-#REF!</f>
        <v>#REF!</v>
      </c>
      <c r="X55" s="243" t="e">
        <f>X14-#REF!</f>
        <v>#REF!</v>
      </c>
      <c r="Y55" s="243" t="e">
        <f>Y14-#REF!</f>
        <v>#REF!</v>
      </c>
      <c r="Z55" s="243" t="e">
        <f>Z14-#REF!</f>
        <v>#REF!</v>
      </c>
      <c r="AA55" s="243" t="e">
        <f>AA14-#REF!</f>
        <v>#REF!</v>
      </c>
      <c r="AB55" s="243" t="e">
        <f>AB14-#REF!</f>
        <v>#REF!</v>
      </c>
      <c r="AC55" s="243" t="e">
        <f>AC14-#REF!</f>
        <v>#REF!</v>
      </c>
      <c r="AD55" s="243" t="e">
        <f>AD14-#REF!</f>
        <v>#REF!</v>
      </c>
      <c r="AE55" s="243" t="e">
        <f>AE14-#REF!</f>
        <v>#REF!</v>
      </c>
      <c r="AF55" s="243" t="e">
        <f>AF14-#REF!</f>
        <v>#REF!</v>
      </c>
      <c r="AG55" s="243" t="e">
        <f>AG14-#REF!</f>
        <v>#REF!</v>
      </c>
      <c r="AH55" s="243" t="e">
        <f>AH14-#REF!</f>
        <v>#REF!</v>
      </c>
      <c r="AI55" s="243" t="e">
        <f>AI14-#REF!</f>
        <v>#REF!</v>
      </c>
      <c r="AJ55" s="243" t="e">
        <f>AJ14-#REF!</f>
        <v>#REF!</v>
      </c>
      <c r="AK55" s="243" t="e">
        <f>AK14-#REF!</f>
        <v>#REF!</v>
      </c>
      <c r="AL55" s="243" t="e">
        <f>AL14-#REF!</f>
        <v>#REF!</v>
      </c>
      <c r="AM55" s="243" t="e">
        <f>AM14-#REF!</f>
        <v>#REF!</v>
      </c>
      <c r="AN55" s="243" t="e">
        <f>AN14-#REF!</f>
        <v>#REF!</v>
      </c>
      <c r="AO55" s="243" t="e">
        <f>AO14-#REF!</f>
        <v>#REF!</v>
      </c>
      <c r="AP55" s="243" t="e">
        <f>AP14-#REF!</f>
        <v>#REF!</v>
      </c>
      <c r="AQ55" s="243" t="e">
        <f>AQ14-#REF!</f>
        <v>#REF!</v>
      </c>
      <c r="AR55" s="243" t="e">
        <f>AR14-#REF!</f>
        <v>#REF!</v>
      </c>
      <c r="AS55" s="243" t="e">
        <f>AS14-#REF!</f>
        <v>#REF!</v>
      </c>
      <c r="AT55" s="243" t="e">
        <f>AT14-#REF!</f>
        <v>#REF!</v>
      </c>
      <c r="AU55" s="243" t="e">
        <f>AU14-#REF!</f>
        <v>#REF!</v>
      </c>
      <c r="AV55" s="243" t="e">
        <f>AV14-#REF!</f>
        <v>#REF!</v>
      </c>
      <c r="AW55" s="243" t="e">
        <f>AW14-#REF!</f>
        <v>#REF!</v>
      </c>
      <c r="AX55" s="243" t="e">
        <f>AX14-#REF!</f>
        <v>#REF!</v>
      </c>
      <c r="AY55" s="243" t="e">
        <f>AY14-#REF!</f>
        <v>#REF!</v>
      </c>
      <c r="AZ55" s="243" t="e">
        <f>AZ14-#REF!</f>
        <v>#REF!</v>
      </c>
      <c r="BA55" s="243" t="e">
        <f>BA14-#REF!</f>
        <v>#REF!</v>
      </c>
      <c r="BB55" s="243" t="e">
        <f>BB14-#REF!</f>
        <v>#REF!</v>
      </c>
      <c r="BC55" s="243" t="e">
        <f>BC14-#REF!</f>
        <v>#REF!</v>
      </c>
      <c r="BD55" s="243" t="e">
        <f>BD14-#REF!</f>
        <v>#REF!</v>
      </c>
      <c r="BE55" s="243" t="e">
        <f>BE14-#REF!</f>
        <v>#REF!</v>
      </c>
      <c r="BF55" s="243" t="e">
        <f>BF14-#REF!</f>
        <v>#REF!</v>
      </c>
      <c r="BG55" s="243" t="e">
        <f>BG14-#REF!</f>
        <v>#REF!</v>
      </c>
      <c r="BH55" s="243" t="e">
        <f>BH14-#REF!</f>
        <v>#REF!</v>
      </c>
      <c r="BI55" s="243" t="e">
        <f>BI14-#REF!</f>
        <v>#REF!</v>
      </c>
      <c r="BJ55" s="243" t="e">
        <f>BJ14-#REF!</f>
        <v>#REF!</v>
      </c>
      <c r="BK55" s="243" t="e">
        <f>BK14-#REF!</f>
        <v>#REF!</v>
      </c>
      <c r="BL55" s="243" t="e">
        <f>BL14-#REF!</f>
        <v>#REF!</v>
      </c>
      <c r="BM55" s="243" t="e">
        <f>BM14-#REF!</f>
        <v>#REF!</v>
      </c>
      <c r="BN55" s="243" t="e">
        <f>BN14-#REF!</f>
        <v>#REF!</v>
      </c>
      <c r="BO55" s="243" t="e">
        <f>BO14-#REF!</f>
        <v>#REF!</v>
      </c>
      <c r="BP55" s="243" t="e">
        <f>BP14-#REF!</f>
        <v>#REF!</v>
      </c>
      <c r="BQ55" s="243" t="e">
        <f>BQ14-#REF!</f>
        <v>#REF!</v>
      </c>
      <c r="BR55" s="243" t="e">
        <f>BR14-#REF!</f>
        <v>#REF!</v>
      </c>
      <c r="BS55" s="243" t="e">
        <f>BS14-#REF!</f>
        <v>#REF!</v>
      </c>
      <c r="BT55" s="243" t="e">
        <f>BT14-#REF!</f>
        <v>#REF!</v>
      </c>
      <c r="BU55" s="243" t="e">
        <f>BU14-#REF!</f>
        <v>#REF!</v>
      </c>
    </row>
    <row r="56" spans="4:73" hidden="1" x14ac:dyDescent="0.2">
      <c r="D56" s="437"/>
      <c r="M56" s="243" t="e">
        <f>M15-#REF!</f>
        <v>#REF!</v>
      </c>
      <c r="N56" s="243" t="e">
        <f>N15-#REF!</f>
        <v>#REF!</v>
      </c>
      <c r="O56" s="243" t="e">
        <f>O15-#REF!</f>
        <v>#REF!</v>
      </c>
      <c r="P56" s="243" t="e">
        <f>P15-#REF!</f>
        <v>#REF!</v>
      </c>
      <c r="Q56" s="243" t="e">
        <f>Q15-#REF!</f>
        <v>#REF!</v>
      </c>
      <c r="R56" s="243" t="e">
        <f>R15-#REF!</f>
        <v>#REF!</v>
      </c>
      <c r="S56" s="243" t="e">
        <f>S15-#REF!</f>
        <v>#REF!</v>
      </c>
      <c r="T56" s="243" t="e">
        <f>T15-#REF!</f>
        <v>#REF!</v>
      </c>
      <c r="U56" s="243" t="e">
        <f>U15-#REF!</f>
        <v>#REF!</v>
      </c>
      <c r="V56" s="243" t="e">
        <f>V15-#REF!</f>
        <v>#REF!</v>
      </c>
      <c r="W56" s="243" t="e">
        <f>W15-#REF!</f>
        <v>#REF!</v>
      </c>
      <c r="X56" s="243" t="e">
        <f>X15-#REF!</f>
        <v>#REF!</v>
      </c>
      <c r="Y56" s="243" t="e">
        <f>Y15-#REF!</f>
        <v>#REF!</v>
      </c>
      <c r="Z56" s="243" t="e">
        <f>Z15-#REF!</f>
        <v>#REF!</v>
      </c>
      <c r="AA56" s="243" t="e">
        <f>AA15-#REF!</f>
        <v>#REF!</v>
      </c>
      <c r="AB56" s="243" t="e">
        <f>AB15-#REF!</f>
        <v>#REF!</v>
      </c>
      <c r="AC56" s="243" t="e">
        <f>AC15-#REF!</f>
        <v>#REF!</v>
      </c>
      <c r="AD56" s="243" t="e">
        <f>AD15-#REF!</f>
        <v>#REF!</v>
      </c>
      <c r="AE56" s="243" t="e">
        <f>AE15-#REF!</f>
        <v>#REF!</v>
      </c>
      <c r="AF56" s="243" t="e">
        <f>AF15-#REF!</f>
        <v>#REF!</v>
      </c>
      <c r="AG56" s="243" t="e">
        <f>AG15-#REF!</f>
        <v>#REF!</v>
      </c>
      <c r="AH56" s="243" t="e">
        <f>AH15-#REF!</f>
        <v>#REF!</v>
      </c>
      <c r="AI56" s="243" t="e">
        <f>AI15-#REF!</f>
        <v>#REF!</v>
      </c>
      <c r="AJ56" s="243" t="e">
        <f>AJ15-#REF!</f>
        <v>#REF!</v>
      </c>
      <c r="AK56" s="243" t="e">
        <f>AK15-#REF!</f>
        <v>#REF!</v>
      </c>
      <c r="AL56" s="243" t="e">
        <f>AL15-#REF!</f>
        <v>#REF!</v>
      </c>
      <c r="AM56" s="243" t="e">
        <f>AM15-#REF!</f>
        <v>#REF!</v>
      </c>
      <c r="AN56" s="243" t="e">
        <f>AN15-#REF!</f>
        <v>#REF!</v>
      </c>
      <c r="AO56" s="243" t="e">
        <f>AO15-#REF!</f>
        <v>#REF!</v>
      </c>
      <c r="AP56" s="243" t="e">
        <f>AP15-#REF!</f>
        <v>#REF!</v>
      </c>
      <c r="AQ56" s="243" t="e">
        <f>AQ15-#REF!</f>
        <v>#REF!</v>
      </c>
      <c r="AR56" s="243" t="e">
        <f>AR15-#REF!</f>
        <v>#REF!</v>
      </c>
      <c r="AS56" s="243" t="e">
        <f>AS15-#REF!</f>
        <v>#REF!</v>
      </c>
      <c r="AT56" s="243" t="e">
        <f>AT15-#REF!</f>
        <v>#REF!</v>
      </c>
      <c r="AU56" s="243" t="e">
        <f>AU15-#REF!</f>
        <v>#REF!</v>
      </c>
      <c r="AV56" s="243" t="e">
        <f>AV15-#REF!</f>
        <v>#REF!</v>
      </c>
      <c r="AW56" s="243" t="e">
        <f>AW15-#REF!</f>
        <v>#REF!</v>
      </c>
      <c r="AX56" s="243" t="e">
        <f>AX15-#REF!</f>
        <v>#REF!</v>
      </c>
      <c r="AY56" s="243" t="e">
        <f>AY15-#REF!</f>
        <v>#REF!</v>
      </c>
      <c r="AZ56" s="243" t="e">
        <f>AZ15-#REF!</f>
        <v>#REF!</v>
      </c>
      <c r="BA56" s="243" t="e">
        <f>BA15-#REF!</f>
        <v>#REF!</v>
      </c>
      <c r="BB56" s="243" t="e">
        <f>BB15-#REF!</f>
        <v>#REF!</v>
      </c>
      <c r="BC56" s="243" t="e">
        <f>BC15-#REF!</f>
        <v>#REF!</v>
      </c>
      <c r="BD56" s="243" t="e">
        <f>BD15-#REF!</f>
        <v>#REF!</v>
      </c>
      <c r="BE56" s="243" t="e">
        <f>BE15-#REF!</f>
        <v>#REF!</v>
      </c>
      <c r="BF56" s="243" t="e">
        <f>BF15-#REF!</f>
        <v>#REF!</v>
      </c>
      <c r="BG56" s="243" t="e">
        <f>BG15-#REF!</f>
        <v>#REF!</v>
      </c>
      <c r="BH56" s="243" t="e">
        <f>BH15-#REF!</f>
        <v>#REF!</v>
      </c>
      <c r="BI56" s="243" t="e">
        <f>BI15-#REF!</f>
        <v>#REF!</v>
      </c>
      <c r="BJ56" s="243" t="e">
        <f>BJ15-#REF!</f>
        <v>#REF!</v>
      </c>
      <c r="BK56" s="243" t="e">
        <f>BK15-#REF!</f>
        <v>#REF!</v>
      </c>
      <c r="BL56" s="243" t="e">
        <f>BL15-#REF!</f>
        <v>#REF!</v>
      </c>
      <c r="BM56" s="243" t="e">
        <f>BM15-#REF!</f>
        <v>#REF!</v>
      </c>
      <c r="BN56" s="243" t="e">
        <f>BN15-#REF!</f>
        <v>#REF!</v>
      </c>
      <c r="BO56" s="243" t="e">
        <f>BO15-#REF!</f>
        <v>#REF!</v>
      </c>
      <c r="BP56" s="243" t="e">
        <f>BP15-#REF!</f>
        <v>#REF!</v>
      </c>
      <c r="BQ56" s="243" t="e">
        <f>BQ15-#REF!</f>
        <v>#REF!</v>
      </c>
      <c r="BR56" s="243" t="e">
        <f>BR15-#REF!</f>
        <v>#REF!</v>
      </c>
      <c r="BS56" s="243" t="e">
        <f>BS15-#REF!</f>
        <v>#REF!</v>
      </c>
      <c r="BT56" s="243" t="e">
        <f>BT15-#REF!</f>
        <v>#REF!</v>
      </c>
      <c r="BU56" s="243" t="e">
        <f>BU15-#REF!</f>
        <v>#REF!</v>
      </c>
    </row>
    <row r="57" spans="4:73" hidden="1" x14ac:dyDescent="0.2">
      <c r="D57" s="438"/>
      <c r="M57" s="243" t="e">
        <f>M16-#REF!</f>
        <v>#REF!</v>
      </c>
      <c r="N57" s="243" t="e">
        <f>N16-#REF!</f>
        <v>#REF!</v>
      </c>
      <c r="O57" s="243" t="e">
        <f>O16-#REF!</f>
        <v>#REF!</v>
      </c>
      <c r="P57" s="243" t="e">
        <f>P16-#REF!</f>
        <v>#REF!</v>
      </c>
      <c r="Q57" s="243" t="e">
        <f>Q16-#REF!</f>
        <v>#REF!</v>
      </c>
      <c r="R57" s="243" t="e">
        <f>R16-#REF!</f>
        <v>#REF!</v>
      </c>
      <c r="S57" s="243" t="e">
        <f>S16-#REF!</f>
        <v>#REF!</v>
      </c>
      <c r="T57" s="243" t="e">
        <f>T16-#REF!</f>
        <v>#REF!</v>
      </c>
      <c r="U57" s="243" t="e">
        <f>U16-#REF!</f>
        <v>#REF!</v>
      </c>
      <c r="V57" s="243" t="e">
        <f>V16-#REF!</f>
        <v>#REF!</v>
      </c>
      <c r="W57" s="243" t="e">
        <f>W16-#REF!</f>
        <v>#REF!</v>
      </c>
      <c r="X57" s="243" t="e">
        <f>X16-#REF!</f>
        <v>#REF!</v>
      </c>
      <c r="Y57" s="243" t="e">
        <f>Y16-#REF!</f>
        <v>#REF!</v>
      </c>
      <c r="Z57" s="243" t="e">
        <f>Z16-#REF!</f>
        <v>#REF!</v>
      </c>
      <c r="AA57" s="243" t="e">
        <f>AA16-#REF!</f>
        <v>#REF!</v>
      </c>
      <c r="AB57" s="243" t="e">
        <f>AB16-#REF!</f>
        <v>#REF!</v>
      </c>
      <c r="AC57" s="243" t="e">
        <f>AC16-#REF!</f>
        <v>#REF!</v>
      </c>
      <c r="AD57" s="243" t="e">
        <f>AD16-#REF!</f>
        <v>#REF!</v>
      </c>
      <c r="AE57" s="243" t="e">
        <f>AE16-#REF!</f>
        <v>#REF!</v>
      </c>
      <c r="AF57" s="243" t="e">
        <f>AF16-#REF!</f>
        <v>#REF!</v>
      </c>
      <c r="AG57" s="243" t="e">
        <f>AG16-#REF!</f>
        <v>#REF!</v>
      </c>
      <c r="AH57" s="243" t="e">
        <f>AH16-#REF!</f>
        <v>#REF!</v>
      </c>
      <c r="AI57" s="243" t="e">
        <f>AI16-#REF!</f>
        <v>#REF!</v>
      </c>
      <c r="AJ57" s="243" t="e">
        <f>AJ16-#REF!</f>
        <v>#REF!</v>
      </c>
      <c r="AK57" s="243" t="e">
        <f>AK16-#REF!</f>
        <v>#REF!</v>
      </c>
      <c r="AL57" s="243" t="e">
        <f>AL16-#REF!</f>
        <v>#REF!</v>
      </c>
      <c r="AM57" s="243" t="e">
        <f>AM16-#REF!</f>
        <v>#REF!</v>
      </c>
      <c r="AN57" s="243" t="e">
        <f>AN16-#REF!</f>
        <v>#REF!</v>
      </c>
      <c r="AO57" s="243" t="e">
        <f>AO16-#REF!</f>
        <v>#REF!</v>
      </c>
      <c r="AP57" s="243" t="e">
        <f>AP16-#REF!</f>
        <v>#REF!</v>
      </c>
      <c r="AQ57" s="243" t="e">
        <f>AQ16-#REF!</f>
        <v>#REF!</v>
      </c>
      <c r="AR57" s="243" t="e">
        <f>AR16-#REF!</f>
        <v>#REF!</v>
      </c>
      <c r="AS57" s="243" t="e">
        <f>AS16-#REF!</f>
        <v>#REF!</v>
      </c>
      <c r="AT57" s="243" t="e">
        <f>AT16-#REF!</f>
        <v>#REF!</v>
      </c>
      <c r="AU57" s="243" t="e">
        <f>AU16-#REF!</f>
        <v>#REF!</v>
      </c>
      <c r="AV57" s="243" t="e">
        <f>AV16-#REF!</f>
        <v>#REF!</v>
      </c>
      <c r="AW57" s="243" t="e">
        <f>AW16-#REF!</f>
        <v>#REF!</v>
      </c>
      <c r="AX57" s="243" t="e">
        <f>AX16-#REF!</f>
        <v>#REF!</v>
      </c>
      <c r="AY57" s="243" t="e">
        <f>AY16-#REF!</f>
        <v>#REF!</v>
      </c>
      <c r="AZ57" s="243" t="e">
        <f>AZ16-#REF!</f>
        <v>#REF!</v>
      </c>
      <c r="BA57" s="243" t="e">
        <f>BA16-#REF!</f>
        <v>#REF!</v>
      </c>
      <c r="BB57" s="243" t="e">
        <f>BB16-#REF!</f>
        <v>#REF!</v>
      </c>
      <c r="BC57" s="243" t="e">
        <f>BC16-#REF!</f>
        <v>#REF!</v>
      </c>
      <c r="BD57" s="243" t="e">
        <f>BD16-#REF!</f>
        <v>#REF!</v>
      </c>
      <c r="BE57" s="243" t="e">
        <f>BE16-#REF!</f>
        <v>#REF!</v>
      </c>
      <c r="BF57" s="243" t="e">
        <f>BF16-#REF!</f>
        <v>#REF!</v>
      </c>
      <c r="BG57" s="243" t="e">
        <f>BG16-#REF!</f>
        <v>#REF!</v>
      </c>
      <c r="BH57" s="243" t="e">
        <f>BH16-#REF!</f>
        <v>#REF!</v>
      </c>
      <c r="BI57" s="243" t="e">
        <f>BI16-#REF!</f>
        <v>#REF!</v>
      </c>
      <c r="BJ57" s="243" t="e">
        <f>BJ16-#REF!</f>
        <v>#REF!</v>
      </c>
      <c r="BK57" s="243" t="e">
        <f>BK16-#REF!</f>
        <v>#REF!</v>
      </c>
      <c r="BL57" s="243" t="e">
        <f>BL16-#REF!</f>
        <v>#REF!</v>
      </c>
      <c r="BM57" s="243" t="e">
        <f>BM16-#REF!</f>
        <v>#REF!</v>
      </c>
      <c r="BN57" s="243" t="e">
        <f>BN16-#REF!</f>
        <v>#REF!</v>
      </c>
      <c r="BO57" s="243" t="e">
        <f>BO16-#REF!</f>
        <v>#REF!</v>
      </c>
      <c r="BP57" s="243" t="e">
        <f>BP16-#REF!</f>
        <v>#REF!</v>
      </c>
      <c r="BQ57" s="243" t="e">
        <f>BQ16-#REF!</f>
        <v>#REF!</v>
      </c>
      <c r="BR57" s="243" t="e">
        <f>BR16-#REF!</f>
        <v>#REF!</v>
      </c>
      <c r="BS57" s="243" t="e">
        <f>BS16-#REF!</f>
        <v>#REF!</v>
      </c>
      <c r="BT57" s="243" t="e">
        <f>BT16-#REF!</f>
        <v>#REF!</v>
      </c>
      <c r="BU57" s="243" t="e">
        <f>BU16-#REF!</f>
        <v>#REF!</v>
      </c>
    </row>
    <row r="58" spans="4:73" hidden="1" x14ac:dyDescent="0.2">
      <c r="M58" s="243" t="e">
        <f>M17-#REF!</f>
        <v>#REF!</v>
      </c>
      <c r="N58" s="243" t="e">
        <f>N17-#REF!</f>
        <v>#REF!</v>
      </c>
      <c r="O58" s="243" t="e">
        <f>O17-#REF!</f>
        <v>#REF!</v>
      </c>
      <c r="P58" s="243" t="e">
        <f>P17-#REF!</f>
        <v>#REF!</v>
      </c>
      <c r="Q58" s="243" t="e">
        <f>Q17-#REF!</f>
        <v>#REF!</v>
      </c>
      <c r="R58" s="243" t="e">
        <f>R17-#REF!</f>
        <v>#REF!</v>
      </c>
      <c r="S58" s="243" t="e">
        <f>S17-#REF!</f>
        <v>#REF!</v>
      </c>
      <c r="T58" s="243" t="e">
        <f>T17-#REF!</f>
        <v>#REF!</v>
      </c>
      <c r="U58" s="243" t="e">
        <f>U17-#REF!</f>
        <v>#REF!</v>
      </c>
      <c r="V58" s="243" t="e">
        <f>V17-#REF!</f>
        <v>#REF!</v>
      </c>
      <c r="W58" s="243" t="e">
        <f>W17-#REF!</f>
        <v>#REF!</v>
      </c>
      <c r="X58" s="243" t="e">
        <f>X17-#REF!</f>
        <v>#REF!</v>
      </c>
      <c r="Y58" s="243" t="e">
        <f>Y17-#REF!</f>
        <v>#REF!</v>
      </c>
      <c r="Z58" s="243" t="e">
        <f>Z17-#REF!</f>
        <v>#REF!</v>
      </c>
      <c r="AA58" s="243" t="e">
        <f>AA17-#REF!</f>
        <v>#REF!</v>
      </c>
      <c r="AB58" s="243" t="e">
        <f>AB17-#REF!</f>
        <v>#REF!</v>
      </c>
      <c r="AC58" s="243" t="e">
        <f>AC17-#REF!</f>
        <v>#REF!</v>
      </c>
      <c r="AD58" s="243" t="e">
        <f>AD17-#REF!</f>
        <v>#REF!</v>
      </c>
      <c r="AE58" s="243" t="e">
        <f>AE17-#REF!</f>
        <v>#REF!</v>
      </c>
      <c r="AF58" s="243" t="e">
        <f>AF17-#REF!</f>
        <v>#REF!</v>
      </c>
      <c r="AG58" s="243" t="e">
        <f>AG17-#REF!</f>
        <v>#REF!</v>
      </c>
      <c r="AH58" s="243" t="e">
        <f>AH17-#REF!</f>
        <v>#REF!</v>
      </c>
      <c r="AI58" s="243" t="e">
        <f>AI17-#REF!</f>
        <v>#REF!</v>
      </c>
      <c r="AJ58" s="243" t="e">
        <f>AJ17-#REF!</f>
        <v>#REF!</v>
      </c>
      <c r="AK58" s="243" t="e">
        <f>AK17-#REF!</f>
        <v>#REF!</v>
      </c>
      <c r="AL58" s="243" t="e">
        <f>AL17-#REF!</f>
        <v>#REF!</v>
      </c>
      <c r="AM58" s="243" t="e">
        <f>AM17-#REF!</f>
        <v>#REF!</v>
      </c>
      <c r="AN58" s="243" t="e">
        <f>AN17-#REF!</f>
        <v>#REF!</v>
      </c>
      <c r="AO58" s="243" t="e">
        <f>AO17-#REF!</f>
        <v>#REF!</v>
      </c>
      <c r="AP58" s="243" t="e">
        <f>AP17-#REF!</f>
        <v>#REF!</v>
      </c>
      <c r="AQ58" s="243" t="e">
        <f>AQ17-#REF!</f>
        <v>#REF!</v>
      </c>
      <c r="AR58" s="243" t="e">
        <f>AR17-#REF!</f>
        <v>#REF!</v>
      </c>
      <c r="AS58" s="243" t="e">
        <f>AS17-#REF!</f>
        <v>#REF!</v>
      </c>
      <c r="AT58" s="243" t="e">
        <f>AT17-#REF!</f>
        <v>#REF!</v>
      </c>
      <c r="AU58" s="243" t="e">
        <f>AU17-#REF!</f>
        <v>#REF!</v>
      </c>
      <c r="AV58" s="243" t="e">
        <f>AV17-#REF!</f>
        <v>#REF!</v>
      </c>
      <c r="AW58" s="243" t="e">
        <f>AW17-#REF!</f>
        <v>#REF!</v>
      </c>
      <c r="AX58" s="243" t="e">
        <f>AX17-#REF!</f>
        <v>#REF!</v>
      </c>
      <c r="AY58" s="243" t="e">
        <f>AY17-#REF!</f>
        <v>#REF!</v>
      </c>
      <c r="AZ58" s="243" t="e">
        <f>AZ17-#REF!</f>
        <v>#REF!</v>
      </c>
      <c r="BA58" s="243" t="e">
        <f>BA17-#REF!</f>
        <v>#REF!</v>
      </c>
      <c r="BB58" s="243" t="e">
        <f>BB17-#REF!</f>
        <v>#REF!</v>
      </c>
      <c r="BC58" s="243" t="e">
        <f>BC17-#REF!</f>
        <v>#REF!</v>
      </c>
      <c r="BD58" s="243" t="e">
        <f>BD17-#REF!</f>
        <v>#REF!</v>
      </c>
      <c r="BE58" s="243" t="e">
        <f>BE17-#REF!</f>
        <v>#REF!</v>
      </c>
      <c r="BF58" s="243" t="e">
        <f>BF17-#REF!</f>
        <v>#REF!</v>
      </c>
      <c r="BG58" s="243" t="e">
        <f>BG17-#REF!</f>
        <v>#REF!</v>
      </c>
      <c r="BH58" s="243" t="e">
        <f>BH17-#REF!</f>
        <v>#REF!</v>
      </c>
      <c r="BI58" s="243" t="e">
        <f>BI17-#REF!</f>
        <v>#REF!</v>
      </c>
      <c r="BJ58" s="243" t="e">
        <f>BJ17-#REF!</f>
        <v>#REF!</v>
      </c>
      <c r="BK58" s="243" t="e">
        <f>BK17-#REF!</f>
        <v>#REF!</v>
      </c>
      <c r="BL58" s="243" t="e">
        <f>BL17-#REF!</f>
        <v>#REF!</v>
      </c>
      <c r="BM58" s="243" t="e">
        <f>BM17-#REF!</f>
        <v>#REF!</v>
      </c>
      <c r="BN58" s="243" t="e">
        <f>BN17-#REF!</f>
        <v>#REF!</v>
      </c>
      <c r="BO58" s="243" t="e">
        <f>BO17-#REF!</f>
        <v>#REF!</v>
      </c>
      <c r="BP58" s="243" t="e">
        <f>BP17-#REF!</f>
        <v>#REF!</v>
      </c>
      <c r="BQ58" s="243" t="e">
        <f>BQ17-#REF!</f>
        <v>#REF!</v>
      </c>
      <c r="BR58" s="243" t="e">
        <f>BR17-#REF!</f>
        <v>#REF!</v>
      </c>
      <c r="BS58" s="243" t="e">
        <f>BS17-#REF!</f>
        <v>#REF!</v>
      </c>
      <c r="BT58" s="243" t="e">
        <f>BT17-#REF!</f>
        <v>#REF!</v>
      </c>
      <c r="BU58" s="243" t="e">
        <f>BU17-#REF!</f>
        <v>#REF!</v>
      </c>
    </row>
    <row r="59" spans="4:73" hidden="1" x14ac:dyDescent="0.2">
      <c r="E59" s="62"/>
      <c r="F59" s="244"/>
      <c r="G59" s="244"/>
      <c r="M59" s="243" t="e">
        <f>M18-#REF!</f>
        <v>#REF!</v>
      </c>
      <c r="N59" s="243" t="e">
        <f>N18-#REF!</f>
        <v>#REF!</v>
      </c>
      <c r="O59" s="243" t="e">
        <f>O18-#REF!</f>
        <v>#REF!</v>
      </c>
      <c r="P59" s="243" t="e">
        <f>P18-#REF!</f>
        <v>#REF!</v>
      </c>
      <c r="Q59" s="243" t="e">
        <f>Q18-#REF!</f>
        <v>#REF!</v>
      </c>
      <c r="R59" s="243" t="e">
        <f>R18-#REF!</f>
        <v>#REF!</v>
      </c>
      <c r="S59" s="243" t="e">
        <f>S18-#REF!</f>
        <v>#REF!</v>
      </c>
      <c r="T59" s="243" t="e">
        <f>T18-#REF!</f>
        <v>#REF!</v>
      </c>
      <c r="U59" s="243" t="e">
        <f>U18-#REF!</f>
        <v>#REF!</v>
      </c>
      <c r="V59" s="243" t="e">
        <f>V18-#REF!</f>
        <v>#REF!</v>
      </c>
      <c r="W59" s="243" t="e">
        <f>W18-#REF!</f>
        <v>#REF!</v>
      </c>
      <c r="X59" s="243" t="e">
        <f>X18-#REF!</f>
        <v>#REF!</v>
      </c>
      <c r="Y59" s="243" t="e">
        <f>Y18-#REF!</f>
        <v>#REF!</v>
      </c>
      <c r="Z59" s="243" t="e">
        <f>Z18-#REF!</f>
        <v>#REF!</v>
      </c>
      <c r="AA59" s="243" t="e">
        <f>AA18-#REF!</f>
        <v>#REF!</v>
      </c>
      <c r="AB59" s="243" t="e">
        <f>AB18-#REF!</f>
        <v>#REF!</v>
      </c>
      <c r="AC59" s="243" t="e">
        <f>AC18-#REF!</f>
        <v>#REF!</v>
      </c>
      <c r="AD59" s="243" t="e">
        <f>AD18-#REF!</f>
        <v>#REF!</v>
      </c>
      <c r="AE59" s="243" t="e">
        <f>AE18-#REF!</f>
        <v>#REF!</v>
      </c>
      <c r="AF59" s="243" t="e">
        <f>AF18-#REF!</f>
        <v>#REF!</v>
      </c>
      <c r="AG59" s="243" t="e">
        <f>AG18-#REF!</f>
        <v>#REF!</v>
      </c>
      <c r="AH59" s="243" t="e">
        <f>AH18-#REF!</f>
        <v>#REF!</v>
      </c>
      <c r="AI59" s="243" t="e">
        <f>AI18-#REF!</f>
        <v>#REF!</v>
      </c>
      <c r="AJ59" s="243" t="e">
        <f>AJ18-#REF!</f>
        <v>#REF!</v>
      </c>
      <c r="AK59" s="243" t="e">
        <f>AK18-#REF!</f>
        <v>#REF!</v>
      </c>
      <c r="AL59" s="243" t="e">
        <f>AL18-#REF!</f>
        <v>#REF!</v>
      </c>
      <c r="AM59" s="243" t="e">
        <f>AM18-#REF!</f>
        <v>#REF!</v>
      </c>
      <c r="AN59" s="243" t="e">
        <f>AN18-#REF!</f>
        <v>#REF!</v>
      </c>
      <c r="AO59" s="243" t="e">
        <f>AO18-#REF!</f>
        <v>#REF!</v>
      </c>
      <c r="AP59" s="243" t="e">
        <f>AP18-#REF!</f>
        <v>#REF!</v>
      </c>
      <c r="AQ59" s="243" t="e">
        <f>AQ18-#REF!</f>
        <v>#REF!</v>
      </c>
      <c r="AR59" s="243" t="e">
        <f>AR18-#REF!</f>
        <v>#REF!</v>
      </c>
      <c r="AS59" s="243" t="e">
        <f>AS18-#REF!</f>
        <v>#REF!</v>
      </c>
      <c r="AT59" s="243" t="e">
        <f>AT18-#REF!</f>
        <v>#REF!</v>
      </c>
      <c r="AU59" s="243" t="e">
        <f>AU18-#REF!</f>
        <v>#REF!</v>
      </c>
      <c r="AV59" s="243" t="e">
        <f>AV18-#REF!</f>
        <v>#REF!</v>
      </c>
      <c r="AW59" s="243" t="e">
        <f>AW18-#REF!</f>
        <v>#REF!</v>
      </c>
      <c r="AX59" s="243" t="e">
        <f>AX18-#REF!</f>
        <v>#REF!</v>
      </c>
      <c r="AY59" s="243" t="e">
        <f>AY18-#REF!</f>
        <v>#REF!</v>
      </c>
      <c r="AZ59" s="243" t="e">
        <f>AZ18-#REF!</f>
        <v>#REF!</v>
      </c>
      <c r="BA59" s="243" t="e">
        <f>BA18-#REF!</f>
        <v>#REF!</v>
      </c>
      <c r="BB59" s="243" t="e">
        <f>BB18-#REF!</f>
        <v>#REF!</v>
      </c>
      <c r="BC59" s="243" t="e">
        <f>BC18-#REF!</f>
        <v>#REF!</v>
      </c>
      <c r="BD59" s="243" t="e">
        <f>BD18-#REF!</f>
        <v>#REF!</v>
      </c>
      <c r="BE59" s="243" t="e">
        <f>BE18-#REF!</f>
        <v>#REF!</v>
      </c>
      <c r="BF59" s="243" t="e">
        <f>BF18-#REF!</f>
        <v>#REF!</v>
      </c>
      <c r="BG59" s="243" t="e">
        <f>BG18-#REF!</f>
        <v>#REF!</v>
      </c>
      <c r="BH59" s="243" t="e">
        <f>BH18-#REF!</f>
        <v>#REF!</v>
      </c>
      <c r="BI59" s="243" t="e">
        <f>BI18-#REF!</f>
        <v>#REF!</v>
      </c>
      <c r="BJ59" s="243" t="e">
        <f>BJ18-#REF!</f>
        <v>#REF!</v>
      </c>
      <c r="BK59" s="243" t="e">
        <f>BK18-#REF!</f>
        <v>#REF!</v>
      </c>
      <c r="BL59" s="243" t="e">
        <f>BL18-#REF!</f>
        <v>#REF!</v>
      </c>
      <c r="BM59" s="243" t="e">
        <f>BM18-#REF!</f>
        <v>#REF!</v>
      </c>
      <c r="BN59" s="243" t="e">
        <f>BN18-#REF!</f>
        <v>#REF!</v>
      </c>
      <c r="BO59" s="243" t="e">
        <f>BO18-#REF!</f>
        <v>#REF!</v>
      </c>
      <c r="BP59" s="243" t="e">
        <f>BP18-#REF!</f>
        <v>#REF!</v>
      </c>
      <c r="BQ59" s="243" t="e">
        <f>BQ18-#REF!</f>
        <v>#REF!</v>
      </c>
      <c r="BR59" s="243" t="e">
        <f>BR18-#REF!</f>
        <v>#REF!</v>
      </c>
      <c r="BS59" s="243" t="e">
        <f>BS18-#REF!</f>
        <v>#REF!</v>
      </c>
      <c r="BT59" s="243" t="e">
        <f>BT18-#REF!</f>
        <v>#REF!</v>
      </c>
      <c r="BU59" s="243" t="e">
        <f>BU18-#REF!</f>
        <v>#REF!</v>
      </c>
    </row>
    <row r="60" spans="4:73" hidden="1" x14ac:dyDescent="0.2">
      <c r="M60" s="243" t="e">
        <f>M19-#REF!</f>
        <v>#REF!</v>
      </c>
      <c r="N60" s="243" t="e">
        <f>N19-#REF!</f>
        <v>#REF!</v>
      </c>
      <c r="O60" s="243" t="e">
        <f>O19-#REF!</f>
        <v>#REF!</v>
      </c>
      <c r="P60" s="243" t="e">
        <f>P19-#REF!</f>
        <v>#REF!</v>
      </c>
      <c r="Q60" s="243" t="e">
        <f>Q19-#REF!</f>
        <v>#REF!</v>
      </c>
      <c r="R60" s="243" t="e">
        <f>R19-#REF!</f>
        <v>#REF!</v>
      </c>
      <c r="S60" s="243" t="e">
        <f>S19-#REF!</f>
        <v>#REF!</v>
      </c>
      <c r="T60" s="243" t="e">
        <f>T19-#REF!</f>
        <v>#REF!</v>
      </c>
      <c r="U60" s="243" t="e">
        <f>U19-#REF!</f>
        <v>#REF!</v>
      </c>
      <c r="V60" s="243" t="e">
        <f>V19-#REF!</f>
        <v>#REF!</v>
      </c>
      <c r="W60" s="243" t="e">
        <f>W19-#REF!</f>
        <v>#REF!</v>
      </c>
      <c r="X60" s="243" t="e">
        <f>X19-#REF!</f>
        <v>#REF!</v>
      </c>
      <c r="Y60" s="243" t="e">
        <f>Y19-#REF!</f>
        <v>#REF!</v>
      </c>
      <c r="Z60" s="243" t="e">
        <f>Z19-#REF!</f>
        <v>#REF!</v>
      </c>
      <c r="AA60" s="243" t="e">
        <f>AA19-#REF!</f>
        <v>#REF!</v>
      </c>
      <c r="AB60" s="243" t="e">
        <f>AB19-#REF!</f>
        <v>#REF!</v>
      </c>
      <c r="AC60" s="243" t="e">
        <f>AC19-#REF!</f>
        <v>#REF!</v>
      </c>
      <c r="AD60" s="243" t="e">
        <f>AD19-#REF!</f>
        <v>#REF!</v>
      </c>
      <c r="AE60" s="243" t="e">
        <f>AE19-#REF!</f>
        <v>#REF!</v>
      </c>
      <c r="AF60" s="243" t="e">
        <f>AF19-#REF!</f>
        <v>#REF!</v>
      </c>
      <c r="AG60" s="243" t="e">
        <f>AG19-#REF!</f>
        <v>#REF!</v>
      </c>
      <c r="AH60" s="243" t="e">
        <f>AH19-#REF!</f>
        <v>#REF!</v>
      </c>
      <c r="AI60" s="243" t="e">
        <f>AI19-#REF!</f>
        <v>#REF!</v>
      </c>
      <c r="AJ60" s="243" t="e">
        <f>AJ19-#REF!</f>
        <v>#REF!</v>
      </c>
      <c r="AK60" s="243" t="e">
        <f>AK19-#REF!</f>
        <v>#REF!</v>
      </c>
      <c r="AL60" s="243" t="e">
        <f>AL19-#REF!</f>
        <v>#REF!</v>
      </c>
      <c r="AM60" s="243" t="e">
        <f>AM19-#REF!</f>
        <v>#REF!</v>
      </c>
      <c r="AN60" s="243" t="e">
        <f>AN19-#REF!</f>
        <v>#REF!</v>
      </c>
      <c r="AO60" s="243" t="e">
        <f>AO19-#REF!</f>
        <v>#REF!</v>
      </c>
      <c r="AP60" s="243" t="e">
        <f>AP19-#REF!</f>
        <v>#REF!</v>
      </c>
      <c r="AQ60" s="243" t="e">
        <f>AQ19-#REF!</f>
        <v>#REF!</v>
      </c>
      <c r="AR60" s="243" t="e">
        <f>AR19-#REF!</f>
        <v>#REF!</v>
      </c>
      <c r="AS60" s="243" t="e">
        <f>AS19-#REF!</f>
        <v>#REF!</v>
      </c>
      <c r="AT60" s="243" t="e">
        <f>AT19-#REF!</f>
        <v>#REF!</v>
      </c>
      <c r="AU60" s="243" t="e">
        <f>AU19-#REF!</f>
        <v>#REF!</v>
      </c>
      <c r="AV60" s="243" t="e">
        <f>AV19-#REF!</f>
        <v>#REF!</v>
      </c>
      <c r="AW60" s="243" t="e">
        <f>AW19-#REF!</f>
        <v>#REF!</v>
      </c>
      <c r="AX60" s="243" t="e">
        <f>AX19-#REF!</f>
        <v>#REF!</v>
      </c>
      <c r="AY60" s="243" t="e">
        <f>AY19-#REF!</f>
        <v>#REF!</v>
      </c>
      <c r="AZ60" s="243" t="e">
        <f>AZ19-#REF!</f>
        <v>#REF!</v>
      </c>
      <c r="BA60" s="243" t="e">
        <f>BA19-#REF!</f>
        <v>#REF!</v>
      </c>
      <c r="BB60" s="243" t="e">
        <f>BB19-#REF!</f>
        <v>#REF!</v>
      </c>
      <c r="BC60" s="243" t="e">
        <f>BC19-#REF!</f>
        <v>#REF!</v>
      </c>
      <c r="BD60" s="243" t="e">
        <f>BD19-#REF!</f>
        <v>#REF!</v>
      </c>
      <c r="BE60" s="243" t="e">
        <f>BE19-#REF!</f>
        <v>#REF!</v>
      </c>
      <c r="BF60" s="243" t="e">
        <f>BF19-#REF!</f>
        <v>#REF!</v>
      </c>
      <c r="BG60" s="243" t="e">
        <f>BG19-#REF!</f>
        <v>#REF!</v>
      </c>
      <c r="BH60" s="243" t="e">
        <f>BH19-#REF!</f>
        <v>#REF!</v>
      </c>
      <c r="BI60" s="243" t="e">
        <f>BI19-#REF!</f>
        <v>#REF!</v>
      </c>
      <c r="BJ60" s="243" t="e">
        <f>BJ19-#REF!</f>
        <v>#REF!</v>
      </c>
      <c r="BK60" s="243" t="e">
        <f>BK19-#REF!</f>
        <v>#REF!</v>
      </c>
      <c r="BL60" s="243" t="e">
        <f>BL19-#REF!</f>
        <v>#REF!</v>
      </c>
      <c r="BM60" s="243" t="e">
        <f>BM19-#REF!</f>
        <v>#REF!</v>
      </c>
      <c r="BN60" s="243" t="e">
        <f>BN19-#REF!</f>
        <v>#REF!</v>
      </c>
      <c r="BO60" s="243" t="e">
        <f>BO19-#REF!</f>
        <v>#REF!</v>
      </c>
      <c r="BP60" s="243" t="e">
        <f>BP19-#REF!</f>
        <v>#REF!</v>
      </c>
      <c r="BQ60" s="243" t="e">
        <f>BQ19-#REF!</f>
        <v>#REF!</v>
      </c>
      <c r="BR60" s="243" t="e">
        <f>BR19-#REF!</f>
        <v>#REF!</v>
      </c>
      <c r="BS60" s="243" t="e">
        <f>BS19-#REF!</f>
        <v>#REF!</v>
      </c>
      <c r="BT60" s="243" t="e">
        <f>BT19-#REF!</f>
        <v>#REF!</v>
      </c>
      <c r="BU60" s="243" t="e">
        <f>BU19-#REF!</f>
        <v>#REF!</v>
      </c>
    </row>
    <row r="61" spans="4:73" hidden="1" x14ac:dyDescent="0.2">
      <c r="M61" s="243" t="e">
        <f>M20-#REF!</f>
        <v>#REF!</v>
      </c>
      <c r="N61" s="243" t="e">
        <f>N20-#REF!</f>
        <v>#REF!</v>
      </c>
      <c r="O61" s="243" t="e">
        <f>O20-#REF!</f>
        <v>#REF!</v>
      </c>
      <c r="P61" s="243" t="e">
        <f>P20-#REF!</f>
        <v>#REF!</v>
      </c>
      <c r="Q61" s="243" t="e">
        <f>Q20-#REF!</f>
        <v>#REF!</v>
      </c>
      <c r="R61" s="243" t="e">
        <f>R20-#REF!</f>
        <v>#REF!</v>
      </c>
      <c r="S61" s="243" t="e">
        <f>S20-#REF!</f>
        <v>#REF!</v>
      </c>
      <c r="T61" s="243" t="e">
        <f>T20-#REF!</f>
        <v>#REF!</v>
      </c>
      <c r="U61" s="243" t="e">
        <f>U20-#REF!</f>
        <v>#REF!</v>
      </c>
      <c r="V61" s="243" t="e">
        <f>V20-#REF!</f>
        <v>#REF!</v>
      </c>
      <c r="W61" s="243" t="e">
        <f>W20-#REF!</f>
        <v>#REF!</v>
      </c>
      <c r="X61" s="243" t="e">
        <f>X20-#REF!</f>
        <v>#REF!</v>
      </c>
      <c r="Y61" s="243" t="e">
        <f>Y20-#REF!</f>
        <v>#REF!</v>
      </c>
      <c r="Z61" s="243" t="e">
        <f>Z20-#REF!</f>
        <v>#REF!</v>
      </c>
      <c r="AA61" s="243" t="e">
        <f>AA20-#REF!</f>
        <v>#REF!</v>
      </c>
      <c r="AB61" s="243" t="e">
        <f>AB20-#REF!</f>
        <v>#REF!</v>
      </c>
      <c r="AC61" s="243" t="e">
        <f>AC20-#REF!</f>
        <v>#REF!</v>
      </c>
      <c r="AD61" s="243" t="e">
        <f>AD20-#REF!</f>
        <v>#REF!</v>
      </c>
      <c r="AE61" s="243" t="e">
        <f>AE20-#REF!</f>
        <v>#REF!</v>
      </c>
      <c r="AF61" s="243" t="e">
        <f>AF20-#REF!</f>
        <v>#REF!</v>
      </c>
      <c r="AG61" s="243" t="e">
        <f>AG20-#REF!</f>
        <v>#REF!</v>
      </c>
      <c r="AH61" s="243" t="e">
        <f>AH20-#REF!</f>
        <v>#REF!</v>
      </c>
      <c r="AI61" s="243" t="e">
        <f>AI20-#REF!</f>
        <v>#REF!</v>
      </c>
      <c r="AJ61" s="243" t="e">
        <f>AJ20-#REF!</f>
        <v>#REF!</v>
      </c>
      <c r="AK61" s="243" t="e">
        <f>AK20-#REF!</f>
        <v>#REF!</v>
      </c>
      <c r="AL61" s="243" t="e">
        <f>AL20-#REF!</f>
        <v>#REF!</v>
      </c>
      <c r="AM61" s="243" t="e">
        <f>AM20-#REF!</f>
        <v>#REF!</v>
      </c>
      <c r="AN61" s="243" t="e">
        <f>AN20-#REF!</f>
        <v>#REF!</v>
      </c>
      <c r="AO61" s="243" t="e">
        <f>AO20-#REF!</f>
        <v>#REF!</v>
      </c>
      <c r="AP61" s="243" t="e">
        <f>AP20-#REF!</f>
        <v>#REF!</v>
      </c>
      <c r="AQ61" s="243" t="e">
        <f>AQ20-#REF!</f>
        <v>#REF!</v>
      </c>
      <c r="AR61" s="243" t="e">
        <f>AR20-#REF!</f>
        <v>#REF!</v>
      </c>
      <c r="AS61" s="243" t="e">
        <f>AS20-#REF!</f>
        <v>#REF!</v>
      </c>
      <c r="AT61" s="243" t="e">
        <f>AT20-#REF!</f>
        <v>#REF!</v>
      </c>
      <c r="AU61" s="243" t="e">
        <f>AU20-#REF!</f>
        <v>#REF!</v>
      </c>
      <c r="AV61" s="243" t="e">
        <f>AV20-#REF!</f>
        <v>#REF!</v>
      </c>
      <c r="AW61" s="243" t="e">
        <f>AW20-#REF!</f>
        <v>#REF!</v>
      </c>
      <c r="AX61" s="243" t="e">
        <f>AX20-#REF!</f>
        <v>#REF!</v>
      </c>
      <c r="AY61" s="243" t="e">
        <f>AY20-#REF!</f>
        <v>#REF!</v>
      </c>
      <c r="AZ61" s="243" t="e">
        <f>AZ20-#REF!</f>
        <v>#REF!</v>
      </c>
      <c r="BA61" s="243" t="e">
        <f>BA20-#REF!</f>
        <v>#REF!</v>
      </c>
      <c r="BB61" s="243" t="e">
        <f>BB20-#REF!</f>
        <v>#REF!</v>
      </c>
      <c r="BC61" s="243" t="e">
        <f>BC20-#REF!</f>
        <v>#REF!</v>
      </c>
      <c r="BD61" s="243" t="e">
        <f>BD20-#REF!</f>
        <v>#REF!</v>
      </c>
      <c r="BE61" s="243" t="e">
        <f>BE20-#REF!</f>
        <v>#REF!</v>
      </c>
      <c r="BF61" s="243" t="e">
        <f>BF20-#REF!</f>
        <v>#REF!</v>
      </c>
      <c r="BG61" s="243" t="e">
        <f>BG20-#REF!</f>
        <v>#REF!</v>
      </c>
      <c r="BH61" s="243" t="e">
        <f>BH20-#REF!</f>
        <v>#REF!</v>
      </c>
      <c r="BI61" s="243" t="e">
        <f>BI20-#REF!</f>
        <v>#REF!</v>
      </c>
      <c r="BJ61" s="243" t="e">
        <f>BJ20-#REF!</f>
        <v>#REF!</v>
      </c>
      <c r="BK61" s="243" t="e">
        <f>BK20-#REF!</f>
        <v>#REF!</v>
      </c>
      <c r="BL61" s="243" t="e">
        <f>BL20-#REF!</f>
        <v>#REF!</v>
      </c>
      <c r="BM61" s="243" t="e">
        <f>BM20-#REF!</f>
        <v>#REF!</v>
      </c>
      <c r="BN61" s="243" t="e">
        <f>BN20-#REF!</f>
        <v>#REF!</v>
      </c>
      <c r="BO61" s="243" t="e">
        <f>BO20-#REF!</f>
        <v>#REF!</v>
      </c>
      <c r="BP61" s="243" t="e">
        <f>BP20-#REF!</f>
        <v>#REF!</v>
      </c>
      <c r="BQ61" s="243" t="e">
        <f>BQ20-#REF!</f>
        <v>#REF!</v>
      </c>
      <c r="BR61" s="243" t="e">
        <f>BR20-#REF!</f>
        <v>#REF!</v>
      </c>
      <c r="BS61" s="243" t="e">
        <f>BS20-#REF!</f>
        <v>#REF!</v>
      </c>
      <c r="BT61" s="243" t="e">
        <f>BT20-#REF!</f>
        <v>#REF!</v>
      </c>
      <c r="BU61" s="243" t="e">
        <f>BU20-#REF!</f>
        <v>#REF!</v>
      </c>
    </row>
    <row r="62" spans="4:73" hidden="1" x14ac:dyDescent="0.2">
      <c r="M62" s="243" t="e">
        <f>M21-#REF!</f>
        <v>#REF!</v>
      </c>
      <c r="N62" s="243" t="e">
        <f>N21-#REF!</f>
        <v>#REF!</v>
      </c>
      <c r="O62" s="243" t="e">
        <f>O21-#REF!</f>
        <v>#REF!</v>
      </c>
      <c r="P62" s="243" t="e">
        <f>P21-#REF!</f>
        <v>#REF!</v>
      </c>
      <c r="Q62" s="243" t="e">
        <f>Q21-#REF!</f>
        <v>#REF!</v>
      </c>
      <c r="R62" s="243" t="e">
        <f>R21-#REF!</f>
        <v>#REF!</v>
      </c>
      <c r="S62" s="243" t="e">
        <f>S21-#REF!</f>
        <v>#REF!</v>
      </c>
      <c r="T62" s="243" t="e">
        <f>T21-#REF!</f>
        <v>#REF!</v>
      </c>
      <c r="U62" s="243" t="e">
        <f>U21-#REF!</f>
        <v>#REF!</v>
      </c>
      <c r="V62" s="243" t="e">
        <f>V21-#REF!</f>
        <v>#REF!</v>
      </c>
      <c r="W62" s="243" t="e">
        <f>W21-#REF!</f>
        <v>#REF!</v>
      </c>
      <c r="X62" s="243" t="e">
        <f>X21-#REF!</f>
        <v>#REF!</v>
      </c>
      <c r="Y62" s="243" t="e">
        <f>Y21-#REF!</f>
        <v>#REF!</v>
      </c>
      <c r="Z62" s="243" t="e">
        <f>Z21-#REF!</f>
        <v>#REF!</v>
      </c>
      <c r="AA62" s="243" t="e">
        <f>AA21-#REF!</f>
        <v>#REF!</v>
      </c>
      <c r="AB62" s="243" t="e">
        <f>AB21-#REF!</f>
        <v>#REF!</v>
      </c>
      <c r="AC62" s="243" t="e">
        <f>AC21-#REF!</f>
        <v>#REF!</v>
      </c>
      <c r="AD62" s="243" t="e">
        <f>AD21-#REF!</f>
        <v>#REF!</v>
      </c>
      <c r="AE62" s="243" t="e">
        <f>AE21-#REF!</f>
        <v>#REF!</v>
      </c>
      <c r="AF62" s="243" t="e">
        <f>AF21-#REF!</f>
        <v>#REF!</v>
      </c>
      <c r="AG62" s="243" t="e">
        <f>AG21-#REF!</f>
        <v>#REF!</v>
      </c>
      <c r="AH62" s="243" t="e">
        <f>AH21-#REF!</f>
        <v>#REF!</v>
      </c>
      <c r="AI62" s="243" t="e">
        <f>AI21-#REF!</f>
        <v>#REF!</v>
      </c>
      <c r="AJ62" s="243" t="e">
        <f>AJ21-#REF!</f>
        <v>#REF!</v>
      </c>
      <c r="AK62" s="243" t="e">
        <f>AK21-#REF!</f>
        <v>#REF!</v>
      </c>
      <c r="AL62" s="243" t="e">
        <f>AL21-#REF!</f>
        <v>#REF!</v>
      </c>
      <c r="AM62" s="243" t="e">
        <f>AM21-#REF!</f>
        <v>#REF!</v>
      </c>
      <c r="AN62" s="243" t="e">
        <f>AN21-#REF!</f>
        <v>#REF!</v>
      </c>
      <c r="AO62" s="243" t="e">
        <f>AO21-#REF!</f>
        <v>#REF!</v>
      </c>
      <c r="AP62" s="243" t="e">
        <f>AP21-#REF!</f>
        <v>#REF!</v>
      </c>
      <c r="AQ62" s="243" t="e">
        <f>AQ21-#REF!</f>
        <v>#REF!</v>
      </c>
      <c r="AR62" s="243" t="e">
        <f>AR21-#REF!</f>
        <v>#REF!</v>
      </c>
      <c r="AS62" s="243" t="e">
        <f>AS21-#REF!</f>
        <v>#REF!</v>
      </c>
      <c r="AT62" s="243" t="e">
        <f>AT21-#REF!</f>
        <v>#REF!</v>
      </c>
      <c r="AU62" s="243" t="e">
        <f>AU21-#REF!</f>
        <v>#REF!</v>
      </c>
      <c r="AV62" s="243" t="e">
        <f>AV21-#REF!</f>
        <v>#REF!</v>
      </c>
      <c r="AW62" s="243" t="e">
        <f>AW21-#REF!</f>
        <v>#REF!</v>
      </c>
      <c r="AX62" s="243" t="e">
        <f>AX21-#REF!</f>
        <v>#REF!</v>
      </c>
      <c r="AY62" s="243" t="e">
        <f>AY21-#REF!</f>
        <v>#REF!</v>
      </c>
      <c r="AZ62" s="243" t="e">
        <f>AZ21-#REF!</f>
        <v>#REF!</v>
      </c>
      <c r="BA62" s="243" t="e">
        <f>BA21-#REF!</f>
        <v>#REF!</v>
      </c>
      <c r="BB62" s="243" t="e">
        <f>BB21-#REF!</f>
        <v>#REF!</v>
      </c>
      <c r="BC62" s="243" t="e">
        <f>BC21-#REF!</f>
        <v>#REF!</v>
      </c>
      <c r="BD62" s="243" t="e">
        <f>BD21-#REF!</f>
        <v>#REF!</v>
      </c>
      <c r="BE62" s="243" t="e">
        <f>BE21-#REF!</f>
        <v>#REF!</v>
      </c>
      <c r="BF62" s="243" t="e">
        <f>BF21-#REF!</f>
        <v>#REF!</v>
      </c>
      <c r="BG62" s="243" t="e">
        <f>BG21-#REF!</f>
        <v>#REF!</v>
      </c>
      <c r="BH62" s="243" t="e">
        <f>BH21-#REF!</f>
        <v>#REF!</v>
      </c>
      <c r="BI62" s="243" t="e">
        <f>BI21-#REF!</f>
        <v>#REF!</v>
      </c>
      <c r="BJ62" s="243" t="e">
        <f>BJ21-#REF!</f>
        <v>#REF!</v>
      </c>
      <c r="BK62" s="243" t="e">
        <f>BK21-#REF!</f>
        <v>#REF!</v>
      </c>
      <c r="BL62" s="243" t="e">
        <f>BL21-#REF!</f>
        <v>#REF!</v>
      </c>
      <c r="BM62" s="243" t="e">
        <f>BM21-#REF!</f>
        <v>#REF!</v>
      </c>
      <c r="BN62" s="243" t="e">
        <f>BN21-#REF!</f>
        <v>#REF!</v>
      </c>
      <c r="BO62" s="243" t="e">
        <f>BO21-#REF!</f>
        <v>#REF!</v>
      </c>
      <c r="BP62" s="243" t="e">
        <f>BP21-#REF!</f>
        <v>#REF!</v>
      </c>
      <c r="BQ62" s="243" t="e">
        <f>BQ21-#REF!</f>
        <v>#REF!</v>
      </c>
      <c r="BR62" s="243" t="e">
        <f>BR21-#REF!</f>
        <v>#REF!</v>
      </c>
      <c r="BS62" s="243" t="e">
        <f>BS21-#REF!</f>
        <v>#REF!</v>
      </c>
      <c r="BT62" s="243" t="e">
        <f>BT21-#REF!</f>
        <v>#REF!</v>
      </c>
      <c r="BU62" s="243" t="e">
        <f>BU21-#REF!</f>
        <v>#REF!</v>
      </c>
    </row>
    <row r="63" spans="4:73" hidden="1" x14ac:dyDescent="0.2">
      <c r="M63" s="243" t="e">
        <f>M22-#REF!</f>
        <v>#REF!</v>
      </c>
      <c r="N63" s="243" t="e">
        <f>N22-#REF!</f>
        <v>#REF!</v>
      </c>
      <c r="O63" s="243" t="e">
        <f>O22-#REF!</f>
        <v>#REF!</v>
      </c>
      <c r="P63" s="243" t="e">
        <f>P22-#REF!</f>
        <v>#REF!</v>
      </c>
      <c r="Q63" s="243" t="e">
        <f>Q22-#REF!</f>
        <v>#REF!</v>
      </c>
      <c r="R63" s="243" t="e">
        <f>R22-#REF!</f>
        <v>#REF!</v>
      </c>
      <c r="S63" s="243" t="e">
        <f>S22-#REF!</f>
        <v>#REF!</v>
      </c>
      <c r="T63" s="243" t="e">
        <f>T22-#REF!</f>
        <v>#REF!</v>
      </c>
      <c r="U63" s="243" t="e">
        <f>U22-#REF!</f>
        <v>#REF!</v>
      </c>
      <c r="V63" s="243" t="e">
        <f>V22-#REF!</f>
        <v>#REF!</v>
      </c>
      <c r="W63" s="243" t="e">
        <f>W22-#REF!</f>
        <v>#REF!</v>
      </c>
      <c r="X63" s="243" t="e">
        <f>X22-#REF!</f>
        <v>#REF!</v>
      </c>
      <c r="Y63" s="243" t="e">
        <f>Y22-#REF!</f>
        <v>#REF!</v>
      </c>
      <c r="Z63" s="243" t="e">
        <f>Z22-#REF!</f>
        <v>#REF!</v>
      </c>
      <c r="AA63" s="243" t="e">
        <f>AA22-#REF!</f>
        <v>#REF!</v>
      </c>
      <c r="AB63" s="243" t="e">
        <f>AB22-#REF!</f>
        <v>#REF!</v>
      </c>
      <c r="AC63" s="243" t="e">
        <f>AC22-#REF!</f>
        <v>#REF!</v>
      </c>
      <c r="AD63" s="243" t="e">
        <f>AD22-#REF!</f>
        <v>#REF!</v>
      </c>
      <c r="AE63" s="243" t="e">
        <f>AE22-#REF!</f>
        <v>#REF!</v>
      </c>
      <c r="AF63" s="243" t="e">
        <f>AF22-#REF!</f>
        <v>#REF!</v>
      </c>
      <c r="AG63" s="243" t="e">
        <f>AG22-#REF!</f>
        <v>#REF!</v>
      </c>
      <c r="AH63" s="243" t="e">
        <f>AH22-#REF!</f>
        <v>#REF!</v>
      </c>
      <c r="AI63" s="243" t="e">
        <f>AI22-#REF!</f>
        <v>#REF!</v>
      </c>
      <c r="AJ63" s="243" t="e">
        <f>AJ22-#REF!</f>
        <v>#REF!</v>
      </c>
      <c r="AK63" s="243" t="e">
        <f>AK22-#REF!</f>
        <v>#REF!</v>
      </c>
      <c r="AL63" s="243" t="e">
        <f>AL22-#REF!</f>
        <v>#REF!</v>
      </c>
      <c r="AM63" s="243" t="e">
        <f>AM22-#REF!</f>
        <v>#REF!</v>
      </c>
      <c r="AN63" s="243" t="e">
        <f>AN22-#REF!</f>
        <v>#REF!</v>
      </c>
      <c r="AO63" s="243" t="e">
        <f>AO22-#REF!</f>
        <v>#REF!</v>
      </c>
      <c r="AP63" s="243" t="e">
        <f>AP22-#REF!</f>
        <v>#REF!</v>
      </c>
      <c r="AQ63" s="243" t="e">
        <f>AQ22-#REF!</f>
        <v>#REF!</v>
      </c>
      <c r="AR63" s="243" t="e">
        <f>AR22-#REF!</f>
        <v>#REF!</v>
      </c>
      <c r="AS63" s="243" t="e">
        <f>AS22-#REF!</f>
        <v>#REF!</v>
      </c>
      <c r="AT63" s="243" t="e">
        <f>AT22-#REF!</f>
        <v>#REF!</v>
      </c>
      <c r="AU63" s="243" t="e">
        <f>AU22-#REF!</f>
        <v>#REF!</v>
      </c>
      <c r="AV63" s="243" t="e">
        <f>AV22-#REF!</f>
        <v>#REF!</v>
      </c>
      <c r="AW63" s="243" t="e">
        <f>AW22-#REF!</f>
        <v>#REF!</v>
      </c>
      <c r="AX63" s="243" t="e">
        <f>AX22-#REF!</f>
        <v>#REF!</v>
      </c>
      <c r="AY63" s="243" t="e">
        <f>AY22-#REF!</f>
        <v>#REF!</v>
      </c>
      <c r="AZ63" s="243" t="e">
        <f>AZ22-#REF!</f>
        <v>#REF!</v>
      </c>
      <c r="BA63" s="243" t="e">
        <f>BA22-#REF!</f>
        <v>#REF!</v>
      </c>
      <c r="BB63" s="243" t="e">
        <f>BB22-#REF!</f>
        <v>#REF!</v>
      </c>
      <c r="BC63" s="243" t="e">
        <f>BC22-#REF!</f>
        <v>#REF!</v>
      </c>
      <c r="BD63" s="243" t="e">
        <f>BD22-#REF!</f>
        <v>#REF!</v>
      </c>
      <c r="BE63" s="243" t="e">
        <f>BE22-#REF!</f>
        <v>#REF!</v>
      </c>
      <c r="BF63" s="243" t="e">
        <f>BF22-#REF!</f>
        <v>#REF!</v>
      </c>
      <c r="BG63" s="243" t="e">
        <f>BG22-#REF!</f>
        <v>#REF!</v>
      </c>
      <c r="BH63" s="243" t="e">
        <f>BH22-#REF!</f>
        <v>#REF!</v>
      </c>
      <c r="BI63" s="243" t="e">
        <f>BI22-#REF!</f>
        <v>#REF!</v>
      </c>
      <c r="BJ63" s="243" t="e">
        <f>BJ22-#REF!</f>
        <v>#REF!</v>
      </c>
      <c r="BK63" s="243" t="e">
        <f>BK22-#REF!</f>
        <v>#REF!</v>
      </c>
      <c r="BL63" s="243" t="e">
        <f>BL22-#REF!</f>
        <v>#REF!</v>
      </c>
      <c r="BM63" s="243" t="e">
        <f>BM22-#REF!</f>
        <v>#REF!</v>
      </c>
      <c r="BN63" s="243" t="e">
        <f>BN22-#REF!</f>
        <v>#REF!</v>
      </c>
      <c r="BO63" s="243" t="e">
        <f>BO22-#REF!</f>
        <v>#REF!</v>
      </c>
      <c r="BP63" s="243" t="e">
        <f>BP22-#REF!</f>
        <v>#REF!</v>
      </c>
      <c r="BQ63" s="243" t="e">
        <f>BQ22-#REF!</f>
        <v>#REF!</v>
      </c>
      <c r="BR63" s="243" t="e">
        <f>BR22-#REF!</f>
        <v>#REF!</v>
      </c>
      <c r="BS63" s="243" t="e">
        <f>BS22-#REF!</f>
        <v>#REF!</v>
      </c>
      <c r="BT63" s="243" t="e">
        <f>BT22-#REF!</f>
        <v>#REF!</v>
      </c>
      <c r="BU63" s="243" t="e">
        <f>BU22-#REF!</f>
        <v>#REF!</v>
      </c>
    </row>
    <row r="64" spans="4:73" hidden="1" x14ac:dyDescent="0.2">
      <c r="M64" s="243" t="e">
        <f>M23-#REF!</f>
        <v>#REF!</v>
      </c>
      <c r="N64" s="243" t="e">
        <f>N23-#REF!</f>
        <v>#REF!</v>
      </c>
      <c r="O64" s="243" t="e">
        <f>O23-#REF!</f>
        <v>#REF!</v>
      </c>
      <c r="P64" s="243" t="e">
        <f>P23-#REF!</f>
        <v>#REF!</v>
      </c>
      <c r="Q64" s="243" t="e">
        <f>Q23-#REF!</f>
        <v>#REF!</v>
      </c>
      <c r="R64" s="243" t="e">
        <f>R23-#REF!</f>
        <v>#REF!</v>
      </c>
      <c r="S64" s="243" t="e">
        <f>S23-#REF!</f>
        <v>#REF!</v>
      </c>
      <c r="T64" s="243" t="e">
        <f>T23-#REF!</f>
        <v>#REF!</v>
      </c>
      <c r="U64" s="243" t="e">
        <f>U23-#REF!</f>
        <v>#REF!</v>
      </c>
      <c r="V64" s="243" t="e">
        <f>V23-#REF!</f>
        <v>#REF!</v>
      </c>
      <c r="W64" s="243" t="e">
        <f>W23-#REF!</f>
        <v>#REF!</v>
      </c>
      <c r="X64" s="243" t="e">
        <f>X23-#REF!</f>
        <v>#REF!</v>
      </c>
      <c r="Y64" s="243" t="e">
        <f>Y23-#REF!</f>
        <v>#REF!</v>
      </c>
      <c r="Z64" s="243" t="e">
        <f>Z23-#REF!</f>
        <v>#REF!</v>
      </c>
      <c r="AA64" s="243" t="e">
        <f>AA23-#REF!</f>
        <v>#REF!</v>
      </c>
      <c r="AB64" s="243" t="e">
        <f>AB23-#REF!</f>
        <v>#REF!</v>
      </c>
      <c r="AC64" s="243" t="e">
        <f>AC23-#REF!</f>
        <v>#REF!</v>
      </c>
      <c r="AD64" s="243" t="e">
        <f>AD23-#REF!</f>
        <v>#REF!</v>
      </c>
      <c r="AE64" s="243" t="e">
        <f>AE23-#REF!</f>
        <v>#REF!</v>
      </c>
      <c r="AF64" s="243" t="e">
        <f>AF23-#REF!</f>
        <v>#REF!</v>
      </c>
      <c r="AG64" s="243" t="e">
        <f>AG23-#REF!</f>
        <v>#REF!</v>
      </c>
      <c r="AH64" s="243" t="e">
        <f>AH23-#REF!</f>
        <v>#REF!</v>
      </c>
      <c r="AI64" s="243" t="e">
        <f>AI23-#REF!</f>
        <v>#REF!</v>
      </c>
      <c r="AJ64" s="243" t="e">
        <f>AJ23-#REF!</f>
        <v>#REF!</v>
      </c>
      <c r="AK64" s="243" t="e">
        <f>AK23-#REF!</f>
        <v>#REF!</v>
      </c>
      <c r="AL64" s="243" t="e">
        <f>AL23-#REF!</f>
        <v>#REF!</v>
      </c>
      <c r="AM64" s="243" t="e">
        <f>AM23-#REF!</f>
        <v>#REF!</v>
      </c>
      <c r="AN64" s="243" t="e">
        <f>AN23-#REF!</f>
        <v>#REF!</v>
      </c>
      <c r="AO64" s="243" t="e">
        <f>AO23-#REF!</f>
        <v>#REF!</v>
      </c>
      <c r="AP64" s="243" t="e">
        <f>AP23-#REF!</f>
        <v>#REF!</v>
      </c>
      <c r="AQ64" s="243" t="e">
        <f>AQ23-#REF!</f>
        <v>#REF!</v>
      </c>
      <c r="AR64" s="243" t="e">
        <f>AR23-#REF!</f>
        <v>#REF!</v>
      </c>
      <c r="AS64" s="243" t="e">
        <f>AS23-#REF!</f>
        <v>#REF!</v>
      </c>
      <c r="AT64" s="243" t="e">
        <f>AT23-#REF!</f>
        <v>#REF!</v>
      </c>
      <c r="AU64" s="243" t="e">
        <f>AU23-#REF!</f>
        <v>#REF!</v>
      </c>
      <c r="AV64" s="243" t="e">
        <f>AV23-#REF!</f>
        <v>#REF!</v>
      </c>
      <c r="AW64" s="243" t="e">
        <f>AW23-#REF!</f>
        <v>#REF!</v>
      </c>
      <c r="AX64" s="243" t="e">
        <f>AX23-#REF!</f>
        <v>#REF!</v>
      </c>
      <c r="AY64" s="243" t="e">
        <f>AY23-#REF!</f>
        <v>#REF!</v>
      </c>
      <c r="AZ64" s="243" t="e">
        <f>AZ23-#REF!</f>
        <v>#REF!</v>
      </c>
      <c r="BA64" s="243" t="e">
        <f>BA23-#REF!</f>
        <v>#REF!</v>
      </c>
      <c r="BB64" s="243" t="e">
        <f>BB23-#REF!</f>
        <v>#REF!</v>
      </c>
      <c r="BC64" s="243" t="e">
        <f>BC23-#REF!</f>
        <v>#REF!</v>
      </c>
      <c r="BD64" s="243" t="e">
        <f>BD23-#REF!</f>
        <v>#REF!</v>
      </c>
      <c r="BE64" s="243" t="e">
        <f>BE23-#REF!</f>
        <v>#REF!</v>
      </c>
      <c r="BF64" s="243" t="e">
        <f>BF23-#REF!</f>
        <v>#REF!</v>
      </c>
      <c r="BG64" s="243" t="e">
        <f>BG23-#REF!</f>
        <v>#REF!</v>
      </c>
      <c r="BH64" s="243" t="e">
        <f>BH23-#REF!</f>
        <v>#REF!</v>
      </c>
      <c r="BI64" s="243" t="e">
        <f>BI23-#REF!</f>
        <v>#REF!</v>
      </c>
      <c r="BJ64" s="243" t="e">
        <f>BJ23-#REF!</f>
        <v>#REF!</v>
      </c>
      <c r="BK64" s="243" t="e">
        <f>BK23-#REF!</f>
        <v>#REF!</v>
      </c>
      <c r="BL64" s="243" t="e">
        <f>BL23-#REF!</f>
        <v>#REF!</v>
      </c>
      <c r="BM64" s="243" t="e">
        <f>BM23-#REF!</f>
        <v>#REF!</v>
      </c>
      <c r="BN64" s="243" t="e">
        <f>BN23-#REF!</f>
        <v>#REF!</v>
      </c>
      <c r="BO64" s="243" t="e">
        <f>BO23-#REF!</f>
        <v>#REF!</v>
      </c>
      <c r="BP64" s="243" t="e">
        <f>BP23-#REF!</f>
        <v>#REF!</v>
      </c>
      <c r="BQ64" s="243" t="e">
        <f>BQ23-#REF!</f>
        <v>#REF!</v>
      </c>
      <c r="BR64" s="243" t="e">
        <f>BR23-#REF!</f>
        <v>#REF!</v>
      </c>
      <c r="BS64" s="243" t="e">
        <f>BS23-#REF!</f>
        <v>#REF!</v>
      </c>
      <c r="BT64" s="243" t="e">
        <f>BT23-#REF!</f>
        <v>#REF!</v>
      </c>
      <c r="BU64" s="243" t="e">
        <f>BU23-#REF!</f>
        <v>#REF!</v>
      </c>
    </row>
    <row r="65" spans="13:73" hidden="1" x14ac:dyDescent="0.2">
      <c r="M65" s="243" t="e">
        <f>M24-#REF!</f>
        <v>#REF!</v>
      </c>
      <c r="N65" s="243" t="e">
        <f>N24-#REF!</f>
        <v>#REF!</v>
      </c>
      <c r="O65" s="243" t="e">
        <f>O24-#REF!</f>
        <v>#REF!</v>
      </c>
      <c r="P65" s="243" t="e">
        <f>P24-#REF!</f>
        <v>#REF!</v>
      </c>
      <c r="Q65" s="243" t="e">
        <f>Q24-#REF!</f>
        <v>#REF!</v>
      </c>
      <c r="R65" s="243" t="e">
        <f>R24-#REF!</f>
        <v>#REF!</v>
      </c>
      <c r="S65" s="243" t="e">
        <f>S24-#REF!</f>
        <v>#REF!</v>
      </c>
      <c r="T65" s="243" t="e">
        <f>T24-#REF!</f>
        <v>#REF!</v>
      </c>
      <c r="U65" s="243" t="e">
        <f>U24-#REF!</f>
        <v>#REF!</v>
      </c>
      <c r="V65" s="243" t="e">
        <f>V24-#REF!</f>
        <v>#REF!</v>
      </c>
      <c r="W65" s="243" t="e">
        <f>W24-#REF!</f>
        <v>#REF!</v>
      </c>
      <c r="X65" s="243" t="e">
        <f>X24-#REF!</f>
        <v>#REF!</v>
      </c>
      <c r="Y65" s="243" t="e">
        <f>Y24-#REF!</f>
        <v>#REF!</v>
      </c>
      <c r="Z65" s="243" t="e">
        <f>Z24-#REF!</f>
        <v>#REF!</v>
      </c>
      <c r="AA65" s="243" t="e">
        <f>AA24-#REF!</f>
        <v>#REF!</v>
      </c>
      <c r="AB65" s="243" t="e">
        <f>AB24-#REF!</f>
        <v>#REF!</v>
      </c>
      <c r="AC65" s="243" t="e">
        <f>AC24-#REF!</f>
        <v>#REF!</v>
      </c>
      <c r="AD65" s="243" t="e">
        <f>AD24-#REF!</f>
        <v>#REF!</v>
      </c>
      <c r="AE65" s="243" t="e">
        <f>AE24-#REF!</f>
        <v>#REF!</v>
      </c>
      <c r="AF65" s="243" t="e">
        <f>AF24-#REF!</f>
        <v>#REF!</v>
      </c>
      <c r="AG65" s="243" t="e">
        <f>AG24-#REF!</f>
        <v>#REF!</v>
      </c>
      <c r="AH65" s="243" t="e">
        <f>AH24-#REF!</f>
        <v>#REF!</v>
      </c>
      <c r="AI65" s="243" t="e">
        <f>AI24-#REF!</f>
        <v>#REF!</v>
      </c>
      <c r="AJ65" s="243" t="e">
        <f>AJ24-#REF!</f>
        <v>#REF!</v>
      </c>
      <c r="AK65" s="243" t="e">
        <f>AK24-#REF!</f>
        <v>#REF!</v>
      </c>
      <c r="AL65" s="243" t="e">
        <f>AL24-#REF!</f>
        <v>#REF!</v>
      </c>
      <c r="AM65" s="243" t="e">
        <f>AM24-#REF!</f>
        <v>#REF!</v>
      </c>
      <c r="AN65" s="243" t="e">
        <f>AN24-#REF!</f>
        <v>#REF!</v>
      </c>
      <c r="AO65" s="243" t="e">
        <f>AO24-#REF!</f>
        <v>#REF!</v>
      </c>
      <c r="AP65" s="243" t="e">
        <f>AP24-#REF!</f>
        <v>#REF!</v>
      </c>
      <c r="AQ65" s="243" t="e">
        <f>AQ24-#REF!</f>
        <v>#REF!</v>
      </c>
      <c r="AR65" s="243" t="e">
        <f>AR24-#REF!</f>
        <v>#REF!</v>
      </c>
      <c r="AS65" s="243" t="e">
        <f>AS24-#REF!</f>
        <v>#REF!</v>
      </c>
      <c r="AT65" s="243" t="e">
        <f>AT24-#REF!</f>
        <v>#REF!</v>
      </c>
      <c r="AU65" s="243" t="e">
        <f>AU24-#REF!</f>
        <v>#REF!</v>
      </c>
      <c r="AV65" s="243" t="e">
        <f>AV24-#REF!</f>
        <v>#REF!</v>
      </c>
      <c r="AW65" s="243" t="e">
        <f>AW24-#REF!</f>
        <v>#REF!</v>
      </c>
      <c r="AX65" s="243" t="e">
        <f>AX24-#REF!</f>
        <v>#REF!</v>
      </c>
      <c r="AY65" s="243" t="e">
        <f>AY24-#REF!</f>
        <v>#REF!</v>
      </c>
      <c r="AZ65" s="243" t="e">
        <f>AZ24-#REF!</f>
        <v>#REF!</v>
      </c>
      <c r="BA65" s="243" t="e">
        <f>BA24-#REF!</f>
        <v>#REF!</v>
      </c>
      <c r="BB65" s="243" t="e">
        <f>BB24-#REF!</f>
        <v>#REF!</v>
      </c>
      <c r="BC65" s="243" t="e">
        <f>BC24-#REF!</f>
        <v>#REF!</v>
      </c>
      <c r="BD65" s="243" t="e">
        <f>BD24-#REF!</f>
        <v>#REF!</v>
      </c>
      <c r="BE65" s="243" t="e">
        <f>BE24-#REF!</f>
        <v>#REF!</v>
      </c>
      <c r="BF65" s="243" t="e">
        <f>BF24-#REF!</f>
        <v>#REF!</v>
      </c>
      <c r="BG65" s="243" t="e">
        <f>BG24-#REF!</f>
        <v>#REF!</v>
      </c>
      <c r="BH65" s="243" t="e">
        <f>BH24-#REF!</f>
        <v>#REF!</v>
      </c>
      <c r="BI65" s="243" t="e">
        <f>BI24-#REF!</f>
        <v>#REF!</v>
      </c>
      <c r="BJ65" s="243" t="e">
        <f>BJ24-#REF!</f>
        <v>#REF!</v>
      </c>
      <c r="BK65" s="243" t="e">
        <f>BK24-#REF!</f>
        <v>#REF!</v>
      </c>
      <c r="BL65" s="243" t="e">
        <f>BL24-#REF!</f>
        <v>#REF!</v>
      </c>
      <c r="BM65" s="243" t="e">
        <f>BM24-#REF!</f>
        <v>#REF!</v>
      </c>
      <c r="BN65" s="243" t="e">
        <f>BN24-#REF!</f>
        <v>#REF!</v>
      </c>
      <c r="BO65" s="243" t="e">
        <f>BO24-#REF!</f>
        <v>#REF!</v>
      </c>
      <c r="BP65" s="243" t="e">
        <f>BP24-#REF!</f>
        <v>#REF!</v>
      </c>
      <c r="BQ65" s="243" t="e">
        <f>BQ24-#REF!</f>
        <v>#REF!</v>
      </c>
      <c r="BR65" s="243" t="e">
        <f>BR24-#REF!</f>
        <v>#REF!</v>
      </c>
      <c r="BS65" s="243" t="e">
        <f>BS24-#REF!</f>
        <v>#REF!</v>
      </c>
      <c r="BT65" s="243" t="e">
        <f>BT24-#REF!</f>
        <v>#REF!</v>
      </c>
      <c r="BU65" s="243" t="e">
        <f>BU24-#REF!</f>
        <v>#REF!</v>
      </c>
    </row>
    <row r="66" spans="13:73" hidden="1" x14ac:dyDescent="0.2">
      <c r="M66" s="243" t="e">
        <f>M25-#REF!</f>
        <v>#REF!</v>
      </c>
      <c r="N66" s="243" t="e">
        <f>N25-#REF!</f>
        <v>#REF!</v>
      </c>
      <c r="O66" s="243" t="e">
        <f>O25-#REF!</f>
        <v>#REF!</v>
      </c>
      <c r="P66" s="243" t="e">
        <f>P25-#REF!</f>
        <v>#REF!</v>
      </c>
      <c r="Q66" s="243" t="e">
        <f>Q25-#REF!</f>
        <v>#REF!</v>
      </c>
      <c r="R66" s="243" t="e">
        <f>R25-#REF!</f>
        <v>#REF!</v>
      </c>
      <c r="S66" s="243" t="e">
        <f>S25-#REF!</f>
        <v>#REF!</v>
      </c>
      <c r="T66" s="243" t="e">
        <f>T25-#REF!</f>
        <v>#REF!</v>
      </c>
      <c r="U66" s="243" t="e">
        <f>U25-#REF!</f>
        <v>#REF!</v>
      </c>
      <c r="V66" s="243" t="e">
        <f>V25-#REF!</f>
        <v>#REF!</v>
      </c>
      <c r="W66" s="243" t="e">
        <f>W25-#REF!</f>
        <v>#REF!</v>
      </c>
      <c r="X66" s="243" t="e">
        <f>X25-#REF!</f>
        <v>#REF!</v>
      </c>
      <c r="Y66" s="243" t="e">
        <f>Y25-#REF!</f>
        <v>#REF!</v>
      </c>
      <c r="Z66" s="243" t="e">
        <f>Z25-#REF!</f>
        <v>#REF!</v>
      </c>
      <c r="AA66" s="243" t="e">
        <f>AA25-#REF!</f>
        <v>#REF!</v>
      </c>
      <c r="AB66" s="243" t="e">
        <f>AB25-#REF!</f>
        <v>#REF!</v>
      </c>
      <c r="AC66" s="243" t="e">
        <f>AC25-#REF!</f>
        <v>#REF!</v>
      </c>
      <c r="AD66" s="243" t="e">
        <f>AD25-#REF!</f>
        <v>#REF!</v>
      </c>
      <c r="AE66" s="243" t="e">
        <f>AE25-#REF!</f>
        <v>#REF!</v>
      </c>
      <c r="AF66" s="243" t="e">
        <f>AF25-#REF!</f>
        <v>#REF!</v>
      </c>
      <c r="AG66" s="243" t="e">
        <f>AG25-#REF!</f>
        <v>#REF!</v>
      </c>
      <c r="AH66" s="243" t="e">
        <f>AH25-#REF!</f>
        <v>#REF!</v>
      </c>
      <c r="AI66" s="243" t="e">
        <f>AI25-#REF!</f>
        <v>#REF!</v>
      </c>
      <c r="AJ66" s="243" t="e">
        <f>AJ25-#REF!</f>
        <v>#REF!</v>
      </c>
      <c r="AK66" s="243" t="e">
        <f>AK25-#REF!</f>
        <v>#REF!</v>
      </c>
      <c r="AL66" s="243" t="e">
        <f>AL25-#REF!</f>
        <v>#REF!</v>
      </c>
      <c r="AM66" s="243" t="e">
        <f>AM25-#REF!</f>
        <v>#REF!</v>
      </c>
      <c r="AN66" s="243" t="e">
        <f>AN25-#REF!</f>
        <v>#REF!</v>
      </c>
      <c r="AO66" s="243" t="e">
        <f>AO25-#REF!</f>
        <v>#REF!</v>
      </c>
      <c r="AP66" s="243" t="e">
        <f>AP25-#REF!</f>
        <v>#REF!</v>
      </c>
      <c r="AQ66" s="243" t="e">
        <f>AQ25-#REF!</f>
        <v>#REF!</v>
      </c>
      <c r="AR66" s="243" t="e">
        <f>AR25-#REF!</f>
        <v>#REF!</v>
      </c>
      <c r="AS66" s="243" t="e">
        <f>AS25-#REF!</f>
        <v>#REF!</v>
      </c>
      <c r="AT66" s="243" t="e">
        <f>AT25-#REF!</f>
        <v>#REF!</v>
      </c>
      <c r="AU66" s="243" t="e">
        <f>AU25-#REF!</f>
        <v>#REF!</v>
      </c>
      <c r="AV66" s="243" t="e">
        <f>AV25-#REF!</f>
        <v>#REF!</v>
      </c>
      <c r="AW66" s="243" t="e">
        <f>AW25-#REF!</f>
        <v>#REF!</v>
      </c>
      <c r="AX66" s="243" t="e">
        <f>AX25-#REF!</f>
        <v>#REF!</v>
      </c>
      <c r="AY66" s="243" t="e">
        <f>AY25-#REF!</f>
        <v>#REF!</v>
      </c>
      <c r="AZ66" s="243" t="e">
        <f>AZ25-#REF!</f>
        <v>#REF!</v>
      </c>
      <c r="BA66" s="243" t="e">
        <f>BA25-#REF!</f>
        <v>#REF!</v>
      </c>
      <c r="BB66" s="243" t="e">
        <f>BB25-#REF!</f>
        <v>#REF!</v>
      </c>
      <c r="BC66" s="243" t="e">
        <f>BC25-#REF!</f>
        <v>#REF!</v>
      </c>
      <c r="BD66" s="243" t="e">
        <f>BD25-#REF!</f>
        <v>#REF!</v>
      </c>
      <c r="BE66" s="243" t="e">
        <f>BE25-#REF!</f>
        <v>#REF!</v>
      </c>
      <c r="BF66" s="243" t="e">
        <f>BF25-#REF!</f>
        <v>#REF!</v>
      </c>
      <c r="BG66" s="243" t="e">
        <f>BG25-#REF!</f>
        <v>#REF!</v>
      </c>
      <c r="BH66" s="243" t="e">
        <f>BH25-#REF!</f>
        <v>#REF!</v>
      </c>
      <c r="BI66" s="243" t="e">
        <f>BI25-#REF!</f>
        <v>#REF!</v>
      </c>
      <c r="BJ66" s="243" t="e">
        <f>BJ25-#REF!</f>
        <v>#REF!</v>
      </c>
      <c r="BK66" s="243" t="e">
        <f>BK25-#REF!</f>
        <v>#REF!</v>
      </c>
      <c r="BL66" s="243" t="e">
        <f>BL25-#REF!</f>
        <v>#REF!</v>
      </c>
      <c r="BM66" s="243" t="e">
        <f>BM25-#REF!</f>
        <v>#REF!</v>
      </c>
      <c r="BN66" s="243" t="e">
        <f>BN25-#REF!</f>
        <v>#REF!</v>
      </c>
      <c r="BO66" s="243" t="e">
        <f>BO25-#REF!</f>
        <v>#REF!</v>
      </c>
      <c r="BP66" s="243" t="e">
        <f>BP25-#REF!</f>
        <v>#REF!</v>
      </c>
      <c r="BQ66" s="243" t="e">
        <f>BQ25-#REF!</f>
        <v>#REF!</v>
      </c>
      <c r="BR66" s="243" t="e">
        <f>BR25-#REF!</f>
        <v>#REF!</v>
      </c>
      <c r="BS66" s="243" t="e">
        <f>BS25-#REF!</f>
        <v>#REF!</v>
      </c>
      <c r="BT66" s="243" t="e">
        <f>BT25-#REF!</f>
        <v>#REF!</v>
      </c>
      <c r="BU66" s="243" t="e">
        <f>BU25-#REF!</f>
        <v>#REF!</v>
      </c>
    </row>
    <row r="67" spans="13:73" hidden="1" x14ac:dyDescent="0.2">
      <c r="M67" s="243" t="e">
        <f>M26-#REF!</f>
        <v>#REF!</v>
      </c>
      <c r="N67" s="243" t="e">
        <f>N26-#REF!</f>
        <v>#REF!</v>
      </c>
      <c r="O67" s="243" t="e">
        <f>O26-#REF!</f>
        <v>#REF!</v>
      </c>
      <c r="P67" s="243" t="e">
        <f>P26-#REF!</f>
        <v>#REF!</v>
      </c>
      <c r="Q67" s="243" t="e">
        <f>Q26-#REF!</f>
        <v>#REF!</v>
      </c>
      <c r="R67" s="243" t="e">
        <f>R26-#REF!</f>
        <v>#REF!</v>
      </c>
      <c r="S67" s="243" t="e">
        <f>S26-#REF!</f>
        <v>#REF!</v>
      </c>
      <c r="T67" s="243" t="e">
        <f>T26-#REF!</f>
        <v>#REF!</v>
      </c>
      <c r="U67" s="243" t="e">
        <f>U26-#REF!</f>
        <v>#REF!</v>
      </c>
      <c r="V67" s="243" t="e">
        <f>V26-#REF!</f>
        <v>#REF!</v>
      </c>
      <c r="W67" s="243" t="e">
        <f>W26-#REF!</f>
        <v>#REF!</v>
      </c>
      <c r="X67" s="243" t="e">
        <f>X26-#REF!</f>
        <v>#REF!</v>
      </c>
      <c r="Y67" s="243" t="e">
        <f>Y26-#REF!</f>
        <v>#REF!</v>
      </c>
      <c r="Z67" s="243" t="e">
        <f>Z26-#REF!</f>
        <v>#REF!</v>
      </c>
      <c r="AA67" s="243" t="e">
        <f>AA26-#REF!</f>
        <v>#REF!</v>
      </c>
      <c r="AB67" s="243" t="e">
        <f>AB26-#REF!</f>
        <v>#REF!</v>
      </c>
      <c r="AC67" s="243" t="e">
        <f>AC26-#REF!</f>
        <v>#REF!</v>
      </c>
      <c r="AD67" s="243" t="e">
        <f>AD26-#REF!</f>
        <v>#REF!</v>
      </c>
      <c r="AE67" s="243" t="e">
        <f>AE26-#REF!</f>
        <v>#REF!</v>
      </c>
      <c r="AF67" s="243" t="e">
        <f>AF26-#REF!</f>
        <v>#REF!</v>
      </c>
      <c r="AG67" s="243" t="e">
        <f>AG26-#REF!</f>
        <v>#REF!</v>
      </c>
      <c r="AH67" s="243" t="e">
        <f>AH26-#REF!</f>
        <v>#REF!</v>
      </c>
      <c r="AI67" s="243" t="e">
        <f>AI26-#REF!</f>
        <v>#REF!</v>
      </c>
      <c r="AJ67" s="243" t="e">
        <f>AJ26-#REF!</f>
        <v>#REF!</v>
      </c>
      <c r="AK67" s="243" t="e">
        <f>AK26-#REF!</f>
        <v>#REF!</v>
      </c>
      <c r="AL67" s="243" t="e">
        <f>AL26-#REF!</f>
        <v>#REF!</v>
      </c>
      <c r="AM67" s="243" t="e">
        <f>AM26-#REF!</f>
        <v>#REF!</v>
      </c>
      <c r="AN67" s="243" t="e">
        <f>AN26-#REF!</f>
        <v>#REF!</v>
      </c>
      <c r="AO67" s="243" t="e">
        <f>AO26-#REF!</f>
        <v>#REF!</v>
      </c>
      <c r="AP67" s="243" t="e">
        <f>AP26-#REF!</f>
        <v>#REF!</v>
      </c>
      <c r="AQ67" s="243" t="e">
        <f>AQ26-#REF!</f>
        <v>#REF!</v>
      </c>
      <c r="AR67" s="243" t="e">
        <f>AR26-#REF!</f>
        <v>#REF!</v>
      </c>
      <c r="AS67" s="243" t="e">
        <f>AS26-#REF!</f>
        <v>#REF!</v>
      </c>
      <c r="AT67" s="243" t="e">
        <f>AT26-#REF!</f>
        <v>#REF!</v>
      </c>
      <c r="AU67" s="243" t="e">
        <f>AU26-#REF!</f>
        <v>#REF!</v>
      </c>
      <c r="AV67" s="243" t="e">
        <f>AV26-#REF!</f>
        <v>#REF!</v>
      </c>
      <c r="AW67" s="243" t="e">
        <f>AW26-#REF!</f>
        <v>#REF!</v>
      </c>
      <c r="AX67" s="243" t="e">
        <f>AX26-#REF!</f>
        <v>#REF!</v>
      </c>
      <c r="AY67" s="243" t="e">
        <f>AY26-#REF!</f>
        <v>#REF!</v>
      </c>
      <c r="AZ67" s="243" t="e">
        <f>AZ26-#REF!</f>
        <v>#REF!</v>
      </c>
      <c r="BA67" s="243" t="e">
        <f>BA26-#REF!</f>
        <v>#REF!</v>
      </c>
      <c r="BB67" s="243" t="e">
        <f>BB26-#REF!</f>
        <v>#REF!</v>
      </c>
      <c r="BC67" s="243" t="e">
        <f>BC26-#REF!</f>
        <v>#REF!</v>
      </c>
      <c r="BD67" s="243" t="e">
        <f>BD26-#REF!</f>
        <v>#REF!</v>
      </c>
      <c r="BE67" s="243" t="e">
        <f>BE26-#REF!</f>
        <v>#REF!</v>
      </c>
      <c r="BF67" s="243" t="e">
        <f>BF26-#REF!</f>
        <v>#REF!</v>
      </c>
      <c r="BG67" s="243" t="e">
        <f>BG26-#REF!</f>
        <v>#REF!</v>
      </c>
      <c r="BH67" s="243" t="e">
        <f>BH26-#REF!</f>
        <v>#REF!</v>
      </c>
      <c r="BI67" s="243" t="e">
        <f>BI26-#REF!</f>
        <v>#REF!</v>
      </c>
      <c r="BJ67" s="243" t="e">
        <f>BJ26-#REF!</f>
        <v>#REF!</v>
      </c>
      <c r="BK67" s="243" t="e">
        <f>BK26-#REF!</f>
        <v>#REF!</v>
      </c>
      <c r="BL67" s="243" t="e">
        <f>BL26-#REF!</f>
        <v>#REF!</v>
      </c>
      <c r="BM67" s="243" t="e">
        <f>BM26-#REF!</f>
        <v>#REF!</v>
      </c>
      <c r="BN67" s="243" t="e">
        <f>BN26-#REF!</f>
        <v>#REF!</v>
      </c>
      <c r="BO67" s="243" t="e">
        <f>BO26-#REF!</f>
        <v>#REF!</v>
      </c>
      <c r="BP67" s="243" t="e">
        <f>BP26-#REF!</f>
        <v>#REF!</v>
      </c>
      <c r="BQ67" s="243" t="e">
        <f>BQ26-#REF!</f>
        <v>#REF!</v>
      </c>
      <c r="BR67" s="243" t="e">
        <f>BR26-#REF!</f>
        <v>#REF!</v>
      </c>
      <c r="BS67" s="243" t="e">
        <f>BS26-#REF!</f>
        <v>#REF!</v>
      </c>
      <c r="BT67" s="243" t="e">
        <f>BT26-#REF!</f>
        <v>#REF!</v>
      </c>
      <c r="BU67" s="243" t="e">
        <f>BU26-#REF!</f>
        <v>#REF!</v>
      </c>
    </row>
    <row r="68" spans="13:73" hidden="1" x14ac:dyDescent="0.2">
      <c r="M68" s="243" t="e">
        <f>M27-#REF!</f>
        <v>#REF!</v>
      </c>
      <c r="N68" s="243" t="e">
        <f>N27-#REF!</f>
        <v>#REF!</v>
      </c>
      <c r="O68" s="243" t="e">
        <f>O27-#REF!</f>
        <v>#REF!</v>
      </c>
      <c r="P68" s="243" t="e">
        <f>P27-#REF!</f>
        <v>#REF!</v>
      </c>
      <c r="Q68" s="243" t="e">
        <f>Q27-#REF!</f>
        <v>#REF!</v>
      </c>
      <c r="R68" s="243" t="e">
        <f>R27-#REF!</f>
        <v>#REF!</v>
      </c>
      <c r="S68" s="243" t="e">
        <f>S27-#REF!</f>
        <v>#REF!</v>
      </c>
      <c r="T68" s="243" t="e">
        <f>T27-#REF!</f>
        <v>#REF!</v>
      </c>
      <c r="U68" s="243" t="e">
        <f>U27-#REF!</f>
        <v>#REF!</v>
      </c>
      <c r="V68" s="243" t="e">
        <f>V27-#REF!</f>
        <v>#REF!</v>
      </c>
      <c r="W68" s="243" t="e">
        <f>W27-#REF!</f>
        <v>#REF!</v>
      </c>
      <c r="X68" s="243" t="e">
        <f>X27-#REF!</f>
        <v>#REF!</v>
      </c>
      <c r="Y68" s="243" t="e">
        <f>Y27-#REF!</f>
        <v>#REF!</v>
      </c>
      <c r="Z68" s="243" t="e">
        <f>Z27-#REF!</f>
        <v>#REF!</v>
      </c>
      <c r="AA68" s="243" t="e">
        <f>AA27-#REF!</f>
        <v>#REF!</v>
      </c>
      <c r="AB68" s="243" t="e">
        <f>AB27-#REF!</f>
        <v>#REF!</v>
      </c>
      <c r="AC68" s="243" t="e">
        <f>AC27-#REF!</f>
        <v>#REF!</v>
      </c>
      <c r="AD68" s="243" t="e">
        <f>AD27-#REF!</f>
        <v>#REF!</v>
      </c>
      <c r="AE68" s="243" t="e">
        <f>AE27-#REF!</f>
        <v>#REF!</v>
      </c>
      <c r="AF68" s="243" t="e">
        <f>AF27-#REF!</f>
        <v>#REF!</v>
      </c>
      <c r="AG68" s="243" t="e">
        <f>AG27-#REF!</f>
        <v>#REF!</v>
      </c>
      <c r="AH68" s="243" t="e">
        <f>AH27-#REF!</f>
        <v>#REF!</v>
      </c>
      <c r="AI68" s="243" t="e">
        <f>AI27-#REF!</f>
        <v>#REF!</v>
      </c>
      <c r="AJ68" s="243" t="e">
        <f>AJ27-#REF!</f>
        <v>#REF!</v>
      </c>
      <c r="AK68" s="243" t="e">
        <f>AK27-#REF!</f>
        <v>#REF!</v>
      </c>
      <c r="AL68" s="243" t="e">
        <f>AL27-#REF!</f>
        <v>#REF!</v>
      </c>
      <c r="AM68" s="243" t="e">
        <f>AM27-#REF!</f>
        <v>#REF!</v>
      </c>
      <c r="AN68" s="243" t="e">
        <f>AN27-#REF!</f>
        <v>#REF!</v>
      </c>
      <c r="AO68" s="243" t="e">
        <f>AO27-#REF!</f>
        <v>#REF!</v>
      </c>
      <c r="AP68" s="243" t="e">
        <f>AP27-#REF!</f>
        <v>#REF!</v>
      </c>
      <c r="AQ68" s="243" t="e">
        <f>AQ27-#REF!</f>
        <v>#REF!</v>
      </c>
      <c r="AR68" s="243" t="e">
        <f>AR27-#REF!</f>
        <v>#REF!</v>
      </c>
      <c r="AS68" s="243" t="e">
        <f>AS27-#REF!</f>
        <v>#REF!</v>
      </c>
      <c r="AT68" s="243" t="e">
        <f>AT27-#REF!</f>
        <v>#REF!</v>
      </c>
      <c r="AU68" s="243" t="e">
        <f>AU27-#REF!</f>
        <v>#REF!</v>
      </c>
      <c r="AV68" s="243" t="e">
        <f>AV27-#REF!</f>
        <v>#REF!</v>
      </c>
      <c r="AW68" s="243" t="e">
        <f>AW27-#REF!</f>
        <v>#REF!</v>
      </c>
      <c r="AX68" s="243" t="e">
        <f>AX27-#REF!</f>
        <v>#REF!</v>
      </c>
      <c r="AY68" s="243" t="e">
        <f>AY27-#REF!</f>
        <v>#REF!</v>
      </c>
      <c r="AZ68" s="243" t="e">
        <f>AZ27-#REF!</f>
        <v>#REF!</v>
      </c>
      <c r="BA68" s="243" t="e">
        <f>BA27-#REF!</f>
        <v>#REF!</v>
      </c>
      <c r="BB68" s="243" t="e">
        <f>BB27-#REF!</f>
        <v>#REF!</v>
      </c>
      <c r="BC68" s="243" t="e">
        <f>BC27-#REF!</f>
        <v>#REF!</v>
      </c>
      <c r="BD68" s="243" t="e">
        <f>BD27-#REF!</f>
        <v>#REF!</v>
      </c>
      <c r="BE68" s="243" t="e">
        <f>BE27-#REF!</f>
        <v>#REF!</v>
      </c>
      <c r="BF68" s="243" t="e">
        <f>BF27-#REF!</f>
        <v>#REF!</v>
      </c>
      <c r="BG68" s="243" t="e">
        <f>BG27-#REF!</f>
        <v>#REF!</v>
      </c>
      <c r="BH68" s="243" t="e">
        <f>BH27-#REF!</f>
        <v>#REF!</v>
      </c>
      <c r="BI68" s="243" t="e">
        <f>BI27-#REF!</f>
        <v>#REF!</v>
      </c>
      <c r="BJ68" s="243" t="e">
        <f>BJ27-#REF!</f>
        <v>#REF!</v>
      </c>
      <c r="BK68" s="243" t="e">
        <f>BK27-#REF!</f>
        <v>#REF!</v>
      </c>
      <c r="BL68" s="243" t="e">
        <f>BL27-#REF!</f>
        <v>#REF!</v>
      </c>
      <c r="BM68" s="243" t="e">
        <f>BM27-#REF!</f>
        <v>#REF!</v>
      </c>
      <c r="BN68" s="243" t="e">
        <f>BN27-#REF!</f>
        <v>#REF!</v>
      </c>
      <c r="BO68" s="243" t="e">
        <f>BO27-#REF!</f>
        <v>#REF!</v>
      </c>
      <c r="BP68" s="243" t="e">
        <f>BP27-#REF!</f>
        <v>#REF!</v>
      </c>
      <c r="BQ68" s="243" t="e">
        <f>BQ27-#REF!</f>
        <v>#REF!</v>
      </c>
      <c r="BR68" s="243" t="e">
        <f>BR27-#REF!</f>
        <v>#REF!</v>
      </c>
      <c r="BS68" s="243" t="e">
        <f>BS27-#REF!</f>
        <v>#REF!</v>
      </c>
      <c r="BT68" s="243" t="e">
        <f>BT27-#REF!</f>
        <v>#REF!</v>
      </c>
      <c r="BU68" s="243" t="e">
        <f>BU27-#REF!</f>
        <v>#REF!</v>
      </c>
    </row>
    <row r="69" spans="13:73" hidden="1" x14ac:dyDescent="0.2">
      <c r="M69" s="243" t="e">
        <f>M28-#REF!</f>
        <v>#REF!</v>
      </c>
      <c r="N69" s="243" t="e">
        <f>N28-#REF!</f>
        <v>#REF!</v>
      </c>
      <c r="O69" s="243" t="e">
        <f>O28-#REF!</f>
        <v>#REF!</v>
      </c>
      <c r="P69" s="243" t="e">
        <f>P28-#REF!</f>
        <v>#REF!</v>
      </c>
      <c r="Q69" s="243" t="e">
        <f>Q28-#REF!</f>
        <v>#REF!</v>
      </c>
      <c r="R69" s="243" t="e">
        <f>R28-#REF!</f>
        <v>#REF!</v>
      </c>
      <c r="S69" s="243" t="e">
        <f>S28-#REF!</f>
        <v>#REF!</v>
      </c>
      <c r="T69" s="243" t="e">
        <f>T28-#REF!</f>
        <v>#REF!</v>
      </c>
      <c r="U69" s="243" t="e">
        <f>U28-#REF!</f>
        <v>#REF!</v>
      </c>
      <c r="V69" s="243" t="e">
        <f>V28-#REF!</f>
        <v>#REF!</v>
      </c>
      <c r="W69" s="243" t="e">
        <f>W28-#REF!</f>
        <v>#REF!</v>
      </c>
      <c r="X69" s="243" t="e">
        <f>X28-#REF!</f>
        <v>#REF!</v>
      </c>
      <c r="Y69" s="243" t="e">
        <f>Y28-#REF!</f>
        <v>#REF!</v>
      </c>
      <c r="Z69" s="243" t="e">
        <f>Z28-#REF!</f>
        <v>#REF!</v>
      </c>
      <c r="AA69" s="243" t="e">
        <f>AA28-#REF!</f>
        <v>#REF!</v>
      </c>
      <c r="AB69" s="243" t="e">
        <f>AB28-#REF!</f>
        <v>#REF!</v>
      </c>
      <c r="AC69" s="243" t="e">
        <f>AC28-#REF!</f>
        <v>#REF!</v>
      </c>
      <c r="AD69" s="243" t="e">
        <f>AD28-#REF!</f>
        <v>#REF!</v>
      </c>
      <c r="AE69" s="243" t="e">
        <f>AE28-#REF!</f>
        <v>#REF!</v>
      </c>
      <c r="AF69" s="243" t="e">
        <f>AF28-#REF!</f>
        <v>#REF!</v>
      </c>
      <c r="AG69" s="243" t="e">
        <f>AG28-#REF!</f>
        <v>#REF!</v>
      </c>
      <c r="AH69" s="243" t="e">
        <f>AH28-#REF!</f>
        <v>#REF!</v>
      </c>
      <c r="AI69" s="243" t="e">
        <f>AI28-#REF!</f>
        <v>#REF!</v>
      </c>
      <c r="AJ69" s="243" t="e">
        <f>AJ28-#REF!</f>
        <v>#REF!</v>
      </c>
      <c r="AK69" s="243" t="e">
        <f>AK28-#REF!</f>
        <v>#REF!</v>
      </c>
      <c r="AL69" s="243" t="e">
        <f>AL28-#REF!</f>
        <v>#REF!</v>
      </c>
      <c r="AM69" s="243" t="e">
        <f>AM28-#REF!</f>
        <v>#REF!</v>
      </c>
      <c r="AN69" s="243" t="e">
        <f>AN28-#REF!</f>
        <v>#REF!</v>
      </c>
      <c r="AO69" s="243" t="e">
        <f>AO28-#REF!</f>
        <v>#REF!</v>
      </c>
      <c r="AP69" s="243" t="e">
        <f>AP28-#REF!</f>
        <v>#REF!</v>
      </c>
      <c r="AQ69" s="243" t="e">
        <f>AQ28-#REF!</f>
        <v>#REF!</v>
      </c>
      <c r="AR69" s="243" t="e">
        <f>AR28-#REF!</f>
        <v>#REF!</v>
      </c>
      <c r="AS69" s="243" t="e">
        <f>AS28-#REF!</f>
        <v>#REF!</v>
      </c>
      <c r="AT69" s="243" t="e">
        <f>AT28-#REF!</f>
        <v>#REF!</v>
      </c>
      <c r="AU69" s="243" t="e">
        <f>AU28-#REF!</f>
        <v>#REF!</v>
      </c>
      <c r="AV69" s="243" t="e">
        <f>AV28-#REF!</f>
        <v>#REF!</v>
      </c>
      <c r="AW69" s="243" t="e">
        <f>AW28-#REF!</f>
        <v>#REF!</v>
      </c>
      <c r="AX69" s="243" t="e">
        <f>AX28-#REF!</f>
        <v>#REF!</v>
      </c>
      <c r="AY69" s="243" t="e">
        <f>AY28-#REF!</f>
        <v>#REF!</v>
      </c>
      <c r="AZ69" s="243" t="e">
        <f>AZ28-#REF!</f>
        <v>#REF!</v>
      </c>
      <c r="BA69" s="243" t="e">
        <f>BA28-#REF!</f>
        <v>#REF!</v>
      </c>
      <c r="BB69" s="243" t="e">
        <f>BB28-#REF!</f>
        <v>#REF!</v>
      </c>
      <c r="BC69" s="243" t="e">
        <f>BC28-#REF!</f>
        <v>#REF!</v>
      </c>
      <c r="BD69" s="243" t="e">
        <f>BD28-#REF!</f>
        <v>#REF!</v>
      </c>
      <c r="BE69" s="243" t="e">
        <f>BE28-#REF!</f>
        <v>#REF!</v>
      </c>
      <c r="BF69" s="243" t="e">
        <f>BF28-#REF!</f>
        <v>#REF!</v>
      </c>
      <c r="BG69" s="243" t="e">
        <f>BG28-#REF!</f>
        <v>#REF!</v>
      </c>
      <c r="BH69" s="243" t="e">
        <f>BH28-#REF!</f>
        <v>#REF!</v>
      </c>
      <c r="BI69" s="243" t="e">
        <f>BI28-#REF!</f>
        <v>#REF!</v>
      </c>
      <c r="BJ69" s="243" t="e">
        <f>BJ28-#REF!</f>
        <v>#REF!</v>
      </c>
      <c r="BK69" s="243" t="e">
        <f>BK28-#REF!</f>
        <v>#REF!</v>
      </c>
      <c r="BL69" s="243" t="e">
        <f>BL28-#REF!</f>
        <v>#REF!</v>
      </c>
      <c r="BM69" s="243" t="e">
        <f>BM28-#REF!</f>
        <v>#REF!</v>
      </c>
      <c r="BN69" s="243" t="e">
        <f>BN28-#REF!</f>
        <v>#REF!</v>
      </c>
      <c r="BO69" s="243" t="e">
        <f>BO28-#REF!</f>
        <v>#REF!</v>
      </c>
      <c r="BP69" s="243" t="e">
        <f>BP28-#REF!</f>
        <v>#REF!</v>
      </c>
      <c r="BQ69" s="243" t="e">
        <f>BQ28-#REF!</f>
        <v>#REF!</v>
      </c>
      <c r="BR69" s="243" t="e">
        <f>BR28-#REF!</f>
        <v>#REF!</v>
      </c>
      <c r="BS69" s="243" t="e">
        <f>BS28-#REF!</f>
        <v>#REF!</v>
      </c>
      <c r="BT69" s="243" t="e">
        <f>BT28-#REF!</f>
        <v>#REF!</v>
      </c>
      <c r="BU69" s="243" t="e">
        <f>BU28-#REF!</f>
        <v>#REF!</v>
      </c>
    </row>
    <row r="70" spans="13:73" hidden="1" x14ac:dyDescent="0.2">
      <c r="M70" s="243" t="e">
        <f>M29-#REF!</f>
        <v>#REF!</v>
      </c>
      <c r="N70" s="243" t="e">
        <f>N29-#REF!</f>
        <v>#REF!</v>
      </c>
      <c r="O70" s="243" t="e">
        <f>O29-#REF!</f>
        <v>#REF!</v>
      </c>
      <c r="P70" s="243" t="e">
        <f>P29-#REF!</f>
        <v>#REF!</v>
      </c>
      <c r="Q70" s="243" t="e">
        <f>Q29-#REF!</f>
        <v>#REF!</v>
      </c>
      <c r="R70" s="243" t="e">
        <f>R29-#REF!</f>
        <v>#REF!</v>
      </c>
      <c r="S70" s="243" t="e">
        <f>S29-#REF!</f>
        <v>#REF!</v>
      </c>
      <c r="T70" s="243" t="e">
        <f>T29-#REF!</f>
        <v>#REF!</v>
      </c>
      <c r="U70" s="243" t="e">
        <f>U29-#REF!</f>
        <v>#REF!</v>
      </c>
      <c r="V70" s="243" t="e">
        <f>V29-#REF!</f>
        <v>#REF!</v>
      </c>
      <c r="W70" s="243" t="e">
        <f>W29-#REF!</f>
        <v>#REF!</v>
      </c>
      <c r="X70" s="243" t="e">
        <f>X29-#REF!</f>
        <v>#REF!</v>
      </c>
      <c r="Y70" s="243" t="e">
        <f>Y29-#REF!</f>
        <v>#REF!</v>
      </c>
      <c r="Z70" s="243" t="e">
        <f>Z29-#REF!</f>
        <v>#REF!</v>
      </c>
      <c r="AA70" s="243" t="e">
        <f>AA29-#REF!</f>
        <v>#REF!</v>
      </c>
      <c r="AB70" s="243" t="e">
        <f>AB29-#REF!</f>
        <v>#REF!</v>
      </c>
      <c r="AC70" s="243" t="e">
        <f>AC29-#REF!</f>
        <v>#REF!</v>
      </c>
      <c r="AD70" s="243" t="e">
        <f>AD29-#REF!</f>
        <v>#REF!</v>
      </c>
      <c r="AE70" s="243" t="e">
        <f>AE29-#REF!</f>
        <v>#REF!</v>
      </c>
      <c r="AF70" s="243" t="e">
        <f>AF29-#REF!</f>
        <v>#REF!</v>
      </c>
      <c r="AG70" s="243" t="e">
        <f>AG29-#REF!</f>
        <v>#REF!</v>
      </c>
      <c r="AH70" s="243" t="e">
        <f>AH29-#REF!</f>
        <v>#REF!</v>
      </c>
      <c r="AI70" s="243" t="e">
        <f>AI29-#REF!</f>
        <v>#REF!</v>
      </c>
      <c r="AJ70" s="243" t="e">
        <f>AJ29-#REF!</f>
        <v>#REF!</v>
      </c>
      <c r="AK70" s="243" t="e">
        <f>AK29-#REF!</f>
        <v>#REF!</v>
      </c>
      <c r="AL70" s="243" t="e">
        <f>AL29-#REF!</f>
        <v>#REF!</v>
      </c>
      <c r="AM70" s="243" t="e">
        <f>AM29-#REF!</f>
        <v>#REF!</v>
      </c>
      <c r="AN70" s="243" t="e">
        <f>AN29-#REF!</f>
        <v>#REF!</v>
      </c>
      <c r="AO70" s="243" t="e">
        <f>AO29-#REF!</f>
        <v>#REF!</v>
      </c>
      <c r="AP70" s="243" t="e">
        <f>AP29-#REF!</f>
        <v>#REF!</v>
      </c>
      <c r="AQ70" s="243" t="e">
        <f>AQ29-#REF!</f>
        <v>#REF!</v>
      </c>
      <c r="AR70" s="243" t="e">
        <f>AR29-#REF!</f>
        <v>#REF!</v>
      </c>
      <c r="AS70" s="243" t="e">
        <f>AS29-#REF!</f>
        <v>#REF!</v>
      </c>
      <c r="AT70" s="243" t="e">
        <f>AT29-#REF!</f>
        <v>#REF!</v>
      </c>
      <c r="AU70" s="243" t="e">
        <f>AU29-#REF!</f>
        <v>#REF!</v>
      </c>
      <c r="AV70" s="243" t="e">
        <f>AV29-#REF!</f>
        <v>#REF!</v>
      </c>
      <c r="AW70" s="243" t="e">
        <f>AW29-#REF!</f>
        <v>#REF!</v>
      </c>
      <c r="AX70" s="243" t="e">
        <f>AX29-#REF!</f>
        <v>#REF!</v>
      </c>
      <c r="AY70" s="243" t="e">
        <f>AY29-#REF!</f>
        <v>#REF!</v>
      </c>
      <c r="AZ70" s="243" t="e">
        <f>AZ29-#REF!</f>
        <v>#REF!</v>
      </c>
      <c r="BA70" s="243" t="e">
        <f>BA29-#REF!</f>
        <v>#REF!</v>
      </c>
      <c r="BB70" s="243" t="e">
        <f>BB29-#REF!</f>
        <v>#REF!</v>
      </c>
      <c r="BC70" s="243" t="e">
        <f>BC29-#REF!</f>
        <v>#REF!</v>
      </c>
      <c r="BD70" s="243" t="e">
        <f>BD29-#REF!</f>
        <v>#REF!</v>
      </c>
      <c r="BE70" s="243" t="e">
        <f>BE29-#REF!</f>
        <v>#REF!</v>
      </c>
      <c r="BF70" s="243" t="e">
        <f>BF29-#REF!</f>
        <v>#REF!</v>
      </c>
      <c r="BG70" s="243" t="e">
        <f>BG29-#REF!</f>
        <v>#REF!</v>
      </c>
      <c r="BH70" s="243" t="e">
        <f>BH29-#REF!</f>
        <v>#REF!</v>
      </c>
      <c r="BI70" s="243" t="e">
        <f>BI29-#REF!</f>
        <v>#REF!</v>
      </c>
      <c r="BJ70" s="243" t="e">
        <f>BJ29-#REF!</f>
        <v>#REF!</v>
      </c>
      <c r="BK70" s="243" t="e">
        <f>BK29-#REF!</f>
        <v>#REF!</v>
      </c>
      <c r="BL70" s="243" t="e">
        <f>BL29-#REF!</f>
        <v>#REF!</v>
      </c>
      <c r="BM70" s="243" t="e">
        <f>BM29-#REF!</f>
        <v>#REF!</v>
      </c>
      <c r="BN70" s="243" t="e">
        <f>BN29-#REF!</f>
        <v>#REF!</v>
      </c>
      <c r="BO70" s="243" t="e">
        <f>BO29-#REF!</f>
        <v>#REF!</v>
      </c>
      <c r="BP70" s="243" t="e">
        <f>BP29-#REF!</f>
        <v>#REF!</v>
      </c>
      <c r="BQ70" s="243" t="e">
        <f>BQ29-#REF!</f>
        <v>#REF!</v>
      </c>
      <c r="BR70" s="243" t="e">
        <f>BR29-#REF!</f>
        <v>#REF!</v>
      </c>
      <c r="BS70" s="243" t="e">
        <f>BS29-#REF!</f>
        <v>#REF!</v>
      </c>
      <c r="BT70" s="243" t="e">
        <f>BT29-#REF!</f>
        <v>#REF!</v>
      </c>
      <c r="BU70" s="243" t="e">
        <f>BU29-#REF!</f>
        <v>#REF!</v>
      </c>
    </row>
    <row r="71" spans="13:73" hidden="1" x14ac:dyDescent="0.2">
      <c r="M71" s="243" t="e">
        <f>M30-#REF!</f>
        <v>#REF!</v>
      </c>
      <c r="N71" s="243" t="e">
        <f>N30-#REF!</f>
        <v>#REF!</v>
      </c>
      <c r="O71" s="243" t="e">
        <f>O30-#REF!</f>
        <v>#REF!</v>
      </c>
      <c r="P71" s="243" t="e">
        <f>P30-#REF!</f>
        <v>#REF!</v>
      </c>
      <c r="Q71" s="243" t="e">
        <f>Q30-#REF!</f>
        <v>#REF!</v>
      </c>
      <c r="R71" s="243" t="e">
        <f>R30-#REF!</f>
        <v>#REF!</v>
      </c>
      <c r="S71" s="243" t="e">
        <f>S30-#REF!</f>
        <v>#REF!</v>
      </c>
      <c r="T71" s="243" t="e">
        <f>T30-#REF!</f>
        <v>#REF!</v>
      </c>
      <c r="U71" s="243" t="e">
        <f>U30-#REF!</f>
        <v>#REF!</v>
      </c>
      <c r="V71" s="243" t="e">
        <f>V30-#REF!</f>
        <v>#REF!</v>
      </c>
      <c r="W71" s="243" t="e">
        <f>W30-#REF!</f>
        <v>#REF!</v>
      </c>
      <c r="X71" s="243" t="e">
        <f>X30-#REF!</f>
        <v>#REF!</v>
      </c>
      <c r="Y71" s="243" t="e">
        <f>Y30-#REF!</f>
        <v>#REF!</v>
      </c>
      <c r="Z71" s="243" t="e">
        <f>Z30-#REF!</f>
        <v>#REF!</v>
      </c>
      <c r="AA71" s="243" t="e">
        <f>AA30-#REF!</f>
        <v>#REF!</v>
      </c>
      <c r="AB71" s="243" t="e">
        <f>AB30-#REF!</f>
        <v>#REF!</v>
      </c>
      <c r="AC71" s="243" t="e">
        <f>AC30-#REF!</f>
        <v>#REF!</v>
      </c>
      <c r="AD71" s="243" t="e">
        <f>AD30-#REF!</f>
        <v>#REF!</v>
      </c>
      <c r="AE71" s="243" t="e">
        <f>AE30-#REF!</f>
        <v>#REF!</v>
      </c>
      <c r="AF71" s="243" t="e">
        <f>AF30-#REF!</f>
        <v>#REF!</v>
      </c>
      <c r="AG71" s="243" t="e">
        <f>AG30-#REF!</f>
        <v>#REF!</v>
      </c>
      <c r="AH71" s="243" t="e">
        <f>AH30-#REF!</f>
        <v>#REF!</v>
      </c>
      <c r="AI71" s="243" t="e">
        <f>AI30-#REF!</f>
        <v>#REF!</v>
      </c>
      <c r="AJ71" s="243" t="e">
        <f>AJ30-#REF!</f>
        <v>#REF!</v>
      </c>
      <c r="AK71" s="243" t="e">
        <f>AK30-#REF!</f>
        <v>#REF!</v>
      </c>
      <c r="AL71" s="243" t="e">
        <f>AL30-#REF!</f>
        <v>#REF!</v>
      </c>
      <c r="AM71" s="243" t="e">
        <f>AM30-#REF!</f>
        <v>#REF!</v>
      </c>
      <c r="AN71" s="243" t="e">
        <f>AN30-#REF!</f>
        <v>#REF!</v>
      </c>
      <c r="AO71" s="243" t="e">
        <f>AO30-#REF!</f>
        <v>#REF!</v>
      </c>
      <c r="AP71" s="243" t="e">
        <f>AP30-#REF!</f>
        <v>#REF!</v>
      </c>
      <c r="AQ71" s="243" t="e">
        <f>AQ30-#REF!</f>
        <v>#REF!</v>
      </c>
      <c r="AR71" s="243" t="e">
        <f>AR30-#REF!</f>
        <v>#REF!</v>
      </c>
      <c r="AS71" s="243" t="e">
        <f>AS30-#REF!</f>
        <v>#REF!</v>
      </c>
      <c r="AT71" s="243" t="e">
        <f>AT30-#REF!</f>
        <v>#REF!</v>
      </c>
      <c r="AU71" s="243" t="e">
        <f>AU30-#REF!</f>
        <v>#REF!</v>
      </c>
      <c r="AV71" s="243" t="e">
        <f>AV30-#REF!</f>
        <v>#REF!</v>
      </c>
      <c r="AW71" s="243" t="e">
        <f>AW30-#REF!</f>
        <v>#REF!</v>
      </c>
      <c r="AX71" s="243" t="e">
        <f>AX30-#REF!</f>
        <v>#REF!</v>
      </c>
      <c r="AY71" s="243" t="e">
        <f>AY30-#REF!</f>
        <v>#REF!</v>
      </c>
      <c r="AZ71" s="243" t="e">
        <f>AZ30-#REF!</f>
        <v>#REF!</v>
      </c>
      <c r="BA71" s="243" t="e">
        <f>BA30-#REF!</f>
        <v>#REF!</v>
      </c>
      <c r="BB71" s="243" t="e">
        <f>BB30-#REF!</f>
        <v>#REF!</v>
      </c>
      <c r="BC71" s="243" t="e">
        <f>BC30-#REF!</f>
        <v>#REF!</v>
      </c>
      <c r="BD71" s="243" t="e">
        <f>BD30-#REF!</f>
        <v>#REF!</v>
      </c>
      <c r="BE71" s="243" t="e">
        <f>BE30-#REF!</f>
        <v>#REF!</v>
      </c>
      <c r="BF71" s="243" t="e">
        <f>BF30-#REF!</f>
        <v>#REF!</v>
      </c>
      <c r="BG71" s="243" t="e">
        <f>BG30-#REF!</f>
        <v>#REF!</v>
      </c>
      <c r="BH71" s="243" t="e">
        <f>BH30-#REF!</f>
        <v>#REF!</v>
      </c>
      <c r="BI71" s="243" t="e">
        <f>BI30-#REF!</f>
        <v>#REF!</v>
      </c>
      <c r="BJ71" s="243" t="e">
        <f>BJ30-#REF!</f>
        <v>#REF!</v>
      </c>
      <c r="BK71" s="243" t="e">
        <f>BK30-#REF!</f>
        <v>#REF!</v>
      </c>
      <c r="BL71" s="243" t="e">
        <f>BL30-#REF!</f>
        <v>#REF!</v>
      </c>
      <c r="BM71" s="243" t="e">
        <f>BM30-#REF!</f>
        <v>#REF!</v>
      </c>
      <c r="BN71" s="243" t="e">
        <f>BN30-#REF!</f>
        <v>#REF!</v>
      </c>
      <c r="BO71" s="243" t="e">
        <f>BO30-#REF!</f>
        <v>#REF!</v>
      </c>
      <c r="BP71" s="243" t="e">
        <f>BP30-#REF!</f>
        <v>#REF!</v>
      </c>
      <c r="BQ71" s="243" t="e">
        <f>BQ30-#REF!</f>
        <v>#REF!</v>
      </c>
      <c r="BR71" s="243" t="e">
        <f>BR30-#REF!</f>
        <v>#REF!</v>
      </c>
      <c r="BS71" s="243" t="e">
        <f>BS30-#REF!</f>
        <v>#REF!</v>
      </c>
      <c r="BT71" s="243" t="e">
        <f>BT30-#REF!</f>
        <v>#REF!</v>
      </c>
      <c r="BU71" s="243" t="e">
        <f>BU30-#REF!</f>
        <v>#REF!</v>
      </c>
    </row>
    <row r="72" spans="13:73" hidden="1" x14ac:dyDescent="0.2">
      <c r="M72" s="243" t="e">
        <f>M31-#REF!</f>
        <v>#REF!</v>
      </c>
      <c r="N72" s="243" t="e">
        <f>N31-#REF!</f>
        <v>#REF!</v>
      </c>
      <c r="O72" s="243" t="e">
        <f>O31-#REF!</f>
        <v>#REF!</v>
      </c>
      <c r="P72" s="243" t="e">
        <f>P31-#REF!</f>
        <v>#REF!</v>
      </c>
      <c r="Q72" s="243" t="e">
        <f>Q31-#REF!</f>
        <v>#REF!</v>
      </c>
      <c r="R72" s="243" t="e">
        <f>R31-#REF!</f>
        <v>#REF!</v>
      </c>
      <c r="S72" s="243" t="e">
        <f>S31-#REF!</f>
        <v>#REF!</v>
      </c>
      <c r="T72" s="243" t="e">
        <f>T31-#REF!</f>
        <v>#REF!</v>
      </c>
      <c r="U72" s="243" t="e">
        <f>U31-#REF!</f>
        <v>#REF!</v>
      </c>
      <c r="V72" s="243" t="e">
        <f>V31-#REF!</f>
        <v>#REF!</v>
      </c>
      <c r="W72" s="243" t="e">
        <f>W31-#REF!</f>
        <v>#REF!</v>
      </c>
      <c r="X72" s="243" t="e">
        <f>X31-#REF!</f>
        <v>#REF!</v>
      </c>
      <c r="Y72" s="243" t="e">
        <f>Y31-#REF!</f>
        <v>#REF!</v>
      </c>
      <c r="Z72" s="243" t="e">
        <f>Z31-#REF!</f>
        <v>#REF!</v>
      </c>
      <c r="AA72" s="243" t="e">
        <f>AA31-#REF!</f>
        <v>#REF!</v>
      </c>
      <c r="AB72" s="243" t="e">
        <f>AB31-#REF!</f>
        <v>#REF!</v>
      </c>
      <c r="AC72" s="243" t="e">
        <f>AC31-#REF!</f>
        <v>#REF!</v>
      </c>
      <c r="AD72" s="243" t="e">
        <f>AD31-#REF!</f>
        <v>#REF!</v>
      </c>
      <c r="AE72" s="243" t="e">
        <f>AE31-#REF!</f>
        <v>#REF!</v>
      </c>
      <c r="AF72" s="243" t="e">
        <f>AF31-#REF!</f>
        <v>#REF!</v>
      </c>
      <c r="AG72" s="243" t="e">
        <f>AG31-#REF!</f>
        <v>#REF!</v>
      </c>
      <c r="AH72" s="243" t="e">
        <f>AH31-#REF!</f>
        <v>#REF!</v>
      </c>
      <c r="AI72" s="243" t="e">
        <f>AI31-#REF!</f>
        <v>#REF!</v>
      </c>
      <c r="AJ72" s="243" t="e">
        <f>AJ31-#REF!</f>
        <v>#REF!</v>
      </c>
      <c r="AK72" s="243" t="e">
        <f>AK31-#REF!</f>
        <v>#REF!</v>
      </c>
      <c r="AL72" s="243" t="e">
        <f>AL31-#REF!</f>
        <v>#REF!</v>
      </c>
      <c r="AM72" s="243" t="e">
        <f>AM31-#REF!</f>
        <v>#REF!</v>
      </c>
      <c r="AN72" s="243" t="e">
        <f>AN31-#REF!</f>
        <v>#REF!</v>
      </c>
      <c r="AO72" s="243" t="e">
        <f>AO31-#REF!</f>
        <v>#REF!</v>
      </c>
      <c r="AP72" s="243" t="e">
        <f>AP31-#REF!</f>
        <v>#REF!</v>
      </c>
      <c r="AQ72" s="243" t="e">
        <f>AQ31-#REF!</f>
        <v>#REF!</v>
      </c>
      <c r="AR72" s="243" t="e">
        <f>AR31-#REF!</f>
        <v>#REF!</v>
      </c>
      <c r="AS72" s="243" t="e">
        <f>AS31-#REF!</f>
        <v>#REF!</v>
      </c>
      <c r="AT72" s="243" t="e">
        <f>AT31-#REF!</f>
        <v>#REF!</v>
      </c>
      <c r="AU72" s="243" t="e">
        <f>AU31-#REF!</f>
        <v>#REF!</v>
      </c>
      <c r="AV72" s="243" t="e">
        <f>AV31-#REF!</f>
        <v>#REF!</v>
      </c>
      <c r="AW72" s="243" t="e">
        <f>AW31-#REF!</f>
        <v>#REF!</v>
      </c>
      <c r="AX72" s="243" t="e">
        <f>AX31-#REF!</f>
        <v>#REF!</v>
      </c>
      <c r="AY72" s="243" t="e">
        <f>AY31-#REF!</f>
        <v>#REF!</v>
      </c>
      <c r="AZ72" s="243" t="e">
        <f>AZ31-#REF!</f>
        <v>#REF!</v>
      </c>
      <c r="BA72" s="243" t="e">
        <f>BA31-#REF!</f>
        <v>#REF!</v>
      </c>
      <c r="BB72" s="243" t="e">
        <f>BB31-#REF!</f>
        <v>#REF!</v>
      </c>
      <c r="BC72" s="243" t="e">
        <f>BC31-#REF!</f>
        <v>#REF!</v>
      </c>
      <c r="BD72" s="243" t="e">
        <f>BD31-#REF!</f>
        <v>#REF!</v>
      </c>
      <c r="BE72" s="243" t="e">
        <f>BE31-#REF!</f>
        <v>#REF!</v>
      </c>
      <c r="BF72" s="243" t="e">
        <f>BF31-#REF!</f>
        <v>#REF!</v>
      </c>
      <c r="BG72" s="243" t="e">
        <f>BG31-#REF!</f>
        <v>#REF!</v>
      </c>
      <c r="BH72" s="243" t="e">
        <f>BH31-#REF!</f>
        <v>#REF!</v>
      </c>
      <c r="BI72" s="243" t="e">
        <f>BI31-#REF!</f>
        <v>#REF!</v>
      </c>
      <c r="BJ72" s="243" t="e">
        <f>BJ31-#REF!</f>
        <v>#REF!</v>
      </c>
      <c r="BK72" s="243" t="e">
        <f>BK31-#REF!</f>
        <v>#REF!</v>
      </c>
      <c r="BL72" s="243" t="e">
        <f>BL31-#REF!</f>
        <v>#REF!</v>
      </c>
      <c r="BM72" s="243" t="e">
        <f>BM31-#REF!</f>
        <v>#REF!</v>
      </c>
      <c r="BN72" s="243" t="e">
        <f>BN31-#REF!</f>
        <v>#REF!</v>
      </c>
      <c r="BO72" s="243" t="e">
        <f>BO31-#REF!</f>
        <v>#REF!</v>
      </c>
      <c r="BP72" s="243" t="e">
        <f>BP31-#REF!</f>
        <v>#REF!</v>
      </c>
      <c r="BQ72" s="243" t="e">
        <f>BQ31-#REF!</f>
        <v>#REF!</v>
      </c>
      <c r="BR72" s="243" t="e">
        <f>BR31-#REF!</f>
        <v>#REF!</v>
      </c>
      <c r="BS72" s="243" t="e">
        <f>BS31-#REF!</f>
        <v>#REF!</v>
      </c>
      <c r="BT72" s="243" t="e">
        <f>BT31-#REF!</f>
        <v>#REF!</v>
      </c>
      <c r="BU72" s="243" t="e">
        <f>BU31-#REF!</f>
        <v>#REF!</v>
      </c>
    </row>
    <row r="73" spans="13:73" hidden="1" x14ac:dyDescent="0.2">
      <c r="M73" s="243" t="e">
        <f>M32-#REF!</f>
        <v>#REF!</v>
      </c>
      <c r="N73" s="243" t="e">
        <f>N32-#REF!</f>
        <v>#REF!</v>
      </c>
      <c r="O73" s="243" t="e">
        <f>O32-#REF!</f>
        <v>#REF!</v>
      </c>
      <c r="P73" s="243" t="e">
        <f>P32-#REF!</f>
        <v>#REF!</v>
      </c>
      <c r="Q73" s="243" t="e">
        <f>Q32-#REF!</f>
        <v>#REF!</v>
      </c>
      <c r="R73" s="243" t="e">
        <f>R32-#REF!</f>
        <v>#REF!</v>
      </c>
      <c r="S73" s="243" t="e">
        <f>S32-#REF!</f>
        <v>#REF!</v>
      </c>
      <c r="T73" s="243" t="e">
        <f>T32-#REF!</f>
        <v>#REF!</v>
      </c>
      <c r="U73" s="243" t="e">
        <f>U32-#REF!</f>
        <v>#REF!</v>
      </c>
      <c r="V73" s="243" t="e">
        <f>V32-#REF!</f>
        <v>#REF!</v>
      </c>
      <c r="W73" s="243" t="e">
        <f>W32-#REF!</f>
        <v>#REF!</v>
      </c>
      <c r="X73" s="243" t="e">
        <f>X32-#REF!</f>
        <v>#REF!</v>
      </c>
      <c r="Y73" s="243" t="e">
        <f>Y32-#REF!</f>
        <v>#REF!</v>
      </c>
      <c r="Z73" s="243" t="e">
        <f>Z32-#REF!</f>
        <v>#REF!</v>
      </c>
      <c r="AA73" s="243" t="e">
        <f>AA32-#REF!</f>
        <v>#REF!</v>
      </c>
      <c r="AB73" s="243" t="e">
        <f>AB32-#REF!</f>
        <v>#REF!</v>
      </c>
      <c r="AC73" s="243" t="e">
        <f>AC32-#REF!</f>
        <v>#REF!</v>
      </c>
      <c r="AD73" s="243" t="e">
        <f>AD32-#REF!</f>
        <v>#REF!</v>
      </c>
      <c r="AE73" s="243" t="e">
        <f>AE32-#REF!</f>
        <v>#REF!</v>
      </c>
      <c r="AF73" s="243" t="e">
        <f>AF32-#REF!</f>
        <v>#REF!</v>
      </c>
      <c r="AG73" s="243" t="e">
        <f>AG32-#REF!</f>
        <v>#REF!</v>
      </c>
      <c r="AH73" s="243" t="e">
        <f>AH32-#REF!</f>
        <v>#REF!</v>
      </c>
      <c r="AI73" s="243" t="e">
        <f>AI32-#REF!</f>
        <v>#REF!</v>
      </c>
      <c r="AJ73" s="243" t="e">
        <f>AJ32-#REF!</f>
        <v>#REF!</v>
      </c>
      <c r="AK73" s="243" t="e">
        <f>AK32-#REF!</f>
        <v>#REF!</v>
      </c>
      <c r="AL73" s="243" t="e">
        <f>AL32-#REF!</f>
        <v>#REF!</v>
      </c>
      <c r="AM73" s="243" t="e">
        <f>AM32-#REF!</f>
        <v>#REF!</v>
      </c>
      <c r="AN73" s="243" t="e">
        <f>AN32-#REF!</f>
        <v>#REF!</v>
      </c>
      <c r="AO73" s="243" t="e">
        <f>AO32-#REF!</f>
        <v>#REF!</v>
      </c>
      <c r="AP73" s="243" t="e">
        <f>AP32-#REF!</f>
        <v>#REF!</v>
      </c>
      <c r="AQ73" s="243" t="e">
        <f>AQ32-#REF!</f>
        <v>#REF!</v>
      </c>
      <c r="AR73" s="243" t="e">
        <f>AR32-#REF!</f>
        <v>#REF!</v>
      </c>
      <c r="AS73" s="243" t="e">
        <f>AS32-#REF!</f>
        <v>#REF!</v>
      </c>
      <c r="AT73" s="243" t="e">
        <f>AT32-#REF!</f>
        <v>#REF!</v>
      </c>
      <c r="AU73" s="243" t="e">
        <f>AU32-#REF!</f>
        <v>#REF!</v>
      </c>
      <c r="AV73" s="243" t="e">
        <f>AV32-#REF!</f>
        <v>#REF!</v>
      </c>
      <c r="AW73" s="243" t="e">
        <f>AW32-#REF!</f>
        <v>#REF!</v>
      </c>
      <c r="AX73" s="243" t="e">
        <f>AX32-#REF!</f>
        <v>#REF!</v>
      </c>
      <c r="AY73" s="243" t="e">
        <f>AY32-#REF!</f>
        <v>#REF!</v>
      </c>
      <c r="AZ73" s="243" t="e">
        <f>AZ32-#REF!</f>
        <v>#REF!</v>
      </c>
      <c r="BA73" s="243" t="e">
        <f>BA32-#REF!</f>
        <v>#REF!</v>
      </c>
      <c r="BB73" s="243" t="e">
        <f>BB32-#REF!</f>
        <v>#REF!</v>
      </c>
      <c r="BC73" s="243" t="e">
        <f>BC32-#REF!</f>
        <v>#REF!</v>
      </c>
      <c r="BD73" s="243" t="e">
        <f>BD32-#REF!</f>
        <v>#REF!</v>
      </c>
      <c r="BE73" s="243" t="e">
        <f>BE32-#REF!</f>
        <v>#REF!</v>
      </c>
      <c r="BF73" s="243" t="e">
        <f>BF32-#REF!</f>
        <v>#REF!</v>
      </c>
      <c r="BG73" s="243" t="e">
        <f>BG32-#REF!</f>
        <v>#REF!</v>
      </c>
      <c r="BH73" s="243" t="e">
        <f>BH32-#REF!</f>
        <v>#REF!</v>
      </c>
      <c r="BI73" s="243" t="e">
        <f>BI32-#REF!</f>
        <v>#REF!</v>
      </c>
      <c r="BJ73" s="243" t="e">
        <f>BJ32-#REF!</f>
        <v>#REF!</v>
      </c>
      <c r="BK73" s="243" t="e">
        <f>BK32-#REF!</f>
        <v>#REF!</v>
      </c>
      <c r="BL73" s="243" t="e">
        <f>BL32-#REF!</f>
        <v>#REF!</v>
      </c>
      <c r="BM73" s="243" t="e">
        <f>BM32-#REF!</f>
        <v>#REF!</v>
      </c>
      <c r="BN73" s="243" t="e">
        <f>BN32-#REF!</f>
        <v>#REF!</v>
      </c>
      <c r="BO73" s="243" t="e">
        <f>BO32-#REF!</f>
        <v>#REF!</v>
      </c>
      <c r="BP73" s="243" t="e">
        <f>BP32-#REF!</f>
        <v>#REF!</v>
      </c>
      <c r="BQ73" s="243" t="e">
        <f>BQ32-#REF!</f>
        <v>#REF!</v>
      </c>
      <c r="BR73" s="243" t="e">
        <f>BR32-#REF!</f>
        <v>#REF!</v>
      </c>
      <c r="BS73" s="243" t="e">
        <f>BS32-#REF!</f>
        <v>#REF!</v>
      </c>
      <c r="BT73" s="243" t="e">
        <f>BT32-#REF!</f>
        <v>#REF!</v>
      </c>
      <c r="BU73" s="243" t="e">
        <f>BU32-#REF!</f>
        <v>#REF!</v>
      </c>
    </row>
    <row r="74" spans="13:73" hidden="1" x14ac:dyDescent="0.2">
      <c r="M74" s="243" t="e">
        <f>M33-#REF!</f>
        <v>#REF!</v>
      </c>
      <c r="N74" s="243" t="e">
        <f>N33-#REF!</f>
        <v>#REF!</v>
      </c>
      <c r="O74" s="243" t="e">
        <f>O33-#REF!</f>
        <v>#REF!</v>
      </c>
      <c r="P74" s="243" t="e">
        <f>P33-#REF!</f>
        <v>#REF!</v>
      </c>
      <c r="Q74" s="243" t="e">
        <f>Q33-#REF!</f>
        <v>#REF!</v>
      </c>
      <c r="R74" s="243" t="e">
        <f>R33-#REF!</f>
        <v>#REF!</v>
      </c>
      <c r="S74" s="243" t="e">
        <f>S33-#REF!</f>
        <v>#REF!</v>
      </c>
      <c r="T74" s="243" t="e">
        <f>T33-#REF!</f>
        <v>#REF!</v>
      </c>
      <c r="U74" s="243" t="e">
        <f>U33-#REF!</f>
        <v>#REF!</v>
      </c>
      <c r="V74" s="243" t="e">
        <f>V33-#REF!</f>
        <v>#REF!</v>
      </c>
      <c r="W74" s="243" t="e">
        <f>W33-#REF!</f>
        <v>#REF!</v>
      </c>
      <c r="X74" s="243" t="e">
        <f>X33-#REF!</f>
        <v>#REF!</v>
      </c>
      <c r="Y74" s="243" t="e">
        <f>Y33-#REF!</f>
        <v>#REF!</v>
      </c>
      <c r="Z74" s="243" t="e">
        <f>Z33-#REF!</f>
        <v>#REF!</v>
      </c>
      <c r="AA74" s="243" t="e">
        <f>AA33-#REF!</f>
        <v>#REF!</v>
      </c>
      <c r="AB74" s="243" t="e">
        <f>AB33-#REF!</f>
        <v>#REF!</v>
      </c>
      <c r="AC74" s="243" t="e">
        <f>AC33-#REF!</f>
        <v>#REF!</v>
      </c>
      <c r="AD74" s="243" t="e">
        <f>AD33-#REF!</f>
        <v>#REF!</v>
      </c>
      <c r="AE74" s="243" t="e">
        <f>AE33-#REF!</f>
        <v>#REF!</v>
      </c>
      <c r="AF74" s="243" t="e">
        <f>AF33-#REF!</f>
        <v>#REF!</v>
      </c>
      <c r="AG74" s="243" t="e">
        <f>AG33-#REF!</f>
        <v>#REF!</v>
      </c>
      <c r="AH74" s="243" t="e">
        <f>AH33-#REF!</f>
        <v>#REF!</v>
      </c>
      <c r="AI74" s="243" t="e">
        <f>AI33-#REF!</f>
        <v>#REF!</v>
      </c>
      <c r="AJ74" s="243" t="e">
        <f>AJ33-#REF!</f>
        <v>#REF!</v>
      </c>
      <c r="AK74" s="243" t="e">
        <f>AK33-#REF!</f>
        <v>#REF!</v>
      </c>
      <c r="AL74" s="243" t="e">
        <f>AL33-#REF!</f>
        <v>#REF!</v>
      </c>
      <c r="AM74" s="243" t="e">
        <f>AM33-#REF!</f>
        <v>#REF!</v>
      </c>
      <c r="AN74" s="243" t="e">
        <f>AN33-#REF!</f>
        <v>#REF!</v>
      </c>
      <c r="AO74" s="243" t="e">
        <f>AO33-#REF!</f>
        <v>#REF!</v>
      </c>
      <c r="AP74" s="243" t="e">
        <f>AP33-#REF!</f>
        <v>#REF!</v>
      </c>
      <c r="AQ74" s="243" t="e">
        <f>AQ33-#REF!</f>
        <v>#REF!</v>
      </c>
      <c r="AR74" s="243" t="e">
        <f>AR33-#REF!</f>
        <v>#REF!</v>
      </c>
      <c r="AS74" s="243" t="e">
        <f>AS33-#REF!</f>
        <v>#REF!</v>
      </c>
      <c r="AT74" s="243" t="e">
        <f>AT33-#REF!</f>
        <v>#REF!</v>
      </c>
      <c r="AU74" s="243" t="e">
        <f>AU33-#REF!</f>
        <v>#REF!</v>
      </c>
      <c r="AV74" s="243" t="e">
        <f>AV33-#REF!</f>
        <v>#REF!</v>
      </c>
      <c r="AW74" s="243" t="e">
        <f>AW33-#REF!</f>
        <v>#REF!</v>
      </c>
      <c r="AX74" s="243" t="e">
        <f>AX33-#REF!</f>
        <v>#REF!</v>
      </c>
      <c r="AY74" s="243" t="e">
        <f>AY33-#REF!</f>
        <v>#REF!</v>
      </c>
      <c r="AZ74" s="243" t="e">
        <f>AZ33-#REF!</f>
        <v>#REF!</v>
      </c>
      <c r="BA74" s="243" t="e">
        <f>BA33-#REF!</f>
        <v>#REF!</v>
      </c>
      <c r="BB74" s="243" t="e">
        <f>BB33-#REF!</f>
        <v>#REF!</v>
      </c>
      <c r="BC74" s="243" t="e">
        <f>BC33-#REF!</f>
        <v>#REF!</v>
      </c>
      <c r="BD74" s="243" t="e">
        <f>BD33-#REF!</f>
        <v>#REF!</v>
      </c>
      <c r="BE74" s="243" t="e">
        <f>BE33-#REF!</f>
        <v>#REF!</v>
      </c>
      <c r="BF74" s="243" t="e">
        <f>BF33-#REF!</f>
        <v>#REF!</v>
      </c>
      <c r="BG74" s="243" t="e">
        <f>BG33-#REF!</f>
        <v>#REF!</v>
      </c>
      <c r="BH74" s="243" t="e">
        <f>BH33-#REF!</f>
        <v>#REF!</v>
      </c>
      <c r="BI74" s="243" t="e">
        <f>BI33-#REF!</f>
        <v>#REF!</v>
      </c>
      <c r="BJ74" s="243" t="e">
        <f>BJ33-#REF!</f>
        <v>#REF!</v>
      </c>
      <c r="BK74" s="243" t="e">
        <f>BK33-#REF!</f>
        <v>#REF!</v>
      </c>
      <c r="BL74" s="243" t="e">
        <f>BL33-#REF!</f>
        <v>#REF!</v>
      </c>
      <c r="BM74" s="243" t="e">
        <f>BM33-#REF!</f>
        <v>#REF!</v>
      </c>
      <c r="BN74" s="243" t="e">
        <f>BN33-#REF!</f>
        <v>#REF!</v>
      </c>
      <c r="BO74" s="243" t="e">
        <f>BO33-#REF!</f>
        <v>#REF!</v>
      </c>
      <c r="BP74" s="243" t="e">
        <f>BP33-#REF!</f>
        <v>#REF!</v>
      </c>
      <c r="BQ74" s="243" t="e">
        <f>BQ33-#REF!</f>
        <v>#REF!</v>
      </c>
      <c r="BR74" s="243" t="e">
        <f>BR33-#REF!</f>
        <v>#REF!</v>
      </c>
      <c r="BS74" s="243" t="e">
        <f>BS33-#REF!</f>
        <v>#REF!</v>
      </c>
      <c r="BT74" s="243" t="e">
        <f>BT33-#REF!</f>
        <v>#REF!</v>
      </c>
      <c r="BU74" s="243" t="e">
        <f>BU33-#REF!</f>
        <v>#REF!</v>
      </c>
    </row>
    <row r="75" spans="13:73" hidden="1" x14ac:dyDescent="0.2">
      <c r="M75" s="243" t="e">
        <f>M34-#REF!</f>
        <v>#REF!</v>
      </c>
      <c r="N75" s="243" t="e">
        <f>N34-#REF!</f>
        <v>#REF!</v>
      </c>
      <c r="O75" s="243" t="e">
        <f>O34-#REF!</f>
        <v>#REF!</v>
      </c>
      <c r="P75" s="243" t="e">
        <f>P34-#REF!</f>
        <v>#REF!</v>
      </c>
      <c r="Q75" s="243" t="e">
        <f>Q34-#REF!</f>
        <v>#REF!</v>
      </c>
      <c r="R75" s="243" t="e">
        <f>R34-#REF!</f>
        <v>#REF!</v>
      </c>
      <c r="S75" s="243" t="e">
        <f>S34-#REF!</f>
        <v>#REF!</v>
      </c>
      <c r="T75" s="243" t="e">
        <f>T34-#REF!</f>
        <v>#REF!</v>
      </c>
      <c r="U75" s="243" t="e">
        <f>U34-#REF!</f>
        <v>#REF!</v>
      </c>
      <c r="V75" s="243" t="e">
        <f>V34-#REF!</f>
        <v>#REF!</v>
      </c>
      <c r="W75" s="243" t="e">
        <f>W34-#REF!</f>
        <v>#REF!</v>
      </c>
      <c r="X75" s="243" t="e">
        <f>X34-#REF!</f>
        <v>#REF!</v>
      </c>
      <c r="Y75" s="243" t="e">
        <f>Y34-#REF!</f>
        <v>#REF!</v>
      </c>
      <c r="Z75" s="243" t="e">
        <f>Z34-#REF!</f>
        <v>#REF!</v>
      </c>
      <c r="AA75" s="243" t="e">
        <f>AA34-#REF!</f>
        <v>#REF!</v>
      </c>
      <c r="AB75" s="243" t="e">
        <f>AB34-#REF!</f>
        <v>#REF!</v>
      </c>
      <c r="AC75" s="243" t="e">
        <f>AC34-#REF!</f>
        <v>#REF!</v>
      </c>
      <c r="AD75" s="243" t="e">
        <f>AD34-#REF!</f>
        <v>#REF!</v>
      </c>
      <c r="AE75" s="243" t="e">
        <f>AE34-#REF!</f>
        <v>#REF!</v>
      </c>
      <c r="AF75" s="243" t="e">
        <f>AF34-#REF!</f>
        <v>#REF!</v>
      </c>
      <c r="AG75" s="243" t="e">
        <f>AG34-#REF!</f>
        <v>#REF!</v>
      </c>
      <c r="AH75" s="243" t="e">
        <f>AH34-#REF!</f>
        <v>#REF!</v>
      </c>
      <c r="AI75" s="243" t="e">
        <f>AI34-#REF!</f>
        <v>#REF!</v>
      </c>
      <c r="AJ75" s="243" t="e">
        <f>AJ34-#REF!</f>
        <v>#REF!</v>
      </c>
      <c r="AK75" s="243" t="e">
        <f>AK34-#REF!</f>
        <v>#REF!</v>
      </c>
      <c r="AL75" s="243" t="e">
        <f>AL34-#REF!</f>
        <v>#REF!</v>
      </c>
      <c r="AM75" s="243" t="e">
        <f>AM34-#REF!</f>
        <v>#REF!</v>
      </c>
      <c r="AN75" s="243" t="e">
        <f>AN34-#REF!</f>
        <v>#REF!</v>
      </c>
      <c r="AO75" s="243" t="e">
        <f>AO34-#REF!</f>
        <v>#REF!</v>
      </c>
      <c r="AP75" s="243" t="e">
        <f>AP34-#REF!</f>
        <v>#REF!</v>
      </c>
      <c r="AQ75" s="243" t="e">
        <f>AQ34-#REF!</f>
        <v>#REF!</v>
      </c>
      <c r="AR75" s="243" t="e">
        <f>AR34-#REF!</f>
        <v>#REF!</v>
      </c>
      <c r="AS75" s="243" t="e">
        <f>AS34-#REF!</f>
        <v>#REF!</v>
      </c>
      <c r="AT75" s="243" t="e">
        <f>AT34-#REF!</f>
        <v>#REF!</v>
      </c>
      <c r="AU75" s="243" t="e">
        <f>AU34-#REF!</f>
        <v>#REF!</v>
      </c>
      <c r="AV75" s="243" t="e">
        <f>AV34-#REF!</f>
        <v>#REF!</v>
      </c>
      <c r="AW75" s="243" t="e">
        <f>AW34-#REF!</f>
        <v>#REF!</v>
      </c>
      <c r="AX75" s="243" t="e">
        <f>AX34-#REF!</f>
        <v>#REF!</v>
      </c>
      <c r="AY75" s="243" t="e">
        <f>AY34-#REF!</f>
        <v>#REF!</v>
      </c>
      <c r="AZ75" s="243" t="e">
        <f>AZ34-#REF!</f>
        <v>#REF!</v>
      </c>
      <c r="BA75" s="243" t="e">
        <f>BA34-#REF!</f>
        <v>#REF!</v>
      </c>
      <c r="BB75" s="243" t="e">
        <f>BB34-#REF!</f>
        <v>#REF!</v>
      </c>
      <c r="BC75" s="243" t="e">
        <f>BC34-#REF!</f>
        <v>#REF!</v>
      </c>
      <c r="BD75" s="243" t="e">
        <f>BD34-#REF!</f>
        <v>#REF!</v>
      </c>
      <c r="BE75" s="243" t="e">
        <f>BE34-#REF!</f>
        <v>#REF!</v>
      </c>
      <c r="BF75" s="243" t="e">
        <f>BF34-#REF!</f>
        <v>#REF!</v>
      </c>
      <c r="BG75" s="243" t="e">
        <f>BG34-#REF!</f>
        <v>#REF!</v>
      </c>
      <c r="BH75" s="243" t="e">
        <f>BH34-#REF!</f>
        <v>#REF!</v>
      </c>
      <c r="BI75" s="243" t="e">
        <f>BI34-#REF!</f>
        <v>#REF!</v>
      </c>
      <c r="BJ75" s="243" t="e">
        <f>BJ34-#REF!</f>
        <v>#REF!</v>
      </c>
      <c r="BK75" s="243" t="e">
        <f>BK34-#REF!</f>
        <v>#REF!</v>
      </c>
      <c r="BL75" s="243" t="e">
        <f>BL34-#REF!</f>
        <v>#REF!</v>
      </c>
      <c r="BM75" s="243" t="e">
        <f>BM34-#REF!</f>
        <v>#REF!</v>
      </c>
      <c r="BN75" s="243" t="e">
        <f>BN34-#REF!</f>
        <v>#REF!</v>
      </c>
      <c r="BO75" s="243" t="e">
        <f>BO34-#REF!</f>
        <v>#REF!</v>
      </c>
      <c r="BP75" s="243" t="e">
        <f>BP34-#REF!</f>
        <v>#REF!</v>
      </c>
      <c r="BQ75" s="243" t="e">
        <f>BQ34-#REF!</f>
        <v>#REF!</v>
      </c>
      <c r="BR75" s="243" t="e">
        <f>BR34-#REF!</f>
        <v>#REF!</v>
      </c>
      <c r="BS75" s="243" t="e">
        <f>BS34-#REF!</f>
        <v>#REF!</v>
      </c>
      <c r="BT75" s="243" t="e">
        <f>BT34-#REF!</f>
        <v>#REF!</v>
      </c>
      <c r="BU75" s="243" t="e">
        <f>BU34-#REF!</f>
        <v>#REF!</v>
      </c>
    </row>
    <row r="76" spans="13:73" hidden="1" x14ac:dyDescent="0.2">
      <c r="M76" s="243" t="e">
        <f>M35-#REF!</f>
        <v>#REF!</v>
      </c>
      <c r="N76" s="243" t="e">
        <f>N35-#REF!</f>
        <v>#REF!</v>
      </c>
      <c r="O76" s="243" t="e">
        <f>O35-#REF!</f>
        <v>#REF!</v>
      </c>
      <c r="P76" s="243" t="e">
        <f>P35-#REF!</f>
        <v>#REF!</v>
      </c>
      <c r="Q76" s="243" t="e">
        <f>Q35-#REF!</f>
        <v>#REF!</v>
      </c>
      <c r="R76" s="243" t="e">
        <f>R35-#REF!</f>
        <v>#REF!</v>
      </c>
      <c r="S76" s="243" t="e">
        <f>S35-#REF!</f>
        <v>#REF!</v>
      </c>
      <c r="T76" s="243" t="e">
        <f>T35-#REF!</f>
        <v>#REF!</v>
      </c>
      <c r="U76" s="243" t="e">
        <f>U35-#REF!</f>
        <v>#REF!</v>
      </c>
      <c r="V76" s="243" t="e">
        <f>V35-#REF!</f>
        <v>#REF!</v>
      </c>
      <c r="W76" s="243" t="e">
        <f>W35-#REF!</f>
        <v>#REF!</v>
      </c>
      <c r="X76" s="243" t="e">
        <f>X35-#REF!</f>
        <v>#REF!</v>
      </c>
      <c r="Y76" s="243" t="e">
        <f>Y35-#REF!</f>
        <v>#REF!</v>
      </c>
      <c r="Z76" s="243" t="e">
        <f>Z35-#REF!</f>
        <v>#REF!</v>
      </c>
      <c r="AA76" s="243" t="e">
        <f>AA35-#REF!</f>
        <v>#REF!</v>
      </c>
      <c r="AB76" s="243" t="e">
        <f>AB35-#REF!</f>
        <v>#REF!</v>
      </c>
      <c r="AC76" s="243" t="e">
        <f>AC35-#REF!</f>
        <v>#REF!</v>
      </c>
      <c r="AD76" s="243" t="e">
        <f>AD35-#REF!</f>
        <v>#REF!</v>
      </c>
      <c r="AE76" s="243" t="e">
        <f>AE35-#REF!</f>
        <v>#REF!</v>
      </c>
      <c r="AF76" s="243" t="e">
        <f>AF35-#REF!</f>
        <v>#REF!</v>
      </c>
      <c r="AG76" s="243" t="e">
        <f>AG35-#REF!</f>
        <v>#REF!</v>
      </c>
      <c r="AH76" s="243" t="e">
        <f>AH35-#REF!</f>
        <v>#REF!</v>
      </c>
      <c r="AI76" s="243" t="e">
        <f>AI35-#REF!</f>
        <v>#REF!</v>
      </c>
      <c r="AJ76" s="243" t="e">
        <f>AJ35-#REF!</f>
        <v>#REF!</v>
      </c>
      <c r="AK76" s="243" t="e">
        <f>AK35-#REF!</f>
        <v>#REF!</v>
      </c>
      <c r="AL76" s="243" t="e">
        <f>AL35-#REF!</f>
        <v>#REF!</v>
      </c>
      <c r="AM76" s="243" t="e">
        <f>AM35-#REF!</f>
        <v>#REF!</v>
      </c>
      <c r="AN76" s="243" t="e">
        <f>AN35-#REF!</f>
        <v>#REF!</v>
      </c>
      <c r="AO76" s="243" t="e">
        <f>AO35-#REF!</f>
        <v>#REF!</v>
      </c>
      <c r="AP76" s="243" t="e">
        <f>AP35-#REF!</f>
        <v>#REF!</v>
      </c>
      <c r="AQ76" s="243" t="e">
        <f>AQ35-#REF!</f>
        <v>#REF!</v>
      </c>
      <c r="AR76" s="243" t="e">
        <f>AR35-#REF!</f>
        <v>#REF!</v>
      </c>
      <c r="AS76" s="243" t="e">
        <f>AS35-#REF!</f>
        <v>#REF!</v>
      </c>
      <c r="AT76" s="243" t="e">
        <f>AT35-#REF!</f>
        <v>#REF!</v>
      </c>
      <c r="AU76" s="243" t="e">
        <f>AU35-#REF!</f>
        <v>#REF!</v>
      </c>
      <c r="AV76" s="243" t="e">
        <f>AV35-#REF!</f>
        <v>#REF!</v>
      </c>
      <c r="AW76" s="243" t="e">
        <f>AW35-#REF!</f>
        <v>#REF!</v>
      </c>
      <c r="AX76" s="243" t="e">
        <f>AX35-#REF!</f>
        <v>#REF!</v>
      </c>
      <c r="AY76" s="243" t="e">
        <f>AY35-#REF!</f>
        <v>#REF!</v>
      </c>
      <c r="AZ76" s="243" t="e">
        <f>AZ35-#REF!</f>
        <v>#REF!</v>
      </c>
      <c r="BA76" s="243" t="e">
        <f>BA35-#REF!</f>
        <v>#REF!</v>
      </c>
      <c r="BB76" s="243" t="e">
        <f>BB35-#REF!</f>
        <v>#REF!</v>
      </c>
      <c r="BC76" s="243" t="e">
        <f>BC35-#REF!</f>
        <v>#REF!</v>
      </c>
      <c r="BD76" s="243" t="e">
        <f>BD35-#REF!</f>
        <v>#REF!</v>
      </c>
      <c r="BE76" s="243" t="e">
        <f>BE35-#REF!</f>
        <v>#REF!</v>
      </c>
      <c r="BF76" s="243" t="e">
        <f>BF35-#REF!</f>
        <v>#REF!</v>
      </c>
      <c r="BG76" s="243" t="e">
        <f>BG35-#REF!</f>
        <v>#REF!</v>
      </c>
      <c r="BH76" s="243" t="e">
        <f>BH35-#REF!</f>
        <v>#REF!</v>
      </c>
      <c r="BI76" s="243" t="e">
        <f>BI35-#REF!</f>
        <v>#REF!</v>
      </c>
      <c r="BJ76" s="243" t="e">
        <f>BJ35-#REF!</f>
        <v>#REF!</v>
      </c>
      <c r="BK76" s="243" t="e">
        <f>BK35-#REF!</f>
        <v>#REF!</v>
      </c>
      <c r="BL76" s="243" t="e">
        <f>BL35-#REF!</f>
        <v>#REF!</v>
      </c>
      <c r="BM76" s="243" t="e">
        <f>BM35-#REF!</f>
        <v>#REF!</v>
      </c>
      <c r="BN76" s="243" t="e">
        <f>BN35-#REF!</f>
        <v>#REF!</v>
      </c>
      <c r="BO76" s="243" t="e">
        <f>BO35-#REF!</f>
        <v>#REF!</v>
      </c>
      <c r="BP76" s="243" t="e">
        <f>BP35-#REF!</f>
        <v>#REF!</v>
      </c>
      <c r="BQ76" s="243" t="e">
        <f>BQ35-#REF!</f>
        <v>#REF!</v>
      </c>
      <c r="BR76" s="243" t="e">
        <f>BR35-#REF!</f>
        <v>#REF!</v>
      </c>
      <c r="BS76" s="243" t="e">
        <f>BS35-#REF!</f>
        <v>#REF!</v>
      </c>
      <c r="BT76" s="243" t="e">
        <f>BT35-#REF!</f>
        <v>#REF!</v>
      </c>
      <c r="BU76" s="243" t="e">
        <f>BU35-#REF!</f>
        <v>#REF!</v>
      </c>
    </row>
    <row r="77" spans="13:73" hidden="1" x14ac:dyDescent="0.2">
      <c r="M77" s="243" t="e">
        <f>M36-#REF!</f>
        <v>#REF!</v>
      </c>
      <c r="N77" s="243" t="e">
        <f>N36-#REF!</f>
        <v>#REF!</v>
      </c>
      <c r="O77" s="243" t="e">
        <f>O36-#REF!</f>
        <v>#REF!</v>
      </c>
      <c r="P77" s="243" t="e">
        <f>P36-#REF!</f>
        <v>#REF!</v>
      </c>
      <c r="Q77" s="243" t="e">
        <f>Q36-#REF!</f>
        <v>#REF!</v>
      </c>
      <c r="R77" s="243" t="e">
        <f>R36-#REF!</f>
        <v>#REF!</v>
      </c>
      <c r="S77" s="243" t="e">
        <f>S36-#REF!</f>
        <v>#REF!</v>
      </c>
      <c r="T77" s="243" t="e">
        <f>T36-#REF!</f>
        <v>#REF!</v>
      </c>
      <c r="U77" s="243" t="e">
        <f>U36-#REF!</f>
        <v>#REF!</v>
      </c>
      <c r="V77" s="243" t="e">
        <f>V36-#REF!</f>
        <v>#REF!</v>
      </c>
      <c r="W77" s="243" t="e">
        <f>W36-#REF!</f>
        <v>#REF!</v>
      </c>
      <c r="X77" s="243" t="e">
        <f>X36-#REF!</f>
        <v>#REF!</v>
      </c>
      <c r="Y77" s="243" t="e">
        <f>Y36-#REF!</f>
        <v>#REF!</v>
      </c>
      <c r="Z77" s="243" t="e">
        <f>Z36-#REF!</f>
        <v>#REF!</v>
      </c>
      <c r="AA77" s="243" t="e">
        <f>AA36-#REF!</f>
        <v>#REF!</v>
      </c>
      <c r="AB77" s="243" t="e">
        <f>AB36-#REF!</f>
        <v>#REF!</v>
      </c>
      <c r="AC77" s="243" t="e">
        <f>AC36-#REF!</f>
        <v>#REF!</v>
      </c>
      <c r="AD77" s="243" t="e">
        <f>AD36-#REF!</f>
        <v>#REF!</v>
      </c>
      <c r="AE77" s="243" t="e">
        <f>AE36-#REF!</f>
        <v>#REF!</v>
      </c>
      <c r="AF77" s="243" t="e">
        <f>AF36-#REF!</f>
        <v>#REF!</v>
      </c>
      <c r="AG77" s="243" t="e">
        <f>AG36-#REF!</f>
        <v>#REF!</v>
      </c>
      <c r="AH77" s="243" t="e">
        <f>AH36-#REF!</f>
        <v>#REF!</v>
      </c>
      <c r="AI77" s="243" t="e">
        <f>AI36-#REF!</f>
        <v>#REF!</v>
      </c>
      <c r="AJ77" s="243" t="e">
        <f>AJ36-#REF!</f>
        <v>#REF!</v>
      </c>
      <c r="AK77" s="243" t="e">
        <f>AK36-#REF!</f>
        <v>#REF!</v>
      </c>
      <c r="AL77" s="243" t="e">
        <f>AL36-#REF!</f>
        <v>#REF!</v>
      </c>
      <c r="AM77" s="243" t="e">
        <f>AM36-#REF!</f>
        <v>#REF!</v>
      </c>
      <c r="AN77" s="243" t="e">
        <f>AN36-#REF!</f>
        <v>#REF!</v>
      </c>
      <c r="AO77" s="243" t="e">
        <f>AO36-#REF!</f>
        <v>#REF!</v>
      </c>
      <c r="AP77" s="243" t="e">
        <f>AP36-#REF!</f>
        <v>#REF!</v>
      </c>
      <c r="AQ77" s="243" t="e">
        <f>AQ36-#REF!</f>
        <v>#REF!</v>
      </c>
      <c r="AR77" s="243" t="e">
        <f>AR36-#REF!</f>
        <v>#REF!</v>
      </c>
      <c r="AS77" s="243" t="e">
        <f>AS36-#REF!</f>
        <v>#REF!</v>
      </c>
      <c r="AT77" s="243" t="e">
        <f>AT36-#REF!</f>
        <v>#REF!</v>
      </c>
      <c r="AU77" s="243" t="e">
        <f>AU36-#REF!</f>
        <v>#REF!</v>
      </c>
      <c r="AV77" s="243" t="e">
        <f>AV36-#REF!</f>
        <v>#REF!</v>
      </c>
      <c r="AW77" s="243" t="e">
        <f>AW36-#REF!</f>
        <v>#REF!</v>
      </c>
      <c r="AX77" s="243" t="e">
        <f>AX36-#REF!</f>
        <v>#REF!</v>
      </c>
      <c r="AY77" s="243" t="e">
        <f>AY36-#REF!</f>
        <v>#REF!</v>
      </c>
      <c r="AZ77" s="243" t="e">
        <f>AZ36-#REF!</f>
        <v>#REF!</v>
      </c>
      <c r="BA77" s="243" t="e">
        <f>BA36-#REF!</f>
        <v>#REF!</v>
      </c>
      <c r="BB77" s="243" t="e">
        <f>BB36-#REF!</f>
        <v>#REF!</v>
      </c>
      <c r="BC77" s="243" t="e">
        <f>BC36-#REF!</f>
        <v>#REF!</v>
      </c>
      <c r="BD77" s="243" t="e">
        <f>BD36-#REF!</f>
        <v>#REF!</v>
      </c>
      <c r="BE77" s="243" t="e">
        <f>BE36-#REF!</f>
        <v>#REF!</v>
      </c>
      <c r="BF77" s="243" t="e">
        <f>BF36-#REF!</f>
        <v>#REF!</v>
      </c>
      <c r="BG77" s="243" t="e">
        <f>BG36-#REF!</f>
        <v>#REF!</v>
      </c>
      <c r="BH77" s="243" t="e">
        <f>BH36-#REF!</f>
        <v>#REF!</v>
      </c>
      <c r="BI77" s="243" t="e">
        <f>BI36-#REF!</f>
        <v>#REF!</v>
      </c>
      <c r="BJ77" s="243" t="e">
        <f>BJ36-#REF!</f>
        <v>#REF!</v>
      </c>
      <c r="BK77" s="243" t="e">
        <f>BK36-#REF!</f>
        <v>#REF!</v>
      </c>
      <c r="BL77" s="243" t="e">
        <f>BL36-#REF!</f>
        <v>#REF!</v>
      </c>
      <c r="BM77" s="243" t="e">
        <f>BM36-#REF!</f>
        <v>#REF!</v>
      </c>
      <c r="BN77" s="243" t="e">
        <f>BN36-#REF!</f>
        <v>#REF!</v>
      </c>
      <c r="BO77" s="243" t="e">
        <f>BO36-#REF!</f>
        <v>#REF!</v>
      </c>
      <c r="BP77" s="243" t="e">
        <f>BP36-#REF!</f>
        <v>#REF!</v>
      </c>
      <c r="BQ77" s="243" t="e">
        <f>BQ36-#REF!</f>
        <v>#REF!</v>
      </c>
      <c r="BR77" s="243" t="e">
        <f>BR36-#REF!</f>
        <v>#REF!</v>
      </c>
      <c r="BS77" s="243" t="e">
        <f>BS36-#REF!</f>
        <v>#REF!</v>
      </c>
      <c r="BT77" s="243" t="e">
        <f>BT36-#REF!</f>
        <v>#REF!</v>
      </c>
      <c r="BU77" s="243" t="e">
        <f>BU36-#REF!</f>
        <v>#REF!</v>
      </c>
    </row>
    <row r="78" spans="13:73" hidden="1" x14ac:dyDescent="0.2">
      <c r="M78" s="243" t="e">
        <f>M37-#REF!</f>
        <v>#REF!</v>
      </c>
      <c r="N78" s="243" t="e">
        <f>N37-#REF!</f>
        <v>#REF!</v>
      </c>
      <c r="O78" s="243" t="e">
        <f>O37-#REF!</f>
        <v>#REF!</v>
      </c>
      <c r="P78" s="243" t="e">
        <f>P37-#REF!</f>
        <v>#REF!</v>
      </c>
      <c r="Q78" s="243" t="e">
        <f>Q37-#REF!</f>
        <v>#REF!</v>
      </c>
      <c r="R78" s="243" t="e">
        <f>R37-#REF!</f>
        <v>#REF!</v>
      </c>
      <c r="S78" s="243" t="e">
        <f>S37-#REF!</f>
        <v>#REF!</v>
      </c>
      <c r="T78" s="243" t="e">
        <f>T37-#REF!</f>
        <v>#REF!</v>
      </c>
      <c r="U78" s="243" t="e">
        <f>U37-#REF!</f>
        <v>#REF!</v>
      </c>
      <c r="V78" s="243" t="e">
        <f>V37-#REF!</f>
        <v>#REF!</v>
      </c>
      <c r="W78" s="243" t="e">
        <f>W37-#REF!</f>
        <v>#REF!</v>
      </c>
      <c r="X78" s="243" t="e">
        <f>X37-#REF!</f>
        <v>#REF!</v>
      </c>
      <c r="Y78" s="243" t="e">
        <f>Y37-#REF!</f>
        <v>#REF!</v>
      </c>
      <c r="Z78" s="243" t="e">
        <f>Z37-#REF!</f>
        <v>#REF!</v>
      </c>
      <c r="AA78" s="243" t="e">
        <f>AA37-#REF!</f>
        <v>#REF!</v>
      </c>
      <c r="AB78" s="243" t="e">
        <f>AB37-#REF!</f>
        <v>#REF!</v>
      </c>
      <c r="AC78" s="243" t="e">
        <f>AC37-#REF!</f>
        <v>#REF!</v>
      </c>
      <c r="AD78" s="243" t="e">
        <f>AD37-#REF!</f>
        <v>#REF!</v>
      </c>
      <c r="AE78" s="243" t="e">
        <f>AE37-#REF!</f>
        <v>#REF!</v>
      </c>
      <c r="AF78" s="243" t="e">
        <f>AF37-#REF!</f>
        <v>#REF!</v>
      </c>
      <c r="AG78" s="243" t="e">
        <f>AG37-#REF!</f>
        <v>#REF!</v>
      </c>
      <c r="AH78" s="243" t="e">
        <f>AH37-#REF!</f>
        <v>#REF!</v>
      </c>
      <c r="AI78" s="243" t="e">
        <f>AI37-#REF!</f>
        <v>#REF!</v>
      </c>
      <c r="AJ78" s="243" t="e">
        <f>AJ37-#REF!</f>
        <v>#REF!</v>
      </c>
      <c r="AK78" s="243" t="e">
        <f>AK37-#REF!</f>
        <v>#REF!</v>
      </c>
      <c r="AL78" s="243" t="e">
        <f>AL37-#REF!</f>
        <v>#REF!</v>
      </c>
      <c r="AM78" s="243" t="e">
        <f>AM37-#REF!</f>
        <v>#REF!</v>
      </c>
      <c r="AN78" s="243" t="e">
        <f>AN37-#REF!</f>
        <v>#REF!</v>
      </c>
      <c r="AO78" s="243" t="e">
        <f>AO37-#REF!</f>
        <v>#REF!</v>
      </c>
      <c r="AP78" s="243" t="e">
        <f>AP37-#REF!</f>
        <v>#REF!</v>
      </c>
      <c r="AQ78" s="243" t="e">
        <f>AQ37-#REF!</f>
        <v>#REF!</v>
      </c>
      <c r="AR78" s="243" t="e">
        <f>AR37-#REF!</f>
        <v>#REF!</v>
      </c>
      <c r="AS78" s="243" t="e">
        <f>AS37-#REF!</f>
        <v>#REF!</v>
      </c>
      <c r="AT78" s="243" t="e">
        <f>AT37-#REF!</f>
        <v>#REF!</v>
      </c>
      <c r="AU78" s="243" t="e">
        <f>AU37-#REF!</f>
        <v>#REF!</v>
      </c>
      <c r="AV78" s="243" t="e">
        <f>AV37-#REF!</f>
        <v>#REF!</v>
      </c>
      <c r="AW78" s="243" t="e">
        <f>AW37-#REF!</f>
        <v>#REF!</v>
      </c>
      <c r="AX78" s="243" t="e">
        <f>AX37-#REF!</f>
        <v>#REF!</v>
      </c>
      <c r="AY78" s="243" t="e">
        <f>AY37-#REF!</f>
        <v>#REF!</v>
      </c>
      <c r="AZ78" s="243" t="e">
        <f>AZ37-#REF!</f>
        <v>#REF!</v>
      </c>
      <c r="BA78" s="243" t="e">
        <f>BA37-#REF!</f>
        <v>#REF!</v>
      </c>
      <c r="BB78" s="243" t="e">
        <f>BB37-#REF!</f>
        <v>#REF!</v>
      </c>
      <c r="BC78" s="243" t="e">
        <f>BC37-#REF!</f>
        <v>#REF!</v>
      </c>
      <c r="BD78" s="243" t="e">
        <f>BD37-#REF!</f>
        <v>#REF!</v>
      </c>
      <c r="BE78" s="243" t="e">
        <f>BE37-#REF!</f>
        <v>#REF!</v>
      </c>
      <c r="BF78" s="243" t="e">
        <f>BF37-#REF!</f>
        <v>#REF!</v>
      </c>
      <c r="BG78" s="243" t="e">
        <f>BG37-#REF!</f>
        <v>#REF!</v>
      </c>
      <c r="BH78" s="243" t="e">
        <f>BH37-#REF!</f>
        <v>#REF!</v>
      </c>
      <c r="BI78" s="243" t="e">
        <f>BI37-#REF!</f>
        <v>#REF!</v>
      </c>
      <c r="BJ78" s="243" t="e">
        <f>BJ37-#REF!</f>
        <v>#REF!</v>
      </c>
      <c r="BK78" s="243" t="e">
        <f>BK37-#REF!</f>
        <v>#REF!</v>
      </c>
      <c r="BL78" s="243" t="e">
        <f>BL37-#REF!</f>
        <v>#REF!</v>
      </c>
      <c r="BM78" s="243" t="e">
        <f>BM37-#REF!</f>
        <v>#REF!</v>
      </c>
      <c r="BN78" s="243" t="e">
        <f>BN37-#REF!</f>
        <v>#REF!</v>
      </c>
      <c r="BO78" s="243" t="e">
        <f>BO37-#REF!</f>
        <v>#REF!</v>
      </c>
      <c r="BP78" s="243" t="e">
        <f>BP37-#REF!</f>
        <v>#REF!</v>
      </c>
      <c r="BQ78" s="243" t="e">
        <f>BQ37-#REF!</f>
        <v>#REF!</v>
      </c>
      <c r="BR78" s="243" t="e">
        <f>BR37-#REF!</f>
        <v>#REF!</v>
      </c>
      <c r="BS78" s="243" t="e">
        <f>BS37-#REF!</f>
        <v>#REF!</v>
      </c>
      <c r="BT78" s="243" t="e">
        <f>BT37-#REF!</f>
        <v>#REF!</v>
      </c>
      <c r="BU78" s="243" t="e">
        <f>BU37-#REF!</f>
        <v>#REF!</v>
      </c>
    </row>
    <row r="79" spans="13:73" hidden="1" x14ac:dyDescent="0.2">
      <c r="M79" s="243" t="e">
        <f>M38-#REF!</f>
        <v>#REF!</v>
      </c>
      <c r="N79" s="243" t="e">
        <f>N38-#REF!</f>
        <v>#REF!</v>
      </c>
      <c r="O79" s="243" t="e">
        <f>O38-#REF!</f>
        <v>#REF!</v>
      </c>
      <c r="P79" s="243" t="e">
        <f>P38-#REF!</f>
        <v>#REF!</v>
      </c>
      <c r="Q79" s="243" t="e">
        <f>Q38-#REF!</f>
        <v>#REF!</v>
      </c>
      <c r="R79" s="243" t="e">
        <f>R38-#REF!</f>
        <v>#REF!</v>
      </c>
      <c r="S79" s="243" t="e">
        <f>S38-#REF!</f>
        <v>#REF!</v>
      </c>
      <c r="T79" s="243" t="e">
        <f>T38-#REF!</f>
        <v>#REF!</v>
      </c>
      <c r="U79" s="243" t="e">
        <f>U38-#REF!</f>
        <v>#REF!</v>
      </c>
      <c r="V79" s="243" t="e">
        <f>V38-#REF!</f>
        <v>#REF!</v>
      </c>
      <c r="W79" s="243" t="e">
        <f>W38-#REF!</f>
        <v>#REF!</v>
      </c>
      <c r="X79" s="243" t="e">
        <f>X38-#REF!</f>
        <v>#REF!</v>
      </c>
      <c r="Y79" s="243" t="e">
        <f>Y38-#REF!</f>
        <v>#REF!</v>
      </c>
      <c r="Z79" s="243" t="e">
        <f>Z38-#REF!</f>
        <v>#REF!</v>
      </c>
      <c r="AA79" s="243" t="e">
        <f>AA38-#REF!</f>
        <v>#REF!</v>
      </c>
      <c r="AB79" s="243" t="e">
        <f>AB38-#REF!</f>
        <v>#REF!</v>
      </c>
      <c r="AC79" s="243" t="e">
        <f>AC38-#REF!</f>
        <v>#REF!</v>
      </c>
      <c r="AD79" s="243" t="e">
        <f>AD38-#REF!</f>
        <v>#REF!</v>
      </c>
      <c r="AE79" s="243" t="e">
        <f>AE38-#REF!</f>
        <v>#REF!</v>
      </c>
      <c r="AF79" s="243" t="e">
        <f>AF38-#REF!</f>
        <v>#REF!</v>
      </c>
      <c r="AG79" s="243" t="e">
        <f>AG38-#REF!</f>
        <v>#REF!</v>
      </c>
      <c r="AH79" s="243" t="e">
        <f>AH38-#REF!</f>
        <v>#REF!</v>
      </c>
      <c r="AI79" s="243" t="e">
        <f>AI38-#REF!</f>
        <v>#REF!</v>
      </c>
      <c r="AJ79" s="243" t="e">
        <f>AJ38-#REF!</f>
        <v>#REF!</v>
      </c>
      <c r="AK79" s="243" t="e">
        <f>AK38-#REF!</f>
        <v>#REF!</v>
      </c>
      <c r="AL79" s="243" t="e">
        <f>AL38-#REF!</f>
        <v>#REF!</v>
      </c>
      <c r="AM79" s="243" t="e">
        <f>AM38-#REF!</f>
        <v>#REF!</v>
      </c>
      <c r="AN79" s="243" t="e">
        <f>AN38-#REF!</f>
        <v>#REF!</v>
      </c>
      <c r="AO79" s="243" t="e">
        <f>AO38-#REF!</f>
        <v>#REF!</v>
      </c>
      <c r="AP79" s="243" t="e">
        <f>AP38-#REF!</f>
        <v>#REF!</v>
      </c>
      <c r="AQ79" s="243" t="e">
        <f>AQ38-#REF!</f>
        <v>#REF!</v>
      </c>
      <c r="AR79" s="243" t="e">
        <f>AR38-#REF!</f>
        <v>#REF!</v>
      </c>
      <c r="AS79" s="243" t="e">
        <f>AS38-#REF!</f>
        <v>#REF!</v>
      </c>
      <c r="AT79" s="243" t="e">
        <f>AT38-#REF!</f>
        <v>#REF!</v>
      </c>
      <c r="AU79" s="243" t="e">
        <f>AU38-#REF!</f>
        <v>#REF!</v>
      </c>
      <c r="AV79" s="243" t="e">
        <f>AV38-#REF!</f>
        <v>#REF!</v>
      </c>
      <c r="AW79" s="243" t="e">
        <f>AW38-#REF!</f>
        <v>#REF!</v>
      </c>
      <c r="AX79" s="243" t="e">
        <f>AX38-#REF!</f>
        <v>#REF!</v>
      </c>
      <c r="AY79" s="243" t="e">
        <f>AY38-#REF!</f>
        <v>#REF!</v>
      </c>
      <c r="AZ79" s="243" t="e">
        <f>AZ38-#REF!</f>
        <v>#REF!</v>
      </c>
      <c r="BA79" s="243" t="e">
        <f>BA38-#REF!</f>
        <v>#REF!</v>
      </c>
      <c r="BB79" s="243" t="e">
        <f>BB38-#REF!</f>
        <v>#REF!</v>
      </c>
      <c r="BC79" s="243" t="e">
        <f>BC38-#REF!</f>
        <v>#REF!</v>
      </c>
      <c r="BD79" s="243" t="e">
        <f>BD38-#REF!</f>
        <v>#REF!</v>
      </c>
      <c r="BE79" s="243" t="e">
        <f>BE38-#REF!</f>
        <v>#REF!</v>
      </c>
      <c r="BF79" s="243" t="e">
        <f>BF38-#REF!</f>
        <v>#REF!</v>
      </c>
      <c r="BG79" s="243" t="e">
        <f>BG38-#REF!</f>
        <v>#REF!</v>
      </c>
      <c r="BH79" s="243" t="e">
        <f>BH38-#REF!</f>
        <v>#REF!</v>
      </c>
      <c r="BI79" s="243" t="e">
        <f>BI38-#REF!</f>
        <v>#REF!</v>
      </c>
      <c r="BJ79" s="243" t="e">
        <f>BJ38-#REF!</f>
        <v>#REF!</v>
      </c>
      <c r="BK79" s="243" t="e">
        <f>BK38-#REF!</f>
        <v>#REF!</v>
      </c>
      <c r="BL79" s="243" t="e">
        <f>BL38-#REF!</f>
        <v>#REF!</v>
      </c>
      <c r="BM79" s="243" t="e">
        <f>BM38-#REF!</f>
        <v>#REF!</v>
      </c>
      <c r="BN79" s="243" t="e">
        <f>BN38-#REF!</f>
        <v>#REF!</v>
      </c>
      <c r="BO79" s="243" t="e">
        <f>BO38-#REF!</f>
        <v>#REF!</v>
      </c>
      <c r="BP79" s="243" t="e">
        <f>BP38-#REF!</f>
        <v>#REF!</v>
      </c>
      <c r="BQ79" s="243" t="e">
        <f>BQ38-#REF!</f>
        <v>#REF!</v>
      </c>
      <c r="BR79" s="243" t="e">
        <f>BR38-#REF!</f>
        <v>#REF!</v>
      </c>
      <c r="BS79" s="243" t="e">
        <f>BS38-#REF!</f>
        <v>#REF!</v>
      </c>
      <c r="BT79" s="243" t="e">
        <f>BT38-#REF!</f>
        <v>#REF!</v>
      </c>
      <c r="BU79" s="243" t="e">
        <f>BU38-#REF!</f>
        <v>#REF!</v>
      </c>
    </row>
    <row r="80" spans="13:73" hidden="1" x14ac:dyDescent="0.2">
      <c r="M80" s="243" t="e">
        <f>M39-#REF!</f>
        <v>#REF!</v>
      </c>
      <c r="N80" s="243" t="e">
        <f>N39-#REF!</f>
        <v>#REF!</v>
      </c>
      <c r="O80" s="243" t="e">
        <f>O39-#REF!</f>
        <v>#REF!</v>
      </c>
      <c r="P80" s="243" t="e">
        <f>P39-#REF!</f>
        <v>#REF!</v>
      </c>
      <c r="Q80" s="243" t="e">
        <f>Q39-#REF!</f>
        <v>#REF!</v>
      </c>
      <c r="R80" s="243" t="e">
        <f>R39-#REF!</f>
        <v>#REF!</v>
      </c>
      <c r="S80" s="243" t="e">
        <f>S39-#REF!</f>
        <v>#REF!</v>
      </c>
      <c r="T80" s="243" t="e">
        <f>T39-#REF!</f>
        <v>#REF!</v>
      </c>
      <c r="U80" s="243" t="e">
        <f>U39-#REF!</f>
        <v>#REF!</v>
      </c>
      <c r="V80" s="243" t="e">
        <f>V39-#REF!</f>
        <v>#REF!</v>
      </c>
      <c r="W80" s="243" t="e">
        <f>W39-#REF!</f>
        <v>#REF!</v>
      </c>
      <c r="X80" s="243" t="e">
        <f>X39-#REF!</f>
        <v>#REF!</v>
      </c>
      <c r="Y80" s="243" t="e">
        <f>Y39-#REF!</f>
        <v>#REF!</v>
      </c>
      <c r="Z80" s="243" t="e">
        <f>Z39-#REF!</f>
        <v>#REF!</v>
      </c>
      <c r="AA80" s="243" t="e">
        <f>AA39-#REF!</f>
        <v>#REF!</v>
      </c>
      <c r="AB80" s="243" t="e">
        <f>AB39-#REF!</f>
        <v>#REF!</v>
      </c>
      <c r="AC80" s="243" t="e">
        <f>AC39-#REF!</f>
        <v>#REF!</v>
      </c>
      <c r="AD80" s="243" t="e">
        <f>AD39-#REF!</f>
        <v>#REF!</v>
      </c>
      <c r="AE80" s="243" t="e">
        <f>AE39-#REF!</f>
        <v>#REF!</v>
      </c>
      <c r="AF80" s="243" t="e">
        <f>AF39-#REF!</f>
        <v>#REF!</v>
      </c>
      <c r="AG80" s="243" t="e">
        <f>AG39-#REF!</f>
        <v>#REF!</v>
      </c>
      <c r="AH80" s="243" t="e">
        <f>AH39-#REF!</f>
        <v>#REF!</v>
      </c>
      <c r="AI80" s="243" t="e">
        <f>AI39-#REF!</f>
        <v>#REF!</v>
      </c>
      <c r="AJ80" s="243" t="e">
        <f>AJ39-#REF!</f>
        <v>#REF!</v>
      </c>
      <c r="AK80" s="243" t="e">
        <f>AK39-#REF!</f>
        <v>#REF!</v>
      </c>
      <c r="AL80" s="243" t="e">
        <f>AL39-#REF!</f>
        <v>#REF!</v>
      </c>
      <c r="AM80" s="243" t="e">
        <f>AM39-#REF!</f>
        <v>#REF!</v>
      </c>
      <c r="AN80" s="243" t="e">
        <f>AN39-#REF!</f>
        <v>#REF!</v>
      </c>
      <c r="AO80" s="243" t="e">
        <f>AO39-#REF!</f>
        <v>#REF!</v>
      </c>
      <c r="AP80" s="243" t="e">
        <f>AP39-#REF!</f>
        <v>#REF!</v>
      </c>
      <c r="AQ80" s="243" t="e">
        <f>AQ39-#REF!</f>
        <v>#REF!</v>
      </c>
      <c r="AR80" s="243" t="e">
        <f>AR39-#REF!</f>
        <v>#REF!</v>
      </c>
      <c r="AS80" s="243" t="e">
        <f>AS39-#REF!</f>
        <v>#REF!</v>
      </c>
      <c r="AT80" s="243" t="e">
        <f>AT39-#REF!</f>
        <v>#REF!</v>
      </c>
      <c r="AU80" s="243" t="e">
        <f>AU39-#REF!</f>
        <v>#REF!</v>
      </c>
      <c r="AV80" s="243" t="e">
        <f>AV39-#REF!</f>
        <v>#REF!</v>
      </c>
      <c r="AW80" s="243" t="e">
        <f>AW39-#REF!</f>
        <v>#REF!</v>
      </c>
      <c r="AX80" s="243" t="e">
        <f>AX39-#REF!</f>
        <v>#REF!</v>
      </c>
      <c r="AY80" s="243" t="e">
        <f>AY39-#REF!</f>
        <v>#REF!</v>
      </c>
      <c r="AZ80" s="243" t="e">
        <f>AZ39-#REF!</f>
        <v>#REF!</v>
      </c>
      <c r="BA80" s="243" t="e">
        <f>BA39-#REF!</f>
        <v>#REF!</v>
      </c>
      <c r="BB80" s="243" t="e">
        <f>BB39-#REF!</f>
        <v>#REF!</v>
      </c>
      <c r="BC80" s="243" t="e">
        <f>BC39-#REF!</f>
        <v>#REF!</v>
      </c>
      <c r="BD80" s="243" t="e">
        <f>BD39-#REF!</f>
        <v>#REF!</v>
      </c>
      <c r="BE80" s="243" t="e">
        <f>BE39-#REF!</f>
        <v>#REF!</v>
      </c>
      <c r="BF80" s="243" t="e">
        <f>BF39-#REF!</f>
        <v>#REF!</v>
      </c>
      <c r="BG80" s="243" t="e">
        <f>BG39-#REF!</f>
        <v>#REF!</v>
      </c>
      <c r="BH80" s="243" t="e">
        <f>BH39-#REF!</f>
        <v>#REF!</v>
      </c>
      <c r="BI80" s="243" t="e">
        <f>BI39-#REF!</f>
        <v>#REF!</v>
      </c>
      <c r="BJ80" s="243" t="e">
        <f>BJ39-#REF!</f>
        <v>#REF!</v>
      </c>
      <c r="BK80" s="243" t="e">
        <f>BK39-#REF!</f>
        <v>#REF!</v>
      </c>
      <c r="BL80" s="243" t="e">
        <f>BL39-#REF!</f>
        <v>#REF!</v>
      </c>
      <c r="BM80" s="243" t="e">
        <f>BM39-#REF!</f>
        <v>#REF!</v>
      </c>
      <c r="BN80" s="243" t="e">
        <f>BN39-#REF!</f>
        <v>#REF!</v>
      </c>
      <c r="BO80" s="243" t="e">
        <f>BO39-#REF!</f>
        <v>#REF!</v>
      </c>
      <c r="BP80" s="243" t="e">
        <f>BP39-#REF!</f>
        <v>#REF!</v>
      </c>
      <c r="BQ80" s="243" t="e">
        <f>BQ39-#REF!</f>
        <v>#REF!</v>
      </c>
      <c r="BR80" s="243" t="e">
        <f>BR39-#REF!</f>
        <v>#REF!</v>
      </c>
      <c r="BS80" s="243" t="e">
        <f>BS39-#REF!</f>
        <v>#REF!</v>
      </c>
      <c r="BT80" s="243" t="e">
        <f>BT39-#REF!</f>
        <v>#REF!</v>
      </c>
      <c r="BU80" s="243" t="e">
        <f>BU39-#REF!</f>
        <v>#REF!</v>
      </c>
    </row>
    <row r="81" spans="13:73" hidden="1" x14ac:dyDescent="0.2">
      <c r="M81" s="243" t="e">
        <f>M40-#REF!</f>
        <v>#REF!</v>
      </c>
      <c r="N81" s="243" t="e">
        <f>N40-#REF!</f>
        <v>#REF!</v>
      </c>
      <c r="O81" s="243" t="e">
        <f>O40-#REF!</f>
        <v>#REF!</v>
      </c>
      <c r="P81" s="243" t="e">
        <f>P40-#REF!</f>
        <v>#REF!</v>
      </c>
      <c r="Q81" s="243" t="e">
        <f>Q40-#REF!</f>
        <v>#REF!</v>
      </c>
      <c r="R81" s="243" t="e">
        <f>R40-#REF!</f>
        <v>#REF!</v>
      </c>
      <c r="S81" s="243" t="e">
        <f>S40-#REF!</f>
        <v>#REF!</v>
      </c>
      <c r="T81" s="243" t="e">
        <f>T40-#REF!</f>
        <v>#REF!</v>
      </c>
      <c r="U81" s="243" t="e">
        <f>U40-#REF!</f>
        <v>#REF!</v>
      </c>
      <c r="V81" s="243" t="e">
        <f>V40-#REF!</f>
        <v>#REF!</v>
      </c>
      <c r="W81" s="243" t="e">
        <f>W40-#REF!</f>
        <v>#REF!</v>
      </c>
      <c r="X81" s="243" t="e">
        <f>X40-#REF!</f>
        <v>#REF!</v>
      </c>
      <c r="Y81" s="243" t="e">
        <f>Y40-#REF!</f>
        <v>#REF!</v>
      </c>
      <c r="Z81" s="243" t="e">
        <f>Z40-#REF!</f>
        <v>#REF!</v>
      </c>
      <c r="AA81" s="243" t="e">
        <f>AA40-#REF!</f>
        <v>#REF!</v>
      </c>
      <c r="AB81" s="243" t="e">
        <f>AB40-#REF!</f>
        <v>#REF!</v>
      </c>
      <c r="AC81" s="243" t="e">
        <f>AC40-#REF!</f>
        <v>#REF!</v>
      </c>
      <c r="AD81" s="243" t="e">
        <f>AD40-#REF!</f>
        <v>#REF!</v>
      </c>
      <c r="AE81" s="243" t="e">
        <f>AE40-#REF!</f>
        <v>#REF!</v>
      </c>
      <c r="AF81" s="243" t="e">
        <f>AF40-#REF!</f>
        <v>#REF!</v>
      </c>
      <c r="AG81" s="243" t="e">
        <f>AG40-#REF!</f>
        <v>#REF!</v>
      </c>
      <c r="AH81" s="243" t="e">
        <f>AH40-#REF!</f>
        <v>#REF!</v>
      </c>
      <c r="AI81" s="243" t="e">
        <f>AI40-#REF!</f>
        <v>#REF!</v>
      </c>
      <c r="AJ81" s="243" t="e">
        <f>AJ40-#REF!</f>
        <v>#REF!</v>
      </c>
      <c r="AK81" s="243" t="e">
        <f>AK40-#REF!</f>
        <v>#REF!</v>
      </c>
      <c r="AL81" s="243" t="e">
        <f>AL40-#REF!</f>
        <v>#REF!</v>
      </c>
      <c r="AM81" s="243" t="e">
        <f>AM40-#REF!</f>
        <v>#REF!</v>
      </c>
      <c r="AN81" s="243" t="e">
        <f>AN40-#REF!</f>
        <v>#REF!</v>
      </c>
      <c r="AO81" s="243" t="e">
        <f>AO40-#REF!</f>
        <v>#REF!</v>
      </c>
      <c r="AP81" s="243" t="e">
        <f>AP40-#REF!</f>
        <v>#REF!</v>
      </c>
      <c r="AQ81" s="243" t="e">
        <f>AQ40-#REF!</f>
        <v>#REF!</v>
      </c>
      <c r="AR81" s="243" t="e">
        <f>AR40-#REF!</f>
        <v>#REF!</v>
      </c>
      <c r="AS81" s="243" t="e">
        <f>AS40-#REF!</f>
        <v>#REF!</v>
      </c>
      <c r="AT81" s="243" t="e">
        <f>AT40-#REF!</f>
        <v>#REF!</v>
      </c>
      <c r="AU81" s="243" t="e">
        <f>AU40-#REF!</f>
        <v>#REF!</v>
      </c>
      <c r="AV81" s="243" t="e">
        <f>AV40-#REF!</f>
        <v>#REF!</v>
      </c>
      <c r="AW81" s="243" t="e">
        <f>AW40-#REF!</f>
        <v>#REF!</v>
      </c>
      <c r="AX81" s="243" t="e">
        <f>AX40-#REF!</f>
        <v>#REF!</v>
      </c>
      <c r="AY81" s="243" t="e">
        <f>AY40-#REF!</f>
        <v>#REF!</v>
      </c>
      <c r="AZ81" s="243" t="e">
        <f>AZ40-#REF!</f>
        <v>#REF!</v>
      </c>
      <c r="BA81" s="243" t="e">
        <f>BA40-#REF!</f>
        <v>#REF!</v>
      </c>
      <c r="BB81" s="243" t="e">
        <f>BB40-#REF!</f>
        <v>#REF!</v>
      </c>
      <c r="BC81" s="243" t="e">
        <f>BC40-#REF!</f>
        <v>#REF!</v>
      </c>
      <c r="BD81" s="243" t="e">
        <f>BD40-#REF!</f>
        <v>#REF!</v>
      </c>
      <c r="BE81" s="243" t="e">
        <f>BE40-#REF!</f>
        <v>#REF!</v>
      </c>
      <c r="BF81" s="243" t="e">
        <f>BF40-#REF!</f>
        <v>#REF!</v>
      </c>
      <c r="BG81" s="243" t="e">
        <f>BG40-#REF!</f>
        <v>#REF!</v>
      </c>
      <c r="BH81" s="243" t="e">
        <f>BH40-#REF!</f>
        <v>#REF!</v>
      </c>
      <c r="BI81" s="243" t="e">
        <f>BI40-#REF!</f>
        <v>#REF!</v>
      </c>
      <c r="BJ81" s="243" t="e">
        <f>BJ40-#REF!</f>
        <v>#REF!</v>
      </c>
      <c r="BK81" s="243" t="e">
        <f>BK40-#REF!</f>
        <v>#REF!</v>
      </c>
      <c r="BL81" s="243" t="e">
        <f>BL40-#REF!</f>
        <v>#REF!</v>
      </c>
      <c r="BM81" s="243" t="e">
        <f>BM40-#REF!</f>
        <v>#REF!</v>
      </c>
      <c r="BN81" s="243" t="e">
        <f>BN40-#REF!</f>
        <v>#REF!</v>
      </c>
      <c r="BO81" s="243" t="e">
        <f>BO40-#REF!</f>
        <v>#REF!</v>
      </c>
      <c r="BP81" s="243" t="e">
        <f>BP40-#REF!</f>
        <v>#REF!</v>
      </c>
      <c r="BQ81" s="243" t="e">
        <f>BQ40-#REF!</f>
        <v>#REF!</v>
      </c>
      <c r="BR81" s="243" t="e">
        <f>BR40-#REF!</f>
        <v>#REF!</v>
      </c>
      <c r="BS81" s="243" t="e">
        <f>BS40-#REF!</f>
        <v>#REF!</v>
      </c>
      <c r="BT81" s="243" t="e">
        <f>BT40-#REF!</f>
        <v>#REF!</v>
      </c>
      <c r="BU81" s="243" t="e">
        <f>BU40-#REF!</f>
        <v>#REF!</v>
      </c>
    </row>
    <row r="82" spans="13:73" hidden="1" x14ac:dyDescent="0.2"/>
    <row r="83" spans="13:73" hidden="1" x14ac:dyDescent="0.2"/>
    <row r="84" spans="13:73" hidden="1" x14ac:dyDescent="0.2"/>
    <row r="85" spans="13:73" hidden="1" x14ac:dyDescent="0.2"/>
    <row r="86" spans="13:73" hidden="1" x14ac:dyDescent="0.2"/>
    <row r="87" spans="13:73" hidden="1" x14ac:dyDescent="0.2"/>
    <row r="88" spans="13:73" hidden="1" x14ac:dyDescent="0.2"/>
    <row r="89" spans="13:73" hidden="1" x14ac:dyDescent="0.2"/>
    <row r="90" spans="13:73" hidden="1" x14ac:dyDescent="0.2"/>
    <row r="91" spans="13:73" hidden="1" x14ac:dyDescent="0.2"/>
    <row r="92" spans="13:73" hidden="1" x14ac:dyDescent="0.2"/>
    <row r="93" spans="13:73" hidden="1" x14ac:dyDescent="0.2"/>
    <row r="94" spans="13:73" hidden="1" x14ac:dyDescent="0.2"/>
    <row r="95" spans="13:73" hidden="1" x14ac:dyDescent="0.2"/>
    <row r="96" spans="13:7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</sheetData>
  <mergeCells count="2">
    <mergeCell ref="H8:BU8"/>
    <mergeCell ref="D41:BU41"/>
  </mergeCells>
  <pageMargins left="0.70866141732283472" right="0.70866141732283472" top="0.74803149606299213" bottom="0.74803149606299213" header="0.31496062992125984" footer="0.31496062992125984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Summary</vt:lpstr>
      <vt:lpstr>Table1</vt:lpstr>
      <vt:lpstr>Table 2 Pg1</vt:lpstr>
      <vt:lpstr>Table 2 Pg2</vt:lpstr>
      <vt:lpstr>Table 3 Summary</vt:lpstr>
      <vt:lpstr>Table 3,1</vt:lpstr>
      <vt:lpstr>Table 3,2</vt:lpstr>
      <vt:lpstr>Table 3,3</vt:lpstr>
      <vt:lpstr>Table 3,4</vt:lpstr>
      <vt:lpstr>Table 4</vt:lpstr>
      <vt:lpstr>Table 5</vt:lpstr>
      <vt:lpstr>Summary!Print_Area</vt:lpstr>
      <vt:lpstr>'Table 2 Pg2'!Print_Area</vt:lpstr>
      <vt:lpstr>'Table 3,1'!Print_Area</vt:lpstr>
      <vt:lpstr>'Table 3,3'!Print_Area</vt:lpstr>
      <vt:lpstr>'Table 3,4'!Print_Area</vt:lpstr>
      <vt:lpstr>'Table 4'!Print_Area</vt:lpstr>
      <vt:lpstr>'Table 5'!Print_Area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2020-04-29T19:35:07Z</cp:lastPrinted>
  <dcterms:created xsi:type="dcterms:W3CDTF">2020-04-29T12:12:43Z</dcterms:created>
  <dcterms:modified xsi:type="dcterms:W3CDTF">2020-04-29T19:35:30Z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Phindile.Dhlame@Treasury.gov.za</vt:lpwstr>
  </property>
  <property fmtid="{D5CDD505-2E9C-101B-9397-08002B2CF9AE}" pid="5" name="MSIP_Label_93c4247e-447d-4732-af29-2e529a4288f1_SetDate">
    <vt:lpwstr>2020-04-29T12:15:25.8695124Z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eb298998-6121-40a9-b897-2957375a04b8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</Properties>
</file>